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2.xml" ContentType="application/vnd.openxmlformats-officedocument.spreadsheetml.comments+xml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3.xml" ContentType="application/vnd.openxmlformats-officedocument.spreadsheetml.comments+xml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 06.29.23\"/>
    </mc:Choice>
  </mc:AlternateContent>
  <xr:revisionPtr revIDLastSave="0" documentId="13_ncr:1_{1A5F31C1-46D7-4CBB-A890-0764CEE9EB86}" xr6:coauthVersionLast="47" xr6:coauthVersionMax="47" xr10:uidLastSave="{00000000-0000-0000-0000-000000000000}"/>
  <bookViews>
    <workbookView xWindow="390" yWindow="390" windowWidth="29880" windowHeight="1368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state="hidden" r:id="rId21"/>
    <sheet name="WorkPaper" sheetId="35" state="hidden" r:id="rId22"/>
    <sheet name="PBR.1" sheetId="47" state="hidden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definedNames>
    <definedName name="____W.O.R.K.B.O.O.K..C.O.N.T.E.N.T.S____">#REF!</definedName>
    <definedName name="_Fill" localSheetId="20" hidden="1">#REF!</definedName>
    <definedName name="_Fill" localSheetId="22" hidden="1">#REF!</definedName>
    <definedName name="_Fill" hidden="1">#REF!</definedName>
    <definedName name="ACT_BEGIN_DATE">#REF!</definedName>
    <definedName name="ACT_END_DATE">#REF!</definedName>
    <definedName name="AREA" localSheetId="20">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#REF!</definedName>
    <definedName name="CASE_CUR">#REF!</definedName>
    <definedName name="CASE_CURRENT">#REF!</definedName>
    <definedName name="CASE_PRE">#REF!</definedName>
    <definedName name="CASE_PREVIOUS">#REF!</definedName>
    <definedName name="CasePre">#REF!</definedName>
    <definedName name="CASH_MON_LABEL">#REF!</definedName>
    <definedName name="CASH_OUT_RP">#REF!</definedName>
    <definedName name="CASH_YEAR_LABEL">#REF!</definedName>
    <definedName name="Cashout">#REF!</definedName>
    <definedName name="Cashouts">#REF!</definedName>
    <definedName name="CF_Month_1" localSheetId="20">#REF!</definedName>
    <definedName name="CF_Month_1" localSheetId="22">#REF!</definedName>
    <definedName name="CF_Month_1">#REF!</definedName>
    <definedName name="CF_Month_2" localSheetId="20">#REF!</definedName>
    <definedName name="CF_Month_2" localSheetId="22">#REF!</definedName>
    <definedName name="CF_Month_2">#REF!</definedName>
    <definedName name="CF_Month_3" localSheetId="20">#REF!</definedName>
    <definedName name="CF_Month_3" localSheetId="22">#REF!</definedName>
    <definedName name="CF_Month_3">#REF!</definedName>
    <definedName name="CF_SALES">#REF!</definedName>
    <definedName name="CONT_2385">#REF!</definedName>
    <definedName name="CONT_2546">#REF!</definedName>
    <definedName name="CONT_2546.1">#REF!</definedName>
    <definedName name="CONT_2548">#REF!</definedName>
    <definedName name="CONT_2548.1">#REF!</definedName>
    <definedName name="CONT_2550">#REF!</definedName>
    <definedName name="CONT_2550.1">#REF!</definedName>
    <definedName name="CONT_2551">#REF!</definedName>
    <definedName name="CONT_2551.1">#REF!</definedName>
    <definedName name="CONT_3355">#REF!</definedName>
    <definedName name="CONT_3355.1">#REF!</definedName>
    <definedName name="CONT_3770">#REF!</definedName>
    <definedName name="CONT_3817">#REF!</definedName>
    <definedName name="CONT_3819">#REF!</definedName>
    <definedName name="CONT_NO210">#REF!</definedName>
    <definedName name="CONT_NO340">#REF!</definedName>
    <definedName name="CONT_NO410">#REF!</definedName>
    <definedName name="Cont014573">#REF!</definedName>
    <definedName name="Cont9213">#REF!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#REF!</definedName>
    <definedName name="DATE_CASHOUT">#REF!</definedName>
    <definedName name="DATE_CASHOUT_ST">#REF!</definedName>
    <definedName name="DATE_CASHOUTS">#REF!</definedName>
    <definedName name="DATE_GCA">#REF!</definedName>
    <definedName name="DATE_GCA_DAY">#REF!</definedName>
    <definedName name="DATE_GCA_LABEL">#REF!</definedName>
    <definedName name="DATE_GCA_MONTH">#REF!</definedName>
    <definedName name="DATE_GCA_YEAR">#REF!</definedName>
    <definedName name="Date_Issued">#REF!</definedName>
    <definedName name="DATE_MON_LABEL">#REF!</definedName>
    <definedName name="DATE_PREVIOUS">#REF!</definedName>
    <definedName name="DATE_PROJECTION">#REF!</definedName>
    <definedName name="DateEffective" localSheetId="20">#REF!</definedName>
    <definedName name="DateEffective" localSheetId="22">#REF!</definedName>
    <definedName name="DateEffective">#REF!</definedName>
    <definedName name="DB_C\T3">#REF!</definedName>
    <definedName name="DB_C\T4">#REF!</definedName>
    <definedName name="DB_G1">#REF!</definedName>
    <definedName name="DB_G2">#REF!</definedName>
    <definedName name="DB_HLF\G1">#REF!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#REF!</definedName>
    <definedName name="DB_T2\G2">#REF!</definedName>
    <definedName name="DB_T2\HLF">#REF!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#REF!</definedName>
    <definedName name="DEMAND_HLF">#REF!</definedName>
    <definedName name="DEMAND_INTER">#REF!</definedName>
    <definedName name="DemandChargePerMdq">B.6!$F$42</definedName>
    <definedName name="DolFirm">#REF!</definedName>
    <definedName name="DolInt">#REF!</definedName>
    <definedName name="DolIntTran">#REF!</definedName>
    <definedName name="EffectiveDate" localSheetId="20">#REF!</definedName>
    <definedName name="EffectiveDate" localSheetId="22">#REF!</definedName>
    <definedName name="EffectiveDate">#REF!</definedName>
    <definedName name="EWACOG">#REF!</definedName>
    <definedName name="EXHIBIT_A1_RP">#REF!</definedName>
    <definedName name="EXHIBIT_A2_RP">#REF!</definedName>
    <definedName name="EXHIBIT_A3_RP">#REF!</definedName>
    <definedName name="EXHIBIT_A4_RP">#REF!</definedName>
    <definedName name="EXHIBIT_A5_RP">#REF!</definedName>
    <definedName name="EXHIBIT_B1_RP">#REF!</definedName>
    <definedName name="EXHIBIT_B2_RP">#REF!</definedName>
    <definedName name="EXHIBIT_B3_RP">#REF!</definedName>
    <definedName name="EXHIBIT_B4_RP">#REF!</definedName>
    <definedName name="EXHIBIT_B5_RP">#REF!</definedName>
    <definedName name="EXHIBIT_B6_RP">#REF!</definedName>
    <definedName name="EXHIBIT_B7_RP">#REF!</definedName>
    <definedName name="EXHIBIT_B8_RP">#REF!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#REF!</definedName>
    <definedName name="GCA\LVS1">#REF!</definedName>
    <definedName name="GCA\LVS2">#REF!</definedName>
    <definedName name="GCA_CF_SALES">#REF!</definedName>
    <definedName name="GCA_COMMODITY">#REF!</definedName>
    <definedName name="GCA_DATE">#REF!</definedName>
    <definedName name="GCA_DEM_FIRM">#REF!</definedName>
    <definedName name="GCA_DEM_HLF_MDQ">#REF!</definedName>
    <definedName name="GCA_DEM_INTER">#REF!</definedName>
    <definedName name="GCA_DEMAND_FIRM">#REF!</definedName>
    <definedName name="gca_effect_adate">#REF!</definedName>
    <definedName name="GCA_EFFECTIVE">#REF!</definedName>
    <definedName name="GCA_G1">#REF!</definedName>
    <definedName name="GCA_G1_HLF">#REF!</definedName>
    <definedName name="GCA_G2">#REF!</definedName>
    <definedName name="gca_lvs1">#REF!</definedName>
    <definedName name="GCA_LVS1_HLF">#REF!</definedName>
    <definedName name="gca_lvs2">#REF!</definedName>
    <definedName name="GCA_PBRRF">#REF!</definedName>
    <definedName name="GCA_REF_SALES">#REF!</definedName>
    <definedName name="GCA_REF_TRANSPORT">#REF!</definedName>
    <definedName name="GCA_T2_G1">#REF!</definedName>
    <definedName name="GCA_T2_G1_HLF">#REF!</definedName>
    <definedName name="GCA_T2_G2">#REF!</definedName>
    <definedName name="GCA_T3">#REF!</definedName>
    <definedName name="gca_t4">#REF!</definedName>
    <definedName name="GCA_TOP">#REF!</definedName>
    <definedName name="GCA_TRANSITION">#REF!</definedName>
    <definedName name="GCA_YEAR_LABEL">#REF!</definedName>
    <definedName name="History">#REF!</definedName>
    <definedName name="HLF">#REF!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#REF!</definedName>
    <definedName name="LABEL_MONTH">#REF!</definedName>
    <definedName name="LABEL_YEAR">#REF!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#REF!</definedName>
    <definedName name="LVS_HLF_NON_COMMODITY">#REF!</definedName>
    <definedName name="LVS_Non_Commodity">#REF!</definedName>
    <definedName name="LVS2_NON_COMMODITY">#REF!</definedName>
    <definedName name="MarketAdjusted">'C.2'!#REF!</definedName>
    <definedName name="MarketPrice">'C.2'!#REF!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NTH_4">#REF!</definedName>
    <definedName name="MONTH_5">#REF!</definedName>
    <definedName name="MONTH_6">#REF!</definedName>
    <definedName name="MONTH_7">#REF!</definedName>
    <definedName name="MONTH_8">#REF!</definedName>
    <definedName name="MONTH_9">#REF!</definedName>
    <definedName name="MONTH_NO">#REF!</definedName>
    <definedName name="Month1" localSheetId="20">#REF!</definedName>
    <definedName name="Month1" localSheetId="22">#REF!</definedName>
    <definedName name="Month1">#REF!</definedName>
    <definedName name="Month2" localSheetId="20">#REF!</definedName>
    <definedName name="Month2" localSheetId="22">#REF!</definedName>
    <definedName name="Month2">#REF!</definedName>
    <definedName name="Month3" localSheetId="20">#REF!</definedName>
    <definedName name="Month3" localSheetId="22">#REF!</definedName>
    <definedName name="Month3">#REF!</definedName>
    <definedName name="NA" localSheetId="20">#REF!</definedName>
    <definedName name="NA" localSheetId="22">#REF!</definedName>
    <definedName name="NA">#REF!</definedName>
    <definedName name="NumberTrueUp">#REF!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#REF!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D.1!$A$1:$I$46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'C.2'!$A$1:$P$1</definedName>
    <definedName name="rpt_PublicDisclosure">'C.2'!$A$3:$P$24</definedName>
    <definedName name="SALES_DB" localSheetId="20">#REF!</definedName>
    <definedName name="SALES_DB" localSheetId="22">#REF!</definedName>
    <definedName name="SALES_DB">#REF!</definedName>
    <definedName name="SEASON">#REF!</definedName>
    <definedName name="SecondEffectiveDate">#REF!</definedName>
    <definedName name="SecondTrueUp">#REF!</definedName>
    <definedName name="StatusDraft">#REF!</definedName>
    <definedName name="TABLE_SEASON">#REF!</definedName>
    <definedName name="TB_G1">#REF!</definedName>
    <definedName name="TB_G1\HLF">#REF!</definedName>
    <definedName name="TB_G2">#REF!</definedName>
    <definedName name="TB_NNS_DEM_2">#REF!</definedName>
    <definedName name="TB_T2\G1">#REF!</definedName>
    <definedName name="TB_T2\G1\HLF">#REF!</definedName>
    <definedName name="TB_T2\G2">#REF!</definedName>
    <definedName name="TB_T3">#REF!</definedName>
    <definedName name="TB_T4">#REF!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#REF!</definedName>
    <definedName name="TEN_EST_PUR">#REF!</definedName>
    <definedName name="TEN_FT_G">#REF!</definedName>
    <definedName name="TEN_FT_GS">#REF!</definedName>
    <definedName name="ten_fta">#REF!</definedName>
    <definedName name="TEN_FTG">#REF!</definedName>
    <definedName name="TEN_FTG_COMMOD">#REF!</definedName>
    <definedName name="TEN_FTG_DEMAND">#REF!</definedName>
    <definedName name="TEN_FTGS">#REF!</definedName>
    <definedName name="ten_fuel">#REF!</definedName>
    <definedName name="TEN_RES_FEE" localSheetId="20">#REF!</definedName>
    <definedName name="TEN_RES_FEE" localSheetId="22">#REF!</definedName>
    <definedName name="TEN_RES_FEE">#REF!</definedName>
    <definedName name="TEN_SS">#REF!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#REF!</definedName>
    <definedName name="test">#REF!</definedName>
    <definedName name="tex_borrow" localSheetId="20">#REF!</definedName>
    <definedName name="tex_borrow" localSheetId="22">#REF!</definedName>
    <definedName name="tex_borrow">#REF!</definedName>
    <definedName name="TEX_CASH">#REF!</definedName>
    <definedName name="TEX_EST_PUR">#REF!</definedName>
    <definedName name="TEX_FT_COMMOD">#REF!</definedName>
    <definedName name="TEX_FT_DEMAND">#REF!</definedName>
    <definedName name="TEX_FUEL">#REF!</definedName>
    <definedName name="TEX_NNS_COMMOD">#REF!</definedName>
    <definedName name="TEX_NNS_DEM">#REF!</definedName>
    <definedName name="TEX_NNS_DEMAND">#REF!</definedName>
    <definedName name="TEX_RES_FEE">#REF!</definedName>
    <definedName name="TEX_TRANSITION" localSheetId="20">#REF!</definedName>
    <definedName name="TEX_TRANSITION" localSheetId="22">#REF!</definedName>
    <definedName name="TEX_TRANSITION">#REF!</definedName>
    <definedName name="Texas">#REF!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#REF!</definedName>
    <definedName name="ThirdEffectiveDate">#REF!</definedName>
    <definedName name="ThirdTrueUp">#REF!</definedName>
    <definedName name="TrueUp">#REF!</definedName>
    <definedName name="Trunkline">#REF!</definedName>
    <definedName name="TrunklineCommodity">#REF!</definedName>
    <definedName name="TrunklineGas">#REF!</definedName>
    <definedName name="TrunklinePurchase">#REF!</definedName>
    <definedName name="TrunkRates">#REF!</definedName>
    <definedName name="WKG_G1">#REF!</definedName>
    <definedName name="WKG_G1\HLF">#REF!</definedName>
    <definedName name="WKG_G2">#REF!</definedName>
    <definedName name="WKG_LVS1">#REF!</definedName>
    <definedName name="WKG_LVS2">#REF!</definedName>
    <definedName name="WKG_REF_SALES">#REF!</definedName>
    <definedName name="WKG_STORAGE" localSheetId="20">#REF!</definedName>
    <definedName name="WKG_STORAGE" localSheetId="22">#REF!</definedName>
    <definedName name="WKG_STORAGE">#REF!</definedName>
    <definedName name="WKG_T2\G1">#REF!</definedName>
    <definedName name="WKG_T2\G1\HLF">#REF!</definedName>
    <definedName name="WKG_T2\G2">#REF!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9" l="1"/>
  <c r="I25" i="15"/>
  <c r="G43" i="25" l="1"/>
  <c r="G33" i="14"/>
  <c r="N34" i="28" l="1"/>
  <c r="L33" i="28"/>
  <c r="J32" i="28"/>
  <c r="H31" i="28"/>
  <c r="F30" i="28"/>
  <c r="I14" i="6"/>
  <c r="I13" i="6"/>
  <c r="I12" i="6"/>
  <c r="K12" i="6" s="1"/>
  <c r="D33" i="26"/>
  <c r="D28" i="26"/>
  <c r="H28" i="26"/>
  <c r="H33" i="26"/>
  <c r="C16" i="25"/>
  <c r="F28" i="26"/>
  <c r="F33" i="26"/>
  <c r="C14" i="25"/>
  <c r="E68" i="13"/>
  <c r="G68" i="13"/>
  <c r="D17" i="27"/>
  <c r="E19" i="19"/>
  <c r="G31" i="25"/>
  <c r="I7" i="30"/>
  <c r="H7" i="47"/>
  <c r="F19" i="47"/>
  <c r="F20" i="47"/>
  <c r="F21" i="47"/>
  <c r="F22" i="47"/>
  <c r="F23" i="47"/>
  <c r="F24" i="47"/>
  <c r="F25" i="47"/>
  <c r="F26" i="47"/>
  <c r="F27" i="47"/>
  <c r="F28" i="47"/>
  <c r="F29" i="47"/>
  <c r="F18" i="47"/>
  <c r="G31" i="47"/>
  <c r="E18" i="47"/>
  <c r="N26" i="28"/>
  <c r="I46" i="15"/>
  <c r="F46" i="15"/>
  <c r="G37" i="25"/>
  <c r="F30" i="18"/>
  <c r="E35" i="14"/>
  <c r="H30" i="17"/>
  <c r="F17" i="27"/>
  <c r="G30" i="13"/>
  <c r="I44" i="15"/>
  <c r="G46" i="15"/>
  <c r="G45" i="15"/>
  <c r="I45" i="15"/>
  <c r="G44" i="15"/>
  <c r="G43" i="15"/>
  <c r="F45" i="15"/>
  <c r="J7" i="30"/>
  <c r="K5" i="19"/>
  <c r="E61" i="13"/>
  <c r="B23" i="22"/>
  <c r="E33" i="14"/>
  <c r="F15" i="30"/>
  <c r="F10" i="28"/>
  <c r="F9" i="28"/>
  <c r="H9" i="28"/>
  <c r="J9" i="28"/>
  <c r="L9" i="28"/>
  <c r="L11" i="28"/>
  <c r="L13" i="28"/>
  <c r="G10" i="28"/>
  <c r="G17" i="28"/>
  <c r="H17" i="28"/>
  <c r="J10" i="28"/>
  <c r="J11" i="28"/>
  <c r="J13" i="28"/>
  <c r="L10" i="28"/>
  <c r="D11" i="28"/>
  <c r="D13" i="28"/>
  <c r="N12" i="28"/>
  <c r="I24" i="28"/>
  <c r="J24" i="28"/>
  <c r="B14" i="22"/>
  <c r="G12" i="6"/>
  <c r="G27" i="6" s="1"/>
  <c r="G13" i="6"/>
  <c r="K13" i="6" s="1"/>
  <c r="G14" i="6"/>
  <c r="K14" i="6" s="1"/>
  <c r="E28" i="15"/>
  <c r="K12" i="7"/>
  <c r="K24" i="28"/>
  <c r="L24" i="28"/>
  <c r="L25" i="28"/>
  <c r="L27" i="28"/>
  <c r="E16" i="25"/>
  <c r="K17" i="28"/>
  <c r="L17" i="28"/>
  <c r="K23" i="28"/>
  <c r="L23" i="28"/>
  <c r="K16" i="28"/>
  <c r="L16" i="28"/>
  <c r="L18" i="28"/>
  <c r="L20" i="28"/>
  <c r="E14" i="25"/>
  <c r="G20" i="6"/>
  <c r="G24" i="6" s="1"/>
  <c r="B8" i="30"/>
  <c r="B9" i="30"/>
  <c r="B10" i="30"/>
  <c r="B11" i="30"/>
  <c r="B12" i="30"/>
  <c r="B13" i="30"/>
  <c r="B14" i="30"/>
  <c r="B15" i="30"/>
  <c r="B16" i="30"/>
  <c r="B17" i="30"/>
  <c r="B18" i="30"/>
  <c r="F22" i="16"/>
  <c r="G35" i="6"/>
  <c r="K35" i="6" s="1"/>
  <c r="G36" i="6"/>
  <c r="K36" i="6" s="1"/>
  <c r="G42" i="6"/>
  <c r="G46" i="6" s="1"/>
  <c r="G57" i="13"/>
  <c r="F33" i="19"/>
  <c r="E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B22" i="22"/>
  <c r="B21" i="22"/>
  <c r="B20" i="22"/>
  <c r="B19" i="22"/>
  <c r="B18" i="22"/>
  <c r="B17" i="22"/>
  <c r="B16" i="22"/>
  <c r="B15" i="22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J23" i="28"/>
  <c r="J25" i="28"/>
  <c r="J27" i="28"/>
  <c r="I16" i="28"/>
  <c r="G23" i="28"/>
  <c r="H23" i="28"/>
  <c r="H25" i="28"/>
  <c r="H27" i="28"/>
  <c r="G16" i="28"/>
  <c r="H16" i="28"/>
  <c r="H18" i="28"/>
  <c r="H20" i="28"/>
  <c r="E23" i="28"/>
  <c r="F23" i="28"/>
  <c r="E16" i="28"/>
  <c r="F16" i="28"/>
  <c r="N16" i="28"/>
  <c r="N18" i="28"/>
  <c r="H33" i="46"/>
  <c r="C31" i="47"/>
  <c r="D19" i="47"/>
  <c r="D20" i="47"/>
  <c r="B19" i="47"/>
  <c r="B20" i="47"/>
  <c r="B21" i="47"/>
  <c r="B22" i="47"/>
  <c r="B23" i="47"/>
  <c r="B24" i="47"/>
  <c r="B25" i="47"/>
  <c r="B26" i="47"/>
  <c r="B27" i="47"/>
  <c r="B28" i="47"/>
  <c r="B29" i="47"/>
  <c r="H9" i="47"/>
  <c r="H17" i="47"/>
  <c r="H18" i="47"/>
  <c r="F31" i="47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J16" i="30"/>
  <c r="D70" i="29"/>
  <c r="D25" i="28"/>
  <c r="D27" i="28"/>
  <c r="N19" i="28"/>
  <c r="D18" i="28"/>
  <c r="D20" i="28"/>
  <c r="J16" i="28"/>
  <c r="H17" i="27"/>
  <c r="A67" i="26"/>
  <c r="G33" i="26"/>
  <c r="H16" i="26"/>
  <c r="F16" i="26"/>
  <c r="D16" i="26"/>
  <c r="A65" i="25"/>
  <c r="G19" i="25"/>
  <c r="F11" i="20"/>
  <c r="F13" i="20"/>
  <c r="F15" i="20"/>
  <c r="F22" i="20"/>
  <c r="E17" i="18" s="1"/>
  <c r="A2" i="20"/>
  <c r="F19" i="19"/>
  <c r="A2" i="19"/>
  <c r="E35" i="18"/>
  <c r="G26" i="18"/>
  <c r="G35" i="18"/>
  <c r="G36" i="45"/>
  <c r="H41" i="45"/>
  <c r="F26" i="18"/>
  <c r="F35" i="18"/>
  <c r="A2" i="18"/>
  <c r="I30" i="16"/>
  <c r="I21" i="16"/>
  <c r="J21" i="16" s="1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G7" i="7"/>
  <c r="G19" i="19"/>
  <c r="G28" i="14"/>
  <c r="I28" i="14"/>
  <c r="G26" i="13"/>
  <c r="G62" i="13"/>
  <c r="G18" i="14"/>
  <c r="I45" i="13"/>
  <c r="I47" i="13"/>
  <c r="I64" i="13"/>
  <c r="G32" i="14"/>
  <c r="F21" i="33"/>
  <c r="K44" i="6"/>
  <c r="G13" i="12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K22" i="6"/>
  <c r="G5" i="12"/>
  <c r="G17" i="12" s="1"/>
  <c r="G9" i="12"/>
  <c r="I25" i="45"/>
  <c r="J22" i="45"/>
  <c r="J25" i="45"/>
  <c r="G40" i="45"/>
  <c r="G41" i="45"/>
  <c r="F43" i="15"/>
  <c r="E64" i="13"/>
  <c r="H32" i="17"/>
  <c r="I30" i="17"/>
  <c r="I32" i="17"/>
  <c r="E12" i="18" s="1"/>
  <c r="E13" i="18" s="1"/>
  <c r="I26" i="45"/>
  <c r="J26" i="45"/>
  <c r="J27" i="45"/>
  <c r="I27" i="45"/>
  <c r="G42" i="45"/>
  <c r="C12" i="25"/>
  <c r="I17" i="28"/>
  <c r="J17" i="28"/>
  <c r="J18" i="28"/>
  <c r="J20" i="28"/>
  <c r="E24" i="28"/>
  <c r="F24" i="28"/>
  <c r="E17" i="28"/>
  <c r="F17" i="28"/>
  <c r="G18" i="18"/>
  <c r="G40" i="15"/>
  <c r="I43" i="15"/>
  <c r="G42" i="15"/>
  <c r="I42" i="15"/>
  <c r="G41" i="15"/>
  <c r="I41" i="15"/>
  <c r="G51" i="15"/>
  <c r="I49" i="15"/>
  <c r="I40" i="15"/>
  <c r="H19" i="15"/>
  <c r="I51" i="15"/>
  <c r="I13" i="16"/>
  <c r="G71" i="13"/>
  <c r="I26" i="13"/>
  <c r="I62" i="13"/>
  <c r="I68" i="13"/>
  <c r="I71" i="13"/>
  <c r="E9" i="18"/>
  <c r="I13" i="15"/>
  <c r="I20" i="15"/>
  <c r="H35" i="46"/>
  <c r="G17" i="18"/>
  <c r="G38" i="45"/>
  <c r="I42" i="45"/>
  <c r="H40" i="45"/>
  <c r="H46" i="45"/>
  <c r="H44" i="45"/>
  <c r="I48" i="45"/>
  <c r="I50" i="45"/>
  <c r="B22" i="33"/>
  <c r="C22" i="33"/>
  <c r="B23" i="33"/>
  <c r="I30" i="32"/>
  <c r="C23" i="33"/>
  <c r="I31" i="32"/>
  <c r="D22" i="33"/>
  <c r="D23" i="33"/>
  <c r="I32" i="32"/>
  <c r="E22" i="33"/>
  <c r="E23" i="33"/>
  <c r="I33" i="32"/>
  <c r="I35" i="32"/>
  <c r="F22" i="33"/>
  <c r="F23" i="33"/>
  <c r="I24" i="32"/>
  <c r="I23" i="32"/>
  <c r="I47" i="32"/>
  <c r="A3" i="30"/>
  <c r="B28" i="25"/>
  <c r="B36" i="25"/>
  <c r="G35" i="14"/>
  <c r="I33" i="14"/>
  <c r="I35" i="14"/>
  <c r="E11" i="18"/>
  <c r="E20" i="47"/>
  <c r="D21" i="47"/>
  <c r="E21" i="47"/>
  <c r="E19" i="47"/>
  <c r="H19" i="47"/>
  <c r="J9" i="30"/>
  <c r="J8" i="30"/>
  <c r="J13" i="30"/>
  <c r="J12" i="30"/>
  <c r="J10" i="30"/>
  <c r="J17" i="30"/>
  <c r="J14" i="30"/>
  <c r="J18" i="30"/>
  <c r="G36" i="25"/>
  <c r="J15" i="30"/>
  <c r="J11" i="30"/>
  <c r="D22" i="47"/>
  <c r="H20" i="47"/>
  <c r="H21" i="47"/>
  <c r="G39" i="25"/>
  <c r="D23" i="47"/>
  <c r="E22" i="47"/>
  <c r="H22" i="47"/>
  <c r="E23" i="47"/>
  <c r="D24" i="47"/>
  <c r="H23" i="47"/>
  <c r="E24" i="47"/>
  <c r="H24" i="47"/>
  <c r="D25" i="47"/>
  <c r="D26" i="47"/>
  <c r="E25" i="47"/>
  <c r="H25" i="47"/>
  <c r="E26" i="47"/>
  <c r="H26" i="47"/>
  <c r="D27" i="47"/>
  <c r="E27" i="47"/>
  <c r="D28" i="47"/>
  <c r="H27" i="47"/>
  <c r="E28" i="47"/>
  <c r="D29" i="47"/>
  <c r="E29" i="47"/>
  <c r="H28" i="47"/>
  <c r="H29" i="47"/>
  <c r="H31" i="47"/>
  <c r="I11" i="46"/>
  <c r="I13" i="46"/>
  <c r="I16" i="46"/>
  <c r="I18" i="46"/>
  <c r="H24" i="46"/>
  <c r="E31" i="47"/>
  <c r="G40" i="46"/>
  <c r="G38" i="46"/>
  <c r="K23" i="6"/>
  <c r="I45" i="6"/>
  <c r="G4" i="12"/>
  <c r="G8" i="12" s="1"/>
  <c r="G12" i="12"/>
  <c r="J14" i="17"/>
  <c r="J15" i="17"/>
  <c r="F25" i="19"/>
  <c r="E25" i="19"/>
  <c r="F12" i="19"/>
  <c r="E12" i="19"/>
  <c r="F13" i="19"/>
  <c r="E13" i="19" s="1"/>
  <c r="I19" i="15"/>
  <c r="H31" i="16"/>
  <c r="F21" i="19"/>
  <c r="E21" i="19" s="1"/>
  <c r="J29" i="16"/>
  <c r="F22" i="19"/>
  <c r="E22" i="19" s="1"/>
  <c r="F18" i="19"/>
  <c r="E18" i="19" s="1"/>
  <c r="E23" i="19" s="1"/>
  <c r="J13" i="16"/>
  <c r="J14" i="16"/>
  <c r="E28" i="19"/>
  <c r="E29" i="19"/>
  <c r="F14" i="19"/>
  <c r="H35" i="16"/>
  <c r="J30" i="16"/>
  <c r="J28" i="16"/>
  <c r="H22" i="19" s="1"/>
  <c r="E14" i="19"/>
  <c r="F15" i="19"/>
  <c r="G29" i="15"/>
  <c r="G32" i="15"/>
  <c r="I27" i="15"/>
  <c r="D2" i="12"/>
  <c r="D15" i="12"/>
  <c r="D30" i="12"/>
  <c r="D3" i="12"/>
  <c r="D16" i="12"/>
  <c r="D21" i="12"/>
  <c r="D19" i="12"/>
  <c r="D17" i="12"/>
  <c r="D7" i="12"/>
  <c r="D6" i="12"/>
  <c r="D12" i="12"/>
  <c r="D14" i="12"/>
  <c r="D26" i="12"/>
  <c r="D32" i="12"/>
  <c r="D5" i="12"/>
  <c r="D8" i="12"/>
  <c r="D22" i="12"/>
  <c r="D29" i="12"/>
  <c r="D31" i="12"/>
  <c r="D9" i="12"/>
  <c r="D13" i="12"/>
  <c r="D33" i="12"/>
  <c r="D27" i="12"/>
  <c r="D28" i="12"/>
  <c r="D24" i="12"/>
  <c r="D18" i="12"/>
  <c r="D25" i="12"/>
  <c r="D20" i="12"/>
  <c r="D10" i="12"/>
  <c r="D11" i="12"/>
  <c r="D4" i="12"/>
  <c r="D23" i="12"/>
  <c r="A3" i="46"/>
  <c r="A4" i="28"/>
  <c r="I7" i="7"/>
  <c r="D5" i="27"/>
  <c r="F5" i="27"/>
  <c r="H5" i="27"/>
  <c r="A3" i="28"/>
  <c r="G29" i="19"/>
  <c r="H31" i="27"/>
  <c r="H36" i="27" s="1"/>
  <c r="D16" i="25" s="1"/>
  <c r="F16" i="25" s="1"/>
  <c r="I16" i="25" s="1"/>
  <c r="F31" i="27"/>
  <c r="F36" i="27" s="1"/>
  <c r="D14" i="25" s="1"/>
  <c r="F14" i="25" s="1"/>
  <c r="I14" i="25" s="1"/>
  <c r="D31" i="27"/>
  <c r="D36" i="27" s="1"/>
  <c r="D12" i="25" s="1"/>
  <c r="F12" i="25" s="1"/>
  <c r="F18" i="28"/>
  <c r="F20" i="28"/>
  <c r="N17" i="28"/>
  <c r="F11" i="28"/>
  <c r="F13" i="28"/>
  <c r="F25" i="28"/>
  <c r="F27" i="28"/>
  <c r="O27" i="28"/>
  <c r="G24" i="28"/>
  <c r="H24" i="28"/>
  <c r="N9" i="28"/>
  <c r="H10" i="28"/>
  <c r="H11" i="28"/>
  <c r="H13" i="28"/>
  <c r="N10" i="28"/>
  <c r="N11" i="28"/>
  <c r="J26" i="16"/>
  <c r="N23" i="28"/>
  <c r="N24" i="28"/>
  <c r="N20" i="28"/>
  <c r="O20" i="28"/>
  <c r="G26" i="25"/>
  <c r="N13" i="28"/>
  <c r="O13" i="28"/>
  <c r="O36" i="28"/>
  <c r="E12" i="25"/>
  <c r="N25" i="28"/>
  <c r="N27" i="28"/>
  <c r="E19" i="25"/>
  <c r="G3" i="12"/>
  <c r="G15" i="12" s="1"/>
  <c r="G19" i="12" l="1"/>
  <c r="G11" i="12"/>
  <c r="G23" i="12"/>
  <c r="F70" i="29"/>
  <c r="L70" i="29"/>
  <c r="H70" i="29"/>
  <c r="J70" i="29"/>
  <c r="N70" i="29"/>
  <c r="I12" i="25"/>
  <c r="I19" i="25" s="1"/>
  <c r="G25" i="25" s="1"/>
  <c r="G30" i="25" s="1"/>
  <c r="F19" i="25"/>
  <c r="D19" i="25"/>
  <c r="E30" i="19"/>
  <c r="E37" i="19" s="1"/>
  <c r="F30" i="19"/>
  <c r="G21" i="19"/>
  <c r="G28" i="6"/>
  <c r="G29" i="6"/>
  <c r="G50" i="6"/>
  <c r="G49" i="6"/>
  <c r="K45" i="6"/>
  <c r="G7" i="12"/>
  <c r="G22" i="19"/>
  <c r="F23" i="19"/>
  <c r="E15" i="19"/>
  <c r="G29" i="12"/>
  <c r="G33" i="12"/>
  <c r="G25" i="12"/>
  <c r="G28" i="12"/>
  <c r="G24" i="12"/>
  <c r="G16" i="12"/>
  <c r="G32" i="12" s="1"/>
  <c r="G21" i="12"/>
  <c r="G20" i="12"/>
  <c r="G25" i="22"/>
  <c r="E25" i="22"/>
  <c r="I25" i="22"/>
  <c r="B8" i="22"/>
  <c r="E18" i="18"/>
  <c r="F18" i="18" s="1"/>
  <c r="H18" i="18" s="1"/>
  <c r="H29" i="46"/>
  <c r="H31" i="46" s="1"/>
  <c r="F17" i="18"/>
  <c r="G32" i="45"/>
  <c r="G34" i="45" s="1"/>
  <c r="G31" i="12" l="1"/>
  <c r="G27" i="12"/>
  <c r="G42" i="25"/>
  <c r="G33" i="25"/>
  <c r="G45" i="25" s="1"/>
  <c r="F37" i="19"/>
  <c r="F39" i="19" s="1"/>
  <c r="E39" i="19" s="1"/>
  <c r="E41" i="19" s="1"/>
  <c r="E45" i="19" s="1"/>
  <c r="F19" i="18"/>
  <c r="H17" i="18"/>
  <c r="I21" i="6" l="1"/>
  <c r="I43" i="6"/>
  <c r="F41" i="19"/>
  <c r="F45" i="19" s="1"/>
  <c r="I17" i="18"/>
  <c r="I19" i="18" s="1"/>
  <c r="H19" i="18"/>
  <c r="K21" i="6" l="1"/>
  <c r="K43" i="6"/>
  <c r="J12" i="16"/>
  <c r="I16" i="17"/>
  <c r="J16" i="17" s="1"/>
  <c r="H14" i="15"/>
  <c r="I14" i="15" s="1"/>
  <c r="J27" i="16"/>
  <c r="J31" i="16" s="1"/>
  <c r="I31" i="16" s="1"/>
  <c r="I18" i="15"/>
  <c r="H26" i="18"/>
  <c r="I19" i="6"/>
  <c r="H30" i="18"/>
  <c r="I30" i="18"/>
  <c r="I41" i="6"/>
  <c r="I15" i="16"/>
  <c r="J15" i="16" s="1"/>
  <c r="I26" i="15"/>
  <c r="H28" i="15"/>
  <c r="I28" i="15" s="1"/>
  <c r="H21" i="19" l="1"/>
  <c r="I19" i="16"/>
  <c r="J13" i="17"/>
  <c r="J17" i="17" s="1"/>
  <c r="H25" i="19" s="1"/>
  <c r="G25" i="19" s="1"/>
  <c r="H21" i="15"/>
  <c r="I21" i="15" s="1"/>
  <c r="I22" i="15" s="1"/>
  <c r="H13" i="19" s="1"/>
  <c r="G13" i="19" s="1"/>
  <c r="I12" i="15"/>
  <c r="I15" i="15" s="1"/>
  <c r="I17" i="17"/>
  <c r="K19" i="6"/>
  <c r="K41" i="6"/>
  <c r="H15" i="15"/>
  <c r="J16" i="16"/>
  <c r="I29" i="15"/>
  <c r="J19" i="16"/>
  <c r="I22" i="16"/>
  <c r="J22" i="16" s="1"/>
  <c r="I16" i="16"/>
  <c r="H22" i="15" l="1"/>
  <c r="J23" i="16"/>
  <c r="H19" i="19" s="1"/>
  <c r="I23" i="16"/>
  <c r="H14" i="19"/>
  <c r="G14" i="19" s="1"/>
  <c r="H29" i="15"/>
  <c r="H18" i="19"/>
  <c r="H12" i="19"/>
  <c r="I32" i="15"/>
  <c r="H32" i="15" s="1"/>
  <c r="J35" i="16" l="1"/>
  <c r="I35" i="16" s="1"/>
  <c r="G12" i="19"/>
  <c r="H15" i="19"/>
  <c r="H23" i="19"/>
  <c r="G23" i="19" s="1"/>
  <c r="G18" i="19"/>
  <c r="H28" i="19"/>
  <c r="G28" i="19" s="1"/>
  <c r="H29" i="19"/>
  <c r="H30" i="19" l="1"/>
  <c r="G30" i="19" s="1"/>
  <c r="G15" i="19"/>
  <c r="H37" i="19" l="1"/>
  <c r="H41" i="19" l="1"/>
  <c r="G37" i="19"/>
  <c r="H45" i="19" l="1"/>
  <c r="G45" i="19" s="1"/>
  <c r="I18" i="6" s="1"/>
  <c r="G41" i="19"/>
  <c r="I40" i="6" l="1"/>
  <c r="I20" i="6"/>
  <c r="K18" i="6"/>
  <c r="I24" i="6" l="1"/>
  <c r="K20" i="6"/>
  <c r="K40" i="6"/>
  <c r="I42" i="6"/>
  <c r="G2" i="12" l="1"/>
  <c r="K42" i="6"/>
  <c r="I46" i="6"/>
  <c r="K24" i="6"/>
  <c r="I29" i="6"/>
  <c r="I28" i="6"/>
  <c r="I27" i="6"/>
  <c r="K29" i="6" l="1"/>
  <c r="K27" i="6"/>
  <c r="G10" i="12"/>
  <c r="K28" i="6"/>
  <c r="G14" i="12"/>
  <c r="M17" i="12" s="1"/>
  <c r="G6" i="12"/>
  <c r="M9" i="12" s="1"/>
  <c r="G18" i="12"/>
  <c r="M21" i="12" s="1"/>
  <c r="M5" i="12"/>
  <c r="I49" i="6"/>
  <c r="I50" i="6"/>
  <c r="K46" i="6"/>
  <c r="K49" i="6" l="1"/>
  <c r="K50" i="6"/>
  <c r="M13" i="12"/>
  <c r="G22" i="12"/>
  <c r="M25" i="12" s="1"/>
  <c r="G30" i="12"/>
  <c r="M33" i="12" s="1"/>
  <c r="G26" i="12"/>
  <c r="M2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0" authorId="0" shapeId="0" xr:uid="{00000000-0006-0000-1B00-000001000000}">
      <text>
        <r>
          <rPr>
            <sz val="11"/>
            <color indexed="81"/>
            <rFont val="Arial"/>
            <family val="2"/>
          </rPr>
          <t>From the Gas Supply Report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BuildAdmin</author>
    <author>Jackson, Stellie S</author>
    <author>Patricia A Nelson</author>
  </authors>
  <commentList>
    <comment ref="H6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the Final PBR Savings report thru Oct from Gas Supply</t>
        </r>
      </text>
    </comment>
    <comment ref="H7" authorId="1" shapeId="0" xr:uid="{00000000-0006-0000-1C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Balance from column (g) Line 16 from February 1, GCA filing 2-years Prior</t>
        </r>
      </text>
    </comment>
    <comment ref="C18" authorId="0" shapeId="0" xr:uid="{00000000-0006-0000-1C00-000003000000}">
      <text>
        <r>
          <rPr>
            <b/>
            <sz val="8"/>
            <color indexed="81"/>
            <rFont val="Tahoma"/>
            <family val="2"/>
          </rPr>
          <t>Source:  Billed Sales Volume Margin Analysis Report</t>
        </r>
      </text>
    </comment>
    <comment ref="D18" authorId="2" shapeId="0" xr:uid="{00000000-0006-0000-1C00-000004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PBR&gt;PY Filing Tab D.4
</t>
        </r>
      </text>
    </comment>
    <comment ref="F18" authorId="0" shapeId="0" xr:uid="{00000000-0006-0000-1C00-000005000000}">
      <text>
        <r>
          <rPr>
            <b/>
            <sz val="8"/>
            <color indexed="81"/>
            <rFont val="Tahoma"/>
            <family val="2"/>
          </rPr>
          <t>Difference Between Recoveries Shown on Tab D.4 from prior filings and Column (d)</t>
        </r>
      </text>
    </comment>
    <comment ref="G18" authorId="3" shapeId="0" xr:uid="{A6062A50-DC52-4BF5-B0BB-7743C5723C28}">
      <text>
        <r>
          <rPr>
            <b/>
            <sz val="9"/>
            <color indexed="81"/>
            <rFont val="Tahoma"/>
            <family val="2"/>
          </rPr>
          <t>Source;  Tab D.4 from prior year filings. Should tie to 1910.14087 Recon Recoveries</t>
        </r>
      </text>
    </comment>
  </commentList>
</comments>
</file>

<file path=xl/sharedStrings.xml><?xml version="1.0" encoding="utf-8"?>
<sst xmlns="http://schemas.openxmlformats.org/spreadsheetml/2006/main" count="1410" uniqueCount="583">
  <si>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</si>
  <si>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</si>
  <si>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</si>
  <si>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</si>
  <si>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</si>
  <si>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</si>
  <si>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</si>
  <si>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</si>
  <si>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</si>
  <si>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</si>
  <si>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</si>
  <si>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</si>
  <si>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</si>
  <si>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</si>
  <si>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</si>
  <si>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</si>
  <si>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</si>
  <si>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</si>
  <si>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</si>
  <si>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</si>
  <si>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</si>
  <si>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</si>
  <si>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</si>
  <si>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</si>
  <si>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</si>
  <si>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</si>
  <si>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</si>
  <si>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</si>
  <si>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</si>
  <si>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</si>
  <si>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</si>
  <si>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</si>
  <si>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</si>
  <si>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</si>
  <si>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</si>
  <si>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</si>
  <si>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</si>
  <si>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</si>
  <si>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</si>
  <si>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</si>
  <si>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</si>
  <si>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</si>
  <si>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</si>
  <si>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</si>
  <si>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</si>
  <si>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</si>
  <si>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</si>
  <si>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</si>
  <si>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</si>
  <si>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</si>
  <si>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</si>
  <si>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</si>
  <si>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</si>
  <si>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</si>
  <si>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</si>
  <si>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</si>
  <si>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</si>
  <si>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</si>
  <si>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</si>
  <si>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</si>
  <si>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</si>
  <si>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</si>
  <si>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</si>
  <si>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</si>
  <si>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</si>
  <si>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</si>
  <si>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</si>
  <si>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</si>
  <si>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</si>
  <si>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</si>
  <si>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</si>
  <si>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</si>
  <si>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</si>
  <si>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</si>
  <si>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</si>
  <si>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</si>
  <si>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</si>
  <si>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</si>
  <si>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</si>
  <si>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</si>
  <si>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</si>
  <si>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</si>
  <si>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</si>
  <si>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</si>
  <si>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</si>
  <si>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</si>
  <si>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</si>
  <si>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</si>
  <si>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</si>
  <si>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</si>
  <si>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</si>
  <si>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</si>
  <si>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</si>
  <si>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</si>
  <si>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</si>
  <si>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</si>
  <si>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</si>
  <si>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</si>
  <si>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</si>
  <si>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</si>
  <si>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</si>
  <si>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</si>
  <si>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</si>
  <si>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</si>
  <si>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</si>
  <si>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</si>
  <si>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</si>
  <si>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</si>
  <si>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</si>
  <si>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</si>
  <si>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</si>
  <si>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</si>
  <si>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</si>
  <si>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</si>
  <si>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</si>
  <si>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</si>
  <si>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</si>
  <si>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</si>
  <si>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</si>
  <si>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</si>
  <si>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</si>
  <si>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</si>
  <si>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</si>
  <si>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</si>
  <si>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</si>
  <si>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</si>
  <si>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</si>
  <si>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</si>
  <si>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</si>
  <si>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</si>
  <si>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</si>
  <si>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</si>
  <si>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</si>
  <si>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</si>
  <si>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</si>
  <si>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</si>
  <si>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</si>
  <si>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</si>
  <si>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</si>
  <si>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</si>
  <si>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</si>
  <si>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</si>
  <si>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</si>
  <si>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</si>
  <si>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</si>
  <si>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</si>
  <si>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</si>
  <si>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</si>
  <si>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</si>
  <si>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</si>
  <si>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</si>
  <si>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</si>
  <si>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</si>
  <si>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</si>
  <si>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</si>
  <si>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</si>
  <si>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</si>
  <si>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</si>
  <si>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</si>
  <si>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</si>
  <si>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</si>
  <si>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</si>
  <si>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</si>
  <si>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</si>
  <si>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</si>
  <si>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</si>
  <si>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</si>
  <si>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</si>
  <si>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</si>
  <si>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</si>
  <si>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</si>
  <si>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</si>
  <si>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</si>
  <si>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</si>
  <si>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</si>
  <si>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</si>
  <si>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</si>
  <si>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</si>
  <si>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</si>
  <si>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</si>
  <si>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</si>
  <si>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</si>
  <si>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</si>
  <si>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</si>
  <si>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</si>
  <si>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</si>
  <si>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</si>
  <si>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</si>
  <si>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</si>
  <si>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</si>
  <si>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</si>
  <si>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</si>
  <si>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</si>
  <si>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</si>
  <si>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</si>
  <si>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</si>
  <si>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</si>
  <si>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</si>
  <si>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</si>
  <si>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</si>
  <si>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</si>
  <si>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</si>
  <si>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</si>
  <si>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</si>
  <si>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</si>
  <si>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</si>
  <si>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</si>
  <si>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</si>
  <si>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</si>
  <si>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</si>
  <si>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</si>
  <si>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</si>
  <si>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</si>
  <si>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</si>
  <si>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</si>
  <si>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</si>
  <si>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</si>
  <si>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</si>
  <si>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</si>
  <si>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</si>
  <si>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</si>
  <si>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</si>
  <si>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</si>
  <si>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</si>
  <si>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</si>
  <si>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</si>
  <si>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</si>
  <si>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</si>
  <si>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</si>
  <si>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</si>
  <si>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</si>
  <si>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</si>
  <si>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</si>
  <si>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</si>
  <si>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</si>
  <si>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</si>
  <si>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</si>
  <si>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</si>
  <si>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</si>
  <si>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</si>
  <si>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</si>
  <si>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</si>
  <si>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</si>
  <si>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</si>
  <si>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</si>
  <si>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</si>
  <si>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</si>
  <si>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</si>
  <si>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</si>
  <si>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</si>
  <si>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</si>
  <si>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</si>
  <si>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</si>
  <si>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</si>
  <si>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</si>
  <si>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</si>
  <si>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</si>
  <si>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</si>
  <si>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</si>
  <si>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</si>
  <si>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</si>
  <si>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</si>
  <si>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</si>
  <si>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</si>
  <si>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</si>
  <si>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</si>
  <si>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</si>
  <si>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</si>
  <si>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</si>
  <si>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</si>
  <si>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</si>
  <si>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</si>
  <si>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</si>
  <si>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</si>
  <si>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</si>
  <si>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</si>
  <si>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</si>
  <si>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</si>
  <si>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</si>
  <si>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</si>
  <si>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</si>
  <si>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</si>
  <si>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</si>
  <si>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</si>
  <si>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</si>
  <si>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</si>
  <si>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</si>
  <si>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</si>
  <si>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</si>
  <si>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</si>
  <si>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</si>
  <si>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</si>
  <si>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</si>
  <si>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</si>
  <si>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</si>
  <si>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</si>
  <si>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</si>
  <si>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</si>
  <si>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</si>
  <si>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</si>
  <si>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</si>
  <si>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</si>
  <si>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</si>
  <si>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</si>
  <si>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</si>
  <si>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</si>
  <si>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</si>
  <si>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</si>
  <si>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</si>
  <si>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</si>
  <si>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</si>
  <si>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</si>
  <si>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</si>
  <si>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</si>
  <si>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</si>
  <si>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</si>
  <si>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</si>
  <si>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</si>
  <si>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</si>
  <si>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</si>
  <si>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</si>
  <si>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</si>
  <si>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</si>
  <si>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</si>
  <si>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</si>
  <si>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</si>
  <si>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</si>
  <si>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</si>
  <si>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</si>
  <si>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</si>
  <si>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</si>
  <si>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</si>
  <si>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</si>
  <si>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</si>
  <si>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</si>
  <si>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</si>
  <si>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</si>
  <si>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</si>
  <si>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</si>
  <si>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</si>
  <si>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</si>
  <si>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</si>
  <si>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</si>
  <si>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</si>
  <si>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</si>
  <si>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</si>
  <si>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</si>
  <si>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</si>
  <si>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</si>
  <si>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</si>
  <si>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</si>
  <si>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</si>
  <si>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</si>
  <si>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</si>
  <si>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</si>
  <si>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</si>
  <si>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</si>
  <si>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</si>
  <si>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</si>
  <si>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</si>
  <si>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</si>
  <si>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</si>
  <si>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</si>
  <si>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</si>
  <si>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</si>
  <si>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</si>
  <si>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</si>
  <si>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</si>
  <si>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</si>
  <si>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</si>
  <si>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</si>
  <si>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</si>
  <si>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</si>
  <si>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</si>
  <si>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</si>
  <si>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</si>
  <si>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</si>
  <si>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</si>
  <si>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</si>
  <si>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</si>
  <si>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</si>
  <si>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</si>
  <si>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</si>
  <si>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</si>
  <si>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</si>
  <si>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</si>
  <si>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</si>
  <si>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</si>
  <si>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</si>
  <si>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</si>
  <si>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</si>
  <si>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</si>
  <si>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</si>
  <si>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</si>
  <si>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</si>
  <si>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</si>
  <si>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</si>
  <si>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</si>
  <si>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</si>
  <si>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</si>
  <si>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</si>
  <si>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</si>
  <si>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</si>
  <si>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</si>
  <si>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</si>
  <si>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</si>
  <si>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</si>
  <si>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</si>
  <si>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</si>
  <si>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</si>
  <si>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</si>
  <si>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</si>
  <si>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</si>
  <si>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</si>
  <si>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</si>
  <si>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</si>
  <si>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</si>
  <si>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</si>
  <si>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</si>
  <si>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</si>
  <si>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</si>
  <si>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</si>
  <si>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</si>
  <si>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</si>
  <si>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</si>
  <si>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</si>
  <si>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</si>
  <si>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</si>
  <si>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</si>
  <si>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</si>
  <si>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</si>
  <si>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</si>
  <si>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</si>
  <si>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</si>
  <si>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</si>
  <si>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</si>
  <si>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</si>
  <si>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</si>
  <si>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</si>
  <si>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</si>
  <si>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</si>
  <si>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</si>
  <si>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</si>
  <si>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</si>
  <si>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</si>
  <si>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</si>
  <si>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</si>
  <si>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</si>
  <si>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</si>
  <si>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</si>
  <si>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</si>
  <si>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</si>
  <si>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</si>
  <si>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</si>
  <si>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</si>
  <si>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</si>
  <si>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</si>
  <si>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</si>
  <si>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</si>
  <si>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</si>
  <si>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</si>
  <si>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</si>
  <si>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</si>
  <si>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</si>
  <si>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</si>
  <si>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</si>
  <si>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</si>
  <si>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</si>
  <si>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</si>
  <si>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</si>
  <si>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</si>
  <si>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</si>
  <si>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</si>
  <si>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</si>
  <si>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</si>
  <si>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</si>
  <si>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</si>
  <si>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</si>
  <si>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</si>
  <si>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</si>
  <si>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</si>
  <si>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</si>
  <si>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</si>
  <si>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</si>
  <si>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</si>
  <si>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</si>
  <si>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</si>
  <si>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</si>
  <si>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</si>
  <si>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</si>
  <si>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</si>
  <si>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</si>
  <si>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</si>
  <si>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</si>
  <si>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</si>
  <si>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</si>
  <si>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</si>
  <si>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</si>
  <si>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</si>
  <si>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</si>
  <si>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</si>
  <si>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</si>
  <si>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</si>
  <si>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</si>
  <si>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</si>
  <si>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</si>
  <si>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</si>
  <si>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</si>
  <si>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</si>
  <si>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</si>
  <si>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</si>
  <si>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</si>
  <si>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</si>
  <si>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</si>
  <si>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</si>
  <si>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</si>
  <si>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</si>
  <si>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</si>
  <si>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</si>
  <si>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</si>
  <si>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</si>
  <si>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</si>
  <si>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</si>
  <si>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</si>
  <si>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</si>
  <si>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</si>
  <si>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</si>
  <si>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</si>
  <si>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</si>
  <si>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</si>
  <si>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</si>
  <si>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</si>
  <si>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</si>
  <si>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</si>
  <si>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</si>
  <si>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</si>
  <si>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</si>
  <si>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</si>
  <si>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</si>
  <si>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</si>
  <si>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</si>
  <si>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</si>
  <si>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</si>
  <si>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</si>
  <si>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</si>
  <si>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</si>
  <si>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</si>
  <si>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</si>
  <si>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</si>
  <si>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</si>
  <si>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</si>
  <si>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</si>
  <si>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</si>
  <si>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</si>
  <si>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</si>
  <si>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</si>
  <si>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</si>
  <si>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</si>
  <si>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</si>
  <si>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</si>
  <si>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</si>
  <si>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</si>
  <si>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11/19-10/20 PBR Activity</t>
  </si>
  <si>
    <t>`</t>
  </si>
  <si>
    <t>Carry-over Amount in Case No. 2020-00403</t>
  </si>
  <si>
    <t>Total Firm Sales Factor (Line 15 / Line 26)</t>
  </si>
  <si>
    <t>Total Interruptible Sales Factor (Line 26)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</si>
  <si>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</si>
  <si>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</si>
  <si>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Company Share of 6/21-10/22 PBR Activity</t>
  </si>
  <si>
    <t>Carry-over Amount in Case No. 2021-00453</t>
  </si>
  <si>
    <t>Distribution Charge (per Case No. 2021-00214)</t>
  </si>
  <si>
    <t>2023-00095</t>
  </si>
  <si>
    <t>(Over)/Under Recovered Commercial DSM*</t>
  </si>
  <si>
    <t>*  The (over)/under recovery Commercial DSM balance is included in the GCA pursuant to the Commission order issued in Case 2022-00343 dated 02/23/2023.</t>
  </si>
  <si>
    <t>2023-00198</t>
  </si>
  <si>
    <t>2023-00307</t>
  </si>
  <si>
    <t>For the Quarter ending  January - 2024</t>
  </si>
  <si>
    <t>(Over)/Under Recovered Gas Cost through April 2023 (May 2023 GL)</t>
  </si>
  <si>
    <t>Total Gas Cost Under/(Over) Recovery for the three months ended July 2023</t>
  </si>
  <si>
    <t>(Over)/Under Recovered Gas Cost through July 2023 (August 2023 GL) (a)</t>
  </si>
  <si>
    <t>Total Deferred Balance through July 2023 (August 2023 GL) incl. Net Uncol Gas Cost</t>
  </si>
  <si>
    <t>The Company believes prices are increasing and prices for the quarter ending January 31, 2024 will settle at $3.256 per MMBTU (based on the average of the past ten days) for the period that the GCA is to become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</si>
</sst>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8" formatCode="#,##0.0000;[Red]#,##0.0000"/>
    <numFmt numFmtId="169" formatCode="#,##0.00;[Red]#,##0.00"/>
    <numFmt numFmtId="170" formatCode="[$-409]mmm\-yy;@"/>
    <numFmt numFmtId="171" formatCode="0.0000"/>
    <numFmt numFmtId="172" formatCode=";;;"/>
    <numFmt numFmtId="173" formatCode="0.0000_)"/>
    <numFmt numFmtId="174" formatCode="_(&quot;$&quot;* #,##0.0000_);_(&quot;$&quot;* \(#,##0.0000\);_(&quot;$&quot;* &quot;-&quot;??_);_(@_)"/>
    <numFmt numFmtId="175" formatCode="0_)"/>
    <numFmt numFmtId="176" formatCode="_(* #,##0.0000_);_(* \(#,##0.0000\);_(* &quot;-&quot;??_);_(@_)"/>
    <numFmt numFmtId="177" formatCode="_(* #,##0_);_(* \(#,##0\);_(* &quot;-&quot;??_);_(@_)"/>
    <numFmt numFmtId="178" formatCode="mm/dd/yy_)"/>
    <numFmt numFmtId="179" formatCode="#,##0.0000_);[Red]\(#,##0.0000\)"/>
    <numFmt numFmtId="180" formatCode="_(&quot;$&quot;* #,##0.000_);_(&quot;$&quot;* \(#,##0.000\);_(&quot;$&quot;* &quot;-&quot;??_);_(@_)"/>
    <numFmt numFmtId="181" formatCode="_(&quot;$&quot;* #,##0_);_(&quot;$&quot;* \(#,##0\);_(&quot;$&quot;* &quot;-&quot;??_);_(@_)"/>
    <numFmt numFmtId="182" formatCode="[$-409]mmmm\-yy;@"/>
    <numFmt numFmtId="183" formatCode="[$-409]d\-mmm;@"/>
    <numFmt numFmtId="184" formatCode="&quot;$&quot;#,##0.000_);\(&quot;$&quot;#,##0.000\)"/>
    <numFmt numFmtId="185" formatCode="#,##0.000_);\(#,##0.000\)"/>
    <numFmt numFmtId="186" formatCode="mm/dd/yy;@"/>
    <numFmt numFmtId="187" formatCode="mmm\-yy_)"/>
    <numFmt numFmtId="188" formatCode="&quot;For the Three Months Ended &quot;mmmm\ yyyy"/>
    <numFmt numFmtId="189" formatCode="#,##0.0000000000_);\(#,##0.0000000000\)"/>
    <numFmt numFmtId="190" formatCode="_(* #,##0.0_);_(* \(#,##0.0\);_(* &quot;-&quot;??_);_(@_)"/>
    <numFmt numFmtId="191" formatCode="#,##0.0_);\(#,##0.0\)"/>
    <numFmt numFmtId="192" formatCode="&quot;$&quot;#,##0.000000_);\(&quot;$&quot;#,##0.000000\)"/>
    <numFmt numFmtId="193" formatCode="[$-F800]dddd\,\ mmmm\ dd\,\ yyyy"/>
    <numFmt numFmtId="194" formatCode="_(* #,##0.000_);_(* \(#,##0.000\);_(* &quot;-&quot;??_);_(@_)"/>
    <numFmt numFmtId="195" formatCode="&quot;$&quot;#,##0.0000"/>
    <numFmt numFmtId="196" formatCode="###,000"/>
    <numFmt numFmtId="197" formatCode="0.000%"/>
    <numFmt numFmtId="198" formatCode="_(* #,##0.0_);_(* \(#,##0.0\);&quot;&quot;;_(@_)"/>
    <numFmt numFmtId="199" formatCode="0.00_)"/>
    <numFmt numFmtId="200" formatCode="[Blue]#,##0,_);[Red]\(#,##0,\)"/>
    <numFmt numFmtId="201" formatCode="&quot;$&quot;#,##0\ ;\(&quot;$&quot;#,##0\)"/>
  </numFmts>
  <fonts count="16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11"/>
      <color indexed="8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color indexed="81"/>
      <name val="Tahom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1" fillId="0" borderId="0" applyNumberFormat="0" applyFill="0" applyBorder="0" applyAlignment="0" applyProtection="0"/>
    <xf numFmtId="0" fontId="72" fillId="0" borderId="17" applyNumberFormat="0" applyFont="0" applyFill="0" applyAlignment="0" applyProtection="0"/>
    <xf numFmtId="196" fontId="73" fillId="0" borderId="18" applyNumberFormat="0" applyProtection="0">
      <alignment horizontal="right" vertical="center"/>
    </xf>
    <xf numFmtId="196" fontId="74" fillId="0" borderId="19" applyNumberFormat="0" applyProtection="0">
      <alignment horizontal="right" vertical="center"/>
    </xf>
    <xf numFmtId="0" fontId="74" fillId="5" borderId="17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6" fillId="0" borderId="20" applyNumberFormat="0" applyFill="0" applyBorder="0" applyAlignment="0" applyProtection="0"/>
    <xf numFmtId="196" fontId="77" fillId="7" borderId="21" applyNumberFormat="0" applyBorder="0" applyAlignment="0" applyProtection="0">
      <alignment horizontal="right" vertical="center" indent="1"/>
    </xf>
    <xf numFmtId="196" fontId="78" fillId="8" borderId="21" applyNumberFormat="0" applyBorder="0" applyAlignment="0" applyProtection="0">
      <alignment horizontal="right" vertical="center" indent="1"/>
    </xf>
    <xf numFmtId="196" fontId="78" fillId="9" borderId="21" applyNumberFormat="0" applyBorder="0" applyAlignment="0" applyProtection="0">
      <alignment horizontal="right" vertical="center" indent="1"/>
    </xf>
    <xf numFmtId="196" fontId="79" fillId="10" borderId="21" applyNumberFormat="0" applyBorder="0" applyAlignment="0" applyProtection="0">
      <alignment horizontal="right" vertical="center" indent="1"/>
    </xf>
    <xf numFmtId="196" fontId="79" fillId="11" borderId="21" applyNumberFormat="0" applyBorder="0" applyAlignment="0" applyProtection="0">
      <alignment horizontal="right" vertical="center" indent="1"/>
    </xf>
    <xf numFmtId="196" fontId="79" fillId="12" borderId="21" applyNumberFormat="0" applyBorder="0" applyAlignment="0" applyProtection="0">
      <alignment horizontal="right" vertical="center" indent="1"/>
    </xf>
    <xf numFmtId="196" fontId="80" fillId="13" borderId="21" applyNumberFormat="0" applyBorder="0" applyAlignment="0" applyProtection="0">
      <alignment horizontal="right" vertical="center" indent="1"/>
    </xf>
    <xf numFmtId="196" fontId="80" fillId="14" borderId="21" applyNumberFormat="0" applyBorder="0" applyAlignment="0" applyProtection="0">
      <alignment horizontal="right" vertical="center" indent="1"/>
    </xf>
    <xf numFmtId="196" fontId="80" fillId="15" borderId="21" applyNumberFormat="0" applyBorder="0" applyAlignment="0" applyProtection="0">
      <alignment horizontal="right" vertical="center" indent="1"/>
    </xf>
    <xf numFmtId="0" fontId="75" fillId="16" borderId="17" applyNumberFormat="0" applyAlignment="0" applyProtection="0">
      <alignment horizontal="left" vertical="center" indent="1"/>
    </xf>
    <xf numFmtId="0" fontId="75" fillId="17" borderId="17" applyNumberFormat="0" applyAlignment="0" applyProtection="0">
      <alignment horizontal="left" vertical="center" indent="1"/>
    </xf>
    <xf numFmtId="0" fontId="75" fillId="18" borderId="17" applyNumberFormat="0" applyAlignment="0" applyProtection="0">
      <alignment horizontal="left" vertical="center" indent="1"/>
    </xf>
    <xf numFmtId="0" fontId="75" fillId="19" borderId="17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196" fontId="73" fillId="19" borderId="18" applyNumberFormat="0" applyBorder="0" applyProtection="0">
      <alignment horizontal="right" vertical="center"/>
    </xf>
    <xf numFmtId="196" fontId="74" fillId="19" borderId="19" applyNumberFormat="0" applyBorder="0" applyProtection="0">
      <alignment horizontal="right" vertical="center"/>
    </xf>
    <xf numFmtId="196" fontId="73" fillId="21" borderId="17" applyNumberFormat="0" applyAlignment="0" applyProtection="0">
      <alignment horizontal="left" vertical="center" indent="1"/>
    </xf>
    <xf numFmtId="0" fontId="74" fillId="5" borderId="19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196" fontId="74" fillId="20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5" fillId="26" borderId="0" applyNumberFormat="0" applyBorder="0" applyAlignment="0" applyProtection="0"/>
    <xf numFmtId="0" fontId="85" fillId="23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6" fillId="26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28" borderId="0" applyNumberFormat="0" applyBorder="0" applyAlignment="0" applyProtection="0"/>
    <xf numFmtId="0" fontId="86" fillId="26" borderId="0" applyNumberFormat="0" applyBorder="0" applyAlignment="0" applyProtection="0"/>
    <xf numFmtId="0" fontId="86" fillId="23" borderId="0" applyNumberFormat="0" applyBorder="0" applyAlignment="0" applyProtection="0"/>
    <xf numFmtId="0" fontId="87" fillId="0" borderId="0"/>
    <xf numFmtId="0" fontId="86" fillId="31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3" fontId="88" fillId="35" borderId="0" applyBorder="0">
      <alignment horizontal="right"/>
      <protection locked="0"/>
    </xf>
    <xf numFmtId="0" fontId="89" fillId="36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5" borderId="22" applyNumberFormat="0" applyAlignment="0" applyProtection="0"/>
    <xf numFmtId="0" fontId="92" fillId="37" borderId="23" applyNumberFormat="0" applyAlignment="0" applyProtection="0"/>
    <xf numFmtId="0" fontId="93" fillId="38" borderId="0">
      <alignment horizontal="left"/>
    </xf>
    <xf numFmtId="0" fontId="94" fillId="38" borderId="0">
      <alignment horizontal="right"/>
    </xf>
    <xf numFmtId="0" fontId="95" fillId="35" borderId="0">
      <alignment horizontal="center"/>
    </xf>
    <xf numFmtId="0" fontId="94" fillId="38" borderId="0">
      <alignment horizontal="right"/>
    </xf>
    <xf numFmtId="0" fontId="96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24"/>
    <xf numFmtId="0" fontId="10" fillId="0" borderId="0" applyNumberFormat="0">
      <protection locked="0"/>
    </xf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102" fillId="27" borderId="22" applyNumberFormat="0" applyAlignment="0" applyProtection="0"/>
    <xf numFmtId="41" fontId="61" fillId="0" borderId="0">
      <alignment horizontal="left"/>
    </xf>
    <xf numFmtId="0" fontId="103" fillId="40" borderId="24"/>
    <xf numFmtId="0" fontId="93" fillId="38" borderId="0">
      <alignment horizontal="left"/>
    </xf>
    <xf numFmtId="0" fontId="48" fillId="35" borderId="0">
      <alignment horizontal="left"/>
    </xf>
    <xf numFmtId="0" fontId="104" fillId="0" borderId="28" applyNumberFormat="0" applyFill="0" applyAlignment="0" applyProtection="0"/>
    <xf numFmtId="0" fontId="105" fillId="27" borderId="0" applyNumberFormat="0" applyBorder="0" applyAlignment="0" applyProtection="0"/>
    <xf numFmtId="37" fontId="106" fillId="0" borderId="0"/>
    <xf numFmtId="3" fontId="10" fillId="2" borderId="0" applyNumberFormat="0"/>
    <xf numFmtId="199" fontId="10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4" borderId="29" applyNumberFormat="0" applyFont="0" applyAlignment="0" applyProtection="0"/>
    <xf numFmtId="43" fontId="109" fillId="0" borderId="0"/>
    <xf numFmtId="200" fontId="110" fillId="0" borderId="0"/>
    <xf numFmtId="0" fontId="111" fillId="35" borderId="30" applyNumberFormat="0" applyAlignment="0" applyProtection="0"/>
    <xf numFmtId="40" fontId="112" fillId="41" borderId="0">
      <alignment horizontal="right"/>
    </xf>
    <xf numFmtId="0" fontId="113" fillId="41" borderId="0">
      <alignment horizontal="right"/>
    </xf>
    <xf numFmtId="0" fontId="114" fillId="41" borderId="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10" fontId="1" fillId="0" borderId="0" applyFont="0" applyFill="0" applyBorder="0" applyAlignment="0" applyProtection="0"/>
    <xf numFmtId="0" fontId="116" fillId="0" borderId="0" applyNumberFormat="0" applyFont="0" applyFill="0" applyBorder="0" applyAlignment="0" applyProtection="0">
      <alignment horizontal="left"/>
    </xf>
    <xf numFmtId="15" fontId="116" fillId="0" borderId="0" applyFont="0" applyFill="0" applyBorder="0" applyAlignment="0" applyProtection="0"/>
    <xf numFmtId="4" fontId="116" fillId="0" borderId="0" applyFont="0" applyFill="0" applyBorder="0" applyAlignment="0" applyProtection="0"/>
    <xf numFmtId="0" fontId="117" fillId="0" borderId="14">
      <alignment horizontal="center"/>
    </xf>
    <xf numFmtId="3" fontId="116" fillId="0" borderId="0" applyFont="0" applyFill="0" applyBorder="0" applyAlignment="0" applyProtection="0"/>
    <xf numFmtId="0" fontId="116" fillId="42" borderId="0" applyNumberFormat="0" applyFont="0" applyBorder="0" applyAlignment="0" applyProtection="0"/>
    <xf numFmtId="0" fontId="48" fillId="27" borderId="0">
      <alignment horizontal="center"/>
    </xf>
    <xf numFmtId="49" fontId="68" fillId="35" borderId="0">
      <alignment horizontal="center"/>
    </xf>
    <xf numFmtId="0" fontId="90" fillId="0" borderId="0"/>
    <xf numFmtId="0" fontId="90" fillId="0" borderId="0"/>
    <xf numFmtId="0" fontId="94" fillId="38" borderId="0">
      <alignment horizontal="center"/>
    </xf>
    <xf numFmtId="0" fontId="94" fillId="38" borderId="0">
      <alignment horizontal="centerContinuous"/>
    </xf>
    <xf numFmtId="0" fontId="118" fillId="35" borderId="0">
      <alignment horizontal="left"/>
    </xf>
    <xf numFmtId="49" fontId="118" fillId="35" borderId="0">
      <alignment horizontal="center"/>
    </xf>
    <xf numFmtId="0" fontId="93" fillId="38" borderId="0">
      <alignment horizontal="left"/>
    </xf>
    <xf numFmtId="49" fontId="118" fillId="35" borderId="0">
      <alignment horizontal="left"/>
    </xf>
    <xf numFmtId="0" fontId="93" fillId="38" borderId="0">
      <alignment horizontal="centerContinuous"/>
    </xf>
    <xf numFmtId="0" fontId="93" fillId="38" borderId="0">
      <alignment horizontal="right"/>
    </xf>
    <xf numFmtId="49" fontId="48" fillId="35" borderId="0">
      <alignment horizontal="left"/>
    </xf>
    <xf numFmtId="0" fontId="94" fillId="38" borderId="0">
      <alignment horizontal="right"/>
    </xf>
    <xf numFmtId="0" fontId="118" fillId="25" borderId="0">
      <alignment horizontal="center"/>
    </xf>
    <xf numFmtId="0" fontId="119" fillId="25" borderId="0">
      <alignment horizontal="center"/>
    </xf>
    <xf numFmtId="196" fontId="120" fillId="21" borderId="0" applyNumberFormat="0" applyAlignment="0" applyProtection="0">
      <alignment horizontal="left" vertical="center" indent="1"/>
    </xf>
    <xf numFmtId="0" fontId="72" fillId="0" borderId="31" applyNumberFormat="0" applyFont="0" applyFill="0" applyAlignment="0" applyProtection="0"/>
    <xf numFmtId="196" fontId="73" fillId="21" borderId="17" applyNumberFormat="0" applyAlignment="0" applyProtection="0">
      <alignment horizontal="left" vertical="center" indent="1"/>
    </xf>
    <xf numFmtId="0" fontId="75" fillId="43" borderId="32" applyNumberFormat="0" applyAlignment="0" applyProtection="0">
      <alignment horizontal="left" vertical="center" indent="1"/>
    </xf>
    <xf numFmtId="0" fontId="75" fillId="44" borderId="32" applyNumberFormat="0" applyAlignment="0" applyProtection="0">
      <alignment horizontal="left" vertical="center" indent="1"/>
    </xf>
    <xf numFmtId="196" fontId="73" fillId="0" borderId="18" applyNumberFormat="0" applyFill="0" applyBorder="0" applyAlignment="0" applyProtection="0">
      <alignment horizontal="right" vertical="center"/>
    </xf>
    <xf numFmtId="0" fontId="90" fillId="0" borderId="24"/>
    <xf numFmtId="0" fontId="90" fillId="0" borderId="24"/>
    <xf numFmtId="0" fontId="121" fillId="38" borderId="0"/>
    <xf numFmtId="0" fontId="121" fillId="38" borderId="0"/>
    <xf numFmtId="0" fontId="122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03" fillId="0" borderId="34"/>
    <xf numFmtId="0" fontId="103" fillId="0" borderId="34"/>
    <xf numFmtId="0" fontId="103" fillId="0" borderId="24"/>
    <xf numFmtId="0" fontId="103" fillId="0" borderId="24"/>
    <xf numFmtId="0" fontId="124" fillId="35" borderId="0">
      <alignment horizontal="center"/>
    </xf>
    <xf numFmtId="0" fontId="104" fillId="0" borderId="0" applyNumberFormat="0" applyFill="0" applyBorder="0" applyAlignment="0" applyProtection="0"/>
    <xf numFmtId="0" fontId="12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6" fillId="0" borderId="20" applyNumberFormat="0" applyBorder="0" applyAlignment="0" applyProtection="0"/>
    <xf numFmtId="0" fontId="76" fillId="6" borderId="19" applyNumberFormat="0" applyAlignment="0" applyProtection="0">
      <alignment horizontal="left" vertical="center" indent="1"/>
    </xf>
    <xf numFmtId="0" fontId="76" fillId="6" borderId="19" applyNumberFormat="0" applyAlignment="0" applyProtection="0">
      <alignment horizontal="left" vertical="center" indent="1"/>
    </xf>
    <xf numFmtId="0" fontId="76" fillId="20" borderId="19" applyNumberFormat="0" applyAlignment="0" applyProtection="0">
      <alignment horizontal="left" vertical="center" indent="1"/>
    </xf>
    <xf numFmtId="196" fontId="127" fillId="20" borderId="19" applyNumberFormat="0" applyProtection="0">
      <alignment horizontal="right" vertical="center"/>
    </xf>
    <xf numFmtId="196" fontId="128" fillId="19" borderId="18" applyNumberFormat="0" applyBorder="0" applyProtection="0">
      <alignment horizontal="right" vertical="center"/>
    </xf>
    <xf numFmtId="196" fontId="127" fillId="19" borderId="19" applyNumberFormat="0" applyBorder="0" applyProtection="0">
      <alignment horizontal="right" vertical="center"/>
    </xf>
    <xf numFmtId="196" fontId="73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6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196" fontId="73" fillId="19" borderId="18" applyNumberFormat="0" applyBorder="0">
      <alignment horizontal="right" vertical="center"/>
      <protection locked="0"/>
    </xf>
    <xf numFmtId="0" fontId="75" fillId="6" borderId="19" applyNumberFormat="0" applyAlignment="0">
      <alignment horizontal="left" vertical="center" indent="1"/>
      <protection locked="0"/>
    </xf>
    <xf numFmtId="196" fontId="74" fillId="19" borderId="19" applyNumberFormat="0" applyBorder="0">
      <alignment horizontal="right" vertical="center"/>
      <protection locked="0"/>
    </xf>
    <xf numFmtId="0" fontId="76" fillId="6" borderId="19" applyNumberFormat="0" applyAlignment="0">
      <alignment horizontal="left" vertical="center" indent="1"/>
      <protection locked="0"/>
    </xf>
    <xf numFmtId="0" fontId="76" fillId="6" borderId="19" applyNumberFormat="0" applyAlignment="0">
      <alignment horizontal="left" vertical="center" indent="1"/>
      <protection locked="0"/>
    </xf>
    <xf numFmtId="196" fontId="128" fillId="19" borderId="18" applyNumberFormat="0" applyBorder="0">
      <alignment horizontal="right" vertical="center"/>
      <protection locked="0"/>
    </xf>
    <xf numFmtId="196" fontId="127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5" fillId="25" borderId="0" applyNumberFormat="0" applyBorder="0" applyAlignment="0" applyProtection="0"/>
    <xf numFmtId="0" fontId="28" fillId="45" borderId="0" applyNumberFormat="0" applyBorder="0" applyAlignment="0" applyProtection="0"/>
    <xf numFmtId="0" fontId="85" fillId="2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35" borderId="0" applyNumberFormat="0" applyBorder="0" applyAlignment="0" applyProtection="0"/>
    <xf numFmtId="0" fontId="28" fillId="45" borderId="0" applyNumberFormat="0" applyBorder="0" applyAlignment="0" applyProtection="0"/>
    <xf numFmtId="0" fontId="85" fillId="45" borderId="0" applyNumberFormat="0" applyBorder="0" applyAlignment="0" applyProtection="0"/>
    <xf numFmtId="0" fontId="28" fillId="28" borderId="0" applyNumberFormat="0" applyBorder="0" applyAlignment="0" applyProtection="0"/>
    <xf numFmtId="0" fontId="85" fillId="2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3" borderId="0" applyNumberFormat="0" applyBorder="0" applyAlignment="0" applyProtection="0"/>
    <xf numFmtId="0" fontId="28" fillId="28" borderId="0" applyNumberFormat="0" applyBorder="0" applyAlignment="0" applyProtection="0"/>
    <xf numFmtId="0" fontId="85" fillId="28" borderId="0" applyNumberFormat="0" applyBorder="0" applyAlignment="0" applyProtection="0"/>
    <xf numFmtId="0" fontId="28" fillId="46" borderId="0" applyNumberFormat="0" applyBorder="0" applyAlignment="0" applyProtection="0"/>
    <xf numFmtId="0" fontId="85" fillId="24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24" borderId="0" applyNumberFormat="0" applyBorder="0" applyAlignment="0" applyProtection="0"/>
    <xf numFmtId="0" fontId="28" fillId="46" borderId="0" applyNumberFormat="0" applyBorder="0" applyAlignment="0" applyProtection="0"/>
    <xf numFmtId="0" fontId="85" fillId="46" borderId="0" applyNumberFormat="0" applyBorder="0" applyAlignment="0" applyProtection="0"/>
    <xf numFmtId="0" fontId="28" fillId="36" borderId="0" applyNumberFormat="0" applyBorder="0" applyAlignment="0" applyProtection="0"/>
    <xf numFmtId="0" fontId="85" fillId="2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5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28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47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48" borderId="0" applyNumberFormat="0" applyBorder="0" applyAlignment="0" applyProtection="0"/>
    <xf numFmtId="0" fontId="85" fillId="27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24" borderId="0" applyNumberFormat="0" applyBorder="0" applyAlignment="0" applyProtection="0"/>
    <xf numFmtId="0" fontId="28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47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7" borderId="0" applyNumberFormat="0" applyBorder="0" applyAlignment="0" applyProtection="0"/>
    <xf numFmtId="0" fontId="28" fillId="30" borderId="0" applyNumberFormat="0" applyBorder="0" applyAlignment="0" applyProtection="0"/>
    <xf numFmtId="0" fontId="85" fillId="2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4" borderId="0" applyNumberFormat="0" applyBorder="0" applyAlignment="0" applyProtection="0"/>
    <xf numFmtId="0" fontId="28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50" borderId="0" applyNumberFormat="0" applyBorder="0" applyAlignment="0" applyProtection="0"/>
    <xf numFmtId="0" fontId="129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33" borderId="0" applyNumberFormat="0" applyBorder="0" applyAlignment="0" applyProtection="0"/>
    <xf numFmtId="0" fontId="129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27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4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52" borderId="0" applyNumberFormat="0" applyBorder="0" applyAlignment="0" applyProtection="0"/>
    <xf numFmtId="0" fontId="86" fillId="23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25" borderId="0" applyNumberFormat="0" applyBorder="0" applyAlignment="0" applyProtection="0"/>
    <xf numFmtId="0" fontId="129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0" borderId="0" applyNumberFormat="0" applyBorder="0" applyAlignment="0" applyProtection="0"/>
    <xf numFmtId="0" fontId="129" fillId="53" borderId="0" applyNumberFormat="0" applyBorder="0" applyAlignment="0" applyProtection="0"/>
    <xf numFmtId="0" fontId="86" fillId="5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3" borderId="0" applyNumberFormat="0" applyBorder="0" applyAlignment="0" applyProtection="0"/>
    <xf numFmtId="0" fontId="129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1" borderId="0" applyNumberFormat="0" applyBorder="0" applyAlignment="0" applyProtection="0"/>
    <xf numFmtId="0" fontId="129" fillId="54" borderId="0" applyNumberFormat="0" applyBorder="0" applyAlignment="0" applyProtection="0"/>
    <xf numFmtId="0" fontId="86" fillId="3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29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29" borderId="0" applyNumberFormat="0" applyBorder="0" applyAlignment="0" applyProtection="0"/>
    <xf numFmtId="0" fontId="129" fillId="51" borderId="0" applyNumberFormat="0" applyBorder="0" applyAlignment="0" applyProtection="0"/>
    <xf numFmtId="0" fontId="86" fillId="29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2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52" borderId="0" applyNumberFormat="0" applyBorder="0" applyAlignment="0" applyProtection="0"/>
    <xf numFmtId="0" fontId="129" fillId="29" borderId="0" applyNumberFormat="0" applyBorder="0" applyAlignment="0" applyProtection="0"/>
    <xf numFmtId="0" fontId="86" fillId="52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5" borderId="0" applyNumberFormat="0" applyBorder="0" applyAlignment="0" applyProtection="0"/>
    <xf numFmtId="0" fontId="129" fillId="29" borderId="0" applyNumberFormat="0" applyBorder="0" applyAlignment="0" applyProtection="0"/>
    <xf numFmtId="0" fontId="86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0" fillId="0" borderId="0" applyNumberFormat="0" applyFill="0" applyBorder="0" applyAlignment="0">
      <protection locked="0"/>
    </xf>
    <xf numFmtId="0" fontId="89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32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5" fillId="35" borderId="22" applyNumberFormat="0" applyAlignment="0" applyProtection="0"/>
    <xf numFmtId="0" fontId="136" fillId="47" borderId="22" applyNumberFormat="0" applyAlignment="0" applyProtection="0"/>
    <xf numFmtId="0" fontId="135" fillId="35" borderId="22" applyNumberFormat="0" applyAlignment="0" applyProtection="0"/>
    <xf numFmtId="0" fontId="134" fillId="47" borderId="22" applyNumberFormat="0" applyAlignment="0" applyProtection="0"/>
    <xf numFmtId="0" fontId="134" fillId="47" borderId="22" applyNumberFormat="0" applyAlignment="0" applyProtection="0"/>
    <xf numFmtId="0" fontId="134" fillId="35" borderId="22" applyNumberFormat="0" applyAlignment="0" applyProtection="0"/>
    <xf numFmtId="0" fontId="136" fillId="47" borderId="22" applyNumberFormat="0" applyAlignment="0" applyProtection="0"/>
    <xf numFmtId="0" fontId="134" fillId="47" borderId="22" applyNumberFormat="0" applyAlignment="0" applyProtection="0"/>
    <xf numFmtId="0" fontId="92" fillId="55" borderId="35" applyNumberFormat="0" applyAlignment="0" applyProtection="0"/>
    <xf numFmtId="0" fontId="93" fillId="37" borderId="23" applyNumberFormat="0" applyAlignment="0" applyProtection="0"/>
    <xf numFmtId="0" fontId="92" fillId="55" borderId="35" applyNumberFormat="0" applyAlignment="0" applyProtection="0"/>
    <xf numFmtId="0" fontId="92" fillId="37" borderId="23" applyNumberFormat="0" applyAlignment="0" applyProtection="0"/>
    <xf numFmtId="0" fontId="92" fillId="37" borderId="23" applyNumberFormat="0" applyAlignment="0" applyProtection="0"/>
    <xf numFmtId="0" fontId="93" fillId="37" borderId="23" applyNumberFormat="0" applyAlignment="0" applyProtection="0"/>
    <xf numFmtId="0" fontId="92" fillId="37" borderId="23" applyNumberFormat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3" fontId="1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201" fontId="13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2" fillId="0" borderId="37" applyNumberFormat="0" applyFill="0" applyAlignment="0" applyProtection="0"/>
    <xf numFmtId="0" fontId="143" fillId="0" borderId="36" applyNumberFormat="0" applyFill="0" applyAlignment="0" applyProtection="0"/>
    <xf numFmtId="0" fontId="142" fillId="0" borderId="37" applyNumberFormat="0" applyFill="0" applyAlignment="0" applyProtection="0"/>
    <xf numFmtId="0" fontId="141" fillId="0" borderId="36" applyNumberFormat="0" applyFill="0" applyAlignment="0" applyProtection="0"/>
    <xf numFmtId="0" fontId="141" fillId="0" borderId="36" applyNumberFormat="0" applyFill="0" applyAlignment="0" applyProtection="0"/>
    <xf numFmtId="0" fontId="99" fillId="0" borderId="38" applyNumberFormat="0" applyFill="0" applyAlignment="0" applyProtection="0"/>
    <xf numFmtId="0" fontId="143" fillId="0" borderId="36" applyNumberFormat="0" applyFill="0" applyAlignment="0" applyProtection="0"/>
    <xf numFmtId="0" fontId="141" fillId="0" borderId="36" applyNumberFormat="0" applyFill="0" applyAlignment="0" applyProtection="0"/>
    <xf numFmtId="0" fontId="145" fillId="0" borderId="39" applyNumberFormat="0" applyFill="0" applyAlignment="0" applyProtection="0"/>
    <xf numFmtId="0" fontId="146" fillId="0" borderId="39" applyNumberFormat="0" applyFill="0" applyAlignment="0" applyProtection="0"/>
    <xf numFmtId="0" fontId="145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00" fillId="0" borderId="39" applyNumberFormat="0" applyFill="0" applyAlignment="0" applyProtection="0"/>
    <xf numFmtId="0" fontId="146" fillId="0" borderId="39" applyNumberFormat="0" applyFill="0" applyAlignment="0" applyProtection="0"/>
    <xf numFmtId="0" fontId="144" fillId="0" borderId="39" applyNumberFormat="0" applyFill="0" applyAlignment="0" applyProtection="0"/>
    <xf numFmtId="0" fontId="148" fillId="0" borderId="41" applyNumberFormat="0" applyFill="0" applyAlignment="0" applyProtection="0"/>
    <xf numFmtId="0" fontId="149" fillId="0" borderId="40" applyNumberFormat="0" applyFill="0" applyAlignment="0" applyProtection="0"/>
    <xf numFmtId="0" fontId="148" fillId="0" borderId="41" applyNumberFormat="0" applyFill="0" applyAlignment="0" applyProtection="0"/>
    <xf numFmtId="0" fontId="147" fillId="0" borderId="40" applyNumberFormat="0" applyFill="0" applyAlignment="0" applyProtection="0"/>
    <xf numFmtId="0" fontId="147" fillId="0" borderId="40" applyNumberFormat="0" applyFill="0" applyAlignment="0" applyProtection="0"/>
    <xf numFmtId="0" fontId="101" fillId="0" borderId="42" applyNumberFormat="0" applyFill="0" applyAlignment="0" applyProtection="0"/>
    <xf numFmtId="0" fontId="149" fillId="0" borderId="40" applyNumberFormat="0" applyFill="0" applyAlignment="0" applyProtection="0"/>
    <xf numFmtId="0" fontId="147" fillId="0" borderId="40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2" fillId="27" borderId="22" applyNumberFormat="0" applyAlignment="0" applyProtection="0"/>
    <xf numFmtId="0" fontId="153" fillId="25" borderId="22" applyNumberFormat="0" applyAlignment="0" applyProtection="0"/>
    <xf numFmtId="0" fontId="152" fillId="27" borderId="22" applyNumberFormat="0" applyAlignment="0" applyProtection="0"/>
    <xf numFmtId="0" fontId="102" fillId="25" borderId="22" applyNumberFormat="0" applyAlignment="0" applyProtection="0"/>
    <xf numFmtId="0" fontId="102" fillId="25" borderId="22" applyNumberFormat="0" applyAlignment="0" applyProtection="0"/>
    <xf numFmtId="0" fontId="153" fillId="25" borderId="22" applyNumberFormat="0" applyAlignment="0" applyProtection="0"/>
    <xf numFmtId="0" fontId="102" fillId="25" borderId="22" applyNumberFormat="0" applyAlignment="0" applyProtection="0"/>
    <xf numFmtId="0" fontId="155" fillId="0" borderId="44" applyNumberFormat="0" applyFill="0" applyAlignment="0" applyProtection="0"/>
    <xf numFmtId="0" fontId="156" fillId="0" borderId="43" applyNumberFormat="0" applyFill="0" applyAlignment="0" applyProtection="0"/>
    <xf numFmtId="0" fontId="155" fillId="0" borderId="44" applyNumberFormat="0" applyFill="0" applyAlignment="0" applyProtection="0"/>
    <xf numFmtId="0" fontId="154" fillId="0" borderId="43" applyNumberFormat="0" applyFill="0" applyAlignment="0" applyProtection="0"/>
    <xf numFmtId="0" fontId="154" fillId="0" borderId="43" applyNumberFormat="0" applyFill="0" applyAlignment="0" applyProtection="0"/>
    <xf numFmtId="0" fontId="156" fillId="0" borderId="43" applyNumberFormat="0" applyFill="0" applyAlignment="0" applyProtection="0"/>
    <xf numFmtId="0" fontId="154" fillId="0" borderId="43" applyNumberFormat="0" applyFill="0" applyAlignment="0" applyProtection="0"/>
    <xf numFmtId="0" fontId="158" fillId="27" borderId="0" applyNumberFormat="0" applyBorder="0" applyAlignment="0" applyProtection="0"/>
    <xf numFmtId="0" fontId="159" fillId="27" borderId="0" applyNumberFormat="0" applyBorder="0" applyAlignment="0" applyProtection="0"/>
    <xf numFmtId="0" fontId="158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4" borderId="0" applyNumberFormat="0" applyBorder="0" applyAlignment="0" applyProtection="0"/>
    <xf numFmtId="0" fontId="159" fillId="27" borderId="0" applyNumberFormat="0" applyBorder="0" applyAlignment="0" applyProtection="0"/>
    <xf numFmtId="0" fontId="157" fillId="27" borderId="0" applyNumberFormat="0" applyBorder="0" applyAlignment="0" applyProtection="0"/>
    <xf numFmtId="0" fontId="1" fillId="0" borderId="0"/>
    <xf numFmtId="0" fontId="1" fillId="0" borderId="0"/>
    <xf numFmtId="0" fontId="85" fillId="0" borderId="0"/>
    <xf numFmtId="0" fontId="13" fillId="0" borderId="0"/>
    <xf numFmtId="0" fontId="28" fillId="0" borderId="0">
      <alignment vertical="top"/>
    </xf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28" fillId="0" borderId="0">
      <alignment vertical="top"/>
    </xf>
    <xf numFmtId="0" fontId="28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5" borderId="0"/>
    <xf numFmtId="0" fontId="42" fillId="35" borderId="0"/>
    <xf numFmtId="0" fontId="42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8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2" fillId="35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42" fillId="35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60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0" fillId="0" borderId="0"/>
  </cellStyleXfs>
  <cellXfs count="516">
    <xf numFmtId="0" fontId="0" fillId="0" borderId="0" xfId="0"/>
    <xf numFmtId="0" fontId="1" fillId="0" borderId="0" xfId="1"/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165" fontId="1" fillId="0" borderId="1" xfId="1" applyNumberFormat="1" applyBorder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3" fillId="0" borderId="1" xfId="1" applyNumberFormat="1" applyFont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left" indent="3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1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1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172" fontId="16" fillId="0" borderId="0" xfId="6" applyNumberFormat="1" applyFont="1"/>
    <xf numFmtId="0" fontId="14" fillId="0" borderId="0" xfId="6" quotePrefix="1" applyFont="1"/>
    <xf numFmtId="0" fontId="14" fillId="0" borderId="0" xfId="6" quotePrefix="1" applyFont="1" applyAlignment="1">
      <alignment horizontal="left"/>
    </xf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73" fontId="14" fillId="0" borderId="0" xfId="6" applyNumberFormat="1" applyFont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37" fontId="14" fillId="0" borderId="0" xfId="6" quotePrefix="1" applyNumberFormat="1" applyFont="1" applyAlignment="1">
      <alignment horizontal="center"/>
    </xf>
    <xf numFmtId="0" fontId="13" fillId="0" borderId="0" xfId="6" applyFont="1" applyAlignment="1">
      <alignment horizontal="center"/>
    </xf>
    <xf numFmtId="174" fontId="14" fillId="0" borderId="5" xfId="4" applyNumberFormat="1" applyFont="1" applyFill="1" applyBorder="1" applyProtection="1"/>
    <xf numFmtId="10" fontId="14" fillId="0" borderId="5" xfId="6" applyNumberFormat="1" applyFont="1" applyBorder="1"/>
    <xf numFmtId="175" fontId="14" fillId="0" borderId="0" xfId="6" applyNumberFormat="1" applyFont="1" applyAlignment="1">
      <alignment horizontal="center"/>
    </xf>
    <xf numFmtId="172" fontId="14" fillId="0" borderId="0" xfId="6" applyNumberFormat="1" applyFont="1"/>
    <xf numFmtId="176" fontId="14" fillId="0" borderId="0" xfId="2" applyNumberFormat="1" applyFont="1" applyFill="1" applyBorder="1" applyProtection="1"/>
    <xf numFmtId="37" fontId="14" fillId="0" borderId="7" xfId="6" applyNumberFormat="1" applyFont="1" applyBorder="1"/>
    <xf numFmtId="174" fontId="14" fillId="0" borderId="0" xfId="4" applyNumberFormat="1" applyFont="1" applyFill="1" applyBorder="1" applyProtection="1"/>
    <xf numFmtId="0" fontId="14" fillId="0" borderId="7" xfId="6" applyFont="1" applyBorder="1"/>
    <xf numFmtId="174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/>
    <xf numFmtId="172" fontId="14" fillId="0" borderId="0" xfId="6" applyNumberFormat="1" applyFont="1" applyAlignment="1">
      <alignment horizontal="center"/>
    </xf>
    <xf numFmtId="0" fontId="14" fillId="0" borderId="8" xfId="6" applyFont="1" applyBorder="1"/>
    <xf numFmtId="0" fontId="22" fillId="0" borderId="0" xfId="6" applyFont="1"/>
    <xf numFmtId="165" fontId="14" fillId="0" borderId="7" xfId="6" applyNumberFormat="1" applyFont="1" applyBorder="1"/>
    <xf numFmtId="0" fontId="23" fillId="0" borderId="0" xfId="6" applyFont="1"/>
    <xf numFmtId="177" fontId="14" fillId="0" borderId="0" xfId="2" applyNumberFormat="1" applyFont="1" applyFill="1" applyProtection="1"/>
    <xf numFmtId="178" fontId="14" fillId="0" borderId="0" xfId="6" applyNumberFormat="1" applyFont="1"/>
    <xf numFmtId="0" fontId="24" fillId="0" borderId="0" xfId="6" applyFont="1"/>
    <xf numFmtId="165" fontId="14" fillId="0" borderId="5" xfId="6" applyNumberFormat="1" applyFont="1" applyBorder="1"/>
    <xf numFmtId="0" fontId="14" fillId="0" borderId="0" xfId="6" quotePrefix="1" applyFont="1" applyAlignment="1">
      <alignment horizontal="center"/>
    </xf>
    <xf numFmtId="38" fontId="14" fillId="0" borderId="5" xfId="6" applyNumberFormat="1" applyFont="1" applyBorder="1"/>
    <xf numFmtId="0" fontId="16" fillId="0" borderId="0" xfId="6" applyFont="1"/>
    <xf numFmtId="10" fontId="14" fillId="0" borderId="0" xfId="5" applyNumberFormat="1" applyFont="1" applyFill="1" applyProtection="1"/>
    <xf numFmtId="38" fontId="14" fillId="0" borderId="0" xfId="6" applyNumberFormat="1" applyFont="1"/>
    <xf numFmtId="176" fontId="14" fillId="0" borderId="0" xfId="2" applyNumberFormat="1" applyFont="1" applyFill="1" applyProtection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168" fontId="14" fillId="0" borderId="0" xfId="6" applyNumberFormat="1" applyFont="1"/>
    <xf numFmtId="5" fontId="14" fillId="0" borderId="0" xfId="6" applyNumberFormat="1" applyFont="1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Continuous"/>
    </xf>
    <xf numFmtId="179" fontId="14" fillId="0" borderId="5" xfId="6" applyNumberFormat="1" applyFont="1" applyBorder="1"/>
    <xf numFmtId="5" fontId="14" fillId="0" borderId="5" xfId="6" applyNumberFormat="1" applyFont="1" applyBorder="1"/>
    <xf numFmtId="179" fontId="14" fillId="0" borderId="0" xfId="6" applyNumberFormat="1" applyFont="1" applyAlignment="1">
      <alignment horizontal="right"/>
    </xf>
    <xf numFmtId="179" fontId="14" fillId="0" borderId="0" xfId="6" applyNumberFormat="1" applyFont="1"/>
    <xf numFmtId="177" fontId="13" fillId="0" borderId="0" xfId="2" applyNumberFormat="1" applyFont="1" applyFill="1" applyBorder="1"/>
    <xf numFmtId="177" fontId="13" fillId="0" borderId="0" xfId="2" applyNumberFormat="1" applyFont="1" applyFill="1"/>
    <xf numFmtId="171" fontId="14" fillId="0" borderId="0" xfId="6" applyNumberFormat="1" applyFont="1"/>
    <xf numFmtId="0" fontId="14" fillId="0" borderId="1" xfId="6" applyFont="1" applyBorder="1"/>
    <xf numFmtId="0" fontId="22" fillId="0" borderId="0" xfId="6" applyFont="1" applyAlignment="1">
      <alignment horizontal="centerContinuous"/>
    </xf>
    <xf numFmtId="177" fontId="13" fillId="0" borderId="0" xfId="6" applyNumberFormat="1" applyFont="1"/>
    <xf numFmtId="37" fontId="14" fillId="0" borderId="9" xfId="6" applyNumberFormat="1" applyFont="1" applyBorder="1"/>
    <xf numFmtId="37" fontId="14" fillId="0" borderId="9" xfId="6" applyNumberFormat="1" applyFont="1" applyBorder="1" applyProtection="1">
      <protection locked="0"/>
    </xf>
    <xf numFmtId="165" fontId="26" fillId="0" borderId="0" xfId="6" applyNumberFormat="1" applyFont="1"/>
    <xf numFmtId="165" fontId="14" fillId="0" borderId="6" xfId="6" applyNumberFormat="1" applyFont="1" applyBorder="1"/>
    <xf numFmtId="37" fontId="13" fillId="0" borderId="1" xfId="6" applyNumberFormat="1" applyFont="1" applyBorder="1"/>
    <xf numFmtId="165" fontId="18" fillId="0" borderId="0" xfId="6" applyNumberFormat="1" applyFont="1"/>
    <xf numFmtId="37" fontId="14" fillId="0" borderId="10" xfId="6" applyNumberFormat="1" applyFont="1" applyBorder="1"/>
    <xf numFmtId="0" fontId="19" fillId="0" borderId="0" xfId="6" applyFont="1"/>
    <xf numFmtId="180" fontId="0" fillId="0" borderId="0" xfId="4" applyNumberFormat="1" applyFont="1"/>
    <xf numFmtId="181" fontId="3" fillId="0" borderId="0" xfId="6" applyNumberFormat="1"/>
    <xf numFmtId="177" fontId="3" fillId="0" borderId="0" xfId="6" applyNumberFormat="1"/>
    <xf numFmtId="181" fontId="27" fillId="0" borderId="0" xfId="4" applyNumberFormat="1" applyFont="1"/>
    <xf numFmtId="180" fontId="28" fillId="0" borderId="0" xfId="4" applyNumberFormat="1" applyFont="1"/>
    <xf numFmtId="177" fontId="27" fillId="0" borderId="0" xfId="6" applyNumberFormat="1" applyFont="1"/>
    <xf numFmtId="180" fontId="12" fillId="0" borderId="0" xfId="4" applyNumberFormat="1" applyFont="1"/>
    <xf numFmtId="181" fontId="3" fillId="0" borderId="0" xfId="4" applyNumberFormat="1" applyFont="1"/>
    <xf numFmtId="181" fontId="0" fillId="0" borderId="0" xfId="4" applyNumberFormat="1" applyFont="1"/>
    <xf numFmtId="181" fontId="28" fillId="0" borderId="0" xfId="4" applyNumberFormat="1" applyFont="1"/>
    <xf numFmtId="177" fontId="12" fillId="0" borderId="0" xfId="2" applyNumberFormat="1" applyFont="1"/>
    <xf numFmtId="177" fontId="0" fillId="0" borderId="0" xfId="2" applyNumberFormat="1" applyFont="1"/>
    <xf numFmtId="181" fontId="11" fillId="0" borderId="0" xfId="4" applyNumberFormat="1" applyFont="1"/>
    <xf numFmtId="177" fontId="28" fillId="0" borderId="0" xfId="2" applyNumberFormat="1" applyFont="1"/>
    <xf numFmtId="181" fontId="12" fillId="0" borderId="0" xfId="4" applyNumberFormat="1" applyFont="1"/>
    <xf numFmtId="177" fontId="29" fillId="0" borderId="0" xfId="2" applyNumberFormat="1" applyFont="1"/>
    <xf numFmtId="177" fontId="30" fillId="0" borderId="0" xfId="2" applyNumberFormat="1" applyFont="1"/>
    <xf numFmtId="0" fontId="9" fillId="0" borderId="0" xfId="6" applyFont="1" applyAlignment="1">
      <alignment horizontal="center"/>
    </xf>
    <xf numFmtId="182" fontId="3" fillId="0" borderId="0" xfId="6" applyNumberFormat="1"/>
    <xf numFmtId="0" fontId="6" fillId="0" borderId="0" xfId="6" applyFont="1"/>
    <xf numFmtId="0" fontId="31" fillId="0" borderId="0" xfId="6" applyFont="1"/>
    <xf numFmtId="183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0" fontId="34" fillId="0" borderId="0" xfId="6" applyFont="1"/>
    <xf numFmtId="183" fontId="34" fillId="0" borderId="0" xfId="6" applyNumberFormat="1" applyFont="1"/>
    <xf numFmtId="0" fontId="32" fillId="0" borderId="0" xfId="6" applyFont="1"/>
    <xf numFmtId="0" fontId="35" fillId="0" borderId="0" xfId="6" applyFont="1"/>
    <xf numFmtId="9" fontId="33" fillId="0" borderId="0" xfId="5" applyFont="1" applyProtection="1">
      <protection locked="0"/>
    </xf>
    <xf numFmtId="184" fontId="36" fillId="0" borderId="0" xfId="4" applyNumberFormat="1" applyFont="1" applyFill="1" applyBorder="1" applyProtection="1"/>
    <xf numFmtId="0" fontId="37" fillId="0" borderId="0" xfId="6" applyFont="1"/>
    <xf numFmtId="0" fontId="36" fillId="0" borderId="0" xfId="6" applyFont="1" applyProtection="1">
      <protection locked="0"/>
    </xf>
    <xf numFmtId="184" fontId="33" fillId="0" borderId="4" xfId="4" applyNumberFormat="1" applyFont="1" applyBorder="1" applyProtection="1"/>
    <xf numFmtId="184" fontId="33" fillId="0" borderId="0" xfId="4" applyNumberFormat="1" applyFont="1" applyBorder="1" applyProtection="1"/>
    <xf numFmtId="183" fontId="33" fillId="0" borderId="0" xfId="6" applyNumberFormat="1" applyFont="1"/>
    <xf numFmtId="0" fontId="33" fillId="0" borderId="0" xfId="6" applyFont="1" applyProtection="1">
      <protection locked="0"/>
    </xf>
    <xf numFmtId="185" fontId="32" fillId="0" borderId="0" xfId="6" applyNumberFormat="1" applyFont="1" applyProtection="1">
      <protection locked="0"/>
    </xf>
    <xf numFmtId="186" fontId="38" fillId="0" borderId="0" xfId="6" applyNumberFormat="1" applyFont="1"/>
    <xf numFmtId="186" fontId="39" fillId="0" borderId="0" xfId="6" applyNumberFormat="1" applyFont="1"/>
    <xf numFmtId="0" fontId="35" fillId="0" borderId="7" xfId="6" quotePrefix="1" applyFont="1" applyBorder="1" applyAlignment="1">
      <alignment horizontal="center"/>
    </xf>
    <xf numFmtId="0" fontId="35" fillId="0" borderId="0" xfId="6" quotePrefix="1" applyFont="1" applyAlignment="1">
      <alignment horizontal="center"/>
    </xf>
    <xf numFmtId="183" fontId="35" fillId="0" borderId="0" xfId="6" applyNumberFormat="1" applyFont="1"/>
    <xf numFmtId="187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Alignment="1">
      <alignment horizontal="center"/>
    </xf>
    <xf numFmtId="187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3" fillId="0" borderId="0" xfId="8" applyFont="1"/>
    <xf numFmtId="166" fontId="43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4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37" fontId="15" fillId="0" borderId="0" xfId="8" applyNumberFormat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5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2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88" fontId="13" fillId="0" borderId="0" xfId="8" applyNumberFormat="1" applyFont="1"/>
    <xf numFmtId="43" fontId="13" fillId="0" borderId="0" xfId="10" applyFont="1"/>
    <xf numFmtId="177" fontId="13" fillId="0" borderId="0" xfId="8" applyNumberFormat="1" applyFont="1"/>
    <xf numFmtId="0" fontId="47" fillId="0" borderId="0" xfId="8" applyFont="1"/>
    <xf numFmtId="189" fontId="13" fillId="0" borderId="0" xfId="8" applyNumberFormat="1" applyFont="1"/>
    <xf numFmtId="43" fontId="13" fillId="0" borderId="0" xfId="8" applyNumberFormat="1" applyFont="1"/>
    <xf numFmtId="0" fontId="42" fillId="0" borderId="0" xfId="8"/>
    <xf numFmtId="177" fontId="13" fillId="0" borderId="4" xfId="10" applyNumberFormat="1" applyFont="1" applyBorder="1" applyProtection="1"/>
    <xf numFmtId="177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Protection="1">
      <protection locked="0"/>
    </xf>
    <xf numFmtId="190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2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3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2" fillId="0" borderId="0" xfId="8" applyNumberFormat="1"/>
    <xf numFmtId="39" fontId="13" fillId="0" borderId="4" xfId="8" applyNumberFormat="1" applyFont="1" applyBorder="1"/>
    <xf numFmtId="177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/>
    <xf numFmtId="0" fontId="15" fillId="0" borderId="0" xfId="8" applyFont="1"/>
    <xf numFmtId="0" fontId="3" fillId="0" borderId="0" xfId="12"/>
    <xf numFmtId="8" fontId="13" fillId="0" borderId="0" xfId="8" applyNumberFormat="1" applyFont="1"/>
    <xf numFmtId="191" fontId="13" fillId="0" borderId="0" xfId="8" applyNumberFormat="1" applyFont="1"/>
    <xf numFmtId="165" fontId="13" fillId="0" borderId="0" xfId="8" applyNumberFormat="1" applyFont="1"/>
    <xf numFmtId="191" fontId="13" fillId="0" borderId="0" xfId="8" applyNumberFormat="1" applyFont="1" applyProtection="1">
      <protection locked="0"/>
    </xf>
    <xf numFmtId="14" fontId="13" fillId="0" borderId="0" xfId="8" applyNumberFormat="1" applyFont="1"/>
    <xf numFmtId="182" fontId="13" fillId="0" borderId="0" xfId="8" applyNumberFormat="1" applyFont="1" applyAlignment="1">
      <alignment horizontal="left"/>
    </xf>
    <xf numFmtId="182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37" fontId="13" fillId="0" borderId="1" xfId="8" applyNumberFormat="1" applyFont="1" applyBorder="1"/>
    <xf numFmtId="0" fontId="13" fillId="0" borderId="0" xfId="8" applyFont="1" applyAlignment="1">
      <alignment horizontal="centerContinuous"/>
    </xf>
    <xf numFmtId="172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3" fillId="0" borderId="0" xfId="15" applyFont="1"/>
    <xf numFmtId="169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5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0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3" fillId="0" borderId="0" xfId="16" applyFont="1"/>
    <xf numFmtId="164" fontId="13" fillId="0" borderId="1" xfId="16" applyFont="1" applyBorder="1"/>
    <xf numFmtId="164" fontId="43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2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0" fontId="15" fillId="0" borderId="0" xfId="8" applyFont="1" applyProtection="1">
      <protection locked="0"/>
    </xf>
    <xf numFmtId="177" fontId="13" fillId="0" borderId="0" xfId="10" applyNumberFormat="1" applyFont="1" applyFill="1"/>
    <xf numFmtId="43" fontId="42" fillId="0" borderId="0" xfId="18" applyFont="1" applyFill="1"/>
    <xf numFmtId="40" fontId="58" fillId="0" borderId="0" xfId="34" applyNumberFormat="1">
      <alignment vertical="center"/>
    </xf>
    <xf numFmtId="43" fontId="13" fillId="0" borderId="0" xfId="18" applyFont="1" applyProtection="1"/>
    <xf numFmtId="7" fontId="42" fillId="0" borderId="0" xfId="8" applyNumberFormat="1"/>
    <xf numFmtId="185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37" fontId="14" fillId="0" borderId="8" xfId="6" applyNumberFormat="1" applyFont="1" applyBorder="1"/>
    <xf numFmtId="174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Border="1"/>
    <xf numFmtId="174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194" fontId="33" fillId="0" borderId="0" xfId="18" applyNumberFormat="1" applyFont="1" applyProtection="1">
      <protection locked="0"/>
    </xf>
    <xf numFmtId="0" fontId="59" fillId="0" borderId="0" xfId="6" applyFont="1"/>
    <xf numFmtId="7" fontId="13" fillId="0" borderId="1" xfId="8" applyNumberFormat="1" applyFont="1" applyBorder="1"/>
    <xf numFmtId="43" fontId="5" fillId="0" borderId="0" xfId="18" applyFont="1"/>
    <xf numFmtId="193" fontId="0" fillId="0" borderId="0" xfId="0" applyNumberFormat="1"/>
    <xf numFmtId="167" fontId="14" fillId="0" borderId="5" xfId="6" applyNumberFormat="1" applyFont="1" applyBorder="1"/>
    <xf numFmtId="9" fontId="1" fillId="0" borderId="0" xfId="45" applyFont="1"/>
    <xf numFmtId="176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8" fontId="13" fillId="0" borderId="0" xfId="16" applyNumberFormat="1" applyFont="1"/>
    <xf numFmtId="166" fontId="13" fillId="0" borderId="0" xfId="25" applyNumberFormat="1" applyFont="1"/>
    <xf numFmtId="174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4" fontId="43" fillId="0" borderId="12" xfId="25" applyNumberFormat="1" applyFont="1" applyBorder="1"/>
    <xf numFmtId="174" fontId="43" fillId="0" borderId="0" xfId="25" applyNumberFormat="1" applyFont="1" applyBorder="1"/>
    <xf numFmtId="44" fontId="63" fillId="0" borderId="0" xfId="4" applyFont="1"/>
    <xf numFmtId="195" fontId="13" fillId="0" borderId="0" xfId="8" applyNumberFormat="1" applyFont="1"/>
    <xf numFmtId="165" fontId="62" fillId="0" borderId="0" xfId="1" applyNumberFormat="1" applyFont="1"/>
    <xf numFmtId="37" fontId="65" fillId="0" borderId="0" xfId="6" applyNumberFormat="1" applyFont="1"/>
    <xf numFmtId="173" fontId="65" fillId="0" borderId="0" xfId="6" applyNumberFormat="1" applyFont="1"/>
    <xf numFmtId="0" fontId="65" fillId="0" borderId="0" xfId="6" applyFont="1"/>
    <xf numFmtId="0" fontId="65" fillId="0" borderId="0" xfId="6" applyFont="1" applyAlignment="1">
      <alignment horizontal="center"/>
    </xf>
    <xf numFmtId="37" fontId="65" fillId="0" borderId="0" xfId="8" applyNumberFormat="1" applyFont="1" applyProtection="1">
      <protection locked="0"/>
    </xf>
    <xf numFmtId="37" fontId="65" fillId="0" borderId="1" xfId="8" applyNumberFormat="1" applyFont="1" applyBorder="1" applyProtection="1">
      <protection locked="0"/>
    </xf>
    <xf numFmtId="0" fontId="65" fillId="0" borderId="0" xfId="8" applyFont="1"/>
    <xf numFmtId="0" fontId="65" fillId="0" borderId="0" xfId="8" applyFont="1" applyProtection="1">
      <protection locked="0"/>
    </xf>
    <xf numFmtId="37" fontId="65" fillId="0" borderId="0" xfId="8" applyNumberFormat="1" applyFont="1"/>
    <xf numFmtId="166" fontId="65" fillId="0" borderId="0" xfId="8" applyNumberFormat="1" applyFont="1" applyProtection="1">
      <protection locked="0"/>
    </xf>
    <xf numFmtId="39" fontId="65" fillId="0" borderId="0" xfId="8" applyNumberFormat="1" applyFont="1"/>
    <xf numFmtId="0" fontId="66" fillId="0" borderId="0" xfId="8" applyFont="1"/>
    <xf numFmtId="195" fontId="65" fillId="0" borderId="0" xfId="8" applyNumberFormat="1" applyFont="1"/>
    <xf numFmtId="0" fontId="62" fillId="0" borderId="0" xfId="1" applyFont="1"/>
    <xf numFmtId="165" fontId="62" fillId="0" borderId="0" xfId="6" applyNumberFormat="1" applyFont="1"/>
    <xf numFmtId="165" fontId="62" fillId="0" borderId="1" xfId="6" applyNumberFormat="1" applyFont="1" applyBorder="1"/>
    <xf numFmtId="0" fontId="62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1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>
      <alignment horizontal="left"/>
    </xf>
    <xf numFmtId="164" fontId="68" fillId="0" borderId="0" xfId="16" quotePrefix="1" applyFont="1" applyAlignment="1">
      <alignment horizontal="left"/>
    </xf>
    <xf numFmtId="164" fontId="69" fillId="0" borderId="0" xfId="16" applyFont="1" applyAlignment="1">
      <alignment horizontal="left"/>
    </xf>
    <xf numFmtId="164" fontId="69" fillId="0" borderId="0" xfId="16" applyFont="1"/>
    <xf numFmtId="164" fontId="1" fillId="0" borderId="0" xfId="16" applyFont="1"/>
    <xf numFmtId="164" fontId="68" fillId="0" borderId="0" xfId="16" applyFont="1" applyAlignment="1">
      <alignment horizontal="left"/>
    </xf>
    <xf numFmtId="164" fontId="61" fillId="0" borderId="0" xfId="16" applyFont="1" applyAlignment="1">
      <alignment horizontal="left"/>
    </xf>
    <xf numFmtId="164" fontId="7" fillId="0" borderId="0" xfId="16" applyFont="1"/>
    <xf numFmtId="164" fontId="48" fillId="0" borderId="0" xfId="16" applyFont="1" applyAlignment="1">
      <alignment horizontal="center"/>
    </xf>
    <xf numFmtId="164" fontId="48" fillId="0" borderId="0" xfId="16" applyFont="1"/>
    <xf numFmtId="164" fontId="48" fillId="0" borderId="7" xfId="16" applyFont="1" applyBorder="1" applyAlignment="1">
      <alignment horizontal="center"/>
    </xf>
    <xf numFmtId="164" fontId="48" fillId="0" borderId="7" xfId="16" applyFont="1" applyBorder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Alignment="1">
      <alignment horizontal="justify"/>
    </xf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168" fontId="1" fillId="0" borderId="0" xfId="16" applyNumberFormat="1" applyFont="1"/>
    <xf numFmtId="174" fontId="7" fillId="0" borderId="12" xfId="25" applyNumberFormat="1" applyFont="1" applyBorder="1"/>
    <xf numFmtId="164" fontId="7" fillId="0" borderId="11" xfId="16" quotePrefix="1" applyFont="1" applyBorder="1"/>
    <xf numFmtId="174" fontId="7" fillId="0" borderId="0" xfId="25" applyNumberFormat="1" applyFont="1" applyBorder="1"/>
    <xf numFmtId="164" fontId="7" fillId="0" borderId="0" xfId="16" quotePrefix="1" applyFont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17" fontId="1" fillId="0" borderId="0" xfId="41" applyNumberFormat="1"/>
    <xf numFmtId="177" fontId="1" fillId="0" borderId="0" xfId="43" applyNumberFormat="1"/>
    <xf numFmtId="174" fontId="1" fillId="0" borderId="0" xfId="42" applyNumberFormat="1"/>
    <xf numFmtId="40" fontId="1" fillId="0" borderId="0" xfId="41" applyNumberFormat="1"/>
    <xf numFmtId="177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2" fillId="0" borderId="1" xfId="24" applyNumberFormat="1" applyFont="1" applyBorder="1"/>
    <xf numFmtId="43" fontId="62" fillId="0" borderId="1" xfId="24" applyFont="1" applyBorder="1"/>
    <xf numFmtId="39" fontId="13" fillId="0" borderId="0" xfId="8" quotePrefix="1" applyNumberFormat="1" applyFont="1"/>
    <xf numFmtId="166" fontId="43" fillId="0" borderId="1" xfId="8" applyNumberFormat="1" applyFont="1" applyBorder="1"/>
    <xf numFmtId="166" fontId="43" fillId="0" borderId="4" xfId="8" applyNumberFormat="1" applyFont="1" applyBorder="1"/>
    <xf numFmtId="165" fontId="1" fillId="0" borderId="0" xfId="6" applyNumberFormat="1" applyFont="1"/>
    <xf numFmtId="185" fontId="13" fillId="0" borderId="0" xfId="8" applyNumberFormat="1" applyFont="1" applyProtection="1">
      <protection locked="0"/>
    </xf>
    <xf numFmtId="185" fontId="42" fillId="0" borderId="0" xfId="8" applyNumberFormat="1"/>
    <xf numFmtId="172" fontId="16" fillId="0" borderId="0" xfId="6" applyNumberFormat="1" applyFont="1" applyAlignment="1">
      <alignment horizontal="center"/>
    </xf>
    <xf numFmtId="165" fontId="65" fillId="0" borderId="0" xfId="6" applyNumberFormat="1" applyFont="1"/>
    <xf numFmtId="165" fontId="1" fillId="0" borderId="0" xfId="42" applyNumberFormat="1" applyFill="1"/>
    <xf numFmtId="44" fontId="13" fillId="0" borderId="0" xfId="79" applyFont="1"/>
    <xf numFmtId="44" fontId="56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4" fillId="0" borderId="0" xfId="16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/>
    <xf numFmtId="176" fontId="13" fillId="0" borderId="0" xfId="18" applyNumberFormat="1" applyFont="1" applyFill="1"/>
    <xf numFmtId="176" fontId="13" fillId="0" borderId="0" xfId="2" applyNumberFormat="1" applyFont="1" applyFill="1"/>
    <xf numFmtId="171" fontId="13" fillId="0" borderId="0" xfId="6" applyNumberFormat="1" applyFont="1"/>
    <xf numFmtId="171" fontId="13" fillId="0" borderId="0" xfId="2" applyNumberFormat="1" applyFont="1" applyFill="1"/>
    <xf numFmtId="177" fontId="13" fillId="0" borderId="0" xfId="18" applyNumberFormat="1" applyFont="1" applyProtection="1"/>
    <xf numFmtId="37" fontId="65" fillId="0" borderId="0" xfId="10" applyNumberFormat="1" applyFont="1" applyFill="1" applyProtection="1"/>
    <xf numFmtId="7" fontId="65" fillId="0" borderId="0" xfId="8" applyNumberFormat="1" applyFont="1" applyProtection="1">
      <protection locked="0"/>
    </xf>
    <xf numFmtId="39" fontId="65" fillId="0" borderId="0" xfId="8" quotePrefix="1" applyNumberFormat="1" applyFont="1"/>
    <xf numFmtId="37" fontId="65" fillId="0" borderId="1" xfId="6" applyNumberFormat="1" applyFont="1" applyBorder="1"/>
    <xf numFmtId="0" fontId="43" fillId="0" borderId="0" xfId="13" applyFont="1"/>
    <xf numFmtId="0" fontId="13" fillId="0" borderId="0" xfId="13" applyFont="1"/>
    <xf numFmtId="0" fontId="48" fillId="0" borderId="0" xfId="14" applyFont="1" applyAlignment="1">
      <alignment horizontal="center" wrapText="1"/>
    </xf>
    <xf numFmtId="0" fontId="28" fillId="0" borderId="0" xfId="14" applyAlignment="1">
      <alignment horizontal="center" wrapText="1"/>
    </xf>
    <xf numFmtId="0" fontId="67" fillId="0" borderId="0" xfId="0" applyFont="1"/>
    <xf numFmtId="165" fontId="13" fillId="0" borderId="1" xfId="6" applyNumberFormat="1" applyFont="1" applyBorder="1"/>
    <xf numFmtId="177" fontId="13" fillId="0" borderId="0" xfId="2" applyNumberFormat="1" applyFont="1" applyFill="1" applyProtection="1"/>
    <xf numFmtId="17" fontId="62" fillId="0" borderId="0" xfId="41" applyNumberFormat="1" applyFont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197" fontId="13" fillId="0" borderId="0" xfId="45" applyNumberFormat="1" applyFont="1" applyFill="1"/>
    <xf numFmtId="185" fontId="33" fillId="0" borderId="0" xfId="6" applyNumberFormat="1" applyFont="1" applyProtection="1">
      <protection locked="0"/>
    </xf>
    <xf numFmtId="171" fontId="65" fillId="0" borderId="0" xfId="6" applyNumberFormat="1" applyFont="1"/>
    <xf numFmtId="37" fontId="82" fillId="0" borderId="0" xfId="6" applyNumberFormat="1" applyFont="1"/>
    <xf numFmtId="4" fontId="13" fillId="0" borderId="0" xfId="8" applyNumberFormat="1" applyFont="1"/>
    <xf numFmtId="177" fontId="13" fillId="0" borderId="0" xfId="10" applyNumberFormat="1" applyFont="1" applyFill="1" applyBorder="1" applyProtection="1"/>
    <xf numFmtId="37" fontId="65" fillId="0" borderId="10" xfId="6" applyNumberFormat="1" applyFont="1" applyBorder="1"/>
    <xf numFmtId="10" fontId="65" fillId="0" borderId="0" xfId="6" applyNumberFormat="1" applyFont="1"/>
    <xf numFmtId="10" fontId="14" fillId="0" borderId="0" xfId="45" applyNumberFormat="1" applyFont="1" applyFill="1" applyProtection="1"/>
    <xf numFmtId="176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85" fontId="65" fillId="0" borderId="1" xfId="8" applyNumberFormat="1" applyFont="1" applyBorder="1" applyProtection="1">
      <protection locked="0"/>
    </xf>
    <xf numFmtId="39" fontId="65" fillId="0" borderId="1" xfId="8" applyNumberFormat="1" applyFont="1" applyBorder="1"/>
    <xf numFmtId="170" fontId="62" fillId="0" borderId="0" xfId="13" applyNumberFormat="1" applyFont="1"/>
    <xf numFmtId="170" fontId="1" fillId="0" borderId="0" xfId="13" applyNumberFormat="1" applyFont="1"/>
    <xf numFmtId="7" fontId="62" fillId="0" borderId="0" xfId="13" applyNumberFormat="1" applyFont="1"/>
    <xf numFmtId="43" fontId="13" fillId="0" borderId="0" xfId="18" applyFont="1" applyAlignment="1" applyProtection="1"/>
    <xf numFmtId="192" fontId="13" fillId="0" borderId="0" xfId="8" applyNumberFormat="1" applyFont="1"/>
    <xf numFmtId="8" fontId="10" fillId="0" borderId="0" xfId="19" applyNumberFormat="1" applyFont="1">
      <alignment vertical="center"/>
    </xf>
    <xf numFmtId="7" fontId="56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195" fontId="42" fillId="0" borderId="0" xfId="8" applyNumberFormat="1"/>
    <xf numFmtId="191" fontId="42" fillId="0" borderId="0" xfId="8" applyNumberFormat="1"/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4" fillId="0" borderId="0" xfId="8" applyNumberFormat="1" applyFont="1"/>
    <xf numFmtId="7" fontId="83" fillId="0" borderId="0" xfId="8" applyNumberFormat="1" applyFont="1" applyAlignment="1" applyProtection="1">
      <alignment horizontal="right"/>
      <protection locked="0"/>
    </xf>
    <xf numFmtId="39" fontId="13" fillId="0" borderId="0" xfId="8" applyNumberFormat="1" applyFont="1" applyAlignment="1" applyProtection="1">
      <alignment horizontal="right"/>
      <protection locked="0"/>
    </xf>
    <xf numFmtId="7" fontId="1" fillId="0" borderId="0" xfId="18" applyNumberFormat="1" applyFont="1"/>
    <xf numFmtId="0" fontId="9" fillId="0" borderId="0" xfId="1" applyFont="1"/>
    <xf numFmtId="0" fontId="1" fillId="0" borderId="0" xfId="13" applyFont="1"/>
    <xf numFmtId="166" fontId="62" fillId="0" borderId="0" xfId="42" applyNumberFormat="1" applyFont="1" applyFill="1"/>
    <xf numFmtId="37" fontId="15" fillId="0" borderId="1" xfId="8" applyNumberFormat="1" applyFont="1" applyBorder="1" applyProtection="1">
      <protection locked="0"/>
    </xf>
    <xf numFmtId="0" fontId="84" fillId="0" borderId="0" xfId="6" applyFont="1"/>
    <xf numFmtId="177" fontId="13" fillId="0" borderId="0" xfId="18" applyNumberFormat="1" applyFont="1" applyAlignment="1" applyProtection="1">
      <alignment horizontal="center"/>
    </xf>
    <xf numFmtId="177" fontId="13" fillId="0" borderId="1" xfId="18" applyNumberFormat="1" applyFont="1" applyBorder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39" fontId="62" fillId="0" borderId="0" xfId="41" applyNumberFormat="1" applyFont="1"/>
    <xf numFmtId="177" fontId="62" fillId="0" borderId="0" xfId="213" applyNumberFormat="1" applyFont="1" applyFill="1"/>
    <xf numFmtId="7" fontId="1" fillId="0" borderId="0" xfId="214" applyNumberFormat="1" applyFill="1"/>
    <xf numFmtId="44" fontId="62" fillId="0" borderId="0" xfId="215" applyFont="1" applyFill="1"/>
    <xf numFmtId="39" fontId="65" fillId="0" borderId="1" xfId="8" applyNumberFormat="1" applyFont="1" applyBorder="1" applyProtection="1">
      <protection locked="0"/>
    </xf>
    <xf numFmtId="179" fontId="13" fillId="0" borderId="0" xfId="6" applyNumberFormat="1" applyFont="1"/>
    <xf numFmtId="7" fontId="1" fillId="0" borderId="5" xfId="42" applyNumberFormat="1" applyFill="1" applyBorder="1"/>
    <xf numFmtId="38" fontId="65" fillId="0" borderId="0" xfId="6" applyNumberFormat="1" applyFont="1"/>
    <xf numFmtId="37" fontId="14" fillId="0" borderId="45" xfId="6" applyNumberFormat="1" applyFont="1" applyBorder="1"/>
    <xf numFmtId="0" fontId="65" fillId="0" borderId="46" xfId="6" applyFont="1" applyBorder="1"/>
    <xf numFmtId="174" fontId="14" fillId="0" borderId="47" xfId="4" applyNumberFormat="1" applyFont="1" applyFill="1" applyBorder="1" applyAlignment="1" applyProtection="1">
      <alignment horizontal="center"/>
    </xf>
    <xf numFmtId="10" fontId="84" fillId="0" borderId="0" xfId="6" applyNumberFormat="1" applyFont="1"/>
    <xf numFmtId="166" fontId="65" fillId="0" borderId="0" xfId="6" applyNumberFormat="1" applyFont="1"/>
    <xf numFmtId="173" fontId="65" fillId="0" borderId="0" xfId="6" applyNumberFormat="1" applyFont="1" applyAlignment="1">
      <alignment horizontal="right"/>
    </xf>
    <xf numFmtId="40" fontId="1" fillId="0" borderId="0" xfId="42" applyNumberFormat="1"/>
    <xf numFmtId="43" fontId="0" fillId="0" borderId="45" xfId="18" applyFont="1" applyBorder="1"/>
    <xf numFmtId="39" fontId="65" fillId="0" borderId="0" xfId="8" applyNumberFormat="1" applyFont="1" applyProtection="1">
      <protection locked="0"/>
    </xf>
    <xf numFmtId="39" fontId="65" fillId="0" borderId="45" xfId="8" quotePrefix="1" applyNumberFormat="1" applyFont="1" applyBorder="1"/>
    <xf numFmtId="165" fontId="14" fillId="0" borderId="0" xfId="27" applyNumberFormat="1" applyFont="1"/>
    <xf numFmtId="37" fontId="13" fillId="0" borderId="0" xfId="27" applyNumberFormat="1" applyFont="1"/>
    <xf numFmtId="37" fontId="14" fillId="0" borderId="0" xfId="27" applyNumberFormat="1" applyFont="1"/>
    <xf numFmtId="0" fontId="7" fillId="0" borderId="1" xfId="1" applyFont="1" applyBorder="1" applyAlignment="1">
      <alignment horizontal="center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182" fontId="1" fillId="0" borderId="0" xfId="6" applyNumberFormat="1" applyFont="1" applyAlignment="1">
      <alignment horizontal="center"/>
    </xf>
    <xf numFmtId="0" fontId="3" fillId="0" borderId="0" xfId="6" applyAlignment="1">
      <alignment horizontal="center"/>
    </xf>
    <xf numFmtId="182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0" fontId="1" fillId="0" borderId="0" xfId="6" applyFont="1" applyAlignment="1">
      <alignment horizontal="center"/>
    </xf>
    <xf numFmtId="188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2" fontId="13" fillId="0" borderId="45" xfId="8" applyNumberFormat="1" applyFont="1" applyBorder="1" applyAlignment="1">
      <alignment horizontal="center"/>
    </xf>
    <xf numFmtId="182" fontId="13" fillId="0" borderId="48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N50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I19" sqref="I19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4">
      <c r="A1" s="6" t="s">
        <v>32</v>
      </c>
      <c r="K1" s="18" t="s">
        <v>31</v>
      </c>
    </row>
    <row r="2" spans="1:14">
      <c r="A2" s="1" t="s">
        <v>30</v>
      </c>
      <c r="K2" s="18" t="s">
        <v>29</v>
      </c>
    </row>
    <row r="3" spans="1:14">
      <c r="A3" s="1" t="s">
        <v>28</v>
      </c>
    </row>
    <row r="5" spans="1:14">
      <c r="G5" s="2" t="s">
        <v>27</v>
      </c>
      <c r="I5" s="2" t="s">
        <v>26</v>
      </c>
      <c r="K5" s="2" t="s">
        <v>25</v>
      </c>
    </row>
    <row r="6" spans="1:14">
      <c r="A6" s="17" t="s">
        <v>24</v>
      </c>
      <c r="B6" s="6"/>
      <c r="C6" s="6"/>
      <c r="D6" s="6"/>
      <c r="E6" s="6"/>
      <c r="F6" s="6"/>
      <c r="G6" s="497" t="s">
        <v>3</v>
      </c>
      <c r="H6" s="497"/>
      <c r="I6" s="497"/>
      <c r="J6" s="6"/>
      <c r="K6" s="6"/>
    </row>
    <row r="7" spans="1:14">
      <c r="A7" s="16" t="s">
        <v>23</v>
      </c>
      <c r="B7" s="14" t="s">
        <v>22</v>
      </c>
      <c r="C7" s="14"/>
      <c r="D7" s="14"/>
      <c r="E7" s="14"/>
      <c r="F7" s="14"/>
      <c r="G7" s="15" t="s">
        <v>572</v>
      </c>
      <c r="H7" s="14"/>
      <c r="I7" s="15" t="s">
        <v>575</v>
      </c>
      <c r="J7" s="14"/>
      <c r="K7" s="14" t="s">
        <v>21</v>
      </c>
    </row>
    <row r="8" spans="1:14">
      <c r="G8" s="2" t="s">
        <v>20</v>
      </c>
      <c r="I8" s="2" t="s">
        <v>20</v>
      </c>
      <c r="K8" s="2" t="s">
        <v>20</v>
      </c>
    </row>
    <row r="9" spans="1:14">
      <c r="A9" s="3">
        <v>1</v>
      </c>
      <c r="B9" s="7" t="s">
        <v>19</v>
      </c>
    </row>
    <row r="10" spans="1:14">
      <c r="A10" s="3">
        <v>2</v>
      </c>
    </row>
    <row r="11" spans="1:14">
      <c r="A11" s="3">
        <v>3</v>
      </c>
      <c r="B11" s="464" t="s">
        <v>571</v>
      </c>
    </row>
    <row r="12" spans="1:14">
      <c r="A12" s="3">
        <v>4</v>
      </c>
      <c r="B12" s="8" t="s">
        <v>6</v>
      </c>
      <c r="C12" s="3">
        <v>300</v>
      </c>
      <c r="D12" s="1" t="s">
        <v>4</v>
      </c>
      <c r="G12" s="399">
        <f>A.2!G12</f>
        <v>1.5483</v>
      </c>
      <c r="H12" s="335"/>
      <c r="I12" s="4">
        <f>A.2!I12</f>
        <v>1.5483</v>
      </c>
      <c r="K12" s="4">
        <f>I12-G12</f>
        <v>0</v>
      </c>
    </row>
    <row r="13" spans="1:14">
      <c r="A13" s="3">
        <v>5</v>
      </c>
      <c r="B13" s="8" t="s">
        <v>18</v>
      </c>
      <c r="C13" s="3">
        <v>14700</v>
      </c>
      <c r="D13" s="1" t="s">
        <v>4</v>
      </c>
      <c r="G13" s="399">
        <f>A.2!G13</f>
        <v>1.0762</v>
      </c>
      <c r="H13" s="335"/>
      <c r="I13" s="4">
        <f>A.2!I13</f>
        <v>1.0762</v>
      </c>
      <c r="K13" s="4">
        <f>I13-G13</f>
        <v>0</v>
      </c>
    </row>
    <row r="14" spans="1:14">
      <c r="A14" s="3">
        <v>6</v>
      </c>
      <c r="B14" s="8" t="s">
        <v>5</v>
      </c>
      <c r="C14" s="3">
        <v>15000</v>
      </c>
      <c r="D14" s="1" t="s">
        <v>4</v>
      </c>
      <c r="G14" s="399">
        <f>A.2!G14</f>
        <v>0.88880000000000003</v>
      </c>
      <c r="H14" s="335"/>
      <c r="I14" s="4">
        <f>A.2!I14</f>
        <v>0.88880000000000003</v>
      </c>
      <c r="K14" s="4">
        <f>I14-G14</f>
        <v>0</v>
      </c>
    </row>
    <row r="15" spans="1:14">
      <c r="A15" s="3">
        <v>7</v>
      </c>
      <c r="G15" s="13"/>
      <c r="N15" s="300"/>
    </row>
    <row r="16" spans="1:14">
      <c r="A16" s="3">
        <v>8</v>
      </c>
      <c r="B16" s="9" t="s">
        <v>16</v>
      </c>
      <c r="G16" s="13"/>
      <c r="N16" s="300"/>
    </row>
    <row r="17" spans="1:14">
      <c r="A17" s="3">
        <v>9</v>
      </c>
      <c r="B17" s="11" t="s">
        <v>15</v>
      </c>
      <c r="G17" s="13"/>
      <c r="N17" s="300"/>
    </row>
    <row r="18" spans="1:14">
      <c r="A18" s="3">
        <v>10</v>
      </c>
      <c r="B18" s="12" t="s">
        <v>14</v>
      </c>
      <c r="G18" s="336">
        <v>2.7654000000000001</v>
      </c>
      <c r="H18" s="4"/>
      <c r="I18" s="4">
        <f>ROUND(B.7!$G$45,4)</f>
        <v>3.5640000000000001</v>
      </c>
      <c r="J18" s="4"/>
      <c r="K18" s="4">
        <f t="shared" ref="K18:K24" si="0">I18-G18</f>
        <v>0.79859999999999998</v>
      </c>
      <c r="N18" s="300"/>
    </row>
    <row r="19" spans="1:14">
      <c r="A19" s="3">
        <v>11</v>
      </c>
      <c r="B19" s="12" t="s">
        <v>13</v>
      </c>
      <c r="G19" s="337">
        <v>1.286</v>
      </c>
      <c r="H19" s="5"/>
      <c r="I19" s="5">
        <f>ROUND(B.6!$H$19,4)</f>
        <v>1.286</v>
      </c>
      <c r="J19" s="5"/>
      <c r="K19" s="5">
        <f t="shared" si="0"/>
        <v>0</v>
      </c>
      <c r="N19" s="300"/>
    </row>
    <row r="20" spans="1:14">
      <c r="A20" s="3">
        <v>12</v>
      </c>
      <c r="B20" s="11" t="s">
        <v>12</v>
      </c>
      <c r="G20" s="399">
        <f>G18+G19</f>
        <v>4.0514000000000001</v>
      </c>
      <c r="H20" s="4"/>
      <c r="I20" s="4">
        <f>ROUND(SUM(I18:I19),4)</f>
        <v>4.8499999999999996</v>
      </c>
      <c r="J20" s="4"/>
      <c r="K20" s="4">
        <f t="shared" si="0"/>
        <v>0.79859999999999953</v>
      </c>
      <c r="N20" s="300"/>
    </row>
    <row r="21" spans="1:14">
      <c r="A21" s="3">
        <v>13</v>
      </c>
      <c r="B21" s="11" t="s">
        <v>11</v>
      </c>
      <c r="G21" s="336">
        <v>-1.1836</v>
      </c>
      <c r="H21" s="4"/>
      <c r="I21" s="4">
        <f>ROUND(D.1!$G$45,4)</f>
        <v>-1.2141999999999999</v>
      </c>
      <c r="J21" s="4"/>
      <c r="K21" s="4">
        <f t="shared" si="0"/>
        <v>-3.0599999999999961E-2</v>
      </c>
      <c r="N21" s="300"/>
    </row>
    <row r="22" spans="1:14">
      <c r="A22" s="3">
        <v>14</v>
      </c>
      <c r="B22" s="11" t="s">
        <v>10</v>
      </c>
      <c r="G22" s="336">
        <v>0</v>
      </c>
      <c r="H22" s="4"/>
      <c r="I22" s="4">
        <v>0</v>
      </c>
      <c r="J22" s="4"/>
      <c r="K22" s="4">
        <f t="shared" si="0"/>
        <v>0</v>
      </c>
      <c r="N22" s="300"/>
    </row>
    <row r="23" spans="1:14">
      <c r="A23" s="3">
        <v>15</v>
      </c>
      <c r="B23" s="11" t="s">
        <v>9</v>
      </c>
      <c r="G23" s="337">
        <v>0.2354</v>
      </c>
      <c r="H23" s="4"/>
      <c r="I23" s="10">
        <v>0.2354</v>
      </c>
      <c r="J23" s="4"/>
      <c r="K23" s="5">
        <f t="shared" si="0"/>
        <v>0</v>
      </c>
      <c r="N23" s="300"/>
    </row>
    <row r="24" spans="1:14">
      <c r="A24" s="3">
        <v>16</v>
      </c>
      <c r="B24" s="8" t="s">
        <v>8</v>
      </c>
      <c r="G24" s="399">
        <f>G20+G21+G22+G23</f>
        <v>3.1031999999999997</v>
      </c>
      <c r="H24" s="4"/>
      <c r="I24" s="4">
        <f>ROUND(SUM(I20:I23),4)</f>
        <v>3.8712</v>
      </c>
      <c r="J24" s="4"/>
      <c r="K24" s="4">
        <f t="shared" si="0"/>
        <v>0.76800000000000024</v>
      </c>
      <c r="M24" s="4"/>
    </row>
    <row r="25" spans="1:14">
      <c r="A25" s="3">
        <v>17</v>
      </c>
      <c r="G25" s="336"/>
      <c r="H25" s="4"/>
      <c r="I25" s="4"/>
      <c r="J25" s="4"/>
      <c r="K25" s="4"/>
      <c r="M25" s="4"/>
    </row>
    <row r="26" spans="1:14">
      <c r="A26" s="3">
        <v>18</v>
      </c>
      <c r="B26" s="9" t="s">
        <v>7</v>
      </c>
      <c r="G26" s="336"/>
      <c r="H26" s="4"/>
      <c r="I26" s="4"/>
      <c r="J26" s="4"/>
      <c r="K26" s="4"/>
      <c r="M26" s="4"/>
    </row>
    <row r="27" spans="1:14">
      <c r="A27" s="3">
        <v>19</v>
      </c>
      <c r="B27" s="8" t="s">
        <v>6</v>
      </c>
      <c r="C27" s="3">
        <v>300</v>
      </c>
      <c r="D27" s="1" t="s">
        <v>4</v>
      </c>
      <c r="G27" s="399">
        <f>G12+$G$24</f>
        <v>4.6514999999999995</v>
      </c>
      <c r="H27" s="4"/>
      <c r="I27" s="4">
        <f>I12+I24</f>
        <v>5.4195000000000002</v>
      </c>
      <c r="J27" s="4"/>
      <c r="K27" s="4">
        <f>I27-G27</f>
        <v>0.76800000000000068</v>
      </c>
      <c r="M27" s="4"/>
    </row>
    <row r="28" spans="1:14">
      <c r="A28" s="3">
        <v>20</v>
      </c>
      <c r="B28" s="8" t="s">
        <v>18</v>
      </c>
      <c r="C28" s="3">
        <v>14700</v>
      </c>
      <c r="D28" s="1" t="s">
        <v>4</v>
      </c>
      <c r="G28" s="399">
        <f t="shared" ref="G28:G29" si="1">G13+$G$24</f>
        <v>4.1793999999999993</v>
      </c>
      <c r="H28" s="4"/>
      <c r="I28" s="4">
        <f>+I13+I24</f>
        <v>4.9474</v>
      </c>
      <c r="J28" s="4"/>
      <c r="K28" s="4">
        <f>I28-G28</f>
        <v>0.76800000000000068</v>
      </c>
      <c r="M28" s="4"/>
    </row>
    <row r="29" spans="1:14">
      <c r="A29" s="3">
        <v>21</v>
      </c>
      <c r="B29" s="8" t="s">
        <v>5</v>
      </c>
      <c r="C29" s="3">
        <v>15000</v>
      </c>
      <c r="D29" s="1" t="s">
        <v>4</v>
      </c>
      <c r="G29" s="399">
        <f t="shared" si="1"/>
        <v>3.992</v>
      </c>
      <c r="H29" s="4"/>
      <c r="I29" s="4">
        <f>+I14+I24</f>
        <v>4.76</v>
      </c>
      <c r="J29" s="4"/>
      <c r="K29" s="4">
        <f>I29-G29</f>
        <v>0.76799999999999979</v>
      </c>
      <c r="M29" s="4"/>
    </row>
    <row r="30" spans="1:14">
      <c r="A30" s="3">
        <v>22</v>
      </c>
      <c r="G30" s="338"/>
      <c r="M30" s="4"/>
    </row>
    <row r="31" spans="1:14">
      <c r="A31" s="3">
        <v>23</v>
      </c>
      <c r="G31" s="338"/>
      <c r="M31" s="4"/>
    </row>
    <row r="32" spans="1:14">
      <c r="A32" s="3">
        <v>24</v>
      </c>
      <c r="B32" s="7" t="s">
        <v>17</v>
      </c>
      <c r="G32" s="338"/>
      <c r="M32" s="4"/>
    </row>
    <row r="33" spans="1:13">
      <c r="A33" s="3">
        <v>25</v>
      </c>
      <c r="G33" s="338"/>
      <c r="M33" s="4"/>
    </row>
    <row r="34" spans="1:13">
      <c r="A34" s="3">
        <v>26</v>
      </c>
      <c r="B34" s="464" t="str">
        <f>+B11</f>
        <v>Distribution Charge (per Case No. 2021-00214)</v>
      </c>
      <c r="G34" s="338"/>
      <c r="M34" s="4"/>
    </row>
    <row r="35" spans="1:13">
      <c r="A35" s="3">
        <v>27</v>
      </c>
      <c r="B35" s="8" t="s">
        <v>6</v>
      </c>
      <c r="C35" s="3">
        <v>15000</v>
      </c>
      <c r="D35" s="1" t="s">
        <v>4</v>
      </c>
      <c r="G35" s="399">
        <f>A.2!G20</f>
        <v>0.95569999999999999</v>
      </c>
      <c r="I35" s="4">
        <v>0.95569999999999999</v>
      </c>
      <c r="K35" s="4">
        <f>I35-G35</f>
        <v>0</v>
      </c>
      <c r="M35" s="4"/>
    </row>
    <row r="36" spans="1:13">
      <c r="A36" s="3">
        <v>28</v>
      </c>
      <c r="B36" s="8" t="s">
        <v>5</v>
      </c>
      <c r="C36" s="3">
        <v>15000</v>
      </c>
      <c r="D36" s="1" t="s">
        <v>4</v>
      </c>
      <c r="G36" s="399">
        <f>A.2!G21</f>
        <v>0.78369999999999995</v>
      </c>
      <c r="I36" s="4">
        <v>0.78369999999999995</v>
      </c>
      <c r="K36" s="4">
        <f>I36-G36</f>
        <v>0</v>
      </c>
      <c r="M36" s="4"/>
    </row>
    <row r="37" spans="1:13">
      <c r="A37" s="3">
        <v>29</v>
      </c>
      <c r="G37" s="338"/>
      <c r="M37" s="4"/>
    </row>
    <row r="38" spans="1:13">
      <c r="A38" s="3">
        <v>30</v>
      </c>
      <c r="B38" s="9" t="s">
        <v>16</v>
      </c>
      <c r="G38" s="338"/>
      <c r="M38" s="4"/>
    </row>
    <row r="39" spans="1:13">
      <c r="A39" s="3">
        <v>31</v>
      </c>
      <c r="B39" s="11" t="s">
        <v>15</v>
      </c>
      <c r="G39" s="338"/>
      <c r="M39" s="4"/>
    </row>
    <row r="40" spans="1:13">
      <c r="A40" s="3">
        <v>32</v>
      </c>
      <c r="B40" s="12" t="s">
        <v>14</v>
      </c>
      <c r="G40" s="336">
        <v>2.7654000000000001</v>
      </c>
      <c r="H40" s="4"/>
      <c r="I40" s="4">
        <f>I18</f>
        <v>3.5640000000000001</v>
      </c>
      <c r="J40" s="4"/>
      <c r="K40" s="4">
        <f t="shared" ref="K40:K46" si="2">I40-G40</f>
        <v>0.79859999999999998</v>
      </c>
      <c r="M40" s="4"/>
    </row>
    <row r="41" spans="1:13">
      <c r="A41" s="3">
        <v>33</v>
      </c>
      <c r="B41" s="12" t="s">
        <v>13</v>
      </c>
      <c r="G41" s="337">
        <v>0.18709999999999999</v>
      </c>
      <c r="H41" s="5"/>
      <c r="I41" s="5">
        <f>ROUND(B.6!$I$19,4)</f>
        <v>0.188</v>
      </c>
      <c r="J41" s="5"/>
      <c r="K41" s="5">
        <f t="shared" si="2"/>
        <v>9.000000000000119E-4</v>
      </c>
      <c r="M41" s="4"/>
    </row>
    <row r="42" spans="1:13">
      <c r="A42" s="3">
        <v>34</v>
      </c>
      <c r="B42" s="11" t="s">
        <v>12</v>
      </c>
      <c r="G42" s="399">
        <f>G40+G41</f>
        <v>2.9525000000000001</v>
      </c>
      <c r="H42" s="4"/>
      <c r="I42" s="4">
        <f>ROUND(SUM(I40:I41),4)</f>
        <v>3.7519999999999998</v>
      </c>
      <c r="J42" s="4"/>
      <c r="K42" s="4">
        <f t="shared" si="2"/>
        <v>0.79949999999999966</v>
      </c>
      <c r="M42" s="4"/>
    </row>
    <row r="43" spans="1:13">
      <c r="A43" s="3">
        <v>35</v>
      </c>
      <c r="B43" s="11" t="s">
        <v>11</v>
      </c>
      <c r="G43" s="336">
        <v>-1.1836</v>
      </c>
      <c r="H43" s="4"/>
      <c r="I43" s="4">
        <f>ROUND(D.1!$G$45,4)</f>
        <v>-1.2141999999999999</v>
      </c>
      <c r="J43" s="4"/>
      <c r="K43" s="4">
        <f t="shared" si="2"/>
        <v>-3.0599999999999961E-2</v>
      </c>
      <c r="M43" s="4"/>
    </row>
    <row r="44" spans="1:13">
      <c r="A44" s="3">
        <v>36</v>
      </c>
      <c r="B44" s="11" t="s">
        <v>10</v>
      </c>
      <c r="G44" s="336">
        <v>0</v>
      </c>
      <c r="H44" s="4"/>
      <c r="I44" s="4">
        <v>0</v>
      </c>
      <c r="J44" s="4"/>
      <c r="K44" s="4">
        <f t="shared" si="2"/>
        <v>0</v>
      </c>
      <c r="M44" s="4"/>
    </row>
    <row r="45" spans="1:13">
      <c r="A45" s="3">
        <v>37</v>
      </c>
      <c r="B45" s="11" t="s">
        <v>9</v>
      </c>
      <c r="G45" s="337">
        <v>0.2354</v>
      </c>
      <c r="H45" s="4"/>
      <c r="I45" s="10">
        <f>+I23</f>
        <v>0.2354</v>
      </c>
      <c r="J45" s="4"/>
      <c r="K45" s="5">
        <f t="shared" si="2"/>
        <v>0</v>
      </c>
      <c r="M45" s="4"/>
    </row>
    <row r="46" spans="1:13">
      <c r="A46" s="3">
        <v>38</v>
      </c>
      <c r="B46" s="8" t="s">
        <v>8</v>
      </c>
      <c r="G46" s="399">
        <f>+G42+G43+G44+G45</f>
        <v>2.0043000000000002</v>
      </c>
      <c r="H46" s="4"/>
      <c r="I46" s="4">
        <f>ROUND(SUM(I42:I45),4)</f>
        <v>2.7732000000000001</v>
      </c>
      <c r="J46" s="4"/>
      <c r="K46" s="4">
        <f t="shared" si="2"/>
        <v>0.76889999999999992</v>
      </c>
      <c r="M46" s="4"/>
    </row>
    <row r="47" spans="1:13">
      <c r="A47" s="3">
        <v>39</v>
      </c>
      <c r="G47" s="336"/>
      <c r="H47" s="4"/>
      <c r="I47" s="4"/>
      <c r="J47" s="4"/>
      <c r="K47" s="4"/>
      <c r="M47" s="4"/>
    </row>
    <row r="48" spans="1:13">
      <c r="A48" s="3">
        <v>40</v>
      </c>
      <c r="B48" s="9" t="s">
        <v>7</v>
      </c>
      <c r="G48" s="336"/>
      <c r="H48" s="4"/>
      <c r="I48" s="4"/>
      <c r="J48" s="4"/>
      <c r="K48" s="4"/>
      <c r="M48" s="4"/>
    </row>
    <row r="49" spans="1:13">
      <c r="A49" s="3">
        <v>41</v>
      </c>
      <c r="B49" s="8" t="s">
        <v>6</v>
      </c>
      <c r="C49" s="3">
        <v>300</v>
      </c>
      <c r="D49" s="1" t="s">
        <v>4</v>
      </c>
      <c r="G49" s="399">
        <f>+G35+$G$46</f>
        <v>2.96</v>
      </c>
      <c r="H49" s="4"/>
      <c r="I49" s="4">
        <f>I35+I46</f>
        <v>3.7289000000000003</v>
      </c>
      <c r="J49" s="4"/>
      <c r="K49" s="4">
        <f>I49-G49</f>
        <v>0.76890000000000036</v>
      </c>
      <c r="M49" s="4"/>
    </row>
    <row r="50" spans="1:13">
      <c r="A50" s="3">
        <v>42</v>
      </c>
      <c r="B50" s="8" t="s">
        <v>5</v>
      </c>
      <c r="C50" s="3">
        <v>14700</v>
      </c>
      <c r="D50" s="1" t="s">
        <v>4</v>
      </c>
      <c r="G50" s="399">
        <f>+G36+$G$46</f>
        <v>2.7880000000000003</v>
      </c>
      <c r="H50" s="4"/>
      <c r="I50" s="4">
        <f>+I36+I46</f>
        <v>3.5569000000000002</v>
      </c>
      <c r="J50" s="4"/>
      <c r="K50" s="4">
        <f>I50-G50</f>
        <v>0.76889999999999992</v>
      </c>
      <c r="M50" s="4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H23"/>
  <sheetViews>
    <sheetView zoomScale="80" zoomScaleNormal="80" zoomScaleSheetLayoutView="115" workbookViewId="0">
      <selection activeCell="G34" sqref="G34"/>
    </sheetView>
  </sheetViews>
  <sheetFormatPr defaultColWidth="9.85546875" defaultRowHeight="14.25"/>
  <cols>
    <col min="1" max="1" width="5.85546875" style="39" customWidth="1"/>
    <col min="2" max="2" width="30" style="39" customWidth="1"/>
    <col min="3" max="3" width="15.28515625" style="39" customWidth="1"/>
    <col min="4" max="4" width="18" style="39" customWidth="1"/>
    <col min="5" max="5" width="9.85546875" style="39"/>
    <col min="6" max="6" width="13" style="39" bestFit="1" customWidth="1"/>
    <col min="7" max="7" width="14.140625" style="39" customWidth="1"/>
    <col min="8" max="16384" width="9.85546875" style="39"/>
  </cols>
  <sheetData>
    <row r="1" spans="1:8" ht="15">
      <c r="A1" s="68" t="s">
        <v>32</v>
      </c>
      <c r="B1" s="55"/>
      <c r="C1" s="55"/>
      <c r="D1" s="55"/>
      <c r="E1" s="55"/>
      <c r="F1" s="41" t="s">
        <v>125</v>
      </c>
    </row>
    <row r="2" spans="1:8">
      <c r="A2" s="39" t="str">
        <f>B.1!A2</f>
        <v>Expected Gas Cost (EGC) Calculation</v>
      </c>
      <c r="D2" s="55"/>
      <c r="E2" s="55"/>
      <c r="F2" s="41" t="s">
        <v>284</v>
      </c>
    </row>
    <row r="3" spans="1:8">
      <c r="A3" s="55" t="s">
        <v>283</v>
      </c>
      <c r="B3" s="55"/>
      <c r="C3" s="55"/>
      <c r="D3" s="41"/>
      <c r="E3" s="41"/>
      <c r="F3" s="41"/>
    </row>
    <row r="6" spans="1:8" ht="15">
      <c r="A6" s="64" t="s">
        <v>24</v>
      </c>
      <c r="B6" s="61"/>
      <c r="C6" s="61"/>
      <c r="D6" s="61"/>
      <c r="E6" s="61"/>
      <c r="F6" s="61"/>
    </row>
    <row r="7" spans="1:8" ht="15">
      <c r="A7" s="63" t="s">
        <v>23</v>
      </c>
      <c r="B7" s="63" t="s">
        <v>22</v>
      </c>
      <c r="C7" s="62"/>
      <c r="D7" s="62"/>
      <c r="E7" s="62"/>
      <c r="F7" s="63" t="s">
        <v>282</v>
      </c>
    </row>
    <row r="9" spans="1:8">
      <c r="A9" s="41"/>
      <c r="B9" s="121"/>
      <c r="C9" s="41"/>
      <c r="D9" s="41"/>
      <c r="E9" s="41"/>
      <c r="F9" s="41"/>
    </row>
    <row r="10" spans="1:8">
      <c r="A10" s="41"/>
      <c r="B10" s="84" t="s">
        <v>281</v>
      </c>
      <c r="C10" s="41"/>
      <c r="D10" s="41"/>
      <c r="E10" s="41"/>
      <c r="F10" s="41"/>
    </row>
    <row r="11" spans="1:8">
      <c r="A11" s="60" t="s">
        <v>202</v>
      </c>
      <c r="B11" s="41" t="s">
        <v>280</v>
      </c>
      <c r="C11" s="41"/>
      <c r="D11" s="41"/>
      <c r="E11" s="47"/>
      <c r="F11" s="47">
        <f>B.6!E26+B.6!E30</f>
        <v>16851020.133679997</v>
      </c>
    </row>
    <row r="12" spans="1:8">
      <c r="A12" s="60">
        <v>2</v>
      </c>
      <c r="B12" s="41" t="s">
        <v>279</v>
      </c>
      <c r="C12" s="41"/>
      <c r="D12" s="41"/>
      <c r="E12" s="41"/>
      <c r="F12" s="77">
        <v>0</v>
      </c>
    </row>
    <row r="13" spans="1:8">
      <c r="A13" s="60">
        <v>3</v>
      </c>
      <c r="B13" s="41" t="s">
        <v>278</v>
      </c>
      <c r="C13" s="41"/>
      <c r="D13" s="41"/>
      <c r="E13" s="41"/>
      <c r="F13" s="47">
        <f>SUM(F11:F12)</f>
        <v>16851020.133679997</v>
      </c>
    </row>
    <row r="14" spans="1:8">
      <c r="A14" s="60">
        <v>4</v>
      </c>
      <c r="B14" s="41" t="s">
        <v>277</v>
      </c>
      <c r="C14" s="41"/>
      <c r="D14" s="41"/>
      <c r="E14" s="41"/>
      <c r="F14" s="77">
        <v>365</v>
      </c>
    </row>
    <row r="15" spans="1:8" ht="15" thickBot="1">
      <c r="A15" s="60">
        <v>5</v>
      </c>
      <c r="B15" s="41" t="s">
        <v>276</v>
      </c>
      <c r="C15" s="41"/>
      <c r="D15" s="41"/>
      <c r="E15" s="41"/>
      <c r="F15" s="120">
        <f>ROUND(F13/365,0)</f>
        <v>46167</v>
      </c>
      <c r="H15" s="475"/>
    </row>
    <row r="16" spans="1:8" ht="15" thickTop="1">
      <c r="A16" s="60">
        <v>6</v>
      </c>
      <c r="B16" s="41"/>
      <c r="C16" s="41"/>
      <c r="D16" s="41"/>
      <c r="E16" s="41"/>
      <c r="F16" s="47"/>
      <c r="G16" s="41"/>
      <c r="H16" s="475"/>
    </row>
    <row r="17" spans="1:8">
      <c r="A17" s="60">
        <v>7</v>
      </c>
      <c r="B17" s="84" t="s">
        <v>275</v>
      </c>
      <c r="C17" s="41"/>
      <c r="D17" s="41"/>
      <c r="E17" s="41"/>
      <c r="F17" s="41"/>
      <c r="G17" s="41"/>
      <c r="H17" s="475"/>
    </row>
    <row r="18" spans="1:8">
      <c r="A18" s="60">
        <v>8</v>
      </c>
      <c r="B18" s="41" t="s">
        <v>274</v>
      </c>
      <c r="C18" s="41"/>
      <c r="D18" s="41"/>
      <c r="E18" s="41"/>
      <c r="F18" s="41"/>
      <c r="G18" s="41"/>
      <c r="H18" s="475"/>
    </row>
    <row r="19" spans="1:8" ht="15" thickBot="1">
      <c r="A19" s="60">
        <v>9</v>
      </c>
      <c r="B19" s="41" t="s">
        <v>273</v>
      </c>
      <c r="C19" s="41"/>
      <c r="D19" s="41"/>
      <c r="E19" s="41"/>
      <c r="F19" s="439">
        <v>311262</v>
      </c>
      <c r="G19" s="41" t="s">
        <v>272</v>
      </c>
      <c r="H19" s="475"/>
    </row>
    <row r="20" spans="1:8" ht="15" thickTop="1">
      <c r="A20" s="60">
        <v>10</v>
      </c>
      <c r="B20" s="41"/>
      <c r="C20" s="41"/>
      <c r="D20" s="41"/>
      <c r="E20" s="41"/>
      <c r="F20" s="47"/>
      <c r="G20" s="41"/>
      <c r="H20" s="475"/>
    </row>
    <row r="21" spans="1:8">
      <c r="A21" s="60">
        <v>11</v>
      </c>
      <c r="B21" s="41"/>
      <c r="C21" s="41"/>
      <c r="D21" s="41"/>
      <c r="E21" s="41"/>
      <c r="F21" s="41"/>
      <c r="G21" s="41"/>
      <c r="H21" s="475"/>
    </row>
    <row r="22" spans="1:8" ht="15">
      <c r="A22" s="60">
        <v>12</v>
      </c>
      <c r="B22" s="41" t="s">
        <v>271</v>
      </c>
      <c r="C22" s="41"/>
      <c r="D22" s="41"/>
      <c r="E22" s="41"/>
      <c r="F22" s="119">
        <f>ROUND(F15/F19,4)</f>
        <v>0.14829999999999999</v>
      </c>
      <c r="G22" s="41"/>
      <c r="H22" s="475"/>
    </row>
    <row r="23" spans="1:8">
      <c r="A23" s="60">
        <v>13</v>
      </c>
      <c r="B23" s="41"/>
      <c r="C23" s="41"/>
      <c r="D23" s="41"/>
      <c r="E23" s="41"/>
      <c r="F23" s="47"/>
      <c r="G23" s="41"/>
      <c r="H23" s="475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N49"/>
  <sheetViews>
    <sheetView zoomScale="80" zoomScaleNormal="80" zoomScaleSheetLayoutView="85" workbookViewId="0">
      <selection activeCell="L26" sqref="L26"/>
    </sheetView>
  </sheetViews>
  <sheetFormatPr defaultColWidth="9.85546875" defaultRowHeight="12.75"/>
  <cols>
    <col min="1" max="1" width="7.7109375" style="142" customWidth="1"/>
    <col min="2" max="2" width="19" style="142" customWidth="1"/>
    <col min="3" max="3" width="13.5703125" style="143" customWidth="1"/>
    <col min="4" max="4" width="9.7109375" style="142" customWidth="1"/>
    <col min="5" max="5" width="14.7109375" style="142" customWidth="1"/>
    <col min="6" max="6" width="2.7109375" style="142" customWidth="1"/>
    <col min="7" max="7" width="14.7109375" style="142" customWidth="1"/>
    <col min="8" max="8" width="2.7109375" style="142" customWidth="1"/>
    <col min="9" max="9" width="13.140625" style="142" bestFit="1" customWidth="1"/>
    <col min="10" max="10" width="9.85546875" style="142"/>
    <col min="11" max="12" width="10.7109375" style="142" bestFit="1" customWidth="1"/>
    <col min="13" max="16384" width="9.85546875" style="142"/>
  </cols>
  <sheetData>
    <row r="1" spans="1:12" ht="15.75">
      <c r="A1" s="501" t="s">
        <v>32</v>
      </c>
      <c r="B1" s="501"/>
      <c r="C1" s="501"/>
      <c r="D1" s="501"/>
      <c r="E1" s="501"/>
      <c r="F1" s="501"/>
      <c r="G1" s="501"/>
      <c r="H1" s="501"/>
      <c r="I1" s="501"/>
    </row>
    <row r="2" spans="1:12" ht="15.75">
      <c r="A2" s="502" t="s">
        <v>301</v>
      </c>
      <c r="B2" s="502"/>
      <c r="C2" s="502"/>
      <c r="D2" s="502"/>
      <c r="E2" s="502"/>
      <c r="F2" s="502"/>
      <c r="G2" s="502"/>
      <c r="H2" s="502"/>
      <c r="I2" s="502"/>
    </row>
    <row r="3" spans="1:12" ht="15.75">
      <c r="A3" s="503" t="s">
        <v>577</v>
      </c>
      <c r="B3" s="503"/>
      <c r="C3" s="503"/>
      <c r="D3" s="503"/>
      <c r="E3" s="503"/>
      <c r="F3" s="503"/>
      <c r="G3" s="503"/>
      <c r="H3" s="503"/>
      <c r="I3" s="503"/>
    </row>
    <row r="4" spans="1:12" ht="12.75" customHeight="1">
      <c r="A4" s="149"/>
      <c r="B4" s="149"/>
      <c r="C4" s="163"/>
      <c r="D4" s="149"/>
      <c r="E4" s="149"/>
      <c r="F4" s="149"/>
      <c r="G4" s="149"/>
      <c r="H4" s="149"/>
      <c r="I4" s="149"/>
    </row>
    <row r="5" spans="1:12">
      <c r="A5" s="500" t="s">
        <v>300</v>
      </c>
      <c r="B5" s="500"/>
      <c r="C5" s="500"/>
      <c r="D5" s="500"/>
      <c r="E5" s="500"/>
      <c r="F5" s="500"/>
      <c r="G5" s="500"/>
      <c r="H5" s="500"/>
      <c r="I5" s="500"/>
    </row>
    <row r="6" spans="1:12" ht="27" customHeight="1">
      <c r="A6" s="500"/>
      <c r="B6" s="500"/>
      <c r="C6" s="500"/>
      <c r="D6" s="500"/>
      <c r="E6" s="500"/>
      <c r="F6" s="500"/>
      <c r="G6" s="500"/>
      <c r="H6" s="500"/>
      <c r="I6" s="500"/>
    </row>
    <row r="7" spans="1:12" ht="15.75">
      <c r="A7" s="149"/>
      <c r="B7" s="149"/>
      <c r="C7" s="163"/>
      <c r="D7" s="149"/>
      <c r="E7" s="149"/>
      <c r="F7" s="149"/>
      <c r="G7" s="149"/>
      <c r="H7" s="149"/>
      <c r="I7" s="149"/>
      <c r="J7" s="157"/>
      <c r="K7" s="157"/>
      <c r="L7" s="157"/>
    </row>
    <row r="8" spans="1:12" ht="15.75" customHeight="1">
      <c r="A8" s="149" t="s">
        <v>299</v>
      </c>
      <c r="B8" s="499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November 2023 through January 2024 during the period September 15 through September 28, 2023.</v>
      </c>
      <c r="C8" s="499"/>
      <c r="D8" s="499"/>
      <c r="E8" s="499"/>
      <c r="F8" s="499"/>
      <c r="G8" s="499"/>
      <c r="H8" s="499"/>
      <c r="I8" s="499"/>
      <c r="J8" s="150"/>
      <c r="K8" s="150"/>
      <c r="L8" s="150"/>
    </row>
    <row r="9" spans="1:12" ht="15.75">
      <c r="A9" s="149"/>
      <c r="B9" s="499"/>
      <c r="C9" s="499"/>
      <c r="D9" s="499"/>
      <c r="E9" s="499"/>
      <c r="F9" s="499"/>
      <c r="G9" s="499"/>
      <c r="H9" s="499"/>
      <c r="I9" s="499"/>
      <c r="J9" s="150"/>
      <c r="K9" s="150"/>
      <c r="L9" s="150"/>
    </row>
    <row r="10" spans="1:12" ht="15.75">
      <c r="A10" s="149"/>
      <c r="B10" s="499"/>
      <c r="C10" s="499"/>
      <c r="D10" s="499"/>
      <c r="E10" s="499"/>
      <c r="F10" s="499"/>
      <c r="G10" s="499"/>
      <c r="H10" s="499"/>
      <c r="I10" s="499"/>
      <c r="J10" s="150"/>
      <c r="K10" s="150"/>
      <c r="L10" s="150"/>
    </row>
    <row r="11" spans="1:12" ht="15.75">
      <c r="A11" s="149"/>
      <c r="B11" s="146"/>
      <c r="C11" s="163"/>
      <c r="D11" s="149"/>
      <c r="E11" s="149"/>
      <c r="F11" s="149"/>
      <c r="G11" s="149"/>
      <c r="H11" s="149"/>
      <c r="I11" s="149"/>
      <c r="J11" s="150"/>
      <c r="K11" s="150"/>
      <c r="L11" s="150"/>
    </row>
    <row r="12" spans="1:12" ht="15.75">
      <c r="A12" s="149"/>
      <c r="B12" s="149"/>
      <c r="C12" s="163"/>
      <c r="D12" s="146"/>
      <c r="E12" s="164">
        <v>45231</v>
      </c>
      <c r="F12" s="166"/>
      <c r="G12" s="164">
        <v>45261</v>
      </c>
      <c r="H12" s="165"/>
      <c r="I12" s="164">
        <v>45292</v>
      </c>
      <c r="J12" s="150"/>
      <c r="K12" s="150"/>
      <c r="L12" s="150"/>
    </row>
    <row r="13" spans="1:12" ht="15.75">
      <c r="A13" s="149"/>
      <c r="B13" s="146"/>
      <c r="C13" s="163"/>
      <c r="D13" s="146"/>
      <c r="E13" s="161" t="s">
        <v>298</v>
      </c>
      <c r="F13" s="162"/>
      <c r="G13" s="161" t="s">
        <v>298</v>
      </c>
      <c r="H13" s="162"/>
      <c r="I13" s="161" t="s">
        <v>298</v>
      </c>
      <c r="J13" s="150"/>
      <c r="K13" s="150"/>
      <c r="L13" s="150"/>
    </row>
    <row r="14" spans="1:12" ht="15.75">
      <c r="B14" s="157" t="str">
        <f t="shared" ref="B14:B22" si="0">TEXT(C14,"Dddd")</f>
        <v>Friday</v>
      </c>
      <c r="C14" s="160">
        <v>45184</v>
      </c>
      <c r="D14" s="149"/>
      <c r="E14" s="434">
        <v>2.9319999999999999</v>
      </c>
      <c r="F14" s="434"/>
      <c r="G14" s="434">
        <v>3.3450000000000002</v>
      </c>
      <c r="H14" s="434"/>
      <c r="I14" s="434">
        <v>3.5950000000000002</v>
      </c>
      <c r="J14" s="150"/>
      <c r="K14" s="150"/>
      <c r="L14" s="150"/>
    </row>
    <row r="15" spans="1:12" ht="15.75">
      <c r="A15" s="149"/>
      <c r="B15" s="157" t="str">
        <f t="shared" si="0"/>
        <v>Monday</v>
      </c>
      <c r="C15" s="160">
        <v>45187</v>
      </c>
      <c r="D15" s="149"/>
      <c r="E15" s="434">
        <v>3.0009999999999999</v>
      </c>
      <c r="F15" s="434"/>
      <c r="G15" s="434">
        <v>3.4</v>
      </c>
      <c r="H15" s="434"/>
      <c r="I15" s="434">
        <v>3.6389999999999998</v>
      </c>
      <c r="J15" s="150"/>
      <c r="K15" s="474"/>
      <c r="L15" s="150"/>
    </row>
    <row r="16" spans="1:12" ht="15.75">
      <c r="A16" s="149"/>
      <c r="B16" s="157" t="str">
        <f t="shared" si="0"/>
        <v>Tuesday</v>
      </c>
      <c r="C16" s="160">
        <v>45188</v>
      </c>
      <c r="D16" s="149"/>
      <c r="E16" s="434">
        <v>3.0259999999999998</v>
      </c>
      <c r="F16" s="434"/>
      <c r="G16" s="434">
        <v>3.3839999999999999</v>
      </c>
      <c r="H16" s="434"/>
      <c r="I16" s="434">
        <v>3.6160000000000001</v>
      </c>
      <c r="J16" s="150"/>
      <c r="K16" s="474"/>
      <c r="L16" s="150"/>
    </row>
    <row r="17" spans="1:14" ht="15.75">
      <c r="A17" s="149"/>
      <c r="B17" s="157" t="str">
        <f t="shared" si="0"/>
        <v>Wednesday</v>
      </c>
      <c r="C17" s="160">
        <v>45189</v>
      </c>
      <c r="D17" s="149"/>
      <c r="E17" s="434">
        <v>2.9209999999999998</v>
      </c>
      <c r="F17" s="434"/>
      <c r="G17" s="434">
        <v>3.3159999999999998</v>
      </c>
      <c r="H17" s="434"/>
      <c r="I17" s="434">
        <v>3.5630000000000002</v>
      </c>
      <c r="J17" s="150"/>
      <c r="K17" s="474"/>
      <c r="L17" s="150"/>
    </row>
    <row r="18" spans="1:14" ht="15.75">
      <c r="A18" s="149"/>
      <c r="B18" s="157" t="str">
        <f t="shared" si="0"/>
        <v>Thursday</v>
      </c>
      <c r="C18" s="160">
        <v>45190</v>
      </c>
      <c r="D18" s="149"/>
      <c r="E18" s="434">
        <v>2.84</v>
      </c>
      <c r="F18" s="434"/>
      <c r="G18" s="434">
        <v>3.2669999999999999</v>
      </c>
      <c r="H18" s="434"/>
      <c r="I18" s="434">
        <v>3.524</v>
      </c>
      <c r="J18" s="150"/>
      <c r="K18" s="474"/>
      <c r="L18" s="150"/>
    </row>
    <row r="19" spans="1:14" ht="15.75">
      <c r="A19" s="149"/>
      <c r="B19" s="157" t="str">
        <f t="shared" si="0"/>
        <v>Friday</v>
      </c>
      <c r="C19" s="160">
        <v>45191</v>
      </c>
      <c r="D19" s="149"/>
      <c r="E19" s="434">
        <v>2.879</v>
      </c>
      <c r="F19" s="434"/>
      <c r="G19" s="434">
        <v>3.2970000000000002</v>
      </c>
      <c r="H19" s="434"/>
      <c r="I19" s="434">
        <v>3.5550000000000002</v>
      </c>
      <c r="J19" s="150"/>
      <c r="K19" s="474"/>
      <c r="L19" s="150"/>
    </row>
    <row r="20" spans="1:14" ht="15.75">
      <c r="A20" s="149"/>
      <c r="B20" s="157" t="str">
        <f t="shared" si="0"/>
        <v>Monday</v>
      </c>
      <c r="C20" s="160">
        <v>45194</v>
      </c>
      <c r="D20" s="149"/>
      <c r="E20" s="434">
        <v>2.9060000000000001</v>
      </c>
      <c r="F20" s="434"/>
      <c r="G20" s="434">
        <v>3.3410000000000002</v>
      </c>
      <c r="H20" s="434"/>
      <c r="I20" s="434">
        <v>3.6120000000000001</v>
      </c>
      <c r="J20" s="150"/>
      <c r="K20" s="474"/>
      <c r="L20" s="150"/>
    </row>
    <row r="21" spans="1:14" ht="15.75">
      <c r="A21" s="149"/>
      <c r="B21" s="157" t="str">
        <f t="shared" si="0"/>
        <v>Tuesday</v>
      </c>
      <c r="C21" s="160">
        <v>45195</v>
      </c>
      <c r="D21" s="149"/>
      <c r="E21" s="434">
        <v>2.8450000000000002</v>
      </c>
      <c r="F21" s="434"/>
      <c r="G21" s="434">
        <v>3.258</v>
      </c>
      <c r="H21" s="434"/>
      <c r="I21" s="434">
        <v>3.5190000000000001</v>
      </c>
      <c r="J21" s="150"/>
      <c r="K21" s="474"/>
      <c r="L21" s="150"/>
    </row>
    <row r="22" spans="1:14" ht="15.75">
      <c r="A22" s="149"/>
      <c r="B22" s="157" t="str">
        <f t="shared" si="0"/>
        <v>Wednesday</v>
      </c>
      <c r="C22" s="160">
        <v>45196</v>
      </c>
      <c r="D22" s="149"/>
      <c r="E22" s="434">
        <v>2.899</v>
      </c>
      <c r="F22" s="434"/>
      <c r="G22" s="434">
        <v>3.29</v>
      </c>
      <c r="H22" s="434"/>
      <c r="I22" s="434">
        <v>3.5510000000000002</v>
      </c>
      <c r="J22" s="150"/>
      <c r="K22" s="474"/>
      <c r="L22" s="150"/>
    </row>
    <row r="23" spans="1:14" ht="15.75">
      <c r="A23" s="149"/>
      <c r="B23" s="157" t="str">
        <f>TEXT(C23,"Dddd")</f>
        <v>Thursday</v>
      </c>
      <c r="C23" s="160">
        <v>45197</v>
      </c>
      <c r="D23" s="149"/>
      <c r="E23" s="434">
        <v>2.9449999999999998</v>
      </c>
      <c r="F23" s="434"/>
      <c r="G23" s="434">
        <v>3.34</v>
      </c>
      <c r="H23" s="434"/>
      <c r="I23" s="434">
        <v>3.593</v>
      </c>
      <c r="J23" s="150"/>
      <c r="K23" s="474"/>
      <c r="L23" s="150"/>
    </row>
    <row r="24" spans="1:14" ht="15.75">
      <c r="A24" s="149"/>
      <c r="B24" s="157"/>
      <c r="C24" s="159"/>
      <c r="D24" s="149"/>
      <c r="E24" s="158"/>
      <c r="F24" s="158"/>
      <c r="G24" s="158"/>
      <c r="H24" s="158"/>
      <c r="I24" s="158"/>
      <c r="J24" s="294"/>
      <c r="K24" s="150"/>
      <c r="L24" s="294"/>
      <c r="N24" s="295"/>
    </row>
    <row r="25" spans="1:14" ht="16.5" thickBot="1">
      <c r="A25" s="149"/>
      <c r="B25" s="157" t="s">
        <v>154</v>
      </c>
      <c r="C25" s="156"/>
      <c r="D25" s="145"/>
      <c r="E25" s="154">
        <f>AVERAGEA(E14:E23)</f>
        <v>2.9194</v>
      </c>
      <c r="F25" s="155"/>
      <c r="G25" s="154">
        <f>AVERAGEA(G14:G23)</f>
        <v>3.3237999999999999</v>
      </c>
      <c r="H25" s="155"/>
      <c r="I25" s="154">
        <f>AVERAGEA(I14:I23)</f>
        <v>3.5766999999999998</v>
      </c>
    </row>
    <row r="26" spans="1:14" ht="16.5" thickTop="1">
      <c r="A26" s="149"/>
      <c r="B26" s="153"/>
      <c r="D26" s="152"/>
      <c r="E26" s="151"/>
      <c r="F26" s="151"/>
      <c r="G26" s="151"/>
      <c r="H26" s="151"/>
      <c r="I26" s="151"/>
    </row>
    <row r="27" spans="1:14" ht="15.75" customHeight="1"/>
    <row r="28" spans="1:14" ht="15.75">
      <c r="A28" s="149" t="s">
        <v>297</v>
      </c>
      <c r="B28" s="498" t="s">
        <v>582</v>
      </c>
      <c r="C28" s="498"/>
      <c r="D28" s="498"/>
      <c r="E28" s="498"/>
      <c r="F28" s="498"/>
      <c r="G28" s="498"/>
      <c r="H28" s="498"/>
      <c r="I28" s="498"/>
    </row>
    <row r="29" spans="1:14" ht="15.75">
      <c r="A29" s="149"/>
      <c r="B29" s="498"/>
      <c r="C29" s="498"/>
      <c r="D29" s="498"/>
      <c r="E29" s="498"/>
      <c r="F29" s="498"/>
      <c r="G29" s="498"/>
      <c r="H29" s="498"/>
      <c r="I29" s="498"/>
    </row>
    <row r="30" spans="1:14" ht="18.75" customHeight="1">
      <c r="A30" s="146"/>
      <c r="B30" s="498"/>
      <c r="C30" s="498"/>
      <c r="D30" s="498"/>
      <c r="E30" s="498"/>
      <c r="F30" s="498"/>
      <c r="G30" s="498"/>
      <c r="H30" s="498"/>
      <c r="I30" s="498"/>
    </row>
    <row r="31" spans="1:14" ht="10.5" customHeight="1">
      <c r="A31" s="146"/>
      <c r="B31" s="148"/>
      <c r="C31" s="147"/>
      <c r="D31" s="146"/>
      <c r="E31" s="146"/>
      <c r="F31" s="146"/>
      <c r="G31" s="146"/>
      <c r="H31" s="146"/>
      <c r="I31" s="146"/>
    </row>
    <row r="32" spans="1:14" ht="20.25" customHeight="1">
      <c r="A32" s="146"/>
      <c r="B32" s="498" t="s">
        <v>296</v>
      </c>
      <c r="C32" s="498"/>
      <c r="D32" s="498"/>
      <c r="E32" s="498"/>
      <c r="F32" s="498"/>
      <c r="G32" s="498"/>
      <c r="H32" s="498"/>
      <c r="I32" s="498"/>
    </row>
    <row r="33" spans="1:9">
      <c r="A33" s="146"/>
      <c r="B33" s="498"/>
      <c r="C33" s="498"/>
      <c r="D33" s="498"/>
      <c r="E33" s="498"/>
      <c r="F33" s="498"/>
      <c r="G33" s="498"/>
      <c r="H33" s="498"/>
      <c r="I33" s="498"/>
    </row>
    <row r="47" spans="1:9" ht="15.75">
      <c r="B47" s="144"/>
    </row>
    <row r="48" spans="1:9" ht="15.75">
      <c r="B48" s="144"/>
    </row>
    <row r="49" spans="2:2" ht="15.75">
      <c r="B49" s="144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scale="99" orientation="portrait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4"/>
  <sheetViews>
    <sheetView zoomScale="85" zoomScaleNormal="85" zoomScaleSheetLayoutView="80" workbookViewId="0">
      <selection activeCell="H28" sqref="H28"/>
    </sheetView>
  </sheetViews>
  <sheetFormatPr defaultColWidth="9.140625" defaultRowHeight="12.75"/>
  <cols>
    <col min="1" max="1" width="21.140625" style="13" customWidth="1"/>
    <col min="2" max="2" width="12" style="13" bestFit="1" customWidth="1"/>
    <col min="3" max="3" width="15" style="13" customWidth="1"/>
    <col min="4" max="4" width="13.85546875" style="13" customWidth="1"/>
    <col min="5" max="5" width="2.7109375" style="13" customWidth="1"/>
    <col min="6" max="6" width="12" style="13" bestFit="1" customWidth="1"/>
    <col min="7" max="7" width="8.7109375" style="13" customWidth="1"/>
    <col min="8" max="8" width="13.42578125" style="13" customWidth="1"/>
    <col min="9" max="9" width="2.7109375" style="13" customWidth="1"/>
    <col min="10" max="10" width="12" style="13" bestFit="1" customWidth="1"/>
    <col min="11" max="11" width="12.28515625" style="13" bestFit="1" customWidth="1"/>
    <col min="12" max="12" width="13.42578125" style="13" bestFit="1" customWidth="1"/>
    <col min="13" max="13" width="9.85546875" style="13" customWidth="1"/>
    <col min="14" max="14" width="12.85546875" style="13" bestFit="1" customWidth="1"/>
    <col min="15" max="15" width="8.5703125" style="13" bestFit="1" customWidth="1"/>
    <col min="16" max="16" width="14.85546875" style="13" customWidth="1"/>
    <col min="17" max="16384" width="9.140625" style="13"/>
  </cols>
  <sheetData>
    <row r="1" spans="1:16">
      <c r="P1" s="13" t="s">
        <v>295</v>
      </c>
    </row>
    <row r="2" spans="1:16">
      <c r="P2" s="13" t="s">
        <v>36</v>
      </c>
    </row>
    <row r="3" spans="1:16">
      <c r="A3" s="508" t="s">
        <v>32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</row>
    <row r="4" spans="1:16">
      <c r="A4" s="508" t="s">
        <v>294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</row>
    <row r="5" spans="1:16">
      <c r="A5" s="504" t="s">
        <v>577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</row>
    <row r="6" spans="1:16">
      <c r="A6" s="141"/>
    </row>
    <row r="8" spans="1:16">
      <c r="B8" s="506">
        <v>45231</v>
      </c>
      <c r="C8" s="506"/>
      <c r="D8" s="506"/>
      <c r="E8" s="140"/>
      <c r="F8" s="506">
        <v>45261</v>
      </c>
      <c r="G8" s="506"/>
      <c r="H8" s="506"/>
      <c r="I8" s="140"/>
      <c r="J8" s="506">
        <v>45292</v>
      </c>
      <c r="K8" s="506"/>
      <c r="L8" s="506"/>
      <c r="N8" s="507" t="s">
        <v>114</v>
      </c>
      <c r="O8" s="507"/>
      <c r="P8" s="507"/>
    </row>
    <row r="9" spans="1:16">
      <c r="B9" s="139" t="s">
        <v>240</v>
      </c>
      <c r="C9" s="139" t="s">
        <v>115</v>
      </c>
      <c r="D9" s="139" t="s">
        <v>293</v>
      </c>
      <c r="F9" s="139" t="s">
        <v>240</v>
      </c>
      <c r="G9" s="139" t="s">
        <v>115</v>
      </c>
      <c r="H9" s="139" t="s">
        <v>293</v>
      </c>
      <c r="J9" s="139" t="s">
        <v>240</v>
      </c>
      <c r="K9" s="139" t="s">
        <v>115</v>
      </c>
      <c r="L9" s="139" t="s">
        <v>293</v>
      </c>
      <c r="N9" s="139" t="s">
        <v>240</v>
      </c>
      <c r="O9" s="139" t="s">
        <v>115</v>
      </c>
      <c r="P9" s="139" t="s">
        <v>293</v>
      </c>
    </row>
    <row r="10" spans="1:16" ht="15">
      <c r="A10" s="13" t="s">
        <v>157</v>
      </c>
      <c r="B10" s="132"/>
      <c r="C10" s="133"/>
      <c r="D10" s="133"/>
      <c r="E10" s="133"/>
      <c r="F10" s="132"/>
      <c r="G10" s="133"/>
      <c r="H10" s="133"/>
      <c r="I10" s="133"/>
      <c r="J10" s="132"/>
      <c r="K10" s="133"/>
      <c r="L10" s="133"/>
      <c r="N10" s="135"/>
      <c r="O10" s="133"/>
      <c r="P10" s="133"/>
    </row>
    <row r="11" spans="1:16" ht="15">
      <c r="A11" s="13" t="s">
        <v>292</v>
      </c>
      <c r="B11" s="132"/>
      <c r="C11" s="133"/>
      <c r="D11" s="133"/>
      <c r="E11" s="133"/>
      <c r="F11" s="132"/>
      <c r="G11" s="133"/>
      <c r="H11" s="133"/>
      <c r="I11" s="133"/>
      <c r="J11" s="132"/>
      <c r="K11" s="133"/>
      <c r="L11" s="133"/>
      <c r="N11" s="135"/>
      <c r="O11" s="133"/>
      <c r="P11" s="133"/>
    </row>
    <row r="12" spans="1:16" ht="15">
      <c r="A12" s="13" t="s">
        <v>145</v>
      </c>
      <c r="B12" s="132"/>
      <c r="C12" s="133"/>
      <c r="D12" s="133"/>
      <c r="E12" s="133"/>
      <c r="F12" s="132"/>
      <c r="G12" s="133"/>
      <c r="H12" s="133"/>
      <c r="I12" s="133"/>
      <c r="J12" s="132"/>
      <c r="K12" s="133"/>
      <c r="L12" s="133"/>
      <c r="N12" s="135"/>
      <c r="O12" s="133"/>
      <c r="P12" s="133"/>
    </row>
    <row r="13" spans="1:16" ht="15">
      <c r="A13" s="13" t="s">
        <v>291</v>
      </c>
      <c r="B13" s="132"/>
      <c r="C13" s="133"/>
      <c r="D13" s="133"/>
      <c r="E13" s="133"/>
      <c r="F13" s="132"/>
      <c r="G13" s="133"/>
      <c r="H13" s="133"/>
      <c r="I13" s="133"/>
      <c r="J13" s="132"/>
      <c r="K13" s="133"/>
      <c r="L13" s="133"/>
      <c r="N13" s="135"/>
      <c r="O13" s="133"/>
      <c r="P13" s="133"/>
    </row>
    <row r="14" spans="1:16" ht="15">
      <c r="A14" s="13" t="s">
        <v>290</v>
      </c>
      <c r="B14" s="132"/>
      <c r="C14" s="133"/>
      <c r="D14" s="133"/>
      <c r="E14" s="133"/>
      <c r="F14" s="132"/>
      <c r="G14" s="133"/>
      <c r="H14" s="133"/>
      <c r="I14" s="133"/>
      <c r="J14" s="132"/>
      <c r="K14" s="133"/>
      <c r="L14" s="133"/>
      <c r="N14" s="135"/>
      <c r="O14" s="133"/>
      <c r="P14" s="133"/>
    </row>
    <row r="15" spans="1:16" ht="15">
      <c r="A15" s="13" t="s">
        <v>289</v>
      </c>
      <c r="B15" s="132"/>
      <c r="C15" s="133"/>
      <c r="D15" s="133"/>
      <c r="E15" s="133"/>
      <c r="F15" s="132"/>
      <c r="G15" s="133"/>
      <c r="H15" s="133"/>
      <c r="I15" s="133"/>
      <c r="J15" s="132"/>
      <c r="K15" s="133"/>
      <c r="L15" s="133"/>
      <c r="N15" s="135"/>
      <c r="O15" s="133"/>
      <c r="P15" s="133"/>
    </row>
    <row r="16" spans="1:16" ht="16.5">
      <c r="A16" s="13" t="s">
        <v>247</v>
      </c>
      <c r="B16" s="138"/>
      <c r="C16" s="133"/>
      <c r="D16" s="133"/>
      <c r="E16" s="133"/>
      <c r="F16" s="138"/>
      <c r="G16" s="133"/>
      <c r="H16" s="133"/>
      <c r="I16" s="133"/>
      <c r="J16" s="138"/>
      <c r="K16" s="133"/>
      <c r="L16" s="133"/>
      <c r="N16" s="137"/>
      <c r="O16" s="133"/>
      <c r="P16" s="133"/>
    </row>
    <row r="17" spans="1:16" ht="15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N17" s="133"/>
      <c r="O17" s="133"/>
      <c r="P17" s="133"/>
    </row>
    <row r="18" spans="1:16" ht="1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N18" s="133"/>
      <c r="O18" s="133"/>
      <c r="P18" s="133"/>
    </row>
    <row r="19" spans="1:16" ht="15">
      <c r="B19" s="132"/>
      <c r="C19" s="126"/>
      <c r="D19" s="136"/>
      <c r="E19" s="133"/>
      <c r="F19" s="132"/>
      <c r="G19" s="126"/>
      <c r="H19" s="136"/>
      <c r="I19" s="133"/>
      <c r="J19" s="132"/>
      <c r="K19" s="126"/>
      <c r="L19" s="136"/>
      <c r="N19" s="135"/>
      <c r="O19" s="126"/>
      <c r="P19" s="131"/>
    </row>
    <row r="20" spans="1:16" ht="15.75">
      <c r="B20" s="132"/>
      <c r="C20" s="128"/>
      <c r="D20" s="134" t="s">
        <v>288</v>
      </c>
      <c r="E20" s="133"/>
      <c r="F20" s="132"/>
      <c r="G20" s="128"/>
      <c r="H20" s="130"/>
      <c r="I20" s="133"/>
      <c r="J20" s="132"/>
      <c r="K20" s="128"/>
      <c r="L20" s="130"/>
      <c r="N20" s="132"/>
      <c r="O20" s="128"/>
      <c r="P20" s="131"/>
    </row>
    <row r="21" spans="1:16" ht="15" hidden="1">
      <c r="A21" s="13" t="s">
        <v>287</v>
      </c>
      <c r="B21" s="124"/>
      <c r="C21" s="128"/>
      <c r="D21" s="130"/>
      <c r="F21" s="124"/>
      <c r="G21" s="128"/>
      <c r="H21" s="130"/>
      <c r="J21" s="124"/>
      <c r="K21" s="128"/>
      <c r="L21" s="130"/>
      <c r="N21" s="124"/>
      <c r="O21" s="126"/>
      <c r="P21" s="129"/>
    </row>
    <row r="22" spans="1:16" ht="15" hidden="1">
      <c r="A22" s="13" t="s">
        <v>286</v>
      </c>
      <c r="B22" s="127"/>
      <c r="C22" s="128"/>
      <c r="D22" s="125"/>
      <c r="F22" s="127"/>
      <c r="G22" s="128"/>
      <c r="H22" s="125"/>
      <c r="J22" s="127"/>
      <c r="K22" s="128"/>
      <c r="L22" s="125"/>
      <c r="N22" s="127"/>
      <c r="O22" s="126"/>
      <c r="P22" s="125"/>
    </row>
    <row r="23" spans="1:16">
      <c r="B23" s="124"/>
      <c r="D23" s="123"/>
      <c r="F23" s="124"/>
      <c r="H23" s="123"/>
      <c r="J23" s="124"/>
      <c r="L23" s="123"/>
      <c r="N23" s="124"/>
      <c r="P23" s="123"/>
    </row>
    <row r="24" spans="1:16" ht="15">
      <c r="A24" s="13" t="s">
        <v>285</v>
      </c>
      <c r="C24" s="122"/>
      <c r="G24" s="122"/>
      <c r="K24" s="122"/>
      <c r="O24" s="122"/>
    </row>
  </sheetData>
  <mergeCells count="7">
    <mergeCell ref="A3:P3"/>
    <mergeCell ref="A4:P4"/>
    <mergeCell ref="A5:P5"/>
    <mergeCell ref="B8:D8"/>
    <mergeCell ref="F8:H8"/>
    <mergeCell ref="N8:P8"/>
    <mergeCell ref="J8:L8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2"/>
  <sheetViews>
    <sheetView showGridLines="0" topLeftCell="A9" zoomScale="80" zoomScaleNormal="80" zoomScaleSheetLayoutView="85" workbookViewId="0">
      <selection activeCell="J42" sqref="J42"/>
    </sheetView>
  </sheetViews>
  <sheetFormatPr defaultColWidth="9.140625" defaultRowHeight="14.25"/>
  <cols>
    <col min="1" max="1" width="11.140625" style="167" customWidth="1"/>
    <col min="2" max="2" width="16.5703125" style="167" customWidth="1"/>
    <col min="3" max="3" width="20.5703125" style="167" customWidth="1"/>
    <col min="4" max="5" width="17.42578125" style="167" bestFit="1" customWidth="1"/>
    <col min="6" max="6" width="21.5703125" style="167" customWidth="1"/>
    <col min="7" max="7" width="17.7109375" style="167" customWidth="1"/>
    <col min="8" max="8" width="4.85546875" style="167" customWidth="1"/>
    <col min="9" max="9" width="18.28515625" style="167" bestFit="1" customWidth="1"/>
    <col min="10" max="10" width="23.28515625" style="167" bestFit="1" customWidth="1"/>
    <col min="11" max="11" width="21.140625" style="167" customWidth="1"/>
    <col min="12" max="12" width="17" style="167" customWidth="1"/>
    <col min="13" max="13" width="9.85546875" style="167" customWidth="1"/>
    <col min="14" max="16384" width="9.140625" style="167"/>
  </cols>
  <sheetData>
    <row r="1" spans="1:17" ht="15">
      <c r="A1" s="170" t="s">
        <v>32</v>
      </c>
      <c r="I1" s="167" t="s">
        <v>327</v>
      </c>
    </row>
    <row r="2" spans="1:17">
      <c r="A2" s="510" t="s">
        <v>326</v>
      </c>
      <c r="B2" s="510"/>
      <c r="C2" s="510"/>
      <c r="D2" s="510"/>
      <c r="I2" s="167" t="s">
        <v>325</v>
      </c>
    </row>
    <row r="3" spans="1:17">
      <c r="A3" s="509">
        <v>45108</v>
      </c>
      <c r="B3" s="509"/>
      <c r="C3" s="509"/>
      <c r="D3" s="509"/>
      <c r="E3" s="449"/>
      <c r="F3" s="195"/>
    </row>
    <row r="4" spans="1:17">
      <c r="A4" s="511" t="s">
        <v>576</v>
      </c>
      <c r="B4" s="511"/>
      <c r="C4" s="511"/>
      <c r="D4" s="511"/>
    </row>
    <row r="5" spans="1:17">
      <c r="D5" s="180"/>
    </row>
    <row r="6" spans="1:17">
      <c r="D6" s="180"/>
    </row>
    <row r="7" spans="1:17" ht="14.25" customHeight="1">
      <c r="B7" s="168" t="s">
        <v>27</v>
      </c>
      <c r="C7" s="168" t="s">
        <v>26</v>
      </c>
      <c r="D7" s="168" t="s">
        <v>25</v>
      </c>
      <c r="E7" s="168" t="s">
        <v>121</v>
      </c>
      <c r="F7" s="168" t="s">
        <v>120</v>
      </c>
      <c r="G7" s="168" t="s">
        <v>204</v>
      </c>
      <c r="H7" s="168"/>
      <c r="I7" s="168" t="s">
        <v>324</v>
      </c>
    </row>
    <row r="8" spans="1:17" ht="14.25" customHeight="1">
      <c r="E8" s="168" t="s">
        <v>323</v>
      </c>
      <c r="F8" s="168" t="s">
        <v>322</v>
      </c>
    </row>
    <row r="9" spans="1:17" ht="14.25" customHeight="1">
      <c r="A9" s="168" t="s">
        <v>24</v>
      </c>
      <c r="C9" s="168" t="s">
        <v>321</v>
      </c>
      <c r="D9" s="168" t="s">
        <v>320</v>
      </c>
      <c r="E9" s="168" t="s">
        <v>319</v>
      </c>
      <c r="F9" s="168" t="s">
        <v>318</v>
      </c>
    </row>
    <row r="10" spans="1:17" ht="14.25" customHeight="1">
      <c r="A10" s="168" t="s">
        <v>23</v>
      </c>
      <c r="B10" s="168" t="s">
        <v>40</v>
      </c>
      <c r="C10" s="168" t="s">
        <v>317</v>
      </c>
      <c r="D10" s="168" t="s">
        <v>316</v>
      </c>
      <c r="E10" s="168" t="s">
        <v>316</v>
      </c>
      <c r="F10" s="168" t="s">
        <v>315</v>
      </c>
      <c r="G10" s="184" t="s">
        <v>314</v>
      </c>
      <c r="H10" s="168"/>
      <c r="I10" s="168" t="s">
        <v>114</v>
      </c>
      <c r="K10" s="180"/>
    </row>
    <row r="11" spans="1:17" ht="14.25" customHeight="1">
      <c r="L11" s="180"/>
    </row>
    <row r="12" spans="1:17" ht="14.25" customHeight="1">
      <c r="A12" s="168" t="s">
        <v>202</v>
      </c>
      <c r="B12" s="192">
        <v>45047</v>
      </c>
      <c r="C12" s="175">
        <f>D.2!D33</f>
        <v>647865.87999999977</v>
      </c>
      <c r="D12" s="177">
        <f>D.3!D36</f>
        <v>2596050.5199999958</v>
      </c>
      <c r="E12" s="177">
        <f>D.4!L13</f>
        <v>3026815.95</v>
      </c>
      <c r="F12" s="177">
        <f>D12-E12</f>
        <v>-430765.43000000436</v>
      </c>
      <c r="G12" s="418">
        <v>0</v>
      </c>
      <c r="H12" s="191"/>
      <c r="I12" s="177">
        <f>F12+G12</f>
        <v>-430765.43000000436</v>
      </c>
      <c r="K12" s="188"/>
      <c r="L12" s="190"/>
      <c r="M12" s="180"/>
    </row>
    <row r="13" spans="1:17" ht="14.25" customHeight="1">
      <c r="A13" s="168" t="s">
        <v>37</v>
      </c>
      <c r="C13" s="175"/>
      <c r="D13" s="177"/>
      <c r="E13" s="177"/>
      <c r="F13" s="177"/>
      <c r="G13" s="418"/>
      <c r="H13" s="194"/>
      <c r="I13" s="177"/>
    </row>
    <row r="14" spans="1:17" ht="14.25" customHeight="1">
      <c r="A14" s="168" t="s">
        <v>200</v>
      </c>
      <c r="B14" s="192">
        <v>45078</v>
      </c>
      <c r="C14" s="175">
        <f>D.2!F$33</f>
        <v>417857.95999999985</v>
      </c>
      <c r="D14" s="177">
        <f>D.3!F36</f>
        <v>1618019.2399999991</v>
      </c>
      <c r="E14" s="177">
        <f>D.4!L20</f>
        <v>1689795.93</v>
      </c>
      <c r="F14" s="177">
        <f>D14-E14</f>
        <v>-71776.690000000875</v>
      </c>
      <c r="G14" s="418">
        <v>0</v>
      </c>
      <c r="H14" s="191"/>
      <c r="I14" s="177">
        <f>F14+G14</f>
        <v>-71776.690000000875</v>
      </c>
      <c r="K14" s="188"/>
      <c r="L14" s="190"/>
    </row>
    <row r="15" spans="1:17" ht="14.25" customHeight="1">
      <c r="A15" s="168" t="s">
        <v>199</v>
      </c>
      <c r="C15" s="175"/>
      <c r="D15" s="177"/>
      <c r="E15" s="177"/>
      <c r="F15" s="177"/>
      <c r="G15" s="418"/>
      <c r="H15" s="193"/>
      <c r="I15" s="177"/>
      <c r="K15" s="180"/>
      <c r="Q15" s="472"/>
    </row>
    <row r="16" spans="1:17" ht="14.25" customHeight="1">
      <c r="A16" s="168" t="s">
        <v>198</v>
      </c>
      <c r="B16" s="192">
        <v>45108</v>
      </c>
      <c r="C16" s="175">
        <f>D.2!H33</f>
        <v>315673.90000000002</v>
      </c>
      <c r="D16" s="460">
        <f>+D.3!H36</f>
        <v>1811476.8000000003</v>
      </c>
      <c r="E16" s="296">
        <f>D.4!L27</f>
        <v>1437168.66</v>
      </c>
      <c r="F16" s="460">
        <f>D16-E16</f>
        <v>374308.14000000036</v>
      </c>
      <c r="G16" s="461">
        <v>0</v>
      </c>
      <c r="H16" s="191"/>
      <c r="I16" s="460">
        <f>F16+G16</f>
        <v>374308.14000000036</v>
      </c>
      <c r="K16" s="188"/>
      <c r="L16" s="190"/>
      <c r="M16" s="180"/>
      <c r="Q16" s="472"/>
    </row>
    <row r="17" spans="1:17" ht="14.25" customHeight="1">
      <c r="A17" s="168" t="s">
        <v>197</v>
      </c>
      <c r="B17" s="189"/>
      <c r="C17" s="175"/>
      <c r="D17" s="180" t="s">
        <v>313</v>
      </c>
      <c r="E17" s="180" t="s">
        <v>313</v>
      </c>
      <c r="F17" s="180" t="s">
        <v>313</v>
      </c>
      <c r="G17" s="462"/>
      <c r="H17" s="462"/>
      <c r="I17" s="180" t="s">
        <v>312</v>
      </c>
      <c r="K17" s="188"/>
      <c r="Q17" s="472"/>
    </row>
    <row r="18" spans="1:17" ht="14.25" customHeight="1">
      <c r="A18" s="168" t="s">
        <v>196</v>
      </c>
      <c r="D18" s="180"/>
      <c r="E18" s="180"/>
      <c r="F18" s="180"/>
      <c r="G18" s="180"/>
      <c r="H18" s="180"/>
      <c r="I18" s="180"/>
      <c r="Q18" s="472"/>
    </row>
    <row r="19" spans="1:17" ht="14.25" customHeight="1">
      <c r="A19" s="168" t="s">
        <v>194</v>
      </c>
      <c r="B19" s="167" t="s">
        <v>311</v>
      </c>
      <c r="D19" s="187">
        <f>SUM(D12:D17)</f>
        <v>6025546.5599999949</v>
      </c>
      <c r="E19" s="187">
        <f>SUM(E12:E17)</f>
        <v>6153780.54</v>
      </c>
      <c r="F19" s="187">
        <f>SUM(F12:F17)</f>
        <v>-128233.98000000487</v>
      </c>
      <c r="G19" s="187">
        <f>SUM(G12:G17)</f>
        <v>0</v>
      </c>
      <c r="H19" s="187"/>
      <c r="I19" s="187">
        <f>SUM(I12:I17)</f>
        <v>-128233.98000000487</v>
      </c>
      <c r="M19" s="180"/>
      <c r="Q19" s="472"/>
    </row>
    <row r="20" spans="1:17" ht="14.25" customHeight="1">
      <c r="A20" s="168" t="s">
        <v>192</v>
      </c>
      <c r="Q20" s="472"/>
    </row>
    <row r="21" spans="1:17" ht="14.25" customHeight="1">
      <c r="A21" s="168" t="s">
        <v>190</v>
      </c>
      <c r="B21" s="167" t="s">
        <v>310</v>
      </c>
      <c r="D21" s="186">
        <v>1509615.1410528</v>
      </c>
      <c r="Q21" s="472"/>
    </row>
    <row r="22" spans="1:17" ht="14.25" customHeight="1">
      <c r="A22" s="168" t="s">
        <v>188</v>
      </c>
      <c r="E22" s="175"/>
      <c r="F22" s="175"/>
      <c r="G22" s="175"/>
      <c r="H22" s="175"/>
      <c r="I22" s="175"/>
      <c r="Q22" s="472"/>
    </row>
    <row r="23" spans="1:17" ht="14.25" customHeight="1">
      <c r="A23" s="168" t="s">
        <v>187</v>
      </c>
      <c r="B23" s="178" t="s">
        <v>307</v>
      </c>
      <c r="E23" s="175"/>
      <c r="F23" s="175"/>
      <c r="G23" s="175"/>
      <c r="H23" s="175"/>
      <c r="I23" s="175"/>
      <c r="J23" s="185"/>
      <c r="Q23" s="472"/>
    </row>
    <row r="24" spans="1:17" ht="14.25" customHeight="1">
      <c r="A24" s="168" t="s">
        <v>186</v>
      </c>
      <c r="B24" s="182" t="s">
        <v>578</v>
      </c>
      <c r="G24" s="419">
        <v>-21268754.685099974</v>
      </c>
      <c r="J24" s="180"/>
      <c r="K24" s="184"/>
    </row>
    <row r="25" spans="1:17" ht="14.25" customHeight="1">
      <c r="A25" s="168" t="s">
        <v>184</v>
      </c>
      <c r="B25" s="167" t="s">
        <v>579</v>
      </c>
      <c r="G25" s="180">
        <f>+I19</f>
        <v>-128233.98000000487</v>
      </c>
      <c r="K25" s="180"/>
    </row>
    <row r="26" spans="1:17" ht="14.25" customHeight="1">
      <c r="A26" s="168" t="s">
        <v>182</v>
      </c>
      <c r="B26" s="167" t="s">
        <v>309</v>
      </c>
      <c r="E26" s="175"/>
      <c r="F26" s="175"/>
      <c r="G26" s="396">
        <f>-D.4!F30</f>
        <v>-388826.75</v>
      </c>
      <c r="H26" s="175"/>
      <c r="I26" s="177"/>
      <c r="J26" s="177"/>
    </row>
    <row r="27" spans="1:17" ht="14.25" customHeight="1">
      <c r="A27" s="168" t="s">
        <v>180</v>
      </c>
      <c r="B27" s="167" t="s">
        <v>561</v>
      </c>
      <c r="E27" s="175"/>
      <c r="F27" s="175"/>
      <c r="G27" s="419"/>
      <c r="H27" s="175"/>
      <c r="I27" s="177"/>
      <c r="J27" s="177"/>
    </row>
    <row r="28" spans="1:17" ht="14.25" customHeight="1">
      <c r="A28" s="168" t="s">
        <v>178</v>
      </c>
      <c r="B28" s="425" t="str">
        <f>"Prior Net Uncollectible Gas Cost as of "&amp;TEXT(EDATE(D.6!B18,-12),"MMMM, YYYY")</f>
        <v>Prior Net Uncollectible Gas Cost as of November, 2021</v>
      </c>
      <c r="E28" s="175"/>
      <c r="F28" s="175"/>
      <c r="G28" s="419"/>
      <c r="H28" s="175"/>
      <c r="J28" s="177"/>
    </row>
    <row r="29" spans="1:17" ht="14.25" customHeight="1">
      <c r="A29" s="168" t="s">
        <v>176</v>
      </c>
      <c r="B29" s="425" t="s">
        <v>573</v>
      </c>
      <c r="E29" s="175"/>
      <c r="F29" s="175"/>
      <c r="G29" s="493"/>
      <c r="H29" s="175"/>
      <c r="J29" s="177"/>
    </row>
    <row r="30" spans="1:17" ht="14.25" customHeight="1">
      <c r="A30" s="168" t="s">
        <v>173</v>
      </c>
      <c r="B30" s="167" t="s">
        <v>580</v>
      </c>
      <c r="E30" s="175"/>
      <c r="F30" s="175"/>
      <c r="G30" s="176">
        <f>SUM(G24:G29)</f>
        <v>-21785815.415099978</v>
      </c>
      <c r="H30" s="175"/>
      <c r="I30" s="173"/>
      <c r="J30" s="180"/>
    </row>
    <row r="31" spans="1:17" ht="14.25" customHeight="1">
      <c r="A31" s="168" t="s">
        <v>172</v>
      </c>
      <c r="B31" s="167" t="s">
        <v>305</v>
      </c>
      <c r="D31" s="175"/>
      <c r="G31" s="175">
        <f>B.6!$E$26+B.6!$E$30</f>
        <v>16851020.133679997</v>
      </c>
      <c r="H31" s="175" t="s">
        <v>308</v>
      </c>
      <c r="J31" s="180"/>
      <c r="K31" s="173"/>
    </row>
    <row r="32" spans="1:17" ht="14.25" customHeight="1">
      <c r="A32" s="168" t="s">
        <v>171</v>
      </c>
      <c r="D32" s="175"/>
      <c r="G32" s="175"/>
      <c r="K32" s="173"/>
      <c r="M32" s="180"/>
    </row>
    <row r="33" spans="1:11" ht="14.25" customHeight="1">
      <c r="A33" s="168" t="s">
        <v>170</v>
      </c>
      <c r="B33" s="167" t="s">
        <v>307</v>
      </c>
      <c r="G33" s="171">
        <f>ROUND(G30/G31,4)</f>
        <v>-1.2927999999999999</v>
      </c>
      <c r="H33" s="167" t="s">
        <v>303</v>
      </c>
      <c r="K33" s="173"/>
    </row>
    <row r="34" spans="1:11" ht="14.25" customHeight="1">
      <c r="A34" s="168" t="s">
        <v>135</v>
      </c>
      <c r="B34" s="182"/>
      <c r="G34" s="180"/>
      <c r="K34" s="173"/>
    </row>
    <row r="35" spans="1:11" ht="14.25" customHeight="1">
      <c r="A35" s="168" t="s">
        <v>168</v>
      </c>
      <c r="B35" s="178" t="s">
        <v>306</v>
      </c>
      <c r="G35" s="180"/>
      <c r="J35" s="172"/>
    </row>
    <row r="36" spans="1:11" ht="14.25" customHeight="1">
      <c r="A36" s="168" t="s">
        <v>167</v>
      </c>
      <c r="B36" s="167" t="str">
        <f>"Net Uncollectible Gas Cost through "&amp; TEXT(D.6!B18,"MMMM YYYY") &amp;" (c)"</f>
        <v>Net Uncollectible Gas Cost through November 2022 (c)</v>
      </c>
      <c r="G36" s="181">
        <f>D.6!J18</f>
        <v>1324473.1500000001</v>
      </c>
      <c r="J36" s="180"/>
    </row>
    <row r="37" spans="1:11" ht="14.25" customHeight="1">
      <c r="A37" s="168" t="s">
        <v>165</v>
      </c>
      <c r="B37" s="167" t="s">
        <v>305</v>
      </c>
      <c r="G37" s="175">
        <f>G31</f>
        <v>16851020.133679997</v>
      </c>
    </row>
    <row r="38" spans="1:11" ht="14.25" customHeight="1">
      <c r="A38" s="168" t="s">
        <v>164</v>
      </c>
      <c r="J38" s="177"/>
      <c r="K38" s="172"/>
    </row>
    <row r="39" spans="1:11" ht="14.25" customHeight="1">
      <c r="A39" s="168" t="s">
        <v>162</v>
      </c>
      <c r="B39" s="167" t="s">
        <v>306</v>
      </c>
      <c r="G39" s="397">
        <f>ROUND(G36/G37,4)</f>
        <v>7.8600000000000003E-2</v>
      </c>
      <c r="H39" s="167" t="s">
        <v>303</v>
      </c>
      <c r="K39" s="179"/>
    </row>
    <row r="40" spans="1:11" ht="14.25" customHeight="1">
      <c r="A40" s="168" t="s">
        <v>158</v>
      </c>
      <c r="G40" s="171"/>
    </row>
    <row r="41" spans="1:11" ht="14.25" customHeight="1">
      <c r="A41" s="168" t="s">
        <v>153</v>
      </c>
      <c r="B41" s="178" t="s">
        <v>304</v>
      </c>
      <c r="G41" s="171"/>
      <c r="J41" s="180"/>
      <c r="K41" s="177"/>
    </row>
    <row r="42" spans="1:11" ht="14.25" customHeight="1">
      <c r="A42" s="168" t="s">
        <v>152</v>
      </c>
      <c r="B42" s="167" t="s">
        <v>581</v>
      </c>
      <c r="G42" s="176">
        <f>G30+G36</f>
        <v>-20461342.26509998</v>
      </c>
      <c r="I42" s="173"/>
      <c r="J42" s="180"/>
    </row>
    <row r="43" spans="1:11" ht="14.25" customHeight="1">
      <c r="A43" s="168" t="s">
        <v>151</v>
      </c>
      <c r="B43" s="167" t="s">
        <v>305</v>
      </c>
      <c r="G43" s="175">
        <f>G31</f>
        <v>16851020.133679997</v>
      </c>
      <c r="J43" s="180"/>
    </row>
    <row r="44" spans="1:11" ht="14.25" customHeight="1">
      <c r="A44" s="168" t="s">
        <v>149</v>
      </c>
      <c r="F44" s="168"/>
      <c r="H44" s="172"/>
    </row>
    <row r="45" spans="1:11" ht="14.25" customHeight="1" thickBot="1">
      <c r="A45" s="168" t="s">
        <v>148</v>
      </c>
      <c r="B45" s="170" t="s">
        <v>304</v>
      </c>
      <c r="C45" s="170"/>
      <c r="D45" s="170"/>
      <c r="E45" s="170"/>
      <c r="F45" s="170"/>
      <c r="G45" s="398">
        <f>G33+G39</f>
        <v>-1.2141999999999999</v>
      </c>
      <c r="H45" s="167" t="s">
        <v>303</v>
      </c>
      <c r="J45" s="174"/>
    </row>
    <row r="46" spans="1:11" ht="14.25" customHeight="1" thickTop="1"/>
    <row r="47" spans="1:11" ht="14.25" customHeight="1">
      <c r="A47" s="168"/>
      <c r="G47" s="173"/>
      <c r="I47" s="170"/>
    </row>
    <row r="48" spans="1:11" ht="15">
      <c r="A48" s="168"/>
      <c r="B48" s="170" t="s">
        <v>574</v>
      </c>
    </row>
    <row r="49" spans="1:9">
      <c r="A49" s="168"/>
      <c r="G49" s="172"/>
    </row>
    <row r="50" spans="1:9">
      <c r="A50" s="168"/>
    </row>
    <row r="51" spans="1:9">
      <c r="A51" s="168"/>
    </row>
    <row r="52" spans="1:9">
      <c r="A52" s="168"/>
    </row>
    <row r="53" spans="1:9">
      <c r="A53" s="168"/>
    </row>
    <row r="54" spans="1:9" ht="15">
      <c r="A54" s="168"/>
      <c r="H54" s="171"/>
      <c r="I54" s="170"/>
    </row>
    <row r="55" spans="1:9">
      <c r="A55" s="168"/>
      <c r="D55" s="169"/>
    </row>
    <row r="56" spans="1:9">
      <c r="A56" s="168"/>
    </row>
    <row r="57" spans="1:9">
      <c r="A57" s="168"/>
    </row>
    <row r="58" spans="1:9">
      <c r="A58" s="168"/>
    </row>
    <row r="59" spans="1:9">
      <c r="A59" s="168"/>
    </row>
    <row r="60" spans="1:9">
      <c r="A60" s="168"/>
    </row>
    <row r="61" spans="1:9">
      <c r="A61" s="168"/>
    </row>
    <row r="62" spans="1:9">
      <c r="A62" s="168"/>
    </row>
    <row r="63" spans="1:9">
      <c r="A63" s="168"/>
    </row>
    <row r="64" spans="1:9">
      <c r="A64" s="168"/>
    </row>
    <row r="65" spans="1:1">
      <c r="A65" s="168" t="str">
        <f>A1</f>
        <v>Atmos Energy Corporation</v>
      </c>
    </row>
    <row r="66" spans="1:1">
      <c r="A66" s="168"/>
    </row>
    <row r="67" spans="1:1">
      <c r="A67" s="168"/>
    </row>
    <row r="68" spans="1:1">
      <c r="A68" s="168"/>
    </row>
    <row r="69" spans="1:1">
      <c r="A69" s="168"/>
    </row>
    <row r="70" spans="1:1">
      <c r="A70" s="168"/>
    </row>
    <row r="71" spans="1:1">
      <c r="A71" s="168"/>
    </row>
    <row r="72" spans="1:1">
      <c r="A72" s="168"/>
    </row>
    <row r="73" spans="1:1">
      <c r="A73" s="168"/>
    </row>
    <row r="74" spans="1:1">
      <c r="A74" s="168"/>
    </row>
    <row r="75" spans="1:1">
      <c r="A75" s="168"/>
    </row>
    <row r="76" spans="1:1">
      <c r="A76" s="168"/>
    </row>
    <row r="77" spans="1:1">
      <c r="A77" s="168"/>
    </row>
    <row r="78" spans="1:1">
      <c r="A78" s="168"/>
    </row>
    <row r="79" spans="1:1">
      <c r="A79" s="168"/>
    </row>
    <row r="80" spans="1:1">
      <c r="A80" s="168"/>
    </row>
    <row r="81" spans="1:1">
      <c r="A81" s="168"/>
    </row>
    <row r="82" spans="1:1">
      <c r="A82" s="168"/>
    </row>
    <row r="83" spans="1:1">
      <c r="A83" s="168"/>
    </row>
    <row r="84" spans="1:1">
      <c r="A84" s="168"/>
    </row>
    <row r="85" spans="1:1">
      <c r="A85" s="168"/>
    </row>
    <row r="86" spans="1:1">
      <c r="A86" s="168"/>
    </row>
    <row r="87" spans="1:1">
      <c r="A87" s="168"/>
    </row>
    <row r="88" spans="1:1">
      <c r="A88" s="168"/>
    </row>
    <row r="89" spans="1:1">
      <c r="A89" s="168"/>
    </row>
    <row r="90" spans="1:1">
      <c r="A90" s="168"/>
    </row>
    <row r="91" spans="1:1">
      <c r="A91" s="168"/>
    </row>
    <row r="92" spans="1:1">
      <c r="A92" s="168"/>
    </row>
    <row r="93" spans="1:1">
      <c r="A93" s="168"/>
    </row>
    <row r="94" spans="1:1">
      <c r="A94" s="168"/>
    </row>
    <row r="95" spans="1:1">
      <c r="A95" s="168"/>
    </row>
    <row r="96" spans="1:1">
      <c r="A96" s="168"/>
    </row>
    <row r="97" spans="1:1">
      <c r="A97" s="168"/>
    </row>
    <row r="98" spans="1:1">
      <c r="A98" s="168"/>
    </row>
    <row r="99" spans="1:1">
      <c r="A99" s="168"/>
    </row>
    <row r="100" spans="1:1">
      <c r="A100" s="168"/>
    </row>
    <row r="101" spans="1:1">
      <c r="A101" s="168"/>
    </row>
    <row r="102" spans="1:1">
      <c r="A102" s="168"/>
    </row>
    <row r="103" spans="1:1">
      <c r="A103" s="168"/>
    </row>
    <row r="104" spans="1:1">
      <c r="A104" s="168"/>
    </row>
    <row r="105" spans="1:1">
      <c r="A105" s="168"/>
    </row>
    <row r="106" spans="1:1">
      <c r="A106" s="168"/>
    </row>
    <row r="107" spans="1:1">
      <c r="A107" s="168"/>
    </row>
    <row r="108" spans="1:1">
      <c r="A108" s="168"/>
    </row>
    <row r="109" spans="1:1">
      <c r="A109" s="168"/>
    </row>
    <row r="110" spans="1:1">
      <c r="A110" s="168"/>
    </row>
    <row r="111" spans="1:1">
      <c r="A111" s="168"/>
    </row>
    <row r="112" spans="1:1">
      <c r="A112" s="168"/>
    </row>
    <row r="113" spans="1:1">
      <c r="A113" s="168"/>
    </row>
    <row r="114" spans="1:1">
      <c r="A114" s="168"/>
    </row>
    <row r="115" spans="1:1">
      <c r="A115" s="168"/>
    </row>
    <row r="116" spans="1:1">
      <c r="A116" s="168"/>
    </row>
    <row r="117" spans="1:1">
      <c r="A117" s="168"/>
    </row>
    <row r="118" spans="1:1">
      <c r="A118" s="168"/>
    </row>
    <row r="119" spans="1:1">
      <c r="A119" s="168"/>
    </row>
    <row r="120" spans="1:1">
      <c r="A120" s="168"/>
    </row>
    <row r="121" spans="1:1">
      <c r="A121" s="168"/>
    </row>
    <row r="122" spans="1:1">
      <c r="A122" s="168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7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zoomScale="80" zoomScaleNormal="80" zoomScaleSheetLayoutView="100" workbookViewId="0">
      <selection activeCell="L30" sqref="L30"/>
    </sheetView>
  </sheetViews>
  <sheetFormatPr defaultColWidth="12.5703125" defaultRowHeight="14.25"/>
  <cols>
    <col min="1" max="1" width="6.140625" style="167" customWidth="1"/>
    <col min="2" max="2" width="35.7109375" style="167" customWidth="1"/>
    <col min="3" max="3" width="6.140625" style="167" customWidth="1"/>
    <col min="4" max="4" width="17" style="167" customWidth="1"/>
    <col min="5" max="5" width="2.28515625" style="167" customWidth="1"/>
    <col min="6" max="6" width="16.42578125" style="167" customWidth="1"/>
    <col min="7" max="7" width="2.28515625" style="167" customWidth="1"/>
    <col min="8" max="8" width="16.42578125" style="167" customWidth="1"/>
    <col min="9" max="9" width="2.28515625" style="167" customWidth="1"/>
    <col min="10" max="10" width="16.42578125" style="167" customWidth="1"/>
    <col min="11" max="11" width="2.28515625" style="167" customWidth="1"/>
    <col min="12" max="12" width="13.85546875" style="167" customWidth="1"/>
    <col min="13" max="13" width="9.85546875" style="167" customWidth="1"/>
    <col min="14" max="15" width="13.85546875" style="167" customWidth="1"/>
    <col min="16" max="16384" width="12.5703125" style="167"/>
  </cols>
  <sheetData>
    <row r="1" spans="1:17" ht="15">
      <c r="A1" s="216" t="s">
        <v>32</v>
      </c>
      <c r="H1" s="167" t="s">
        <v>327</v>
      </c>
    </row>
    <row r="2" spans="1:17">
      <c r="A2" s="215" t="s">
        <v>355</v>
      </c>
      <c r="H2" s="167" t="s">
        <v>354</v>
      </c>
    </row>
    <row r="3" spans="1:17">
      <c r="A3" s="509">
        <v>45108</v>
      </c>
      <c r="B3" s="509"/>
      <c r="C3" s="509"/>
      <c r="D3" s="509"/>
    </row>
    <row r="4" spans="1:17">
      <c r="A4" s="510" t="s">
        <v>576</v>
      </c>
      <c r="B4" s="510"/>
      <c r="C4" s="510"/>
      <c r="D4" s="510"/>
    </row>
    <row r="5" spans="1:17" ht="15">
      <c r="A5" s="215"/>
      <c r="C5" s="167" t="s">
        <v>353</v>
      </c>
      <c r="D5" s="192">
        <v>45078</v>
      </c>
      <c r="F5" s="192">
        <v>45108</v>
      </c>
      <c r="H5" s="192">
        <v>45139</v>
      </c>
      <c r="J5" s="201"/>
    </row>
    <row r="6" spans="1:17" ht="15">
      <c r="J6" s="201"/>
    </row>
    <row r="7" spans="1:17" ht="15">
      <c r="D7" s="168" t="s">
        <v>27</v>
      </c>
      <c r="F7" s="168" t="s">
        <v>26</v>
      </c>
      <c r="G7" s="175"/>
      <c r="H7" s="168" t="s">
        <v>25</v>
      </c>
      <c r="J7" s="201"/>
    </row>
    <row r="8" spans="1:17" ht="15">
      <c r="A8" s="168" t="s">
        <v>24</v>
      </c>
      <c r="D8" s="214" t="s">
        <v>40</v>
      </c>
      <c r="E8" s="214"/>
      <c r="F8" s="214"/>
      <c r="G8" s="214"/>
      <c r="H8" s="214"/>
      <c r="I8" s="234"/>
      <c r="J8" s="201"/>
      <c r="M8" s="210"/>
      <c r="N8" s="210"/>
      <c r="O8" s="210"/>
    </row>
    <row r="9" spans="1:17" ht="15">
      <c r="A9" s="168" t="s">
        <v>23</v>
      </c>
      <c r="B9" s="213" t="s">
        <v>22</v>
      </c>
      <c r="C9" s="167" t="s">
        <v>352</v>
      </c>
      <c r="D9" s="211">
        <v>45047</v>
      </c>
      <c r="E9" s="212"/>
      <c r="F9" s="211">
        <v>45078</v>
      </c>
      <c r="G9" s="212"/>
      <c r="H9" s="211">
        <v>45108</v>
      </c>
      <c r="J9" s="201"/>
      <c r="L9" s="209"/>
      <c r="M9" s="209"/>
      <c r="N9" s="210"/>
      <c r="O9" s="210"/>
    </row>
    <row r="10" spans="1:17" ht="15.75">
      <c r="A10" s="168" t="s">
        <v>202</v>
      </c>
      <c r="B10" s="170" t="s">
        <v>351</v>
      </c>
      <c r="D10" s="175"/>
      <c r="J10" s="201"/>
      <c r="L10" s="209"/>
      <c r="M10" s="209"/>
    </row>
    <row r="11" spans="1:17" ht="15">
      <c r="A11" s="168" t="s">
        <v>37</v>
      </c>
      <c r="B11" s="167" t="s">
        <v>350</v>
      </c>
      <c r="D11" s="175"/>
      <c r="J11" s="201"/>
      <c r="L11" s="209"/>
      <c r="M11" s="208"/>
    </row>
    <row r="12" spans="1:17" ht="16.5">
      <c r="A12" s="168" t="s">
        <v>200</v>
      </c>
      <c r="B12" s="167" t="s">
        <v>349</v>
      </c>
      <c r="C12" s="168" t="s">
        <v>4</v>
      </c>
      <c r="D12" s="206">
        <v>0</v>
      </c>
      <c r="E12" s="205"/>
      <c r="F12" s="206">
        <v>0</v>
      </c>
      <c r="G12" s="205"/>
      <c r="H12" s="206">
        <v>0</v>
      </c>
      <c r="I12" s="206"/>
      <c r="J12" s="201"/>
      <c r="L12" s="209"/>
      <c r="M12" s="208"/>
      <c r="N12" s="175"/>
      <c r="O12" s="175"/>
    </row>
    <row r="13" spans="1:17" ht="16.5">
      <c r="A13" s="168" t="s">
        <v>199</v>
      </c>
      <c r="B13" s="167" t="s">
        <v>348</v>
      </c>
      <c r="C13" s="168" t="s">
        <v>4</v>
      </c>
      <c r="D13" s="206">
        <v>0</v>
      </c>
      <c r="E13" s="205"/>
      <c r="F13" s="206">
        <v>0</v>
      </c>
      <c r="G13" s="205"/>
      <c r="H13" s="206">
        <v>0</v>
      </c>
      <c r="I13" s="206"/>
      <c r="J13" s="201"/>
      <c r="L13" s="209"/>
      <c r="M13" s="208"/>
      <c r="N13" s="175"/>
      <c r="O13" s="175"/>
    </row>
    <row r="14" spans="1:17" ht="16.5">
      <c r="A14" s="168" t="s">
        <v>198</v>
      </c>
      <c r="B14" s="167" t="s">
        <v>347</v>
      </c>
      <c r="C14" s="168" t="s">
        <v>4</v>
      </c>
      <c r="D14" s="206">
        <v>0</v>
      </c>
      <c r="E14" s="205"/>
      <c r="F14" s="206">
        <v>0</v>
      </c>
      <c r="G14" s="205"/>
      <c r="H14" s="206">
        <v>0</v>
      </c>
      <c r="I14" s="206"/>
      <c r="J14" s="201"/>
      <c r="L14" s="209"/>
      <c r="M14" s="208"/>
      <c r="N14" s="175"/>
      <c r="O14" s="175"/>
    </row>
    <row r="15" spans="1:17" ht="16.5">
      <c r="A15" s="168" t="s">
        <v>197</v>
      </c>
      <c r="B15" s="167" t="s">
        <v>346</v>
      </c>
      <c r="C15" s="168" t="s">
        <v>4</v>
      </c>
      <c r="D15" s="204">
        <v>0</v>
      </c>
      <c r="E15" s="205"/>
      <c r="F15" s="204">
        <v>0</v>
      </c>
      <c r="G15" s="205"/>
      <c r="H15" s="204">
        <v>0</v>
      </c>
      <c r="I15" s="206"/>
      <c r="J15" s="201"/>
      <c r="L15" s="209"/>
      <c r="M15" s="208"/>
      <c r="N15" s="175"/>
      <c r="O15" s="175"/>
      <c r="Q15" s="472"/>
    </row>
    <row r="16" spans="1:17" ht="15.75">
      <c r="A16" s="168" t="s">
        <v>196</v>
      </c>
      <c r="B16" s="170" t="s">
        <v>345</v>
      </c>
      <c r="C16" s="168" t="s">
        <v>4</v>
      </c>
      <c r="D16" s="175">
        <f>SUM(D12:D15)</f>
        <v>0</v>
      </c>
      <c r="F16" s="175">
        <f>SUM(F12:F15)</f>
        <v>0</v>
      </c>
      <c r="H16" s="175">
        <f>SUM(H12:H15)</f>
        <v>0</v>
      </c>
      <c r="J16" s="201"/>
      <c r="L16" s="209"/>
      <c r="M16" s="208"/>
      <c r="N16" s="175"/>
      <c r="O16" s="175"/>
      <c r="Q16" s="472"/>
    </row>
    <row r="17" spans="1:17" ht="15">
      <c r="A17" s="168" t="s">
        <v>194</v>
      </c>
      <c r="B17" s="167" t="s">
        <v>344</v>
      </c>
      <c r="C17" s="168" t="s">
        <v>4</v>
      </c>
      <c r="D17" s="175">
        <v>1722209.46</v>
      </c>
      <c r="F17" s="175">
        <v>1602636.67</v>
      </c>
      <c r="G17" s="175"/>
      <c r="H17" s="175">
        <v>1533658.01</v>
      </c>
      <c r="J17" s="201"/>
      <c r="L17" s="209"/>
      <c r="M17" s="208"/>
      <c r="N17" s="175"/>
      <c r="O17" s="175"/>
      <c r="Q17" s="472"/>
    </row>
    <row r="18" spans="1:17" ht="15">
      <c r="A18" s="168" t="s">
        <v>192</v>
      </c>
      <c r="B18" s="167" t="s">
        <v>343</v>
      </c>
      <c r="D18" s="175"/>
      <c r="F18" s="206"/>
      <c r="G18" s="205"/>
      <c r="H18" s="206"/>
      <c r="J18" s="201"/>
      <c r="Q18" s="472"/>
    </row>
    <row r="19" spans="1:17" ht="15">
      <c r="A19" s="168" t="s">
        <v>190</v>
      </c>
      <c r="B19" s="167" t="s">
        <v>342</v>
      </c>
      <c r="C19" s="168" t="s">
        <v>4</v>
      </c>
      <c r="D19" s="206">
        <v>0</v>
      </c>
      <c r="F19" s="206">
        <v>0</v>
      </c>
      <c r="G19" s="205"/>
      <c r="H19" s="206">
        <v>0</v>
      </c>
      <c r="J19" s="201"/>
      <c r="Q19" s="472"/>
    </row>
    <row r="20" spans="1:17" ht="15">
      <c r="A20" s="168" t="s">
        <v>188</v>
      </c>
      <c r="B20" s="167" t="s">
        <v>341</v>
      </c>
      <c r="C20" s="168" t="s">
        <v>4</v>
      </c>
      <c r="D20" s="206">
        <v>0</v>
      </c>
      <c r="F20" s="206">
        <v>0</v>
      </c>
      <c r="G20" s="205"/>
      <c r="H20" s="206">
        <v>0</v>
      </c>
      <c r="J20" s="201"/>
      <c r="Q20" s="472"/>
    </row>
    <row r="21" spans="1:17" ht="15">
      <c r="A21" s="168" t="s">
        <v>187</v>
      </c>
      <c r="B21" s="167" t="s">
        <v>340</v>
      </c>
      <c r="D21" s="175"/>
      <c r="F21" s="175"/>
      <c r="G21" s="205"/>
      <c r="H21" s="175"/>
      <c r="J21" s="201"/>
      <c r="Q21" s="472"/>
    </row>
    <row r="22" spans="1:17" ht="15">
      <c r="A22" s="168" t="s">
        <v>186</v>
      </c>
      <c r="B22" s="167" t="s">
        <v>181</v>
      </c>
      <c r="C22" s="168" t="s">
        <v>4</v>
      </c>
      <c r="D22" s="326">
        <v>1479.9</v>
      </c>
      <c r="E22" s="223"/>
      <c r="F22" s="326">
        <v>0</v>
      </c>
      <c r="G22" s="279"/>
      <c r="H22" s="326">
        <v>0</v>
      </c>
      <c r="J22" s="201"/>
      <c r="Q22" s="472"/>
    </row>
    <row r="23" spans="1:17" ht="15">
      <c r="A23" s="168" t="s">
        <v>184</v>
      </c>
      <c r="B23" s="167" t="s">
        <v>223</v>
      </c>
      <c r="C23" s="168" t="s">
        <v>4</v>
      </c>
      <c r="D23" s="326">
        <v>-661132.77</v>
      </c>
      <c r="E23" s="223"/>
      <c r="F23" s="326">
        <v>-657622.02</v>
      </c>
      <c r="G23" s="207"/>
      <c r="H23" s="326">
        <v>-657794.92000000004</v>
      </c>
      <c r="J23" s="201"/>
      <c r="Q23" s="472"/>
    </row>
    <row r="24" spans="1:17" ht="15">
      <c r="A24" s="168" t="s">
        <v>182</v>
      </c>
      <c r="B24" s="167" t="s">
        <v>339</v>
      </c>
      <c r="C24" s="168" t="s">
        <v>4</v>
      </c>
      <c r="D24" s="417">
        <v>3533</v>
      </c>
      <c r="E24" s="223"/>
      <c r="F24" s="417">
        <v>4719</v>
      </c>
      <c r="G24" s="279"/>
      <c r="H24" s="417">
        <v>5949</v>
      </c>
      <c r="J24" s="201"/>
    </row>
    <row r="25" spans="1:17" ht="15">
      <c r="A25" s="168" t="s">
        <v>180</v>
      </c>
      <c r="B25" s="167" t="s">
        <v>338</v>
      </c>
      <c r="C25" s="168" t="s">
        <v>4</v>
      </c>
      <c r="D25" s="417">
        <v>-107.55</v>
      </c>
      <c r="E25" s="223"/>
      <c r="F25" s="417">
        <v>-306.66000000000003</v>
      </c>
      <c r="G25" s="279"/>
      <c r="H25" s="417">
        <v>-242.6</v>
      </c>
      <c r="J25" s="201"/>
    </row>
    <row r="26" spans="1:17" ht="15">
      <c r="A26" s="168" t="s">
        <v>178</v>
      </c>
      <c r="B26" s="167" t="s">
        <v>337</v>
      </c>
      <c r="C26" s="168" t="s">
        <v>4</v>
      </c>
      <c r="D26" s="326"/>
      <c r="E26" s="223"/>
      <c r="F26" s="326"/>
      <c r="G26" s="279"/>
      <c r="H26" s="326"/>
      <c r="J26" s="201"/>
    </row>
    <row r="27" spans="1:17" ht="16.5">
      <c r="A27" s="168" t="s">
        <v>176</v>
      </c>
      <c r="B27" s="167" t="s">
        <v>336</v>
      </c>
      <c r="C27" s="168" t="s">
        <v>4</v>
      </c>
      <c r="D27" s="327">
        <v>-418116.16000000003</v>
      </c>
      <c r="E27" s="223"/>
      <c r="F27" s="327">
        <v>-531569.03</v>
      </c>
      <c r="G27" s="279"/>
      <c r="H27" s="327">
        <v>-565895.59</v>
      </c>
      <c r="J27" s="201"/>
    </row>
    <row r="28" spans="1:17" ht="15.75">
      <c r="A28" s="168" t="s">
        <v>173</v>
      </c>
      <c r="B28" s="170" t="s">
        <v>335</v>
      </c>
      <c r="C28" s="168" t="s">
        <v>4</v>
      </c>
      <c r="D28" s="175">
        <f>SUM(D16:D27)</f>
        <v>647865.87999999977</v>
      </c>
      <c r="F28" s="175">
        <f>SUM(F16:F27)</f>
        <v>417857.95999999985</v>
      </c>
      <c r="H28" s="175">
        <f>SUM(H16:H27)</f>
        <v>315673.90000000002</v>
      </c>
      <c r="J28" s="201"/>
      <c r="M28" s="175"/>
    </row>
    <row r="29" spans="1:17" ht="15">
      <c r="A29" s="168" t="s">
        <v>172</v>
      </c>
      <c r="D29" s="175"/>
      <c r="J29" s="201"/>
      <c r="M29" s="175"/>
    </row>
    <row r="30" spans="1:17" ht="15">
      <c r="A30" s="168">
        <v>21</v>
      </c>
      <c r="B30" s="167" t="s">
        <v>334</v>
      </c>
      <c r="C30" s="168" t="s">
        <v>4</v>
      </c>
      <c r="D30" s="206"/>
      <c r="F30" s="206"/>
      <c r="G30" s="205"/>
      <c r="H30" s="206"/>
      <c r="J30" s="201"/>
    </row>
    <row r="31" spans="1:17" ht="15">
      <c r="A31" s="168">
        <v>22</v>
      </c>
      <c r="B31" s="167" t="s">
        <v>333</v>
      </c>
      <c r="C31" s="168" t="s">
        <v>4</v>
      </c>
      <c r="D31" s="326">
        <v>0</v>
      </c>
      <c r="E31" s="328"/>
      <c r="F31" s="326">
        <v>0</v>
      </c>
      <c r="G31" s="329"/>
      <c r="H31" s="326">
        <v>0</v>
      </c>
      <c r="J31" s="201"/>
    </row>
    <row r="32" spans="1:17" ht="15">
      <c r="A32" s="168">
        <v>23</v>
      </c>
      <c r="B32" s="167" t="s">
        <v>332</v>
      </c>
      <c r="C32" s="168" t="s">
        <v>4</v>
      </c>
      <c r="D32" s="327">
        <v>0</v>
      </c>
      <c r="E32" s="328"/>
      <c r="F32" s="327">
        <v>0</v>
      </c>
      <c r="G32" s="329"/>
      <c r="H32" s="327">
        <v>0</v>
      </c>
      <c r="J32" s="201"/>
    </row>
    <row r="33" spans="1:15" ht="16.5" thickBot="1">
      <c r="A33" s="168">
        <v>24</v>
      </c>
      <c r="B33" s="170" t="s">
        <v>331</v>
      </c>
      <c r="C33" s="168" t="s">
        <v>4</v>
      </c>
      <c r="D33" s="203">
        <f>SUM(D17:D27)</f>
        <v>647865.87999999977</v>
      </c>
      <c r="F33" s="203">
        <f>F28+SUM(F30:F32)</f>
        <v>417857.95999999985</v>
      </c>
      <c r="G33" s="438">
        <f>G28+SUM(G30:G32)</f>
        <v>0</v>
      </c>
      <c r="H33" s="202">
        <f>H28+SUM(H30:H32)</f>
        <v>315673.90000000002</v>
      </c>
      <c r="J33" s="201"/>
      <c r="L33" s="200"/>
    </row>
    <row r="34" spans="1:15" ht="15" thickTop="1">
      <c r="D34" s="175"/>
      <c r="E34" s="175"/>
      <c r="F34" s="175"/>
      <c r="H34" s="175"/>
      <c r="J34" s="175"/>
      <c r="L34" s="175"/>
      <c r="M34" s="175"/>
      <c r="N34" s="175"/>
      <c r="O34" s="175"/>
    </row>
    <row r="35" spans="1:15" ht="16.5">
      <c r="B35" s="198" t="s">
        <v>330</v>
      </c>
      <c r="F35" s="175"/>
      <c r="H35" s="199"/>
    </row>
    <row r="36" spans="1:15" ht="16.5">
      <c r="B36" s="198" t="s">
        <v>329</v>
      </c>
    </row>
    <row r="37" spans="1:15">
      <c r="B37" s="182" t="s">
        <v>328</v>
      </c>
    </row>
    <row r="38" spans="1:15">
      <c r="D38" s="180"/>
    </row>
    <row r="39" spans="1:15">
      <c r="D39" s="197"/>
    </row>
    <row r="67" spans="1:1">
      <c r="A67" s="167" t="str">
        <f>A1</f>
        <v>Atmos Energy Corporation</v>
      </c>
    </row>
    <row r="87" spans="4:10">
      <c r="D87" s="196"/>
      <c r="F87" s="196"/>
      <c r="H87" s="196"/>
      <c r="J87" s="196"/>
    </row>
    <row r="88" spans="4:10">
      <c r="D88" s="196"/>
      <c r="F88" s="196"/>
      <c r="H88" s="196"/>
      <c r="J88" s="196"/>
    </row>
    <row r="89" spans="4:10">
      <c r="D89" s="196"/>
      <c r="F89" s="196"/>
      <c r="H89" s="196"/>
      <c r="J89" s="196"/>
    </row>
    <row r="90" spans="4:10">
      <c r="D90" s="196"/>
      <c r="F90" s="196"/>
      <c r="H90" s="196"/>
      <c r="J90" s="196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zoomScale="80" zoomScaleNormal="80" zoomScaleSheetLayoutView="90" workbookViewId="0">
      <selection activeCell="L22" sqref="L22"/>
    </sheetView>
  </sheetViews>
  <sheetFormatPr defaultColWidth="12.5703125" defaultRowHeight="14.25"/>
  <cols>
    <col min="1" max="1" width="6.140625" style="167" customWidth="1"/>
    <col min="2" max="2" width="35.7109375" style="167" customWidth="1"/>
    <col min="3" max="3" width="6.140625" style="167" customWidth="1"/>
    <col min="4" max="4" width="17" style="167" customWidth="1"/>
    <col min="5" max="5" width="2.28515625" style="167" customWidth="1"/>
    <col min="6" max="6" width="16.42578125" style="167" customWidth="1"/>
    <col min="7" max="7" width="2.28515625" style="167" customWidth="1"/>
    <col min="8" max="8" width="16.42578125" style="167" customWidth="1"/>
    <col min="9" max="9" width="2.28515625" style="167" customWidth="1"/>
    <col min="10" max="10" width="16.42578125" style="167" customWidth="1"/>
    <col min="11" max="11" width="2.28515625" style="167" customWidth="1"/>
    <col min="12" max="12" width="20.7109375" style="167" customWidth="1"/>
    <col min="13" max="13" width="9.85546875" style="167" customWidth="1"/>
    <col min="14" max="14" width="18" style="167" bestFit="1" customWidth="1"/>
    <col min="15" max="15" width="14.85546875" style="167" bestFit="1" customWidth="1"/>
    <col min="16" max="16384" width="12.5703125" style="167"/>
  </cols>
  <sheetData>
    <row r="1" spans="1:17" ht="15">
      <c r="A1" s="216" t="s">
        <v>32</v>
      </c>
      <c r="H1" s="167" t="s">
        <v>327</v>
      </c>
    </row>
    <row r="2" spans="1:17">
      <c r="A2" s="215" t="s">
        <v>355</v>
      </c>
      <c r="H2" s="167" t="s">
        <v>367</v>
      </c>
    </row>
    <row r="3" spans="1:17">
      <c r="A3" s="509">
        <v>45108</v>
      </c>
      <c r="B3" s="509"/>
      <c r="C3" s="509"/>
      <c r="D3" s="509"/>
    </row>
    <row r="4" spans="1:17">
      <c r="A4" s="510" t="s">
        <v>576</v>
      </c>
      <c r="B4" s="510"/>
      <c r="C4" s="510"/>
      <c r="D4" s="510"/>
    </row>
    <row r="5" spans="1:17" ht="15">
      <c r="A5" s="215"/>
      <c r="C5" s="167" t="s">
        <v>353</v>
      </c>
      <c r="D5" s="192">
        <f>EDATE(D9,1)</f>
        <v>45078</v>
      </c>
      <c r="F5" s="192">
        <f>EDATE(F9,1)</f>
        <v>45108</v>
      </c>
      <c r="H5" s="192">
        <f>EDATE(H9,1)</f>
        <v>45139</v>
      </c>
      <c r="J5" s="201"/>
    </row>
    <row r="6" spans="1:17" ht="15">
      <c r="J6" s="201"/>
    </row>
    <row r="7" spans="1:17" ht="15">
      <c r="D7" s="168" t="s">
        <v>27</v>
      </c>
      <c r="F7" s="168" t="s">
        <v>26</v>
      </c>
      <c r="G7" s="175"/>
      <c r="H7" s="168" t="s">
        <v>25</v>
      </c>
      <c r="J7" s="201"/>
    </row>
    <row r="8" spans="1:17" ht="15">
      <c r="A8" s="168" t="s">
        <v>24</v>
      </c>
      <c r="D8" s="214" t="s">
        <v>40</v>
      </c>
      <c r="E8" s="214"/>
      <c r="F8" s="214"/>
      <c r="G8" s="214"/>
      <c r="H8" s="214"/>
      <c r="I8" s="214"/>
      <c r="J8" s="201"/>
      <c r="L8" s="210"/>
      <c r="M8" s="224"/>
      <c r="N8" s="224"/>
    </row>
    <row r="9" spans="1:17" ht="15">
      <c r="A9" s="168" t="s">
        <v>23</v>
      </c>
      <c r="B9" s="213" t="s">
        <v>22</v>
      </c>
      <c r="C9" s="167" t="s">
        <v>352</v>
      </c>
      <c r="D9" s="211">
        <v>45047</v>
      </c>
      <c r="E9" s="212"/>
      <c r="F9" s="211">
        <v>45078</v>
      </c>
      <c r="G9" s="212"/>
      <c r="H9" s="211">
        <v>45108</v>
      </c>
      <c r="I9" s="212"/>
      <c r="J9" s="201"/>
      <c r="M9" s="224"/>
      <c r="N9" s="224"/>
    </row>
    <row r="10" spans="1:17" ht="15.75">
      <c r="A10" s="168" t="s">
        <v>202</v>
      </c>
      <c r="B10" s="170" t="s">
        <v>366</v>
      </c>
      <c r="D10" s="175"/>
      <c r="J10" s="201"/>
      <c r="M10" s="224"/>
      <c r="N10" s="224"/>
    </row>
    <row r="11" spans="1:17" ht="15">
      <c r="A11" s="168" t="s">
        <v>37</v>
      </c>
      <c r="B11" s="167" t="s">
        <v>350</v>
      </c>
      <c r="D11" s="175"/>
      <c r="J11" s="201"/>
      <c r="M11" s="224"/>
      <c r="N11" s="224"/>
    </row>
    <row r="12" spans="1:17" ht="16.5">
      <c r="A12" s="168" t="s">
        <v>200</v>
      </c>
      <c r="B12" s="167" t="s">
        <v>349</v>
      </c>
      <c r="C12" s="168" t="s">
        <v>111</v>
      </c>
      <c r="D12" s="326">
        <v>1311153.2</v>
      </c>
      <c r="E12" s="279"/>
      <c r="F12" s="326">
        <v>1261330.73</v>
      </c>
      <c r="G12" s="279"/>
      <c r="H12" s="326">
        <v>1302994.8699999999</v>
      </c>
      <c r="I12" s="205"/>
      <c r="J12" s="201"/>
      <c r="L12" s="175"/>
      <c r="M12" s="224"/>
      <c r="N12" s="224"/>
    </row>
    <row r="13" spans="1:17" ht="16.5">
      <c r="A13" s="168" t="s">
        <v>199</v>
      </c>
      <c r="B13" s="167" t="s">
        <v>348</v>
      </c>
      <c r="C13" s="168" t="s">
        <v>111</v>
      </c>
      <c r="D13" s="326">
        <v>199875.28999999998</v>
      </c>
      <c r="E13" s="279"/>
      <c r="F13" s="326">
        <v>189552.31999999998</v>
      </c>
      <c r="G13" s="279"/>
      <c r="H13" s="326">
        <v>189637.69</v>
      </c>
      <c r="I13" s="205"/>
      <c r="J13" s="201"/>
      <c r="L13" s="175"/>
      <c r="M13" s="201"/>
      <c r="N13" s="201"/>
    </row>
    <row r="14" spans="1:17" ht="16.5">
      <c r="A14" s="168" t="s">
        <v>198</v>
      </c>
      <c r="B14" s="167" t="s">
        <v>365</v>
      </c>
      <c r="C14" s="168" t="s">
        <v>111</v>
      </c>
      <c r="D14" s="326">
        <v>7320.42</v>
      </c>
      <c r="E14" s="207"/>
      <c r="F14" s="326">
        <v>7085.24</v>
      </c>
      <c r="G14" s="207"/>
      <c r="H14" s="326">
        <v>7322.85</v>
      </c>
      <c r="I14" s="205"/>
      <c r="J14" s="201"/>
      <c r="L14" s="175"/>
      <c r="M14" s="201"/>
      <c r="N14" s="201"/>
    </row>
    <row r="15" spans="1:17" ht="16.5">
      <c r="A15" s="168" t="s">
        <v>197</v>
      </c>
      <c r="B15" s="167" t="s">
        <v>568</v>
      </c>
      <c r="C15" s="168" t="s">
        <v>111</v>
      </c>
      <c r="D15" s="326">
        <v>0</v>
      </c>
      <c r="E15" s="207"/>
      <c r="F15" s="326">
        <v>0</v>
      </c>
      <c r="G15" s="207"/>
      <c r="H15" s="326">
        <v>0</v>
      </c>
      <c r="I15" s="205"/>
      <c r="J15" s="201"/>
      <c r="L15" s="175"/>
      <c r="M15" s="201"/>
      <c r="N15" s="201"/>
      <c r="Q15" s="473"/>
    </row>
    <row r="16" spans="1:17" ht="15">
      <c r="A16" s="168" t="s">
        <v>196</v>
      </c>
      <c r="B16" s="167" t="s">
        <v>364</v>
      </c>
      <c r="C16" s="168" t="s">
        <v>111</v>
      </c>
      <c r="D16" s="467">
        <v>0</v>
      </c>
      <c r="E16" s="279"/>
      <c r="F16" s="467">
        <v>0</v>
      </c>
      <c r="G16" s="279"/>
      <c r="H16" s="467">
        <v>0</v>
      </c>
      <c r="I16" s="205"/>
      <c r="J16" s="201"/>
      <c r="L16" s="175"/>
      <c r="M16" s="201"/>
      <c r="N16" s="222"/>
      <c r="Q16" s="472"/>
    </row>
    <row r="17" spans="1:17" ht="15.75">
      <c r="A17" s="168" t="s">
        <v>194</v>
      </c>
      <c r="B17" s="170" t="s">
        <v>345</v>
      </c>
      <c r="C17" s="168" t="s">
        <v>111</v>
      </c>
      <c r="D17" s="175">
        <f>SUM(D12:D16)</f>
        <v>1518348.91</v>
      </c>
      <c r="F17" s="175">
        <f>SUM(F12:F16)</f>
        <v>1457968.29</v>
      </c>
      <c r="H17" s="175">
        <f>SUM(H12:H16)</f>
        <v>1499955.41</v>
      </c>
      <c r="J17" s="218"/>
      <c r="L17" s="175"/>
      <c r="M17" s="201"/>
      <c r="N17" s="222"/>
      <c r="Q17" s="472"/>
    </row>
    <row r="18" spans="1:17" ht="15">
      <c r="A18" s="168" t="s">
        <v>192</v>
      </c>
      <c r="B18" s="167" t="s">
        <v>344</v>
      </c>
      <c r="C18" s="168" t="s">
        <v>111</v>
      </c>
      <c r="D18" s="175">
        <v>3434777.5699999966</v>
      </c>
      <c r="F18" s="175">
        <v>3295544.7599999993</v>
      </c>
      <c r="H18" s="175">
        <v>3799822.93</v>
      </c>
      <c r="J18" s="282"/>
      <c r="L18" s="175"/>
      <c r="M18" s="201"/>
      <c r="N18" s="222"/>
      <c r="Q18" s="472"/>
    </row>
    <row r="19" spans="1:17" ht="15">
      <c r="A19" s="168" t="s">
        <v>190</v>
      </c>
      <c r="B19" s="167" t="s">
        <v>363</v>
      </c>
      <c r="C19" s="168" t="s">
        <v>111</v>
      </c>
      <c r="D19" s="183">
        <v>0</v>
      </c>
      <c r="E19" s="223"/>
      <c r="F19" s="183">
        <v>0</v>
      </c>
      <c r="G19" s="223"/>
      <c r="H19" s="183">
        <v>0</v>
      </c>
      <c r="J19" s="201"/>
      <c r="L19" s="175"/>
      <c r="M19" s="201"/>
      <c r="N19" s="222"/>
      <c r="Q19" s="472"/>
    </row>
    <row r="20" spans="1:17" ht="15">
      <c r="A20" s="168" t="s">
        <v>188</v>
      </c>
      <c r="B20" s="167" t="s">
        <v>343</v>
      </c>
      <c r="D20" s="183"/>
      <c r="E20" s="223"/>
      <c r="F20" s="183"/>
      <c r="G20" s="279"/>
      <c r="H20" s="183"/>
      <c r="J20" s="201"/>
      <c r="M20" s="201"/>
      <c r="N20" s="222"/>
      <c r="Q20" s="472"/>
    </row>
    <row r="21" spans="1:17" ht="15">
      <c r="A21" s="168" t="s">
        <v>187</v>
      </c>
      <c r="B21" s="167" t="s">
        <v>342</v>
      </c>
      <c r="C21" s="168" t="s">
        <v>111</v>
      </c>
      <c r="D21" s="207"/>
      <c r="E21" s="223"/>
      <c r="F21" s="207"/>
      <c r="G21" s="279"/>
      <c r="H21" s="207"/>
      <c r="J21" s="201"/>
      <c r="M21" s="201"/>
      <c r="N21" s="222"/>
      <c r="Q21" s="472"/>
    </row>
    <row r="22" spans="1:17" ht="15">
      <c r="A22" s="168" t="s">
        <v>186</v>
      </c>
      <c r="B22" s="167" t="s">
        <v>341</v>
      </c>
      <c r="C22" s="168" t="s">
        <v>111</v>
      </c>
      <c r="D22" s="207"/>
      <c r="E22" s="223"/>
      <c r="F22" s="207"/>
      <c r="G22" s="279"/>
      <c r="H22" s="207"/>
      <c r="J22" s="201"/>
      <c r="M22" s="201"/>
      <c r="N22" s="222"/>
      <c r="Q22" s="472"/>
    </row>
    <row r="23" spans="1:17" ht="15">
      <c r="A23" s="168" t="s">
        <v>184</v>
      </c>
      <c r="B23" s="167" t="s">
        <v>362</v>
      </c>
      <c r="C23" s="168" t="s">
        <v>111</v>
      </c>
      <c r="D23" s="326">
        <v>147954</v>
      </c>
      <c r="E23" s="223"/>
      <c r="F23" s="326">
        <v>147954</v>
      </c>
      <c r="G23" s="207"/>
      <c r="H23" s="326">
        <v>147954</v>
      </c>
      <c r="J23" s="201"/>
      <c r="M23" s="201"/>
      <c r="N23" s="222"/>
      <c r="Q23" s="472"/>
    </row>
    <row r="24" spans="1:17" ht="15">
      <c r="A24" s="168" t="s">
        <v>182</v>
      </c>
      <c r="B24" s="167" t="s">
        <v>340</v>
      </c>
      <c r="D24" s="330"/>
      <c r="E24" s="223"/>
      <c r="F24" s="330"/>
      <c r="G24" s="279"/>
      <c r="H24" s="330"/>
      <c r="J24" s="201"/>
      <c r="M24" s="201"/>
      <c r="N24" s="222"/>
    </row>
    <row r="25" spans="1:17" ht="15">
      <c r="A25" s="168" t="s">
        <v>180</v>
      </c>
      <c r="B25" s="167" t="s">
        <v>181</v>
      </c>
      <c r="C25" s="168" t="s">
        <v>111</v>
      </c>
      <c r="D25" s="326">
        <v>5434.02</v>
      </c>
      <c r="E25" s="223"/>
      <c r="F25" s="326">
        <v>0</v>
      </c>
      <c r="G25" s="279"/>
      <c r="H25" s="326">
        <v>0</v>
      </c>
      <c r="J25" s="201"/>
      <c r="M25" s="201"/>
      <c r="N25" s="222"/>
    </row>
    <row r="26" spans="1:17" ht="15">
      <c r="A26" s="168" t="s">
        <v>178</v>
      </c>
      <c r="B26" s="167" t="s">
        <v>223</v>
      </c>
      <c r="C26" s="168" t="s">
        <v>111</v>
      </c>
      <c r="D26" s="326">
        <v>-1364014.34</v>
      </c>
      <c r="E26" s="223"/>
      <c r="F26" s="326">
        <v>-1371478.22</v>
      </c>
      <c r="G26" s="279"/>
      <c r="H26" s="326">
        <v>-1680164.01</v>
      </c>
      <c r="J26" s="282"/>
      <c r="M26" s="201"/>
      <c r="N26" s="222"/>
    </row>
    <row r="27" spans="1:17" ht="15">
      <c r="A27" s="168" t="s">
        <v>176</v>
      </c>
      <c r="B27" s="167" t="s">
        <v>339</v>
      </c>
      <c r="C27" s="168" t="s">
        <v>111</v>
      </c>
      <c r="D27" s="417">
        <v>6825.11</v>
      </c>
      <c r="E27" s="223"/>
      <c r="F27" s="417">
        <v>9513.76</v>
      </c>
      <c r="G27" s="279"/>
      <c r="H27" s="417">
        <v>14167.14</v>
      </c>
      <c r="J27" s="201"/>
      <c r="M27" s="201"/>
      <c r="N27" s="222"/>
    </row>
    <row r="28" spans="1:17" ht="15">
      <c r="A28" s="168" t="s">
        <v>173</v>
      </c>
      <c r="B28" s="167" t="s">
        <v>338</v>
      </c>
      <c r="C28" s="168" t="s">
        <v>111</v>
      </c>
      <c r="D28" s="326">
        <v>-810.2</v>
      </c>
      <c r="E28" s="223"/>
      <c r="F28" s="326">
        <v>-1380.58</v>
      </c>
      <c r="G28" s="279"/>
      <c r="H28" s="326">
        <v>-1051.76</v>
      </c>
      <c r="J28" s="282"/>
      <c r="M28" s="201"/>
      <c r="N28" s="222"/>
    </row>
    <row r="29" spans="1:17" ht="15">
      <c r="A29" s="168" t="s">
        <v>172</v>
      </c>
      <c r="B29" s="167" t="s">
        <v>337</v>
      </c>
      <c r="C29" s="168" t="s">
        <v>111</v>
      </c>
      <c r="D29" s="326">
        <v>0</v>
      </c>
      <c r="E29" s="223"/>
      <c r="F29" s="326">
        <v>0</v>
      </c>
      <c r="G29" s="279"/>
      <c r="H29" s="326">
        <v>0</v>
      </c>
      <c r="J29" s="201"/>
      <c r="M29" s="201"/>
      <c r="N29" s="222"/>
    </row>
    <row r="30" spans="1:17" ht="16.5">
      <c r="A30" s="168" t="s">
        <v>171</v>
      </c>
      <c r="B30" s="167" t="s">
        <v>336</v>
      </c>
      <c r="C30" s="168" t="s">
        <v>111</v>
      </c>
      <c r="D30" s="327">
        <v>-1152464.55</v>
      </c>
      <c r="E30" s="223"/>
      <c r="F30" s="327">
        <v>-1920102.7699999998</v>
      </c>
      <c r="G30" s="279"/>
      <c r="H30" s="327">
        <v>-1969206.9100000001</v>
      </c>
      <c r="J30" s="201"/>
      <c r="L30" s="282"/>
      <c r="M30" s="282"/>
    </row>
    <row r="31" spans="1:17" ht="15.75">
      <c r="A31" s="168" t="s">
        <v>170</v>
      </c>
      <c r="B31" s="170" t="s">
        <v>361</v>
      </c>
      <c r="C31" s="168" t="s">
        <v>111</v>
      </c>
      <c r="D31" s="175">
        <f>SUM(D17:D30)</f>
        <v>2596050.5199999958</v>
      </c>
      <c r="F31" s="175">
        <f>SUM(F17:F30)</f>
        <v>1618019.2399999991</v>
      </c>
      <c r="H31" s="175">
        <f>SUM(H17:H30)</f>
        <v>1811476.8000000003</v>
      </c>
      <c r="J31" s="218"/>
      <c r="M31" s="169"/>
      <c r="N31" s="169"/>
      <c r="O31" s="169"/>
    </row>
    <row r="32" spans="1:17" ht="15">
      <c r="A32" s="168" t="s">
        <v>135</v>
      </c>
      <c r="B32" s="167" t="s">
        <v>360</v>
      </c>
      <c r="D32" s="175"/>
      <c r="F32" s="175"/>
      <c r="H32" s="175"/>
      <c r="J32" s="201"/>
      <c r="M32" s="180"/>
      <c r="N32" s="180"/>
      <c r="O32" s="180"/>
    </row>
    <row r="33" spans="1:13" ht="15">
      <c r="A33" s="168" t="s">
        <v>168</v>
      </c>
      <c r="B33" s="167" t="s">
        <v>334</v>
      </c>
      <c r="C33" s="168" t="s">
        <v>111</v>
      </c>
      <c r="D33" s="221"/>
      <c r="F33" s="280"/>
      <c r="G33" s="205"/>
      <c r="H33" s="220"/>
      <c r="J33" s="201"/>
    </row>
    <row r="34" spans="1:13" ht="15">
      <c r="A34" s="168" t="s">
        <v>167</v>
      </c>
      <c r="B34" s="167" t="s">
        <v>333</v>
      </c>
      <c r="C34" s="168" t="s">
        <v>111</v>
      </c>
      <c r="D34" s="326"/>
      <c r="E34" s="328"/>
      <c r="F34" s="326"/>
      <c r="G34" s="329"/>
      <c r="H34" s="326"/>
      <c r="J34" s="201"/>
    </row>
    <row r="35" spans="1:13" ht="15">
      <c r="A35" s="168" t="s">
        <v>165</v>
      </c>
      <c r="B35" s="167" t="s">
        <v>359</v>
      </c>
      <c r="C35" s="168" t="s">
        <v>111</v>
      </c>
      <c r="D35" s="327"/>
      <c r="E35" s="328"/>
      <c r="F35" s="327"/>
      <c r="G35" s="329"/>
      <c r="H35" s="327"/>
      <c r="J35" s="201"/>
      <c r="M35" s="169"/>
    </row>
    <row r="36" spans="1:13" ht="15.75" thickBot="1">
      <c r="A36" s="168" t="s">
        <v>164</v>
      </c>
      <c r="B36" s="170" t="s">
        <v>358</v>
      </c>
      <c r="C36" s="168" t="s">
        <v>111</v>
      </c>
      <c r="D36" s="219">
        <f>D31+D33+D34+D35</f>
        <v>2596050.5199999958</v>
      </c>
      <c r="F36" s="219">
        <f>F31+F33+F34+F35</f>
        <v>1618019.2399999991</v>
      </c>
      <c r="H36" s="219">
        <f>H31+H33+H34+H35</f>
        <v>1811476.8000000003</v>
      </c>
      <c r="J36" s="180"/>
      <c r="L36" s="180"/>
      <c r="M36" s="169"/>
    </row>
    <row r="37" spans="1:13" ht="15.75" thickTop="1">
      <c r="D37" s="175"/>
      <c r="E37" s="175"/>
      <c r="F37" s="175"/>
      <c r="H37" s="175"/>
      <c r="J37" s="201"/>
      <c r="L37" s="175"/>
      <c r="M37" s="169"/>
    </row>
    <row r="38" spans="1:13" ht="16.5">
      <c r="B38" s="198" t="s">
        <v>357</v>
      </c>
      <c r="M38" s="180"/>
    </row>
    <row r="39" spans="1:13" ht="16.5">
      <c r="B39" s="198" t="s">
        <v>356</v>
      </c>
      <c r="M39" s="169"/>
    </row>
    <row r="40" spans="1:13">
      <c r="B40" s="182" t="s">
        <v>328</v>
      </c>
    </row>
    <row r="41" spans="1:13">
      <c r="A41" s="168"/>
      <c r="F41" s="175"/>
      <c r="H41" s="283"/>
      <c r="M41" s="282"/>
    </row>
    <row r="42" spans="1:13">
      <c r="A42" s="168"/>
      <c r="D42" s="437"/>
      <c r="E42" s="437"/>
      <c r="F42" s="437"/>
      <c r="H42" s="200"/>
    </row>
    <row r="43" spans="1:13">
      <c r="A43" s="168"/>
      <c r="B43" s="205"/>
      <c r="D43" s="180"/>
      <c r="F43" s="180"/>
      <c r="H43" s="180"/>
    </row>
    <row r="44" spans="1:13">
      <c r="A44" s="168"/>
    </row>
    <row r="45" spans="1:13">
      <c r="A45" s="168"/>
    </row>
    <row r="48" spans="1:13">
      <c r="D48" s="168"/>
      <c r="L48" s="210"/>
    </row>
    <row r="49" spans="1:12">
      <c r="A49" s="168"/>
      <c r="B49" s="168"/>
      <c r="D49" s="168"/>
      <c r="F49" s="168"/>
      <c r="H49" s="168"/>
      <c r="J49" s="168"/>
      <c r="L49" s="210"/>
    </row>
    <row r="50" spans="1:12">
      <c r="A50" s="168"/>
      <c r="D50" s="180"/>
      <c r="F50" s="180"/>
      <c r="G50" s="180"/>
      <c r="H50" s="180"/>
      <c r="I50" s="180"/>
      <c r="J50" s="180"/>
    </row>
    <row r="51" spans="1:12">
      <c r="A51" s="168"/>
      <c r="D51" s="180"/>
      <c r="F51" s="180"/>
      <c r="G51" s="180"/>
      <c r="H51" s="180"/>
      <c r="I51" s="180"/>
      <c r="J51" s="180"/>
    </row>
    <row r="52" spans="1:12">
      <c r="A52" s="168"/>
      <c r="C52" s="168"/>
      <c r="D52" s="217"/>
      <c r="E52" s="205"/>
      <c r="F52" s="217"/>
      <c r="G52" s="217"/>
      <c r="H52" s="217"/>
      <c r="I52" s="205"/>
      <c r="J52" s="217"/>
    </row>
    <row r="53" spans="1:12">
      <c r="A53" s="168"/>
      <c r="C53" s="168"/>
      <c r="D53" s="217"/>
      <c r="E53" s="205"/>
      <c r="F53" s="217"/>
      <c r="G53" s="217"/>
      <c r="H53" s="217"/>
      <c r="I53" s="205"/>
      <c r="J53" s="217"/>
    </row>
    <row r="54" spans="1:12">
      <c r="A54" s="168"/>
      <c r="C54" s="168"/>
      <c r="D54" s="180"/>
      <c r="F54" s="180"/>
      <c r="G54" s="180"/>
      <c r="H54" s="180"/>
      <c r="J54" s="180"/>
      <c r="L54" s="175"/>
    </row>
    <row r="55" spans="1:12">
      <c r="A55" s="168"/>
      <c r="C55" s="168"/>
      <c r="D55" s="180"/>
      <c r="F55" s="180"/>
      <c r="G55" s="180"/>
      <c r="H55" s="180"/>
      <c r="J55" s="180"/>
      <c r="L55" s="175"/>
    </row>
    <row r="56" spans="1:12">
      <c r="A56" s="168"/>
    </row>
    <row r="57" spans="1:12">
      <c r="A57" s="168"/>
      <c r="C57" s="168"/>
      <c r="D57" s="217"/>
      <c r="F57" s="217"/>
      <c r="G57" s="205"/>
      <c r="H57" s="217"/>
      <c r="J57" s="217"/>
    </row>
    <row r="58" spans="1:12">
      <c r="A58" s="168"/>
      <c r="C58" s="168"/>
      <c r="D58" s="217"/>
      <c r="F58" s="217"/>
      <c r="G58" s="205"/>
      <c r="H58" s="217"/>
      <c r="J58" s="217"/>
    </row>
    <row r="59" spans="1:12">
      <c r="A59" s="168"/>
      <c r="D59" s="180"/>
      <c r="F59" s="206"/>
      <c r="G59" s="205"/>
      <c r="H59" s="217"/>
      <c r="J59" s="217"/>
    </row>
    <row r="60" spans="1:12">
      <c r="A60" s="168"/>
      <c r="C60" s="168"/>
      <c r="D60" s="217"/>
      <c r="F60" s="217"/>
      <c r="G60" s="205"/>
      <c r="H60" s="217"/>
      <c r="J60" s="217"/>
    </row>
    <row r="61" spans="1:12">
      <c r="A61" s="168"/>
      <c r="C61" s="168"/>
      <c r="D61" s="217"/>
      <c r="F61" s="217"/>
      <c r="G61" s="205"/>
      <c r="H61" s="217"/>
      <c r="J61" s="217"/>
    </row>
    <row r="62" spans="1:12">
      <c r="A62" s="168"/>
      <c r="C62" s="168"/>
      <c r="D62" s="217"/>
      <c r="F62" s="217"/>
      <c r="G62" s="205"/>
      <c r="H62" s="217"/>
      <c r="J62" s="217"/>
    </row>
    <row r="63" spans="1:12">
      <c r="A63" s="168"/>
      <c r="C63" s="168"/>
      <c r="D63" s="180"/>
      <c r="F63" s="180"/>
      <c r="H63" s="180"/>
      <c r="J63" s="180"/>
    </row>
    <row r="64" spans="1:12">
      <c r="A64" s="168"/>
      <c r="C64" s="168"/>
      <c r="D64" s="217"/>
      <c r="F64" s="217"/>
      <c r="G64" s="205"/>
      <c r="H64" s="217"/>
      <c r="J64" s="217"/>
    </row>
    <row r="65" spans="1:10">
      <c r="A65" s="168"/>
      <c r="C65" s="168"/>
      <c r="D65" s="180"/>
      <c r="F65" s="180"/>
      <c r="H65" s="180"/>
      <c r="J65" s="180"/>
    </row>
    <row r="66" spans="1:10">
      <c r="F66" s="180"/>
    </row>
    <row r="67" spans="1:10">
      <c r="A67" s="168"/>
      <c r="C67" s="168"/>
      <c r="D67" s="217"/>
      <c r="F67" s="217"/>
      <c r="G67" s="205"/>
      <c r="H67" s="217"/>
      <c r="J67" s="217"/>
    </row>
    <row r="68" spans="1:10">
      <c r="A68" s="168"/>
      <c r="C68" s="168"/>
      <c r="D68" s="217"/>
      <c r="F68" s="217"/>
      <c r="G68" s="205"/>
      <c r="H68" s="217"/>
      <c r="J68" s="217"/>
    </row>
    <row r="69" spans="1:10">
      <c r="D69" s="217"/>
      <c r="F69" s="217"/>
      <c r="G69" s="205"/>
      <c r="H69" s="217"/>
      <c r="J69" s="217"/>
    </row>
    <row r="70" spans="1:10">
      <c r="A70" s="215"/>
      <c r="C70" s="168"/>
      <c r="D70" s="217"/>
      <c r="F70" s="217"/>
      <c r="G70" s="205"/>
      <c r="H70" s="217"/>
      <c r="J70" s="217"/>
    </row>
    <row r="71" spans="1:10">
      <c r="D71" s="180"/>
      <c r="F71" s="175"/>
      <c r="G71" s="175"/>
      <c r="H71" s="175"/>
      <c r="J71" s="175"/>
    </row>
    <row r="72" spans="1:10">
      <c r="A72" s="168"/>
      <c r="C72" s="168"/>
      <c r="D72" s="180"/>
      <c r="F72" s="180"/>
      <c r="G72" s="175"/>
      <c r="H72" s="180"/>
      <c r="J72" s="180"/>
    </row>
    <row r="73" spans="1:10">
      <c r="D73" s="177"/>
      <c r="F73" s="180"/>
      <c r="H73" s="180"/>
      <c r="J73" s="180"/>
    </row>
    <row r="93" spans="6:6">
      <c r="F93" s="217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zoomScale="70" zoomScaleNormal="70" zoomScaleSheetLayoutView="82" zoomScalePageLayoutView="55" workbookViewId="0">
      <selection activeCell="H41" sqref="H41"/>
    </sheetView>
  </sheetViews>
  <sheetFormatPr defaultColWidth="12.5703125" defaultRowHeight="15"/>
  <cols>
    <col min="1" max="1" width="7" style="167" customWidth="1"/>
    <col min="2" max="2" width="19.140625" style="167" customWidth="1"/>
    <col min="3" max="3" width="31.7109375" style="167" bestFit="1" customWidth="1"/>
    <col min="4" max="4" width="17" style="167" customWidth="1"/>
    <col min="5" max="5" width="12.7109375" style="167" bestFit="1" customWidth="1"/>
    <col min="6" max="6" width="17" style="167" bestFit="1" customWidth="1"/>
    <col min="7" max="7" width="12.140625" style="167" bestFit="1" customWidth="1"/>
    <col min="8" max="8" width="18.140625" style="167" customWidth="1"/>
    <col min="9" max="9" width="12" style="167" bestFit="1" customWidth="1"/>
    <col min="10" max="10" width="18.7109375" style="225" customWidth="1"/>
    <col min="11" max="11" width="13.140625" style="167" bestFit="1" customWidth="1"/>
    <col min="12" max="12" width="19.42578125" style="167" customWidth="1"/>
    <col min="13" max="13" width="9.85546875" style="201" customWidth="1"/>
    <col min="14" max="14" width="19" style="167" customWidth="1"/>
    <col min="15" max="15" width="16.85546875" style="167" bestFit="1" customWidth="1"/>
    <col min="16" max="16" width="30.28515625" style="167" bestFit="1" customWidth="1"/>
    <col min="17" max="17" width="7.42578125" style="167" bestFit="1" customWidth="1"/>
    <col min="18" max="18" width="18.140625" style="167" bestFit="1" customWidth="1"/>
    <col min="19" max="16384" width="12.5703125" style="167"/>
  </cols>
  <sheetData>
    <row r="1" spans="1:18" ht="15.75">
      <c r="A1" s="170" t="s">
        <v>32</v>
      </c>
      <c r="B1" s="215"/>
      <c r="N1" s="167" t="s">
        <v>327</v>
      </c>
    </row>
    <row r="2" spans="1:18">
      <c r="A2" s="167" t="s">
        <v>390</v>
      </c>
      <c r="B2" s="215"/>
      <c r="N2" s="167" t="s">
        <v>389</v>
      </c>
    </row>
    <row r="3" spans="1:18">
      <c r="A3" s="509">
        <f>D.1!A3:D3</f>
        <v>45108</v>
      </c>
      <c r="B3" s="509"/>
      <c r="C3" s="509"/>
      <c r="D3" s="509"/>
    </row>
    <row r="4" spans="1:18">
      <c r="A4" s="510" t="str">
        <f>D.1!A4</f>
        <v>2023-00307</v>
      </c>
      <c r="B4" s="510"/>
      <c r="C4" s="510"/>
      <c r="D4" s="510"/>
    </row>
    <row r="5" spans="1:18" ht="17.25" customHeight="1">
      <c r="D5" s="168" t="s">
        <v>27</v>
      </c>
      <c r="E5" s="168" t="s">
        <v>26</v>
      </c>
      <c r="F5" s="168" t="s">
        <v>25</v>
      </c>
      <c r="G5" s="168" t="s">
        <v>121</v>
      </c>
      <c r="H5" s="168" t="s">
        <v>120</v>
      </c>
      <c r="I5" s="210" t="s">
        <v>204</v>
      </c>
      <c r="J5" s="168" t="s">
        <v>324</v>
      </c>
      <c r="K5" s="168" t="s">
        <v>388</v>
      </c>
      <c r="L5" s="168" t="s">
        <v>387</v>
      </c>
      <c r="N5" s="168" t="s">
        <v>386</v>
      </c>
      <c r="O5" s="175"/>
      <c r="P5" s="168"/>
    </row>
    <row r="6" spans="1:18" ht="15" customHeight="1">
      <c r="A6" s="168" t="s">
        <v>24</v>
      </c>
      <c r="E6" s="168" t="s">
        <v>385</v>
      </c>
      <c r="F6" s="168" t="s">
        <v>385</v>
      </c>
      <c r="G6" s="168" t="s">
        <v>2</v>
      </c>
      <c r="H6" s="168" t="s">
        <v>2</v>
      </c>
      <c r="I6" s="168" t="s">
        <v>384</v>
      </c>
      <c r="J6" s="232" t="s">
        <v>383</v>
      </c>
      <c r="K6" s="168" t="s">
        <v>546</v>
      </c>
      <c r="L6" s="168" t="s">
        <v>547</v>
      </c>
      <c r="N6" s="168" t="s">
        <v>114</v>
      </c>
    </row>
    <row r="7" spans="1:18" ht="15" customHeight="1">
      <c r="A7" s="168" t="s">
        <v>23</v>
      </c>
      <c r="B7" s="215" t="s">
        <v>40</v>
      </c>
      <c r="C7" s="168" t="s">
        <v>382</v>
      </c>
      <c r="D7" s="168" t="s">
        <v>381</v>
      </c>
      <c r="E7" s="168" t="s">
        <v>115</v>
      </c>
      <c r="F7" s="168" t="s">
        <v>380</v>
      </c>
      <c r="G7" s="168" t="s">
        <v>115</v>
      </c>
      <c r="H7" s="168" t="s">
        <v>380</v>
      </c>
      <c r="I7" s="168" t="s">
        <v>115</v>
      </c>
      <c r="J7" s="232" t="s">
        <v>380</v>
      </c>
      <c r="K7" s="168" t="s">
        <v>115</v>
      </c>
      <c r="L7" s="168" t="s">
        <v>380</v>
      </c>
      <c r="N7" s="168" t="s">
        <v>379</v>
      </c>
    </row>
    <row r="8" spans="1:18" ht="15" customHeight="1">
      <c r="A8" s="168"/>
      <c r="B8" s="215"/>
      <c r="C8" s="168"/>
      <c r="D8" s="168"/>
      <c r="E8" s="168"/>
      <c r="F8" s="168"/>
      <c r="G8" s="168"/>
      <c r="H8" s="168"/>
    </row>
    <row r="9" spans="1:18" ht="15" customHeight="1">
      <c r="A9" s="168" t="s">
        <v>202</v>
      </c>
      <c r="B9" s="231">
        <v>45047</v>
      </c>
      <c r="C9" s="167" t="s">
        <v>378</v>
      </c>
      <c r="D9" s="492">
        <v>717043.20380000002</v>
      </c>
      <c r="E9" s="331">
        <v>0.2457</v>
      </c>
      <c r="F9" s="177">
        <f>ROUND($D9*E9,2)</f>
        <v>176177.52</v>
      </c>
      <c r="G9" s="331">
        <v>0</v>
      </c>
      <c r="H9" s="177">
        <f>ROUND($D9*G9,2)</f>
        <v>0</v>
      </c>
      <c r="I9" s="334">
        <v>0.2354</v>
      </c>
      <c r="J9" s="177">
        <f>ROUND($D9*I9,2)</f>
        <v>168791.97</v>
      </c>
      <c r="K9" s="334">
        <v>3.8414999999999999</v>
      </c>
      <c r="L9" s="177">
        <f>ROUND($D9*K9,2)</f>
        <v>2754521.47</v>
      </c>
      <c r="N9" s="177">
        <f>F9+H9+J9+L9</f>
        <v>3099490.96</v>
      </c>
      <c r="O9" s="227"/>
    </row>
    <row r="10" spans="1:18" ht="15" customHeight="1">
      <c r="A10" s="168" t="s">
        <v>37</v>
      </c>
      <c r="C10" s="167" t="s">
        <v>377</v>
      </c>
      <c r="D10" s="480">
        <v>1883.654</v>
      </c>
      <c r="E10" s="331">
        <v>0.2457</v>
      </c>
      <c r="F10" s="181">
        <f>ROUND($D10*E10,2)</f>
        <v>462.81</v>
      </c>
      <c r="G10" s="331">
        <f>G9</f>
        <v>0</v>
      </c>
      <c r="H10" s="181">
        <f>ROUND($D10*G10,2)</f>
        <v>0</v>
      </c>
      <c r="I10" s="334">
        <v>0.2354</v>
      </c>
      <c r="J10" s="181">
        <f>ROUND($D10*I10,2)</f>
        <v>443.41</v>
      </c>
      <c r="K10" s="334">
        <v>2.7425999999999999</v>
      </c>
      <c r="L10" s="181">
        <f>ROUND($D10*K10,2)</f>
        <v>5166.1099999999997</v>
      </c>
      <c r="N10" s="296">
        <f>F10+H10+J10+L10</f>
        <v>6072.33</v>
      </c>
      <c r="O10" s="227"/>
    </row>
    <row r="11" spans="1:18" ht="15" customHeight="1">
      <c r="A11" s="168" t="s">
        <v>197</v>
      </c>
      <c r="C11" s="167" t="s">
        <v>376</v>
      </c>
      <c r="D11" s="400">
        <f>SUM(D9:D10)</f>
        <v>718926.8578</v>
      </c>
      <c r="E11" s="331"/>
      <c r="F11" s="177">
        <f>SUM(F9:F10)</f>
        <v>176640.33</v>
      </c>
      <c r="G11" s="332"/>
      <c r="H11" s="177">
        <f>H9+H10</f>
        <v>0</v>
      </c>
      <c r="I11" s="334"/>
      <c r="J11" s="177">
        <f>SUM(J9:J10)</f>
        <v>169235.38</v>
      </c>
      <c r="K11" s="334"/>
      <c r="L11" s="177">
        <f>SUM(L9:L10)</f>
        <v>2759687.58</v>
      </c>
      <c r="M11" s="177"/>
      <c r="N11" s="177">
        <f>SUM(N9:N10)</f>
        <v>3105563.29</v>
      </c>
      <c r="O11" s="180"/>
      <c r="P11" s="450"/>
      <c r="Q11" s="177"/>
      <c r="R11" s="177"/>
    </row>
    <row r="12" spans="1:18" ht="15" customHeight="1">
      <c r="A12" s="168" t="s">
        <v>196</v>
      </c>
      <c r="C12" s="167" t="s">
        <v>375</v>
      </c>
      <c r="D12" s="444">
        <v>0</v>
      </c>
      <c r="E12" s="331"/>
      <c r="F12" s="480">
        <v>13907.45000000007</v>
      </c>
      <c r="G12" s="332"/>
      <c r="H12" s="445">
        <v>0</v>
      </c>
      <c r="I12" s="334"/>
      <c r="J12" s="445">
        <v>7027.1900000000096</v>
      </c>
      <c r="K12" s="334"/>
      <c r="L12" s="445">
        <v>267128.37000000023</v>
      </c>
      <c r="N12" s="296">
        <f>F12+H12+J12+L12</f>
        <v>288063.0100000003</v>
      </c>
      <c r="O12" s="451"/>
      <c r="P12" s="452"/>
    </row>
    <row r="13" spans="1:18" ht="15" customHeight="1">
      <c r="A13" s="168" t="s">
        <v>194</v>
      </c>
      <c r="C13" s="167" t="s">
        <v>114</v>
      </c>
      <c r="D13" s="285">
        <f>SUM(D11:D12)</f>
        <v>718926.8578</v>
      </c>
      <c r="E13" s="331"/>
      <c r="F13" s="177">
        <f>F11+F12</f>
        <v>190547.78000000006</v>
      </c>
      <c r="G13" s="332"/>
      <c r="H13" s="177">
        <f>H11+H12</f>
        <v>0</v>
      </c>
      <c r="I13" s="334"/>
      <c r="J13" s="177">
        <f>J11+J12</f>
        <v>176262.57</v>
      </c>
      <c r="K13" s="334"/>
      <c r="L13" s="177">
        <f>L11+L12</f>
        <v>3026815.95</v>
      </c>
      <c r="M13" s="177"/>
      <c r="N13" s="177">
        <f>N11+N12</f>
        <v>3393626.3000000003</v>
      </c>
      <c r="O13" s="177">
        <f>F13+L13</f>
        <v>3217363.7300000004</v>
      </c>
      <c r="P13" s="453"/>
      <c r="Q13" s="200"/>
      <c r="R13" s="405"/>
    </row>
    <row r="14" spans="1:18" ht="15" customHeight="1">
      <c r="A14" s="168" t="s">
        <v>192</v>
      </c>
      <c r="D14" s="401"/>
      <c r="E14" s="331"/>
      <c r="F14" s="281"/>
      <c r="G14" s="333"/>
      <c r="H14" s="281"/>
      <c r="I14" s="334"/>
      <c r="J14" s="281"/>
      <c r="K14" s="334"/>
      <c r="L14" s="281"/>
      <c r="N14" s="177"/>
      <c r="O14" s="177"/>
      <c r="P14" s="406"/>
    </row>
    <row r="15" spans="1:18" ht="15" customHeight="1">
      <c r="A15" s="168" t="s">
        <v>190</v>
      </c>
      <c r="D15" s="285"/>
      <c r="E15" s="331"/>
      <c r="G15" s="328"/>
      <c r="I15" s="334"/>
      <c r="K15" s="334"/>
      <c r="N15" s="177"/>
      <c r="O15" s="177"/>
      <c r="P15" s="453"/>
      <c r="Q15" s="472"/>
    </row>
    <row r="16" spans="1:18" ht="15" customHeight="1">
      <c r="A16" s="168" t="s">
        <v>188</v>
      </c>
      <c r="B16" s="230">
        <v>45078</v>
      </c>
      <c r="C16" s="167" t="s">
        <v>378</v>
      </c>
      <c r="D16" s="492">
        <v>434135.86480000004</v>
      </c>
      <c r="E16" s="407">
        <f>E9</f>
        <v>0.2457</v>
      </c>
      <c r="F16" s="177">
        <f>ROUND($D16*E16,2)</f>
        <v>106667.18</v>
      </c>
      <c r="G16" s="407">
        <f>G9</f>
        <v>0</v>
      </c>
      <c r="H16" s="177">
        <f>ROUND($D16*G16,2)</f>
        <v>0</v>
      </c>
      <c r="I16" s="320">
        <f>+I9</f>
        <v>0.2354</v>
      </c>
      <c r="J16" s="177">
        <f>ROUND($D16*I16,2)</f>
        <v>102195.58</v>
      </c>
      <c r="K16" s="334">
        <f>K9</f>
        <v>3.8414999999999999</v>
      </c>
      <c r="L16" s="177">
        <f>ROUND($D16*K16,2)</f>
        <v>1667732.92</v>
      </c>
      <c r="N16" s="177">
        <f>F16+H16+J16+L16</f>
        <v>1876595.68</v>
      </c>
      <c r="O16" s="177"/>
      <c r="P16" s="454"/>
      <c r="Q16" s="473"/>
    </row>
    <row r="17" spans="1:18" ht="15" customHeight="1">
      <c r="A17" s="168" t="s">
        <v>187</v>
      </c>
      <c r="C17" s="167" t="s">
        <v>377</v>
      </c>
      <c r="D17" s="480">
        <v>1637.7521999999999</v>
      </c>
      <c r="E17" s="407">
        <f>E10</f>
        <v>0.2457</v>
      </c>
      <c r="F17" s="181">
        <f>ROUND($D17*E17,2)</f>
        <v>402.4</v>
      </c>
      <c r="G17" s="407">
        <f>G10</f>
        <v>0</v>
      </c>
      <c r="H17" s="181">
        <f>ROUND($D17*G17,2)</f>
        <v>0</v>
      </c>
      <c r="I17" s="320">
        <f>I10</f>
        <v>0.2354</v>
      </c>
      <c r="J17" s="181">
        <f>ROUND($D17*I17,2)</f>
        <v>385.53</v>
      </c>
      <c r="K17" s="334">
        <f>K10</f>
        <v>2.7425999999999999</v>
      </c>
      <c r="L17" s="181">
        <f>ROUND($D17*K17,2)</f>
        <v>4491.7</v>
      </c>
      <c r="N17" s="296">
        <f>F17+H17+J17+L17</f>
        <v>5279.63</v>
      </c>
      <c r="O17" s="177"/>
      <c r="P17" s="454"/>
      <c r="Q17" s="473"/>
    </row>
    <row r="18" spans="1:18" ht="15" customHeight="1">
      <c r="A18" s="168" t="s">
        <v>180</v>
      </c>
      <c r="C18" s="167" t="s">
        <v>376</v>
      </c>
      <c r="D18" s="400">
        <f>SUM(D16:D17)</f>
        <v>435773.61700000003</v>
      </c>
      <c r="E18" s="331"/>
      <c r="F18" s="177">
        <f>SUM(F16:F17)</f>
        <v>107069.57999999999</v>
      </c>
      <c r="G18" s="332"/>
      <c r="H18" s="177">
        <f>H16+H17</f>
        <v>0</v>
      </c>
      <c r="I18" s="334"/>
      <c r="J18" s="177">
        <f>SUM(J16:J17)</f>
        <v>102581.11</v>
      </c>
      <c r="K18" s="334"/>
      <c r="L18" s="177">
        <f>SUM(L16:L17)</f>
        <v>1672224.6199999999</v>
      </c>
      <c r="M18" s="177"/>
      <c r="N18" s="177">
        <f>SUM(N16:N17)</f>
        <v>1881875.3099999998</v>
      </c>
      <c r="O18" s="177"/>
      <c r="P18" s="454"/>
      <c r="Q18" s="473"/>
    </row>
    <row r="19" spans="1:18" ht="15" customHeight="1">
      <c r="A19" s="168" t="s">
        <v>178</v>
      </c>
      <c r="C19" s="167" t="s">
        <v>375</v>
      </c>
      <c r="D19" s="444">
        <v>0</v>
      </c>
      <c r="E19" s="331"/>
      <c r="F19" s="445">
        <v>297.77999999999884</v>
      </c>
      <c r="G19" s="332"/>
      <c r="H19" s="445">
        <v>0</v>
      </c>
      <c r="I19" s="334"/>
      <c r="J19" s="445">
        <v>1095.6999999999912</v>
      </c>
      <c r="K19" s="334"/>
      <c r="L19" s="445">
        <v>17571.31000000011</v>
      </c>
      <c r="N19" s="296">
        <f>F19+H19+J19+L19</f>
        <v>18964.790000000099</v>
      </c>
      <c r="O19" s="177"/>
      <c r="P19" s="454"/>
      <c r="Q19" s="473"/>
    </row>
    <row r="20" spans="1:18" ht="15" customHeight="1">
      <c r="A20" s="168" t="s">
        <v>176</v>
      </c>
      <c r="C20" s="167" t="s">
        <v>114</v>
      </c>
      <c r="D20" s="400">
        <f>D18+D19</f>
        <v>435773.61700000003</v>
      </c>
      <c r="E20" s="331"/>
      <c r="F20" s="177">
        <f>F18+F19</f>
        <v>107367.35999999999</v>
      </c>
      <c r="G20" s="332"/>
      <c r="H20" s="177">
        <f>H18+H19</f>
        <v>0</v>
      </c>
      <c r="I20" s="334"/>
      <c r="J20" s="177">
        <f>J18+J19</f>
        <v>103676.81</v>
      </c>
      <c r="K20" s="334"/>
      <c r="L20" s="177">
        <f>L18+L19</f>
        <v>1689795.93</v>
      </c>
      <c r="M20" s="177"/>
      <c r="N20" s="177">
        <f>N18+N19</f>
        <v>1900840.0999999999</v>
      </c>
      <c r="O20" s="177">
        <f>F20+L20</f>
        <v>1797163.29</v>
      </c>
      <c r="P20" s="454"/>
      <c r="Q20" s="473"/>
    </row>
    <row r="21" spans="1:18" ht="15" customHeight="1">
      <c r="A21" s="168" t="s">
        <v>173</v>
      </c>
      <c r="D21" s="401"/>
      <c r="E21" s="331"/>
      <c r="F21" s="281"/>
      <c r="G21" s="333"/>
      <c r="H21" s="281"/>
      <c r="I21" s="334"/>
      <c r="J21" s="281"/>
      <c r="K21" s="334"/>
      <c r="L21" s="281"/>
      <c r="N21" s="177"/>
      <c r="O21" s="177"/>
      <c r="P21" s="454"/>
      <c r="Q21" s="473"/>
    </row>
    <row r="22" spans="1:18" ht="15" customHeight="1">
      <c r="A22" s="168" t="s">
        <v>172</v>
      </c>
      <c r="D22" s="285"/>
      <c r="E22" s="331"/>
      <c r="G22" s="328"/>
      <c r="I22" s="334"/>
      <c r="K22" s="334"/>
      <c r="N22" s="177"/>
      <c r="O22" s="177"/>
      <c r="P22" s="454"/>
      <c r="Q22" s="473"/>
    </row>
    <row r="23" spans="1:18" ht="15" customHeight="1">
      <c r="A23" s="168" t="s">
        <v>171</v>
      </c>
      <c r="B23" s="230">
        <v>45108</v>
      </c>
      <c r="C23" s="167" t="s">
        <v>378</v>
      </c>
      <c r="D23" s="492">
        <v>366585.07709999999</v>
      </c>
      <c r="E23" s="407">
        <f>E9</f>
        <v>0.2457</v>
      </c>
      <c r="F23" s="177">
        <f>ROUND($D23*E23,2)</f>
        <v>90069.95</v>
      </c>
      <c r="G23" s="407">
        <f>G9</f>
        <v>0</v>
      </c>
      <c r="H23" s="177">
        <f>ROUND($D23*G23,2)</f>
        <v>0</v>
      </c>
      <c r="I23" s="320">
        <f>+I9</f>
        <v>0.2354</v>
      </c>
      <c r="J23" s="177">
        <f>ROUND($D23*I23,2)</f>
        <v>86294.13</v>
      </c>
      <c r="K23" s="334">
        <f>K9</f>
        <v>3.8414999999999999</v>
      </c>
      <c r="L23" s="177">
        <f>ROUND($D23*K23,2)</f>
        <v>1408236.57</v>
      </c>
      <c r="N23" s="177">
        <f>F23+H23+J23+L23</f>
        <v>1584600.6500000001</v>
      </c>
      <c r="O23" s="177"/>
      <c r="P23" s="454"/>
      <c r="Q23" s="473"/>
    </row>
    <row r="24" spans="1:18" ht="15" customHeight="1">
      <c r="A24" s="168" t="s">
        <v>170</v>
      </c>
      <c r="C24" s="167" t="s">
        <v>377</v>
      </c>
      <c r="D24" s="480">
        <v>1268.3648000000001</v>
      </c>
      <c r="E24" s="407">
        <f>E10</f>
        <v>0.2457</v>
      </c>
      <c r="F24" s="181">
        <f>ROUND($D24*E24,2)</f>
        <v>311.64</v>
      </c>
      <c r="G24" s="407">
        <f>G10</f>
        <v>0</v>
      </c>
      <c r="H24" s="181">
        <f>ROUND($D24*G24,2)</f>
        <v>0</v>
      </c>
      <c r="I24" s="320">
        <f>I10</f>
        <v>0.2354</v>
      </c>
      <c r="J24" s="181">
        <f>ROUND($D24*I24,2)</f>
        <v>298.57</v>
      </c>
      <c r="K24" s="334">
        <f>K10</f>
        <v>2.7425999999999999</v>
      </c>
      <c r="L24" s="181">
        <f>ROUND($D24*K24,2)</f>
        <v>3478.62</v>
      </c>
      <c r="N24" s="296">
        <f>F24+H24+J24+L24</f>
        <v>4088.83</v>
      </c>
      <c r="O24" s="177"/>
      <c r="P24" s="454"/>
    </row>
    <row r="25" spans="1:18" ht="15" customHeight="1">
      <c r="A25" s="168" t="s">
        <v>165</v>
      </c>
      <c r="C25" s="167" t="s">
        <v>376</v>
      </c>
      <c r="D25" s="400">
        <f>SUM(D23:D24)</f>
        <v>367853.44189999998</v>
      </c>
      <c r="E25" s="320"/>
      <c r="F25" s="177">
        <f>SUM(F23:F24)</f>
        <v>90381.59</v>
      </c>
      <c r="G25" s="332"/>
      <c r="H25" s="177">
        <f>H23+H24</f>
        <v>0</v>
      </c>
      <c r="I25" s="334"/>
      <c r="J25" s="177">
        <f>SUM(J23:J24)</f>
        <v>86592.700000000012</v>
      </c>
      <c r="K25" s="334"/>
      <c r="L25" s="177">
        <f>SUM(L23:L24)</f>
        <v>1411715.1900000002</v>
      </c>
      <c r="M25" s="177"/>
      <c r="N25" s="177">
        <f>SUM(N23:N24)</f>
        <v>1588689.4800000002</v>
      </c>
      <c r="O25" s="177"/>
      <c r="P25" s="454"/>
    </row>
    <row r="26" spans="1:18" ht="15" customHeight="1">
      <c r="A26" s="168" t="s">
        <v>164</v>
      </c>
      <c r="C26" s="167" t="s">
        <v>375</v>
      </c>
      <c r="D26" s="444">
        <v>0</v>
      </c>
      <c r="E26" s="334"/>
      <c r="F26" s="445">
        <v>530.01999999998952</v>
      </c>
      <c r="G26" s="332"/>
      <c r="H26" s="445">
        <v>0</v>
      </c>
      <c r="I26" s="334"/>
      <c r="J26" s="445">
        <v>1744.3399999999958</v>
      </c>
      <c r="K26" s="334"/>
      <c r="L26" s="445">
        <v>25453.469999999797</v>
      </c>
      <c r="N26" s="296">
        <f>F26+H26+J26+L26</f>
        <v>27727.829999999783</v>
      </c>
      <c r="O26" s="177"/>
      <c r="P26" s="454"/>
    </row>
    <row r="27" spans="1:18" ht="15" customHeight="1">
      <c r="A27" s="168" t="s">
        <v>162</v>
      </c>
      <c r="B27" s="201"/>
      <c r="C27" s="167" t="s">
        <v>114</v>
      </c>
      <c r="D27" s="400">
        <f>D25+D26</f>
        <v>367853.44189999998</v>
      </c>
      <c r="E27" s="320"/>
      <c r="F27" s="177">
        <f>F25+F26</f>
        <v>90911.609999999986</v>
      </c>
      <c r="G27" s="332"/>
      <c r="H27" s="177">
        <f>H25+H26</f>
        <v>0</v>
      </c>
      <c r="J27" s="177">
        <f>J25+J26</f>
        <v>88337.040000000008</v>
      </c>
      <c r="K27" s="328"/>
      <c r="L27" s="177">
        <f>L25+L26</f>
        <v>1437168.66</v>
      </c>
      <c r="M27" s="177"/>
      <c r="N27" s="177">
        <f>N25+N26</f>
        <v>1616417.31</v>
      </c>
      <c r="O27" s="177">
        <f>F27+L27</f>
        <v>1528080.27</v>
      </c>
      <c r="P27" s="454"/>
      <c r="R27" s="177"/>
    </row>
    <row r="28" spans="1:18" ht="15" customHeight="1">
      <c r="A28" s="168" t="s">
        <v>158</v>
      </c>
      <c r="B28" s="201"/>
      <c r="C28" s="201"/>
      <c r="D28" s="201"/>
      <c r="E28" s="455"/>
      <c r="F28" s="281"/>
      <c r="G28" s="333"/>
      <c r="H28" s="281"/>
      <c r="J28" s="281"/>
      <c r="K28" s="328"/>
      <c r="L28" s="281"/>
      <c r="N28" s="177"/>
      <c r="O28" s="177"/>
    </row>
    <row r="29" spans="1:18" ht="15" customHeight="1">
      <c r="A29" s="168" t="s">
        <v>153</v>
      </c>
      <c r="B29" s="201"/>
      <c r="C29" s="201"/>
      <c r="D29" s="456"/>
      <c r="E29" s="455"/>
      <c r="F29" s="201"/>
      <c r="G29" s="333"/>
      <c r="H29" s="201"/>
      <c r="K29" s="328"/>
      <c r="L29" s="180"/>
      <c r="O29" s="177"/>
    </row>
    <row r="30" spans="1:18" ht="15" customHeight="1" thickBot="1">
      <c r="A30" s="168" t="s">
        <v>152</v>
      </c>
      <c r="B30" s="167" t="s">
        <v>374</v>
      </c>
      <c r="E30" s="320"/>
      <c r="F30" s="457">
        <f>F13+F20+F27</f>
        <v>388826.75</v>
      </c>
      <c r="G30" s="177"/>
      <c r="H30" s="177"/>
      <c r="K30" s="328"/>
      <c r="L30" s="180"/>
      <c r="N30" s="177"/>
      <c r="O30" s="177"/>
    </row>
    <row r="31" spans="1:18" ht="15" customHeight="1" thickTop="1" thickBot="1">
      <c r="A31" s="168" t="s">
        <v>151</v>
      </c>
      <c r="B31" s="167" t="s">
        <v>373</v>
      </c>
      <c r="F31" s="177"/>
      <c r="G31" s="177"/>
      <c r="H31" s="457">
        <f>H13+H20+H27</f>
        <v>0</v>
      </c>
      <c r="L31" s="180"/>
      <c r="N31" s="177"/>
      <c r="O31" s="177"/>
      <c r="P31" s="458"/>
    </row>
    <row r="32" spans="1:18" ht="15" customHeight="1" thickTop="1" thickBot="1">
      <c r="A32" s="168" t="s">
        <v>149</v>
      </c>
      <c r="B32" s="167" t="s">
        <v>372</v>
      </c>
      <c r="J32" s="459">
        <f>J13+J20+J27</f>
        <v>368276.42000000004</v>
      </c>
      <c r="O32" s="177"/>
      <c r="P32" s="458"/>
    </row>
    <row r="33" spans="1:18" ht="15" customHeight="1" thickTop="1" thickBot="1">
      <c r="A33" s="168" t="s">
        <v>148</v>
      </c>
      <c r="B33" s="167" t="s">
        <v>371</v>
      </c>
      <c r="L33" s="459">
        <f>L13+L20+L27</f>
        <v>6153780.54</v>
      </c>
      <c r="O33" s="177"/>
      <c r="P33" s="458"/>
    </row>
    <row r="34" spans="1:18" ht="15" customHeight="1" thickTop="1" thickBot="1">
      <c r="A34" s="168" t="s">
        <v>147</v>
      </c>
      <c r="B34" s="167" t="s">
        <v>370</v>
      </c>
      <c r="N34" s="459">
        <f>N13+N20+N27</f>
        <v>6910883.7100000009</v>
      </c>
      <c r="P34" s="173"/>
      <c r="Q34" s="173"/>
      <c r="R34" s="173"/>
    </row>
    <row r="35" spans="1:18" ht="15" customHeight="1" thickTop="1">
      <c r="A35" s="168" t="s">
        <v>146</v>
      </c>
    </row>
    <row r="36" spans="1:18" ht="15" customHeight="1" thickBot="1">
      <c r="A36" s="168" t="s">
        <v>144</v>
      </c>
      <c r="K36" s="177"/>
      <c r="O36" s="457">
        <f>+SUM(O13:O33)</f>
        <v>6542607.290000001</v>
      </c>
      <c r="P36" s="177"/>
      <c r="Q36" s="177"/>
      <c r="R36" s="177"/>
    </row>
    <row r="37" spans="1:18" ht="15" customHeight="1" thickTop="1">
      <c r="A37" s="168" t="s">
        <v>143</v>
      </c>
      <c r="B37" s="170" t="s">
        <v>369</v>
      </c>
      <c r="C37" s="170"/>
      <c r="D37" s="170"/>
      <c r="E37" s="170"/>
      <c r="F37" s="170"/>
      <c r="G37" s="170"/>
      <c r="H37" s="170"/>
    </row>
    <row r="38" spans="1:18" ht="15" customHeight="1">
      <c r="A38" s="168" t="s">
        <v>142</v>
      </c>
      <c r="B38" s="170" t="s">
        <v>368</v>
      </c>
      <c r="C38" s="170"/>
      <c r="D38" s="170"/>
      <c r="E38" s="170"/>
      <c r="F38" s="170"/>
      <c r="G38" s="170"/>
      <c r="H38" s="170"/>
    </row>
    <row r="39" spans="1:18" ht="15" customHeight="1">
      <c r="A39" s="168"/>
    </row>
    <row r="40" spans="1:18" ht="15" customHeight="1">
      <c r="A40" s="168"/>
      <c r="B40" s="170"/>
    </row>
    <row r="41" spans="1:18" ht="15" customHeight="1">
      <c r="A41" s="168"/>
      <c r="D41" s="228"/>
      <c r="E41" s="227"/>
      <c r="F41" s="180"/>
      <c r="G41" s="180"/>
      <c r="H41" s="180"/>
    </row>
    <row r="42" spans="1:18" ht="15" customHeight="1">
      <c r="A42" s="168"/>
      <c r="D42" s="228"/>
      <c r="E42" s="227"/>
      <c r="F42" s="180"/>
      <c r="G42" s="180"/>
      <c r="H42" s="180"/>
    </row>
    <row r="43" spans="1:18" ht="15" customHeight="1">
      <c r="A43" s="168"/>
      <c r="D43" s="226"/>
      <c r="F43" s="180"/>
      <c r="G43" s="180"/>
      <c r="H43" s="180"/>
    </row>
    <row r="44" spans="1:18" ht="15" customHeight="1">
      <c r="A44" s="168"/>
    </row>
    <row r="45" spans="1:18" ht="15" customHeight="1">
      <c r="A45" s="168"/>
      <c r="B45" s="229"/>
      <c r="D45" s="228"/>
      <c r="E45" s="185"/>
      <c r="F45" s="177"/>
      <c r="G45" s="177"/>
      <c r="H45" s="177"/>
    </row>
    <row r="46" spans="1:18" ht="15" customHeight="1">
      <c r="A46" s="168"/>
      <c r="D46" s="228"/>
      <c r="E46" s="227"/>
      <c r="F46" s="180"/>
      <c r="G46" s="180"/>
      <c r="H46" s="180"/>
    </row>
    <row r="47" spans="1:18" ht="15" customHeight="1">
      <c r="A47" s="168"/>
      <c r="D47" s="228"/>
      <c r="E47" s="227"/>
      <c r="F47" s="180"/>
      <c r="G47" s="180"/>
      <c r="H47" s="180"/>
    </row>
    <row r="48" spans="1:18" ht="15" customHeight="1">
      <c r="A48" s="168"/>
      <c r="D48" s="228"/>
      <c r="E48" s="227"/>
      <c r="F48" s="180"/>
      <c r="G48" s="180"/>
      <c r="H48" s="180"/>
    </row>
    <row r="49" spans="1:8" ht="15" customHeight="1">
      <c r="A49" s="168"/>
      <c r="D49" s="228"/>
      <c r="E49" s="227"/>
      <c r="F49" s="180"/>
      <c r="G49" s="180"/>
      <c r="H49" s="180"/>
    </row>
    <row r="50" spans="1:8" ht="15" customHeight="1">
      <c r="A50" s="168"/>
      <c r="D50" s="228"/>
      <c r="E50" s="227"/>
      <c r="F50" s="180"/>
      <c r="G50" s="180"/>
      <c r="H50" s="180"/>
    </row>
    <row r="51" spans="1:8" ht="15" customHeight="1">
      <c r="A51" s="168"/>
      <c r="D51" s="228"/>
      <c r="E51" s="227"/>
      <c r="F51" s="180"/>
      <c r="G51" s="180"/>
      <c r="H51" s="180"/>
    </row>
    <row r="52" spans="1:8" ht="15" customHeight="1">
      <c r="A52" s="168"/>
      <c r="D52" s="228"/>
      <c r="E52" s="227"/>
      <c r="F52" s="180"/>
      <c r="G52" s="180"/>
      <c r="H52" s="180"/>
    </row>
    <row r="53" spans="1:8" ht="15" customHeight="1">
      <c r="A53" s="168"/>
      <c r="D53" s="226"/>
      <c r="F53" s="180"/>
      <c r="G53" s="180"/>
      <c r="H53" s="180"/>
    </row>
    <row r="54" spans="1:8" ht="15" customHeight="1">
      <c r="A54" s="168"/>
    </row>
    <row r="55" spans="1:8" ht="15" customHeight="1">
      <c r="A55" s="168"/>
    </row>
    <row r="56" spans="1:8" ht="15" customHeight="1">
      <c r="A56" s="168"/>
    </row>
    <row r="57" spans="1:8" ht="15" customHeight="1">
      <c r="A57" s="168"/>
    </row>
    <row r="58" spans="1:8" ht="15" customHeight="1">
      <c r="A58" s="168"/>
    </row>
    <row r="59" spans="1:8" ht="15" customHeight="1">
      <c r="A59" s="168"/>
    </row>
    <row r="60" spans="1:8" ht="15" customHeight="1">
      <c r="A60" s="168"/>
    </row>
    <row r="61" spans="1:8" ht="15" customHeight="1">
      <c r="A61" s="168"/>
      <c r="D61" s="228"/>
      <c r="E61" s="227"/>
      <c r="F61" s="180"/>
      <c r="G61" s="180"/>
      <c r="H61" s="180"/>
    </row>
    <row r="62" spans="1:8" ht="15" customHeight="1">
      <c r="A62" s="168"/>
      <c r="D62" s="228"/>
      <c r="E62" s="227"/>
      <c r="F62" s="180"/>
      <c r="G62" s="180"/>
      <c r="H62" s="180"/>
    </row>
    <row r="63" spans="1:8" ht="15" customHeight="1">
      <c r="A63" s="168"/>
      <c r="D63" s="226"/>
      <c r="F63" s="180"/>
      <c r="G63" s="180"/>
      <c r="H63" s="180"/>
    </row>
    <row r="64" spans="1:8" ht="15" customHeight="1">
      <c r="A64" s="168"/>
    </row>
    <row r="65" spans="1:1" ht="15" customHeight="1">
      <c r="A65" s="168"/>
    </row>
    <row r="66" spans="1:1" ht="15" customHeight="1">
      <c r="A66" s="168"/>
    </row>
    <row r="67" spans="1:1" ht="15" customHeight="1">
      <c r="A67" s="168"/>
    </row>
    <row r="68" spans="1:1" ht="15" customHeight="1">
      <c r="A68" s="168"/>
    </row>
    <row r="69" spans="1:1" ht="15" customHeight="1">
      <c r="A69" s="168"/>
    </row>
    <row r="70" spans="1:1" ht="15" customHeight="1">
      <c r="A70" s="168"/>
    </row>
    <row r="71" spans="1:1" ht="15" customHeight="1">
      <c r="A71" s="168"/>
    </row>
    <row r="72" spans="1:1" ht="15" customHeight="1">
      <c r="A72" s="168"/>
    </row>
    <row r="73" spans="1:1">
      <c r="A73" s="168"/>
    </row>
    <row r="74" spans="1:1">
      <c r="A74" s="168"/>
    </row>
    <row r="75" spans="1:1">
      <c r="A75" s="168"/>
    </row>
    <row r="76" spans="1:1">
      <c r="A76" s="168"/>
    </row>
    <row r="77" spans="1:1">
      <c r="A77" s="168"/>
    </row>
    <row r="78" spans="1:1">
      <c r="A78" s="168"/>
    </row>
    <row r="79" spans="1:1">
      <c r="A79" s="168"/>
    </row>
    <row r="80" spans="1:1">
      <c r="A80" s="168"/>
    </row>
    <row r="81" spans="1:1">
      <c r="A81" s="168"/>
    </row>
    <row r="82" spans="1:1">
      <c r="A82" s="168"/>
    </row>
    <row r="83" spans="1:1">
      <c r="A83" s="168"/>
    </row>
    <row r="84" spans="1:1">
      <c r="A84" s="168"/>
    </row>
    <row r="85" spans="1:1">
      <c r="A85" s="168"/>
    </row>
    <row r="86" spans="1:1">
      <c r="A86" s="168"/>
    </row>
    <row r="87" spans="1:1">
      <c r="A87" s="168"/>
    </row>
    <row r="88" spans="1:1">
      <c r="A88" s="168"/>
    </row>
    <row r="89" spans="1:1">
      <c r="A89" s="168"/>
    </row>
    <row r="90" spans="1:1">
      <c r="A90" s="168"/>
    </row>
    <row r="91" spans="1:1">
      <c r="A91" s="168"/>
    </row>
    <row r="92" spans="1:1">
      <c r="A92" s="168"/>
    </row>
    <row r="93" spans="1:1">
      <c r="A93" s="168"/>
    </row>
    <row r="94" spans="1:1">
      <c r="A94" s="168"/>
    </row>
    <row r="95" spans="1:1">
      <c r="A95" s="168"/>
    </row>
    <row r="96" spans="1:1">
      <c r="A96" s="168"/>
    </row>
    <row r="97" spans="1:1">
      <c r="A97" s="168"/>
    </row>
    <row r="98" spans="1:1">
      <c r="A98" s="168"/>
    </row>
    <row r="99" spans="1:1">
      <c r="A99" s="168"/>
    </row>
    <row r="100" spans="1:1">
      <c r="A100" s="168"/>
    </row>
    <row r="101" spans="1:1">
      <c r="A101" s="168"/>
    </row>
    <row r="102" spans="1:1">
      <c r="A102" s="168"/>
    </row>
    <row r="103" spans="1:1">
      <c r="A103" s="168"/>
    </row>
    <row r="104" spans="1:1">
      <c r="A104" s="168"/>
    </row>
    <row r="105" spans="1:1">
      <c r="A105" s="168"/>
    </row>
    <row r="106" spans="1:1">
      <c r="A106" s="168"/>
    </row>
    <row r="107" spans="1:1">
      <c r="A107" s="168"/>
    </row>
    <row r="108" spans="1:1">
      <c r="A108" s="168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R106"/>
  <sheetViews>
    <sheetView showGridLines="0" zoomScale="80" zoomScaleNormal="80" zoomScaleSheetLayoutView="69" workbookViewId="0">
      <selection activeCell="R61" sqref="R61"/>
    </sheetView>
  </sheetViews>
  <sheetFormatPr defaultColWidth="12.5703125" defaultRowHeight="14.25"/>
  <cols>
    <col min="1" max="1" width="4.85546875" style="168" customWidth="1"/>
    <col min="2" max="2" width="2.28515625" style="167" customWidth="1"/>
    <col min="3" max="3" width="30.5703125" style="167" customWidth="1"/>
    <col min="4" max="4" width="13" style="167" customWidth="1"/>
    <col min="5" max="5" width="2.28515625" style="167" customWidth="1"/>
    <col min="6" max="6" width="17.140625" style="167" customWidth="1"/>
    <col min="7" max="7" width="2.28515625" style="167" customWidth="1"/>
    <col min="8" max="8" width="13" style="167" customWidth="1"/>
    <col min="9" max="9" width="2.28515625" style="167" customWidth="1"/>
    <col min="10" max="10" width="17.140625" style="167" customWidth="1"/>
    <col min="11" max="11" width="2.28515625" style="167" customWidth="1"/>
    <col min="12" max="12" width="13" style="167" customWidth="1"/>
    <col min="13" max="13" width="2.7109375" style="167" customWidth="1"/>
    <col min="14" max="14" width="17.140625" style="167" customWidth="1"/>
    <col min="15" max="15" width="2.28515625" style="167" customWidth="1"/>
    <col min="16" max="16" width="14.28515625" style="167" bestFit="1" customWidth="1"/>
    <col min="17" max="17" width="2.28515625" style="167" customWidth="1"/>
    <col min="18" max="18" width="16.28515625" style="167" bestFit="1" customWidth="1"/>
    <col min="19" max="19" width="13.5703125" style="167" bestFit="1" customWidth="1"/>
    <col min="20" max="16384" width="12.5703125" style="167"/>
  </cols>
  <sheetData>
    <row r="1" spans="1:18" ht="15">
      <c r="A1" s="170" t="s">
        <v>32</v>
      </c>
      <c r="C1" s="170"/>
      <c r="H1" s="235"/>
      <c r="I1" s="235"/>
      <c r="L1" s="235"/>
      <c r="M1" s="235"/>
      <c r="N1" s="167" t="s">
        <v>327</v>
      </c>
      <c r="P1" s="235"/>
      <c r="Q1" s="235"/>
    </row>
    <row r="2" spans="1:18">
      <c r="A2" s="167" t="s">
        <v>406</v>
      </c>
      <c r="H2" s="235"/>
      <c r="L2" s="235"/>
      <c r="M2" s="235"/>
      <c r="N2" s="167" t="s">
        <v>405</v>
      </c>
      <c r="P2" s="235"/>
      <c r="Q2" s="235"/>
    </row>
    <row r="3" spans="1:18">
      <c r="A3" s="167" t="s">
        <v>404</v>
      </c>
      <c r="L3" s="235"/>
      <c r="M3" s="235"/>
      <c r="P3" s="235"/>
      <c r="Q3" s="235"/>
    </row>
    <row r="4" spans="1:18">
      <c r="A4" s="167"/>
      <c r="D4" s="184" t="s">
        <v>27</v>
      </c>
      <c r="F4" s="168" t="s">
        <v>26</v>
      </c>
      <c r="G4" s="175"/>
      <c r="H4" s="184" t="s">
        <v>25</v>
      </c>
      <c r="J4" s="168" t="s">
        <v>121</v>
      </c>
      <c r="L4" s="184" t="s">
        <v>120</v>
      </c>
      <c r="N4" s="168" t="s">
        <v>204</v>
      </c>
      <c r="O4" s="168"/>
      <c r="P4" s="235"/>
      <c r="Q4" s="235"/>
    </row>
    <row r="5" spans="1:18" ht="15">
      <c r="C5" s="184" t="s">
        <v>353</v>
      </c>
      <c r="D5" s="512">
        <v>45078</v>
      </c>
      <c r="E5" s="512"/>
      <c r="F5" s="512"/>
      <c r="G5" s="234"/>
      <c r="H5" s="512">
        <v>45108</v>
      </c>
      <c r="I5" s="512"/>
      <c r="J5" s="512"/>
      <c r="K5" s="234"/>
      <c r="L5" s="512">
        <v>45139</v>
      </c>
      <c r="M5" s="512"/>
      <c r="N5" s="512"/>
      <c r="P5" s="201"/>
      <c r="Q5" s="201"/>
      <c r="R5" s="201"/>
    </row>
    <row r="6" spans="1:18" ht="15">
      <c r="D6" s="513">
        <v>45047</v>
      </c>
      <c r="E6" s="513"/>
      <c r="F6" s="513"/>
      <c r="G6" s="234"/>
      <c r="H6" s="513">
        <v>45078</v>
      </c>
      <c r="I6" s="513"/>
      <c r="J6" s="513"/>
      <c r="K6" s="234"/>
      <c r="L6" s="513">
        <v>45108</v>
      </c>
      <c r="M6" s="513"/>
      <c r="N6" s="513"/>
      <c r="O6" s="234"/>
      <c r="P6" s="201"/>
      <c r="Q6" s="201"/>
      <c r="R6" s="201"/>
    </row>
    <row r="7" spans="1:18" ht="15">
      <c r="B7" s="167" t="s">
        <v>22</v>
      </c>
      <c r="C7" s="168"/>
      <c r="D7" s="168" t="s">
        <v>282</v>
      </c>
      <c r="E7" s="168"/>
      <c r="F7" s="168" t="s">
        <v>302</v>
      </c>
      <c r="G7" s="168"/>
      <c r="H7" s="168" t="s">
        <v>282</v>
      </c>
      <c r="I7" s="168"/>
      <c r="J7" s="168" t="s">
        <v>302</v>
      </c>
      <c r="K7" s="168"/>
      <c r="L7" s="168" t="s">
        <v>282</v>
      </c>
      <c r="M7" s="168"/>
      <c r="N7" s="168" t="s">
        <v>302</v>
      </c>
      <c r="O7" s="168"/>
      <c r="P7" s="201"/>
      <c r="Q7" s="201"/>
      <c r="R7" s="201"/>
    </row>
    <row r="8" spans="1:18" ht="1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469"/>
      <c r="M8" s="168"/>
      <c r="N8" s="168"/>
      <c r="O8" s="168"/>
      <c r="P8" s="201"/>
      <c r="Q8" s="201"/>
      <c r="R8" s="201"/>
    </row>
    <row r="9" spans="1:18" ht="15.75">
      <c r="A9" s="168">
        <v>1</v>
      </c>
      <c r="B9" s="170" t="s">
        <v>403</v>
      </c>
      <c r="L9" s="416"/>
      <c r="P9" s="201"/>
      <c r="Q9" s="201"/>
      <c r="R9" s="201"/>
    </row>
    <row r="10" spans="1:18" ht="15">
      <c r="A10" s="168">
        <v>2</v>
      </c>
      <c r="C10" s="167" t="s">
        <v>397</v>
      </c>
      <c r="D10" s="175"/>
      <c r="E10" s="227"/>
      <c r="F10" s="180"/>
      <c r="G10" s="180"/>
      <c r="H10" s="175"/>
      <c r="I10" s="227"/>
      <c r="J10" s="180"/>
      <c r="K10" s="180"/>
      <c r="L10" s="416"/>
      <c r="M10" s="227"/>
      <c r="N10" s="180"/>
      <c r="O10" s="180"/>
      <c r="P10" s="201"/>
      <c r="Q10" s="201"/>
      <c r="R10" s="201"/>
    </row>
    <row r="11" spans="1:18" ht="15">
      <c r="A11" s="168">
        <v>3</v>
      </c>
      <c r="C11" s="167" t="s">
        <v>416</v>
      </c>
      <c r="D11" s="175"/>
      <c r="E11" s="227"/>
      <c r="F11" s="180"/>
      <c r="G11" s="180"/>
      <c r="H11" s="175"/>
      <c r="I11" s="227"/>
      <c r="J11" s="180"/>
      <c r="K11" s="180"/>
      <c r="L11" s="416"/>
      <c r="M11" s="227"/>
      <c r="N11" s="180"/>
      <c r="O11" s="180"/>
      <c r="P11" s="201"/>
      <c r="Q11" s="201"/>
      <c r="R11" s="201"/>
    </row>
    <row r="12" spans="1:18" ht="15">
      <c r="A12" s="168">
        <v>4</v>
      </c>
      <c r="C12" s="167" t="s">
        <v>415</v>
      </c>
      <c r="D12" s="175"/>
      <c r="E12" s="227"/>
      <c r="F12" s="180"/>
      <c r="G12" s="180"/>
      <c r="H12" s="175"/>
      <c r="I12" s="227"/>
      <c r="J12" s="180"/>
      <c r="K12" s="180"/>
      <c r="L12" s="416"/>
      <c r="M12" s="227"/>
      <c r="N12" s="180"/>
      <c r="O12" s="180"/>
      <c r="P12" s="201"/>
      <c r="Q12" s="201"/>
      <c r="R12" s="201"/>
    </row>
    <row r="13" spans="1:18" ht="15">
      <c r="A13" s="168">
        <v>5</v>
      </c>
      <c r="C13" s="167" t="s">
        <v>410</v>
      </c>
      <c r="D13" s="175"/>
      <c r="E13" s="227"/>
      <c r="F13" s="180"/>
      <c r="G13" s="180"/>
      <c r="H13" s="175"/>
      <c r="I13" s="227"/>
      <c r="J13" s="180"/>
      <c r="K13" s="180"/>
      <c r="L13" s="416"/>
      <c r="M13" s="227"/>
      <c r="N13" s="180"/>
      <c r="O13" s="180"/>
      <c r="P13" s="201"/>
      <c r="Q13" s="201"/>
      <c r="R13" s="201"/>
    </row>
    <row r="14" spans="1:18" ht="15">
      <c r="A14" s="168">
        <v>6</v>
      </c>
      <c r="C14" s="167" t="s">
        <v>414</v>
      </c>
      <c r="D14" s="175"/>
      <c r="E14" s="227"/>
      <c r="F14" s="180"/>
      <c r="G14" s="180"/>
      <c r="H14" s="175"/>
      <c r="I14" s="227"/>
      <c r="J14" s="180"/>
      <c r="K14" s="180"/>
      <c r="L14" s="416"/>
      <c r="M14" s="227"/>
      <c r="N14" s="180"/>
      <c r="O14" s="180"/>
      <c r="P14" s="201"/>
      <c r="Q14" s="201"/>
      <c r="R14" s="201"/>
    </row>
    <row r="15" spans="1:18" ht="15">
      <c r="A15" s="168">
        <v>7</v>
      </c>
      <c r="C15" s="167" t="s">
        <v>413</v>
      </c>
      <c r="D15" s="175"/>
      <c r="E15" s="227"/>
      <c r="F15" s="180"/>
      <c r="G15" s="180"/>
      <c r="H15" s="175"/>
      <c r="I15" s="227"/>
      <c r="J15" s="180"/>
      <c r="K15" s="180"/>
      <c r="L15" s="416"/>
      <c r="M15" s="227"/>
      <c r="N15" s="180"/>
      <c r="O15" s="180"/>
      <c r="P15" s="201"/>
      <c r="Q15" s="201"/>
      <c r="R15" s="201"/>
    </row>
    <row r="16" spans="1:18" ht="15">
      <c r="A16" s="168">
        <v>8</v>
      </c>
      <c r="C16" s="167" t="s">
        <v>398</v>
      </c>
      <c r="D16" s="175"/>
      <c r="E16" s="227"/>
      <c r="F16" s="180"/>
      <c r="G16" s="180"/>
      <c r="H16" s="175"/>
      <c r="I16" s="227"/>
      <c r="J16" s="180"/>
      <c r="K16" s="180"/>
      <c r="L16" s="416"/>
      <c r="M16" s="227"/>
      <c r="N16" s="180"/>
      <c r="O16" s="180"/>
      <c r="P16" s="201"/>
      <c r="Q16" s="201"/>
      <c r="R16" s="201"/>
    </row>
    <row r="17" spans="1:18" ht="15">
      <c r="A17" s="168">
        <v>9</v>
      </c>
      <c r="C17" s="167" t="s">
        <v>409</v>
      </c>
      <c r="D17" s="175"/>
      <c r="E17" s="227"/>
      <c r="F17" s="180"/>
      <c r="G17" s="180"/>
      <c r="H17" s="175"/>
      <c r="I17" s="227"/>
      <c r="J17" s="180"/>
      <c r="K17" s="180"/>
      <c r="L17" s="416"/>
      <c r="M17" s="227"/>
      <c r="N17" s="180"/>
      <c r="O17" s="180"/>
      <c r="P17" s="201"/>
      <c r="Q17" s="201"/>
      <c r="R17" s="201"/>
    </row>
    <row r="18" spans="1:18" ht="15">
      <c r="A18" s="168">
        <v>10</v>
      </c>
      <c r="C18" s="167" t="s">
        <v>412</v>
      </c>
      <c r="D18" s="175"/>
      <c r="E18" s="227"/>
      <c r="F18" s="180"/>
      <c r="G18" s="180"/>
      <c r="H18" s="175"/>
      <c r="I18" s="227"/>
      <c r="J18" s="180"/>
      <c r="K18" s="180"/>
      <c r="L18" s="416"/>
      <c r="M18" s="227"/>
      <c r="N18" s="180"/>
      <c r="O18" s="180"/>
      <c r="P18" s="201"/>
      <c r="Q18" s="201"/>
      <c r="R18" s="201"/>
    </row>
    <row r="19" spans="1:18" ht="15">
      <c r="A19" s="168">
        <v>11</v>
      </c>
      <c r="C19" s="167" t="s">
        <v>395</v>
      </c>
      <c r="D19" s="175"/>
      <c r="F19" s="180"/>
      <c r="G19" s="180"/>
      <c r="H19" s="175"/>
      <c r="J19" s="180"/>
      <c r="K19" s="180"/>
      <c r="L19" s="416"/>
      <c r="N19" s="180"/>
      <c r="O19" s="180"/>
      <c r="P19" s="201"/>
      <c r="Q19" s="201"/>
      <c r="R19" s="201"/>
    </row>
    <row r="20" spans="1:18" ht="15">
      <c r="A20" s="168">
        <v>12</v>
      </c>
      <c r="C20" s="167" t="s">
        <v>394</v>
      </c>
      <c r="D20" s="175"/>
      <c r="F20" s="180"/>
      <c r="G20" s="180"/>
      <c r="H20" s="175"/>
      <c r="J20" s="180"/>
      <c r="K20" s="180"/>
      <c r="L20" s="416"/>
      <c r="N20" s="180"/>
      <c r="O20" s="180"/>
      <c r="P20" s="201"/>
      <c r="Q20" s="201"/>
      <c r="R20" s="201"/>
    </row>
    <row r="21" spans="1:18" ht="15">
      <c r="A21" s="168">
        <v>13</v>
      </c>
      <c r="C21" s="167" t="s">
        <v>411</v>
      </c>
      <c r="D21" s="233"/>
      <c r="F21" s="212"/>
      <c r="H21" s="233"/>
      <c r="J21" s="212"/>
      <c r="L21" s="470"/>
      <c r="N21" s="212"/>
      <c r="P21" s="201"/>
      <c r="Q21" s="201"/>
      <c r="R21" s="201"/>
    </row>
    <row r="22" spans="1:18" ht="15">
      <c r="A22" s="168">
        <v>14</v>
      </c>
      <c r="D22" s="175"/>
      <c r="E22" s="227"/>
      <c r="F22" s="180"/>
      <c r="G22" s="180"/>
      <c r="H22" s="175"/>
      <c r="I22" s="227"/>
      <c r="J22" s="180"/>
      <c r="K22" s="180"/>
      <c r="L22" s="416"/>
      <c r="M22" s="227"/>
      <c r="N22" s="180"/>
      <c r="O22" s="180"/>
      <c r="P22" s="201"/>
      <c r="Q22" s="201"/>
      <c r="R22" s="201"/>
    </row>
    <row r="23" spans="1:18" ht="15.75">
      <c r="A23" s="168">
        <v>15</v>
      </c>
      <c r="B23" s="170" t="s">
        <v>402</v>
      </c>
      <c r="D23" s="175">
        <v>1441576.2599999998</v>
      </c>
      <c r="F23" s="172">
        <v>2882777.1999999965</v>
      </c>
      <c r="G23" s="177"/>
      <c r="H23" s="175">
        <v>1351041.1999999995</v>
      </c>
      <c r="J23" s="172">
        <v>2780936.7699999991</v>
      </c>
      <c r="K23" s="177"/>
      <c r="L23" s="416">
        <v>1276464.9299999992</v>
      </c>
      <c r="N23" s="172">
        <v>3167764.6300000004</v>
      </c>
      <c r="O23" s="177"/>
      <c r="P23" s="201"/>
      <c r="Q23" s="201"/>
      <c r="R23" s="201"/>
    </row>
    <row r="24" spans="1:18" ht="15.75">
      <c r="A24" s="168">
        <v>16</v>
      </c>
      <c r="B24" s="170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201"/>
      <c r="Q24" s="201"/>
      <c r="R24" s="201"/>
    </row>
    <row r="25" spans="1:18" ht="15">
      <c r="A25" s="168">
        <v>17</v>
      </c>
      <c r="D25" s="175"/>
      <c r="F25" s="180"/>
      <c r="G25" s="180"/>
      <c r="H25" s="175"/>
      <c r="J25" s="180"/>
      <c r="L25" s="175"/>
      <c r="N25" s="180"/>
      <c r="P25" s="201"/>
      <c r="Q25" s="201"/>
      <c r="R25" s="201"/>
    </row>
    <row r="26" spans="1:18" ht="15.75">
      <c r="A26" s="168">
        <v>18</v>
      </c>
      <c r="B26" s="170" t="s">
        <v>401</v>
      </c>
      <c r="P26" s="201"/>
      <c r="Q26" s="201"/>
      <c r="R26" s="201"/>
    </row>
    <row r="27" spans="1:18" ht="15">
      <c r="A27" s="168">
        <v>19</v>
      </c>
      <c r="C27" s="167" t="s">
        <v>545</v>
      </c>
      <c r="D27" s="175"/>
      <c r="E27" s="227"/>
      <c r="F27" s="180"/>
      <c r="G27" s="180"/>
      <c r="H27" s="175"/>
      <c r="I27" s="227"/>
      <c r="J27" s="180"/>
      <c r="K27" s="180"/>
      <c r="L27" s="175"/>
      <c r="M27" s="227"/>
      <c r="N27" s="180"/>
      <c r="O27" s="180"/>
      <c r="P27" s="201"/>
      <c r="Q27" s="201"/>
      <c r="R27" s="201"/>
    </row>
    <row r="28" spans="1:18" ht="15">
      <c r="A28" s="168">
        <v>20</v>
      </c>
      <c r="C28" s="167" t="s">
        <v>398</v>
      </c>
      <c r="D28" s="175"/>
      <c r="E28" s="227"/>
      <c r="F28" s="180"/>
      <c r="H28" s="175"/>
      <c r="I28" s="227"/>
      <c r="J28" s="180"/>
      <c r="L28" s="175"/>
      <c r="M28" s="227"/>
      <c r="N28" s="180"/>
      <c r="P28" s="201"/>
      <c r="Q28" s="201"/>
      <c r="R28" s="201"/>
    </row>
    <row r="29" spans="1:18" ht="15">
      <c r="A29" s="168">
        <v>21</v>
      </c>
      <c r="C29" s="167" t="s">
        <v>410</v>
      </c>
      <c r="D29" s="175"/>
      <c r="E29" s="227"/>
      <c r="F29" s="180"/>
      <c r="G29" s="180"/>
      <c r="H29" s="175"/>
      <c r="I29" s="227"/>
      <c r="J29" s="180"/>
      <c r="K29" s="180"/>
      <c r="L29" s="175"/>
      <c r="M29" s="227"/>
      <c r="N29" s="180"/>
      <c r="O29" s="180"/>
      <c r="P29" s="201"/>
      <c r="Q29" s="201"/>
      <c r="R29" s="201"/>
    </row>
    <row r="30" spans="1:18" ht="15">
      <c r="A30" s="168">
        <v>22</v>
      </c>
      <c r="C30" s="167" t="s">
        <v>395</v>
      </c>
      <c r="D30" s="175"/>
      <c r="E30" s="227"/>
      <c r="F30" s="180"/>
      <c r="G30" s="180"/>
      <c r="H30" s="175"/>
      <c r="I30" s="227"/>
      <c r="J30" s="180"/>
      <c r="K30" s="180"/>
      <c r="L30" s="175"/>
      <c r="M30" s="227"/>
      <c r="N30" s="180"/>
      <c r="O30" s="180"/>
      <c r="P30" s="201"/>
      <c r="Q30" s="201"/>
      <c r="R30" s="201"/>
    </row>
    <row r="31" spans="1:18" ht="15">
      <c r="A31" s="168">
        <v>23</v>
      </c>
      <c r="C31" s="167" t="s">
        <v>394</v>
      </c>
      <c r="F31" s="180"/>
      <c r="G31" s="180"/>
      <c r="J31" s="180"/>
      <c r="K31" s="180"/>
      <c r="N31" s="180"/>
      <c r="O31" s="180"/>
      <c r="P31" s="201"/>
      <c r="Q31" s="201"/>
      <c r="R31" s="201"/>
    </row>
    <row r="32" spans="1:18" ht="15">
      <c r="A32" s="168">
        <v>24</v>
      </c>
      <c r="C32" s="167" t="s">
        <v>407</v>
      </c>
      <c r="D32" s="233"/>
      <c r="F32" s="212"/>
      <c r="H32" s="233"/>
      <c r="J32" s="212"/>
      <c r="L32" s="233"/>
      <c r="N32" s="212"/>
      <c r="P32" s="201"/>
      <c r="Q32" s="201"/>
      <c r="R32" s="201"/>
    </row>
    <row r="33" spans="1:18" ht="15">
      <c r="A33" s="168">
        <v>25</v>
      </c>
      <c r="D33" s="175"/>
      <c r="E33" s="227"/>
      <c r="F33" s="180"/>
      <c r="G33" s="180"/>
      <c r="H33" s="175"/>
      <c r="I33" s="227"/>
      <c r="J33" s="180"/>
      <c r="K33" s="180"/>
      <c r="L33" s="175"/>
      <c r="M33" s="227"/>
      <c r="N33" s="180"/>
      <c r="O33" s="180"/>
      <c r="P33" s="201"/>
      <c r="Q33" s="201"/>
      <c r="R33" s="201"/>
    </row>
    <row r="34" spans="1:18" ht="15.75">
      <c r="A34" s="168">
        <v>26</v>
      </c>
      <c r="B34" s="170" t="s">
        <v>114</v>
      </c>
      <c r="D34" s="175">
        <v>247939.64000000007</v>
      </c>
      <c r="F34" s="172">
        <v>486481.13999999996</v>
      </c>
      <c r="G34" s="175"/>
      <c r="H34" s="175">
        <v>220723.79999999996</v>
      </c>
      <c r="J34" s="172">
        <v>451776.4500000003</v>
      </c>
      <c r="K34" s="177"/>
      <c r="L34" s="175">
        <v>225606.53000000009</v>
      </c>
      <c r="N34" s="172">
        <v>555785.43000000017</v>
      </c>
      <c r="O34" s="177"/>
      <c r="P34" s="201"/>
      <c r="Q34" s="201"/>
      <c r="R34" s="201"/>
    </row>
    <row r="35" spans="1:18" ht="15.75">
      <c r="A35" s="168">
        <v>27</v>
      </c>
      <c r="B35" s="170"/>
      <c r="D35" s="175"/>
      <c r="H35" s="175"/>
      <c r="L35" s="175"/>
      <c r="P35" s="201"/>
      <c r="Q35" s="201"/>
      <c r="R35" s="201"/>
    </row>
    <row r="36" spans="1:18" ht="15.75">
      <c r="A36" s="168">
        <v>28</v>
      </c>
      <c r="B36" s="170"/>
      <c r="D36" s="180"/>
      <c r="E36" s="180"/>
      <c r="H36" s="180"/>
      <c r="I36" s="180"/>
      <c r="L36" s="180"/>
      <c r="M36" s="180"/>
      <c r="P36" s="201"/>
      <c r="Q36" s="201"/>
      <c r="R36" s="201"/>
    </row>
    <row r="37" spans="1:18" ht="15.75">
      <c r="A37" s="168">
        <v>29</v>
      </c>
      <c r="B37" s="170" t="s">
        <v>227</v>
      </c>
      <c r="P37" s="201"/>
      <c r="Q37" s="201"/>
      <c r="R37" s="201"/>
    </row>
    <row r="38" spans="1:18" ht="15">
      <c r="A38" s="168">
        <v>30</v>
      </c>
      <c r="C38" s="167" t="s">
        <v>398</v>
      </c>
      <c r="D38" s="175"/>
      <c r="E38" s="227"/>
      <c r="F38" s="180"/>
      <c r="G38" s="180"/>
      <c r="H38" s="175"/>
      <c r="I38" s="227"/>
      <c r="J38" s="180"/>
      <c r="K38" s="180"/>
      <c r="L38" s="175"/>
      <c r="M38" s="227"/>
      <c r="N38" s="180"/>
      <c r="O38" s="180"/>
      <c r="P38" s="201"/>
      <c r="Q38" s="201"/>
      <c r="R38" s="201"/>
    </row>
    <row r="39" spans="1:18" ht="15">
      <c r="A39" s="168">
        <v>31</v>
      </c>
      <c r="C39" s="167" t="s">
        <v>409</v>
      </c>
      <c r="D39" s="175"/>
      <c r="E39" s="227"/>
      <c r="F39" s="180"/>
      <c r="G39" s="180"/>
      <c r="H39" s="175"/>
      <c r="I39" s="227"/>
      <c r="J39" s="180"/>
      <c r="K39" s="180"/>
      <c r="L39" s="175"/>
      <c r="M39" s="227"/>
      <c r="N39" s="180"/>
      <c r="O39" s="180"/>
      <c r="P39" s="201"/>
      <c r="Q39" s="201"/>
      <c r="R39" s="201"/>
    </row>
    <row r="40" spans="1:18" ht="15">
      <c r="A40" s="168">
        <v>32</v>
      </c>
      <c r="C40" s="167" t="s">
        <v>395</v>
      </c>
      <c r="D40" s="175"/>
      <c r="E40" s="227"/>
      <c r="F40" s="180"/>
      <c r="G40" s="180"/>
      <c r="H40" s="175"/>
      <c r="I40" s="227"/>
      <c r="J40" s="180"/>
      <c r="K40" s="180"/>
      <c r="L40" s="175"/>
      <c r="M40" s="227"/>
      <c r="N40" s="180"/>
      <c r="O40" s="180"/>
      <c r="P40" s="201"/>
      <c r="Q40" s="201"/>
      <c r="R40" s="201"/>
    </row>
    <row r="41" spans="1:18" ht="15">
      <c r="A41" s="168">
        <v>33</v>
      </c>
      <c r="C41" s="167" t="s">
        <v>394</v>
      </c>
      <c r="F41" s="180"/>
      <c r="G41" s="180"/>
      <c r="J41" s="180"/>
      <c r="K41" s="180"/>
      <c r="N41" s="180"/>
      <c r="O41" s="180"/>
      <c r="P41" s="201"/>
      <c r="Q41" s="201"/>
      <c r="R41" s="201"/>
    </row>
    <row r="42" spans="1:18" ht="15">
      <c r="A42" s="168">
        <v>34</v>
      </c>
      <c r="C42" s="167" t="s">
        <v>407</v>
      </c>
      <c r="D42" s="233"/>
      <c r="F42" s="212"/>
      <c r="H42" s="233"/>
      <c r="J42" s="212"/>
      <c r="L42" s="233"/>
      <c r="N42" s="212"/>
      <c r="P42" s="201"/>
      <c r="Q42" s="201"/>
      <c r="R42" s="201"/>
    </row>
    <row r="43" spans="1:18" ht="15">
      <c r="A43" s="168">
        <v>35</v>
      </c>
      <c r="D43" s="175"/>
      <c r="E43" s="227"/>
      <c r="F43" s="180"/>
      <c r="G43" s="180"/>
      <c r="H43" s="175"/>
      <c r="I43" s="227"/>
      <c r="J43" s="180"/>
      <c r="K43" s="180"/>
      <c r="L43" s="175"/>
      <c r="M43" s="227"/>
      <c r="N43" s="180"/>
      <c r="O43" s="180"/>
      <c r="P43" s="201"/>
      <c r="Q43" s="201"/>
      <c r="R43" s="201"/>
    </row>
    <row r="44" spans="1:18" ht="15.75">
      <c r="A44" s="168">
        <v>36</v>
      </c>
      <c r="B44" s="170" t="s">
        <v>114</v>
      </c>
      <c r="D44" s="175">
        <v>31449.809999999979</v>
      </c>
      <c r="F44" s="172">
        <v>61757.259999999958</v>
      </c>
      <c r="G44" s="175"/>
      <c r="H44" s="175">
        <v>30435.299999999981</v>
      </c>
      <c r="J44" s="172">
        <v>60885.08</v>
      </c>
      <c r="K44" s="177"/>
      <c r="L44" s="175">
        <v>31449.809999999979</v>
      </c>
      <c r="N44" s="172">
        <v>74519.089999999953</v>
      </c>
      <c r="O44" s="177"/>
      <c r="P44" s="201"/>
      <c r="Q44" s="201"/>
      <c r="R44" s="201"/>
    </row>
    <row r="45" spans="1:18" ht="15.75">
      <c r="A45" s="168">
        <v>37</v>
      </c>
      <c r="B45" s="170"/>
      <c r="D45" s="175"/>
      <c r="H45" s="175"/>
      <c r="L45" s="175"/>
      <c r="P45" s="201"/>
      <c r="Q45" s="201"/>
      <c r="R45" s="201"/>
    </row>
    <row r="46" spans="1:18" ht="15.75">
      <c r="A46" s="168">
        <v>38</v>
      </c>
      <c r="B46" s="170"/>
      <c r="D46" s="180"/>
      <c r="E46" s="180"/>
      <c r="H46" s="180"/>
      <c r="I46" s="180"/>
      <c r="L46" s="180"/>
      <c r="M46" s="180"/>
      <c r="P46" s="201"/>
      <c r="Q46" s="201"/>
      <c r="R46" s="201"/>
    </row>
    <row r="47" spans="1:18" ht="15.75">
      <c r="A47" s="168">
        <v>39</v>
      </c>
      <c r="B47" s="170" t="s">
        <v>400</v>
      </c>
      <c r="P47" s="201"/>
      <c r="Q47" s="201"/>
      <c r="R47" s="201"/>
    </row>
    <row r="48" spans="1:18" ht="15">
      <c r="A48" s="168">
        <v>40</v>
      </c>
      <c r="C48" s="167" t="s">
        <v>398</v>
      </c>
      <c r="D48" s="175"/>
      <c r="E48" s="227"/>
      <c r="F48" s="180"/>
      <c r="G48" s="180"/>
      <c r="H48" s="175"/>
      <c r="I48" s="227"/>
      <c r="J48" s="180"/>
      <c r="K48" s="180"/>
      <c r="L48" s="175"/>
      <c r="M48" s="227"/>
      <c r="N48" s="180"/>
      <c r="O48" s="180"/>
      <c r="P48" s="201"/>
      <c r="Q48" s="201"/>
      <c r="R48" s="201"/>
    </row>
    <row r="49" spans="1:18" ht="15">
      <c r="A49" s="168">
        <v>41</v>
      </c>
      <c r="C49" s="167" t="s">
        <v>408</v>
      </c>
      <c r="D49" s="175"/>
      <c r="E49" s="227"/>
      <c r="F49" s="180"/>
      <c r="G49" s="180"/>
      <c r="H49" s="175"/>
      <c r="I49" s="227"/>
      <c r="J49" s="180"/>
      <c r="K49" s="180"/>
      <c r="L49" s="175"/>
      <c r="M49" s="227"/>
      <c r="N49" s="180"/>
      <c r="O49" s="180"/>
      <c r="P49" s="201"/>
      <c r="Q49" s="201"/>
      <c r="R49" s="201"/>
    </row>
    <row r="50" spans="1:18" ht="15">
      <c r="A50" s="168">
        <v>42</v>
      </c>
      <c r="C50" s="167" t="s">
        <v>396</v>
      </c>
      <c r="D50" s="175"/>
      <c r="E50" s="227"/>
      <c r="F50" s="180"/>
      <c r="G50" s="180"/>
      <c r="H50" s="175"/>
      <c r="I50" s="227"/>
      <c r="J50" s="180"/>
      <c r="K50" s="180"/>
      <c r="L50" s="175"/>
      <c r="M50" s="227"/>
      <c r="N50" s="180"/>
      <c r="O50" s="180"/>
      <c r="P50" s="201"/>
      <c r="Q50" s="201"/>
      <c r="R50" s="201"/>
    </row>
    <row r="51" spans="1:18" ht="15">
      <c r="A51" s="168">
        <v>43</v>
      </c>
      <c r="C51" s="167" t="s">
        <v>395</v>
      </c>
      <c r="D51" s="175"/>
      <c r="E51" s="227"/>
      <c r="F51" s="180"/>
      <c r="G51" s="180"/>
      <c r="H51" s="175"/>
      <c r="I51" s="227"/>
      <c r="J51" s="180"/>
      <c r="K51" s="180"/>
      <c r="L51" s="175"/>
      <c r="M51" s="227"/>
      <c r="N51" s="180"/>
      <c r="O51" s="180"/>
      <c r="P51" s="201"/>
      <c r="Q51" s="201"/>
      <c r="R51" s="201"/>
    </row>
    <row r="52" spans="1:18" ht="15">
      <c r="A52" s="168">
        <v>44</v>
      </c>
      <c r="C52" s="167" t="s">
        <v>394</v>
      </c>
      <c r="F52" s="180"/>
      <c r="G52" s="180"/>
      <c r="J52" s="180"/>
      <c r="K52" s="180"/>
      <c r="N52" s="180"/>
      <c r="O52" s="180"/>
      <c r="P52" s="201"/>
      <c r="Q52" s="201"/>
      <c r="R52" s="201"/>
    </row>
    <row r="53" spans="1:18" ht="15">
      <c r="A53" s="168">
        <v>45</v>
      </c>
      <c r="C53" s="167" t="s">
        <v>407</v>
      </c>
      <c r="D53" s="233"/>
      <c r="F53" s="212"/>
      <c r="H53" s="233"/>
      <c r="J53" s="212"/>
      <c r="L53" s="233"/>
      <c r="N53" s="212"/>
      <c r="P53" s="201"/>
      <c r="Q53" s="201"/>
      <c r="R53" s="201"/>
    </row>
    <row r="54" spans="1:18" ht="15">
      <c r="A54" s="168">
        <v>46</v>
      </c>
      <c r="D54" s="175"/>
      <c r="E54" s="227"/>
      <c r="F54" s="180"/>
      <c r="G54" s="180"/>
      <c r="H54" s="175"/>
      <c r="I54" s="227"/>
      <c r="J54" s="180"/>
      <c r="K54" s="180"/>
      <c r="L54" s="175"/>
      <c r="M54" s="227"/>
      <c r="N54" s="180"/>
      <c r="O54" s="180"/>
      <c r="P54" s="201"/>
      <c r="Q54" s="201"/>
      <c r="R54" s="201"/>
    </row>
    <row r="55" spans="1:18" ht="15.75">
      <c r="A55" s="168">
        <v>47</v>
      </c>
      <c r="B55" s="170" t="s">
        <v>114</v>
      </c>
      <c r="D55" s="175">
        <v>1243.75</v>
      </c>
      <c r="F55" s="172">
        <v>3761.9700000000003</v>
      </c>
      <c r="G55" s="175"/>
      <c r="H55" s="175">
        <v>436.37</v>
      </c>
      <c r="J55" s="172">
        <v>1946.46</v>
      </c>
      <c r="K55" s="177"/>
      <c r="L55" s="175">
        <v>136.74</v>
      </c>
      <c r="N55" s="172">
        <v>1753.78</v>
      </c>
      <c r="O55" s="177"/>
      <c r="P55" s="201"/>
      <c r="Q55" s="201"/>
      <c r="R55" s="201"/>
    </row>
    <row r="56" spans="1:18" ht="15.75">
      <c r="A56" s="168">
        <v>48</v>
      </c>
      <c r="B56" s="170"/>
      <c r="D56" s="175"/>
      <c r="H56" s="175"/>
      <c r="L56" s="175"/>
      <c r="P56" s="201"/>
      <c r="Q56" s="201"/>
      <c r="R56" s="201"/>
    </row>
    <row r="57" spans="1:18" ht="15.75">
      <c r="A57" s="168">
        <v>49</v>
      </c>
      <c r="B57" s="170"/>
      <c r="D57" s="180"/>
      <c r="E57" s="180"/>
      <c r="H57" s="180"/>
      <c r="I57" s="180"/>
      <c r="L57" s="180"/>
      <c r="M57" s="180"/>
      <c r="P57" s="201"/>
      <c r="Q57" s="201"/>
      <c r="R57" s="201"/>
    </row>
    <row r="58" spans="1:18" ht="15.75">
      <c r="A58" s="168">
        <v>50</v>
      </c>
      <c r="B58" s="170" t="s">
        <v>399</v>
      </c>
      <c r="D58" s="180"/>
      <c r="E58" s="180"/>
      <c r="H58" s="180"/>
      <c r="I58" s="180"/>
      <c r="L58" s="180"/>
      <c r="M58" s="180"/>
      <c r="P58" s="201"/>
      <c r="Q58" s="201"/>
      <c r="R58" s="201"/>
    </row>
    <row r="59" spans="1:18" ht="15">
      <c r="A59" s="168">
        <v>51</v>
      </c>
      <c r="C59" s="167" t="s">
        <v>398</v>
      </c>
      <c r="D59" s="180"/>
      <c r="E59" s="180"/>
      <c r="H59" s="180"/>
      <c r="I59" s="180"/>
      <c r="L59" s="180"/>
      <c r="M59" s="180"/>
      <c r="P59" s="201"/>
      <c r="Q59" s="201"/>
      <c r="R59" s="201"/>
    </row>
    <row r="60" spans="1:18" ht="15.75">
      <c r="A60" s="168">
        <v>52</v>
      </c>
      <c r="B60" s="170"/>
      <c r="C60" s="167" t="s">
        <v>397</v>
      </c>
      <c r="D60" s="180"/>
      <c r="E60" s="180"/>
      <c r="H60" s="180"/>
      <c r="I60" s="180"/>
      <c r="L60" s="180"/>
      <c r="M60" s="180"/>
      <c r="P60" s="201"/>
      <c r="Q60" s="201"/>
      <c r="R60" s="201"/>
    </row>
    <row r="61" spans="1:18" ht="15.75">
      <c r="A61" s="168">
        <v>53</v>
      </c>
      <c r="B61" s="170"/>
      <c r="C61" s="167" t="s">
        <v>396</v>
      </c>
      <c r="D61" s="180"/>
      <c r="E61" s="180"/>
      <c r="H61" s="180"/>
      <c r="I61" s="180"/>
      <c r="L61" s="180"/>
      <c r="M61" s="180"/>
      <c r="P61" s="201"/>
      <c r="Q61" s="201"/>
      <c r="R61" s="201"/>
    </row>
    <row r="62" spans="1:18" ht="15.75">
      <c r="A62" s="168">
        <v>54</v>
      </c>
      <c r="B62" s="170"/>
      <c r="C62" s="167" t="s">
        <v>395</v>
      </c>
      <c r="D62" s="180"/>
      <c r="E62" s="180"/>
      <c r="H62" s="180"/>
      <c r="I62" s="180"/>
      <c r="L62" s="180"/>
      <c r="M62" s="180"/>
      <c r="P62" s="201"/>
      <c r="Q62" s="201"/>
      <c r="R62" s="201"/>
    </row>
    <row r="63" spans="1:18" ht="15.75">
      <c r="A63" s="168">
        <v>55</v>
      </c>
      <c r="B63" s="170"/>
      <c r="C63" s="167" t="s">
        <v>394</v>
      </c>
      <c r="D63" s="180"/>
      <c r="E63" s="180"/>
      <c r="H63" s="180"/>
      <c r="I63" s="180"/>
      <c r="L63" s="180"/>
      <c r="M63" s="180"/>
      <c r="P63" s="201"/>
      <c r="Q63" s="201"/>
      <c r="R63" s="201"/>
    </row>
    <row r="64" spans="1:18" ht="15">
      <c r="A64" s="168">
        <v>56</v>
      </c>
      <c r="C64" s="167" t="s">
        <v>407</v>
      </c>
      <c r="D64" s="233"/>
      <c r="F64" s="212"/>
      <c r="H64" s="233"/>
      <c r="J64" s="212"/>
      <c r="L64" s="233"/>
      <c r="N64" s="212"/>
      <c r="P64" s="201"/>
      <c r="Q64" s="201"/>
      <c r="R64" s="201"/>
    </row>
    <row r="65" spans="1:18" ht="15.75">
      <c r="A65" s="168">
        <v>57</v>
      </c>
      <c r="B65" s="170"/>
      <c r="D65" s="180"/>
      <c r="E65" s="180"/>
      <c r="H65" s="180"/>
      <c r="I65" s="180"/>
      <c r="L65" s="180"/>
      <c r="M65" s="180"/>
      <c r="P65" s="201"/>
      <c r="Q65" s="201"/>
      <c r="R65" s="201"/>
    </row>
    <row r="66" spans="1:18" ht="15.75">
      <c r="A66" s="168">
        <v>58</v>
      </c>
      <c r="B66" s="170" t="s">
        <v>114</v>
      </c>
      <c r="D66" s="175">
        <v>0</v>
      </c>
      <c r="E66" s="180"/>
      <c r="F66" s="172">
        <v>0</v>
      </c>
      <c r="H66" s="175">
        <v>0</v>
      </c>
      <c r="I66" s="180"/>
      <c r="J66" s="172">
        <v>0</v>
      </c>
      <c r="L66" s="175">
        <v>0</v>
      </c>
      <c r="M66" s="180"/>
      <c r="N66" s="172">
        <v>0</v>
      </c>
      <c r="P66" s="201"/>
      <c r="Q66" s="201"/>
      <c r="R66" s="201"/>
    </row>
    <row r="67" spans="1:18" ht="15.75">
      <c r="A67" s="168">
        <v>59</v>
      </c>
      <c r="B67" s="170"/>
      <c r="D67" s="180"/>
      <c r="E67" s="180"/>
      <c r="H67" s="180"/>
      <c r="I67" s="180"/>
      <c r="L67" s="180"/>
      <c r="M67" s="180"/>
      <c r="P67" s="201"/>
      <c r="Q67" s="201"/>
      <c r="R67" s="201"/>
    </row>
    <row r="68" spans="1:18" ht="15.75">
      <c r="A68" s="168">
        <v>60</v>
      </c>
      <c r="B68" s="170"/>
      <c r="D68" s="180"/>
      <c r="E68" s="180"/>
      <c r="H68" s="180"/>
      <c r="I68" s="180"/>
      <c r="L68" s="180"/>
      <c r="M68" s="180"/>
      <c r="P68" s="201"/>
      <c r="Q68" s="201"/>
      <c r="R68" s="201"/>
    </row>
    <row r="69" spans="1:18" ht="15.75">
      <c r="A69" s="168">
        <v>61</v>
      </c>
      <c r="B69" s="170" t="s">
        <v>393</v>
      </c>
      <c r="C69" s="168"/>
      <c r="D69" s="180"/>
      <c r="E69" s="180"/>
      <c r="H69" s="180"/>
      <c r="I69" s="180"/>
      <c r="L69" s="180"/>
      <c r="M69" s="180"/>
      <c r="P69" s="201"/>
      <c r="Q69" s="201"/>
      <c r="R69" s="201"/>
    </row>
    <row r="70" spans="1:18" ht="15">
      <c r="A70" s="168">
        <v>62</v>
      </c>
      <c r="C70" s="167" t="s">
        <v>114</v>
      </c>
      <c r="D70" s="175">
        <f>D23+D34+D44+D55+D66</f>
        <v>1722209.46</v>
      </c>
      <c r="F70" s="172">
        <f>F23+F34+F44+F55+F66</f>
        <v>3434777.5699999966</v>
      </c>
      <c r="G70" s="177"/>
      <c r="H70" s="175">
        <f>H23+H34+H44+H55+H66</f>
        <v>1602636.6699999997</v>
      </c>
      <c r="J70" s="172">
        <f>J23+J34+J44+J55+J66</f>
        <v>3295544.7599999993</v>
      </c>
      <c r="K70" s="177"/>
      <c r="L70" s="175">
        <f>L23+L34+L44+L55+L66</f>
        <v>1533658.0099999993</v>
      </c>
      <c r="N70" s="172">
        <f>N23+N34+N44+N55+N66</f>
        <v>3799822.93</v>
      </c>
      <c r="O70" s="177"/>
      <c r="P70" s="201"/>
      <c r="Q70" s="201"/>
      <c r="R70" s="284"/>
    </row>
    <row r="71" spans="1:18" ht="15">
      <c r="A71" s="168">
        <v>63</v>
      </c>
      <c r="D71" s="175"/>
      <c r="F71" s="175"/>
      <c r="G71" s="175"/>
      <c r="H71" s="175"/>
      <c r="J71" s="175"/>
      <c r="K71" s="175"/>
      <c r="L71" s="175"/>
      <c r="N71" s="175"/>
      <c r="O71" s="175"/>
      <c r="P71" s="201"/>
      <c r="Q71" s="201"/>
      <c r="R71" s="201"/>
    </row>
    <row r="72" spans="1:18" ht="15">
      <c r="A72" s="168">
        <v>64</v>
      </c>
      <c r="H72" s="175"/>
      <c r="J72" s="167" t="s">
        <v>392</v>
      </c>
      <c r="P72" s="201"/>
      <c r="Q72" s="201"/>
      <c r="R72" s="201"/>
    </row>
    <row r="73" spans="1:18" ht="15">
      <c r="A73" s="168">
        <v>65</v>
      </c>
      <c r="D73" s="167" t="s">
        <v>391</v>
      </c>
      <c r="P73" s="201"/>
      <c r="Q73" s="201"/>
      <c r="R73" s="201"/>
    </row>
    <row r="74" spans="1:18" ht="15">
      <c r="P74" s="201"/>
      <c r="Q74" s="201"/>
      <c r="R74" s="201"/>
    </row>
    <row r="75" spans="1:18" ht="15">
      <c r="D75" s="175"/>
      <c r="E75" s="227"/>
      <c r="F75" s="180"/>
      <c r="G75" s="180"/>
      <c r="H75" s="175"/>
      <c r="I75" s="227"/>
      <c r="J75" s="180"/>
      <c r="K75" s="180"/>
      <c r="L75" s="175"/>
      <c r="M75" s="227"/>
      <c r="N75" s="180"/>
      <c r="O75" s="180"/>
      <c r="P75" s="201"/>
      <c r="Q75" s="201"/>
      <c r="R75" s="201"/>
    </row>
    <row r="76" spans="1:18" ht="15">
      <c r="F76" s="180"/>
      <c r="G76" s="180"/>
      <c r="J76" s="180"/>
      <c r="K76" s="180"/>
      <c r="N76" s="180"/>
      <c r="O76" s="180"/>
      <c r="P76" s="201"/>
      <c r="Q76" s="201"/>
      <c r="R76" s="201"/>
    </row>
    <row r="77" spans="1:18" ht="15">
      <c r="D77" s="175"/>
      <c r="H77" s="175"/>
      <c r="L77" s="175"/>
      <c r="P77" s="201"/>
      <c r="Q77" s="201"/>
      <c r="R77" s="201"/>
    </row>
    <row r="78" spans="1:18" ht="15">
      <c r="D78" s="175"/>
      <c r="E78" s="227"/>
      <c r="F78" s="180"/>
      <c r="G78" s="180"/>
      <c r="H78" s="175"/>
      <c r="I78" s="227"/>
      <c r="J78" s="180"/>
      <c r="K78" s="180"/>
      <c r="L78" s="175"/>
      <c r="M78" s="227"/>
      <c r="N78" s="180"/>
      <c r="O78" s="180"/>
      <c r="P78" s="201"/>
      <c r="Q78" s="201"/>
      <c r="R78" s="201"/>
    </row>
    <row r="79" spans="1:18" ht="15.75">
      <c r="B79" s="170"/>
      <c r="D79" s="175"/>
      <c r="F79" s="177"/>
      <c r="G79" s="177"/>
      <c r="H79" s="175"/>
      <c r="J79" s="177"/>
      <c r="K79" s="177"/>
      <c r="L79" s="175"/>
      <c r="N79" s="177"/>
      <c r="O79" s="177"/>
      <c r="P79" s="201"/>
      <c r="Q79" s="201"/>
      <c r="R79" s="201"/>
    </row>
    <row r="80" spans="1:18" ht="15.75">
      <c r="B80" s="170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201"/>
      <c r="Q80" s="201"/>
      <c r="R80" s="201"/>
    </row>
    <row r="81" spans="2:18" ht="15.75">
      <c r="B81" s="170"/>
      <c r="D81" s="180"/>
      <c r="E81" s="180"/>
      <c r="H81" s="180"/>
      <c r="I81" s="180"/>
      <c r="L81" s="180"/>
      <c r="M81" s="180"/>
      <c r="P81" s="201"/>
      <c r="Q81" s="201"/>
      <c r="R81" s="201"/>
    </row>
    <row r="82" spans="2:18" ht="15.75">
      <c r="B82" s="170"/>
      <c r="C82" s="168"/>
      <c r="D82" s="180"/>
      <c r="E82" s="180"/>
      <c r="H82" s="180"/>
      <c r="I82" s="180"/>
      <c r="L82" s="180"/>
      <c r="M82" s="180"/>
      <c r="P82" s="201"/>
      <c r="Q82" s="201"/>
      <c r="R82" s="201"/>
    </row>
    <row r="83" spans="2:18" ht="15">
      <c r="D83" s="175"/>
      <c r="F83" s="177"/>
      <c r="G83" s="177"/>
      <c r="H83" s="175"/>
      <c r="J83" s="177"/>
      <c r="K83" s="177"/>
      <c r="L83" s="175"/>
      <c r="N83" s="177"/>
      <c r="O83" s="177"/>
      <c r="P83" s="201"/>
      <c r="Q83" s="201"/>
      <c r="R83" s="201"/>
    </row>
    <row r="84" spans="2:18" ht="15">
      <c r="D84" s="175"/>
      <c r="F84" s="175"/>
      <c r="G84" s="175"/>
      <c r="H84" s="175"/>
      <c r="J84" s="175"/>
      <c r="K84" s="175"/>
      <c r="L84" s="175"/>
      <c r="N84" s="175"/>
      <c r="O84" s="175"/>
      <c r="P84" s="201"/>
      <c r="Q84" s="201"/>
      <c r="R84" s="201"/>
    </row>
    <row r="85" spans="2:18" ht="15">
      <c r="P85" s="201"/>
      <c r="Q85" s="201"/>
      <c r="R85" s="201"/>
    </row>
    <row r="86" spans="2:18" ht="15">
      <c r="P86" s="201"/>
      <c r="Q86" s="201"/>
      <c r="R86" s="201"/>
    </row>
    <row r="87" spans="2:18" ht="15">
      <c r="P87" s="201"/>
      <c r="Q87" s="201"/>
      <c r="R87" s="201"/>
    </row>
    <row r="88" spans="2:18" ht="15">
      <c r="P88" s="201"/>
      <c r="Q88" s="201"/>
      <c r="R88" s="201"/>
    </row>
    <row r="89" spans="2:18" ht="15">
      <c r="P89" s="201"/>
      <c r="Q89" s="201"/>
      <c r="R89" s="201"/>
    </row>
    <row r="90" spans="2:18" ht="15">
      <c r="P90" s="201"/>
      <c r="Q90" s="201"/>
      <c r="R90" s="201"/>
    </row>
    <row r="91" spans="2:18" ht="15">
      <c r="P91" s="201"/>
      <c r="Q91" s="201"/>
      <c r="R91" s="201"/>
    </row>
    <row r="92" spans="2:18" ht="15">
      <c r="P92" s="201"/>
      <c r="Q92" s="201"/>
      <c r="R92" s="201"/>
    </row>
    <row r="93" spans="2:18" ht="15">
      <c r="P93" s="201"/>
      <c r="Q93" s="201"/>
      <c r="R93" s="201"/>
    </row>
    <row r="94" spans="2:18" ht="15">
      <c r="P94" s="201"/>
      <c r="Q94" s="201"/>
      <c r="R94" s="201"/>
    </row>
    <row r="95" spans="2:18" ht="15">
      <c r="P95" s="201"/>
      <c r="Q95" s="201"/>
      <c r="R95" s="201"/>
    </row>
    <row r="96" spans="2:18" ht="15">
      <c r="P96" s="201"/>
      <c r="Q96" s="201"/>
      <c r="R96" s="201"/>
    </row>
    <row r="97" spans="16:18" ht="15">
      <c r="P97" s="201"/>
      <c r="Q97" s="201"/>
      <c r="R97" s="201"/>
    </row>
    <row r="98" spans="16:18" ht="15">
      <c r="P98" s="201"/>
      <c r="Q98" s="201"/>
      <c r="R98" s="201"/>
    </row>
    <row r="99" spans="16:18" ht="15">
      <c r="P99" s="201"/>
      <c r="Q99" s="201"/>
      <c r="R99" s="201"/>
    </row>
    <row r="100" spans="16:18" ht="15">
      <c r="P100" s="201"/>
      <c r="Q100" s="201"/>
      <c r="R100" s="201"/>
    </row>
    <row r="101" spans="16:18" ht="15">
      <c r="P101" s="201"/>
      <c r="Q101" s="201"/>
      <c r="R101" s="201"/>
    </row>
    <row r="102" spans="16:18" ht="15">
      <c r="P102" s="201"/>
      <c r="Q102" s="201"/>
      <c r="R102" s="201"/>
    </row>
    <row r="103" spans="16:18" ht="15">
      <c r="P103" s="201"/>
      <c r="Q103" s="201"/>
      <c r="R103" s="201"/>
    </row>
    <row r="104" spans="16:18" ht="15">
      <c r="P104" s="201"/>
      <c r="Q104" s="201"/>
      <c r="R104" s="201"/>
    </row>
    <row r="105" spans="16:18" ht="15">
      <c r="P105" s="201"/>
      <c r="Q105" s="201"/>
      <c r="R105" s="201"/>
    </row>
    <row r="106" spans="16:18" ht="15">
      <c r="P106" s="201"/>
      <c r="Q106" s="201"/>
      <c r="R106" s="201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5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zoomScale="80" zoomScaleNormal="80" zoomScaleSheetLayoutView="100" workbookViewId="0">
      <pane ySplit="4" topLeftCell="A5" activePane="bottomLeft" state="frozen"/>
      <selection activeCell="L49" sqref="L49"/>
      <selection pane="bottomLeft" activeCell="H39" sqref="H39"/>
    </sheetView>
  </sheetViews>
  <sheetFormatPr defaultColWidth="9.140625" defaultRowHeight="12.75"/>
  <cols>
    <col min="1" max="1" width="6.28515625" style="236" customWidth="1"/>
    <col min="2" max="2" width="19.5703125" style="236" bestFit="1" customWidth="1"/>
    <col min="3" max="3" width="14.42578125" style="236" customWidth="1"/>
    <col min="4" max="4" width="14.5703125" style="236" bestFit="1" customWidth="1"/>
    <col min="5" max="6" width="14" style="236" bestFit="1" customWidth="1"/>
    <col min="7" max="7" width="13" style="236" bestFit="1" customWidth="1"/>
    <col min="8" max="8" width="12.28515625" style="236" bestFit="1" customWidth="1"/>
    <col min="9" max="9" width="17.7109375" style="236" bestFit="1" customWidth="1"/>
    <col min="10" max="10" width="15" style="236" bestFit="1" customWidth="1"/>
    <col min="11" max="12" width="9.140625" style="236"/>
    <col min="13" max="13" width="9.85546875" style="236" customWidth="1"/>
    <col min="14" max="16384" width="9.140625" style="236"/>
  </cols>
  <sheetData>
    <row r="1" spans="1:17" ht="15">
      <c r="A1" s="421" t="s">
        <v>32</v>
      </c>
      <c r="J1" s="167" t="s">
        <v>327</v>
      </c>
    </row>
    <row r="2" spans="1:17" ht="14.25">
      <c r="A2" s="422" t="s">
        <v>418</v>
      </c>
      <c r="J2" s="167" t="s">
        <v>426</v>
      </c>
    </row>
    <row r="3" spans="1:17" ht="14.25">
      <c r="A3" s="422" t="str">
        <f>"Twelve Months Ended "&amp;TEXT(B18,"MMMM, YYYY")</f>
        <v>Twelve Months Ended November, 2022</v>
      </c>
    </row>
    <row r="5" spans="1:17" ht="38.25">
      <c r="A5" s="423" t="s">
        <v>425</v>
      </c>
      <c r="B5" s="423" t="s">
        <v>40</v>
      </c>
      <c r="C5" s="423" t="s">
        <v>424</v>
      </c>
      <c r="D5" s="423" t="s">
        <v>423</v>
      </c>
      <c r="E5" s="423" t="s">
        <v>422</v>
      </c>
      <c r="F5" s="423" t="s">
        <v>421</v>
      </c>
      <c r="G5" s="423" t="s">
        <v>420</v>
      </c>
      <c r="H5" s="423" t="s">
        <v>419</v>
      </c>
      <c r="I5" s="423" t="s">
        <v>418</v>
      </c>
      <c r="J5" s="423" t="s">
        <v>417</v>
      </c>
    </row>
    <row r="6" spans="1:17">
      <c r="B6" s="424" t="s">
        <v>27</v>
      </c>
      <c r="C6" s="424" t="s">
        <v>26</v>
      </c>
      <c r="D6" s="424" t="s">
        <v>25</v>
      </c>
      <c r="E6" s="424" t="s">
        <v>121</v>
      </c>
      <c r="F6" s="424" t="s">
        <v>120</v>
      </c>
      <c r="G6" s="424" t="s">
        <v>204</v>
      </c>
      <c r="H6" s="424" t="s">
        <v>324</v>
      </c>
      <c r="I6" s="424" t="s">
        <v>388</v>
      </c>
      <c r="J6" s="424" t="s">
        <v>387</v>
      </c>
    </row>
    <row r="7" spans="1:17">
      <c r="A7" s="238">
        <v>1</v>
      </c>
      <c r="B7" s="446">
        <v>44531</v>
      </c>
      <c r="C7" s="448">
        <v>-124027.45</v>
      </c>
      <c r="D7" s="448">
        <v>-198623.98</v>
      </c>
      <c r="E7" s="448">
        <v>-16240.63</v>
      </c>
      <c r="F7" s="393">
        <f>+C7+D7+E7</f>
        <v>-338892.06</v>
      </c>
      <c r="G7" s="448">
        <v>8859.7099999999991</v>
      </c>
      <c r="H7" s="448">
        <v>9303.9</v>
      </c>
      <c r="I7" s="237">
        <f>-C7-G7</f>
        <v>115167.73999999999</v>
      </c>
      <c r="J7" s="237">
        <f>SUM(I$7:I7)</f>
        <v>115167.73999999999</v>
      </c>
    </row>
    <row r="8" spans="1:17">
      <c r="A8" s="238">
        <v>2</v>
      </c>
      <c r="B8" s="447">
        <f>EDATE(B7,1)</f>
        <v>44562</v>
      </c>
      <c r="C8" s="448">
        <v>-96521.14</v>
      </c>
      <c r="D8" s="448">
        <v>-187328.1</v>
      </c>
      <c r="E8" s="448">
        <v>-12704</v>
      </c>
      <c r="F8" s="393">
        <f t="shared" ref="F8:F18" si="0">+C8+D8+E8</f>
        <v>-296553.24</v>
      </c>
      <c r="G8" s="448">
        <v>7205.55</v>
      </c>
      <c r="H8" s="448">
        <v>7855.7</v>
      </c>
      <c r="I8" s="237">
        <f t="shared" ref="I8:I18" si="1">-C8-G8</f>
        <v>89315.59</v>
      </c>
      <c r="J8" s="237">
        <f>SUM(I$7:I8)</f>
        <v>204483.33</v>
      </c>
    </row>
    <row r="9" spans="1:17">
      <c r="A9" s="238">
        <v>3</v>
      </c>
      <c r="B9" s="447">
        <f t="shared" ref="B9:B18" si="2">EDATE(B8,1)</f>
        <v>44593</v>
      </c>
      <c r="C9" s="448">
        <v>-65206.26</v>
      </c>
      <c r="D9" s="448">
        <v>-156740.73000000001</v>
      </c>
      <c r="E9" s="448">
        <v>-8981.119999999999</v>
      </c>
      <c r="F9" s="393">
        <f t="shared" si="0"/>
        <v>-230928.11000000002</v>
      </c>
      <c r="G9" s="448">
        <v>13093.24</v>
      </c>
      <c r="H9" s="448">
        <v>14103.76</v>
      </c>
      <c r="I9" s="237">
        <f t="shared" si="1"/>
        <v>52113.020000000004</v>
      </c>
      <c r="J9" s="237">
        <f>SUM(I$7:I9)</f>
        <v>256596.34999999998</v>
      </c>
    </row>
    <row r="10" spans="1:17">
      <c r="A10" s="238">
        <v>4</v>
      </c>
      <c r="B10" s="447">
        <f t="shared" si="2"/>
        <v>44621</v>
      </c>
      <c r="C10" s="448">
        <v>-146693.10999999999</v>
      </c>
      <c r="D10" s="448">
        <v>-274731.59999999998</v>
      </c>
      <c r="E10" s="448">
        <v>-19588.11</v>
      </c>
      <c r="F10" s="393">
        <f t="shared" si="0"/>
        <v>-441012.81999999995</v>
      </c>
      <c r="G10" s="448">
        <v>8833.32</v>
      </c>
      <c r="H10" s="448">
        <v>6277.66</v>
      </c>
      <c r="I10" s="237">
        <f t="shared" si="1"/>
        <v>137859.78999999998</v>
      </c>
      <c r="J10" s="237">
        <f>SUM(I$7:I10)</f>
        <v>394456.13999999996</v>
      </c>
    </row>
    <row r="11" spans="1:17">
      <c r="A11" s="238">
        <v>5</v>
      </c>
      <c r="B11" s="447">
        <f t="shared" si="2"/>
        <v>44652</v>
      </c>
      <c r="C11" s="448">
        <v>-99054.92</v>
      </c>
      <c r="D11" s="448">
        <v>-221336.48</v>
      </c>
      <c r="E11" s="448">
        <v>-13675.17</v>
      </c>
      <c r="F11" s="393">
        <f t="shared" si="0"/>
        <v>-334066.57</v>
      </c>
      <c r="G11" s="448">
        <v>5661.55</v>
      </c>
      <c r="H11" s="448">
        <v>6051.81</v>
      </c>
      <c r="I11" s="237">
        <f t="shared" si="1"/>
        <v>93393.37</v>
      </c>
      <c r="J11" s="237">
        <f>SUM(I$7:I11)</f>
        <v>487849.50999999995</v>
      </c>
    </row>
    <row r="12" spans="1:17">
      <c r="A12" s="238">
        <v>6</v>
      </c>
      <c r="B12" s="447">
        <f t="shared" si="2"/>
        <v>44682</v>
      </c>
      <c r="C12" s="448">
        <v>-33955.440000000002</v>
      </c>
      <c r="D12" s="448">
        <v>-66449.41</v>
      </c>
      <c r="E12" s="448">
        <v>-4127.12</v>
      </c>
      <c r="F12" s="393">
        <f t="shared" si="0"/>
        <v>-104531.97</v>
      </c>
      <c r="G12" s="448">
        <v>4498.8500000000004</v>
      </c>
      <c r="H12" s="448">
        <v>5511.62</v>
      </c>
      <c r="I12" s="237">
        <f t="shared" si="1"/>
        <v>29456.590000000004</v>
      </c>
      <c r="J12" s="237">
        <f>SUM(I$7:I12)</f>
        <v>517306.1</v>
      </c>
    </row>
    <row r="13" spans="1:17">
      <c r="A13" s="238">
        <v>7</v>
      </c>
      <c r="B13" s="447">
        <f t="shared" si="2"/>
        <v>44713</v>
      </c>
      <c r="C13" s="448">
        <v>-67594.320000000007</v>
      </c>
      <c r="D13" s="448">
        <v>-110122.59</v>
      </c>
      <c r="E13" s="448">
        <v>-7600.18</v>
      </c>
      <c r="F13" s="393">
        <f t="shared" si="0"/>
        <v>-185317.09</v>
      </c>
      <c r="G13" s="448">
        <v>3749.56</v>
      </c>
      <c r="H13" s="448">
        <v>5034.32</v>
      </c>
      <c r="I13" s="237">
        <f t="shared" si="1"/>
        <v>63844.760000000009</v>
      </c>
      <c r="J13" s="237">
        <f>SUM(I$7:I13)</f>
        <v>581150.86</v>
      </c>
    </row>
    <row r="14" spans="1:17">
      <c r="A14" s="238">
        <v>8</v>
      </c>
      <c r="B14" s="447">
        <f t="shared" si="2"/>
        <v>44743</v>
      </c>
      <c r="C14" s="448">
        <v>-260818.95</v>
      </c>
      <c r="D14" s="448">
        <v>-132863.57</v>
      </c>
      <c r="E14" s="448">
        <v>-28401.59</v>
      </c>
      <c r="F14" s="393">
        <f t="shared" si="0"/>
        <v>-422084.11000000004</v>
      </c>
      <c r="G14" s="448">
        <v>3852.01</v>
      </c>
      <c r="H14" s="448">
        <v>5522.18</v>
      </c>
      <c r="I14" s="237">
        <f t="shared" si="1"/>
        <v>256966.94</v>
      </c>
      <c r="J14" s="237">
        <f>SUM(I$7:I14)</f>
        <v>838117.8</v>
      </c>
    </row>
    <row r="15" spans="1:17">
      <c r="A15" s="238">
        <v>9</v>
      </c>
      <c r="B15" s="447">
        <f t="shared" si="2"/>
        <v>44774</v>
      </c>
      <c r="C15" s="448">
        <v>-120411.01</v>
      </c>
      <c r="D15" s="448">
        <v>-172463.27</v>
      </c>
      <c r="E15" s="448">
        <v>-11538.300000000001</v>
      </c>
      <c r="F15" s="393">
        <f>+C15+D15+E15</f>
        <v>-304412.57999999996</v>
      </c>
      <c r="G15" s="448">
        <v>3243</v>
      </c>
      <c r="H15" s="448">
        <v>5121.8599999999997</v>
      </c>
      <c r="I15" s="237">
        <f t="shared" si="1"/>
        <v>117168.01</v>
      </c>
      <c r="J15" s="237">
        <f>SUM(I$7:I15)</f>
        <v>955285.81</v>
      </c>
      <c r="Q15" s="471"/>
    </row>
    <row r="16" spans="1:17">
      <c r="A16" s="238">
        <v>10</v>
      </c>
      <c r="B16" s="447">
        <f t="shared" si="2"/>
        <v>44805</v>
      </c>
      <c r="C16" s="448">
        <v>-141859.57</v>
      </c>
      <c r="D16" s="448">
        <v>-165127.67000000001</v>
      </c>
      <c r="E16" s="448">
        <v>-13941.07</v>
      </c>
      <c r="F16" s="393">
        <f t="shared" si="0"/>
        <v>-320928.31</v>
      </c>
      <c r="G16" s="448">
        <v>7047.24</v>
      </c>
      <c r="H16" s="448">
        <v>8279.66</v>
      </c>
      <c r="I16" s="237">
        <f t="shared" si="1"/>
        <v>134812.33000000002</v>
      </c>
      <c r="J16" s="237">
        <f>SUM(I$7:I16)</f>
        <v>1090098.1400000001</v>
      </c>
      <c r="Q16" s="471"/>
    </row>
    <row r="17" spans="1:17">
      <c r="A17" s="238">
        <v>11</v>
      </c>
      <c r="B17" s="447">
        <f t="shared" si="2"/>
        <v>44835</v>
      </c>
      <c r="C17" s="448">
        <v>-87716</v>
      </c>
      <c r="D17" s="448">
        <v>-105008.48</v>
      </c>
      <c r="E17" s="448">
        <v>-8307.82</v>
      </c>
      <c r="F17" s="393">
        <f t="shared" si="0"/>
        <v>-201032.3</v>
      </c>
      <c r="G17" s="448">
        <v>17389.03</v>
      </c>
      <c r="H17" s="448">
        <v>18076</v>
      </c>
      <c r="I17" s="237">
        <f t="shared" si="1"/>
        <v>70326.97</v>
      </c>
      <c r="J17" s="237">
        <f>SUM(I$7:I17)</f>
        <v>1160425.1100000001</v>
      </c>
      <c r="Q17" s="471"/>
    </row>
    <row r="18" spans="1:17">
      <c r="A18" s="238">
        <v>12</v>
      </c>
      <c r="B18" s="447">
        <f t="shared" si="2"/>
        <v>44866</v>
      </c>
      <c r="C18" s="448">
        <v>-194743.58</v>
      </c>
      <c r="D18" s="448">
        <v>-237584.65</v>
      </c>
      <c r="E18" s="448">
        <v>-19494.490000000002</v>
      </c>
      <c r="F18" s="393">
        <f t="shared" si="0"/>
        <v>-451822.72</v>
      </c>
      <c r="G18" s="448">
        <v>30695.54</v>
      </c>
      <c r="H18" s="448">
        <v>21835.68</v>
      </c>
      <c r="I18" s="237">
        <f t="shared" si="1"/>
        <v>164048.03999999998</v>
      </c>
      <c r="J18" s="237">
        <f>SUM(I$7:I18)</f>
        <v>1324473.1500000001</v>
      </c>
      <c r="Q18" s="471"/>
    </row>
    <row r="19" spans="1:17">
      <c r="A19" s="238"/>
      <c r="C19" s="237"/>
      <c r="D19" s="237"/>
      <c r="E19" s="237"/>
      <c r="F19" s="237"/>
      <c r="G19" s="237"/>
      <c r="H19" s="237"/>
      <c r="I19" s="237"/>
      <c r="J19" s="237"/>
      <c r="Q19" s="471"/>
    </row>
    <row r="20" spans="1:17">
      <c r="A20" s="238"/>
      <c r="B20" s="465"/>
      <c r="C20" s="237"/>
      <c r="D20" s="237"/>
      <c r="E20" s="237"/>
      <c r="F20" s="237"/>
      <c r="G20" s="237"/>
      <c r="H20" s="237"/>
      <c r="I20" s="237"/>
      <c r="J20" s="237"/>
      <c r="Q20" s="471"/>
    </row>
    <row r="21" spans="1:17">
      <c r="A21" s="238"/>
      <c r="C21" s="237"/>
      <c r="D21" s="237"/>
      <c r="E21" s="237"/>
      <c r="F21" s="237"/>
      <c r="G21" s="237"/>
      <c r="H21" s="237"/>
      <c r="I21" s="237"/>
      <c r="J21" s="237"/>
      <c r="Q21" s="471"/>
    </row>
    <row r="22" spans="1:17">
      <c r="A22" s="238"/>
      <c r="C22" s="237"/>
      <c r="D22" s="237"/>
      <c r="E22" s="237"/>
      <c r="F22" s="237"/>
      <c r="G22" s="237"/>
      <c r="H22" s="237"/>
      <c r="I22" s="237"/>
      <c r="J22" s="237"/>
      <c r="Q22" s="471"/>
    </row>
    <row r="23" spans="1:17">
      <c r="C23" s="237"/>
      <c r="D23" s="237"/>
      <c r="E23" s="237"/>
      <c r="F23" s="237"/>
      <c r="G23" s="237"/>
      <c r="H23" s="237"/>
      <c r="I23" s="237"/>
      <c r="J23" s="237"/>
    </row>
    <row r="24" spans="1:17">
      <c r="F24" s="393" t="s">
        <v>543</v>
      </c>
    </row>
    <row r="25" spans="1:17">
      <c r="D25" s="409"/>
    </row>
    <row r="26" spans="1:17">
      <c r="D26" s="410"/>
    </row>
    <row r="27" spans="1:17">
      <c r="D27" s="411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253"/>
    <col min="7" max="7" width="12.28515625" style="253" bestFit="1" customWidth="1"/>
    <col min="8" max="8" width="10" style="253" bestFit="1" customWidth="1"/>
    <col min="9" max="9" width="12.140625" style="253" customWidth="1"/>
    <col min="10" max="10" width="10.28515625" style="253" customWidth="1"/>
    <col min="11" max="11" width="14" style="253" bestFit="1" customWidth="1"/>
    <col min="12" max="14" width="8.85546875" style="253"/>
    <col min="15" max="15" width="10.85546875" style="253" customWidth="1"/>
    <col min="16" max="16" width="10.28515625" style="253" bestFit="1" customWidth="1"/>
    <col min="17" max="27" width="8.85546875" style="253"/>
    <col min="28" max="28" width="4.140625" style="253" bestFit="1" customWidth="1"/>
    <col min="29" max="262" width="8.85546875" style="253"/>
    <col min="263" max="263" width="11.28515625" style="253" bestFit="1" customWidth="1"/>
    <col min="264" max="264" width="9.42578125" style="253" bestFit="1" customWidth="1"/>
    <col min="265" max="265" width="12.140625" style="253" bestFit="1" customWidth="1"/>
    <col min="266" max="266" width="10.28515625" style="253" bestFit="1" customWidth="1"/>
    <col min="267" max="267" width="14" style="253" bestFit="1" customWidth="1"/>
    <col min="268" max="270" width="8.85546875" style="253"/>
    <col min="271" max="271" width="10.85546875" style="253" customWidth="1"/>
    <col min="272" max="272" width="10.28515625" style="253" bestFit="1" customWidth="1"/>
    <col min="273" max="518" width="8.85546875" style="253"/>
    <col min="519" max="519" width="11.28515625" style="253" bestFit="1" customWidth="1"/>
    <col min="520" max="520" width="9.42578125" style="253" bestFit="1" customWidth="1"/>
    <col min="521" max="521" width="12.140625" style="253" bestFit="1" customWidth="1"/>
    <col min="522" max="522" width="10.28515625" style="253" bestFit="1" customWidth="1"/>
    <col min="523" max="523" width="14" style="253" bestFit="1" customWidth="1"/>
    <col min="524" max="526" width="8.85546875" style="253"/>
    <col min="527" max="527" width="10.85546875" style="253" customWidth="1"/>
    <col min="528" max="528" width="10.28515625" style="253" bestFit="1" customWidth="1"/>
    <col min="529" max="774" width="8.85546875" style="253"/>
    <col min="775" max="775" width="11.28515625" style="253" bestFit="1" customWidth="1"/>
    <col min="776" max="776" width="9.42578125" style="253" bestFit="1" customWidth="1"/>
    <col min="777" max="777" width="12.140625" style="253" bestFit="1" customWidth="1"/>
    <col min="778" max="778" width="10.28515625" style="253" bestFit="1" customWidth="1"/>
    <col min="779" max="779" width="14" style="253" bestFit="1" customWidth="1"/>
    <col min="780" max="782" width="8.85546875" style="253"/>
    <col min="783" max="783" width="10.85546875" style="253" customWidth="1"/>
    <col min="784" max="784" width="10.28515625" style="253" bestFit="1" customWidth="1"/>
    <col min="785" max="1030" width="8.85546875" style="253"/>
    <col min="1031" max="1031" width="11.28515625" style="253" bestFit="1" customWidth="1"/>
    <col min="1032" max="1032" width="9.42578125" style="253" bestFit="1" customWidth="1"/>
    <col min="1033" max="1033" width="12.140625" style="253" bestFit="1" customWidth="1"/>
    <col min="1034" max="1034" width="10.28515625" style="253" bestFit="1" customWidth="1"/>
    <col min="1035" max="1035" width="14" style="253" bestFit="1" customWidth="1"/>
    <col min="1036" max="1038" width="8.85546875" style="253"/>
    <col min="1039" max="1039" width="10.85546875" style="253" customWidth="1"/>
    <col min="1040" max="1040" width="10.28515625" style="253" bestFit="1" customWidth="1"/>
    <col min="1041" max="1286" width="8.85546875" style="253"/>
    <col min="1287" max="1287" width="11.28515625" style="253" bestFit="1" customWidth="1"/>
    <col min="1288" max="1288" width="9.42578125" style="253" bestFit="1" customWidth="1"/>
    <col min="1289" max="1289" width="12.140625" style="253" bestFit="1" customWidth="1"/>
    <col min="1290" max="1290" width="10.28515625" style="253" bestFit="1" customWidth="1"/>
    <col min="1291" max="1291" width="14" style="253" bestFit="1" customWidth="1"/>
    <col min="1292" max="1294" width="8.85546875" style="253"/>
    <col min="1295" max="1295" width="10.85546875" style="253" customWidth="1"/>
    <col min="1296" max="1296" width="10.28515625" style="253" bestFit="1" customWidth="1"/>
    <col min="1297" max="1542" width="8.85546875" style="253"/>
    <col min="1543" max="1543" width="11.28515625" style="253" bestFit="1" customWidth="1"/>
    <col min="1544" max="1544" width="9.42578125" style="253" bestFit="1" customWidth="1"/>
    <col min="1545" max="1545" width="12.140625" style="253" bestFit="1" customWidth="1"/>
    <col min="1546" max="1546" width="10.28515625" style="253" bestFit="1" customWidth="1"/>
    <col min="1547" max="1547" width="14" style="253" bestFit="1" customWidth="1"/>
    <col min="1548" max="1550" width="8.85546875" style="253"/>
    <col min="1551" max="1551" width="10.85546875" style="253" customWidth="1"/>
    <col min="1552" max="1552" width="10.28515625" style="253" bestFit="1" customWidth="1"/>
    <col min="1553" max="1798" width="8.85546875" style="253"/>
    <col min="1799" max="1799" width="11.28515625" style="253" bestFit="1" customWidth="1"/>
    <col min="1800" max="1800" width="9.42578125" style="253" bestFit="1" customWidth="1"/>
    <col min="1801" max="1801" width="12.140625" style="253" bestFit="1" customWidth="1"/>
    <col min="1802" max="1802" width="10.28515625" style="253" bestFit="1" customWidth="1"/>
    <col min="1803" max="1803" width="14" style="253" bestFit="1" customWidth="1"/>
    <col min="1804" max="1806" width="8.85546875" style="253"/>
    <col min="1807" max="1807" width="10.85546875" style="253" customWidth="1"/>
    <col min="1808" max="1808" width="10.28515625" style="253" bestFit="1" customWidth="1"/>
    <col min="1809" max="2054" width="8.85546875" style="253"/>
    <col min="2055" max="2055" width="11.28515625" style="253" bestFit="1" customWidth="1"/>
    <col min="2056" max="2056" width="9.42578125" style="253" bestFit="1" customWidth="1"/>
    <col min="2057" max="2057" width="12.140625" style="253" bestFit="1" customWidth="1"/>
    <col min="2058" max="2058" width="10.28515625" style="253" bestFit="1" customWidth="1"/>
    <col min="2059" max="2059" width="14" style="253" bestFit="1" customWidth="1"/>
    <col min="2060" max="2062" width="8.85546875" style="253"/>
    <col min="2063" max="2063" width="10.85546875" style="253" customWidth="1"/>
    <col min="2064" max="2064" width="10.28515625" style="253" bestFit="1" customWidth="1"/>
    <col min="2065" max="2310" width="8.85546875" style="253"/>
    <col min="2311" max="2311" width="11.28515625" style="253" bestFit="1" customWidth="1"/>
    <col min="2312" max="2312" width="9.42578125" style="253" bestFit="1" customWidth="1"/>
    <col min="2313" max="2313" width="12.140625" style="253" bestFit="1" customWidth="1"/>
    <col min="2314" max="2314" width="10.28515625" style="253" bestFit="1" customWidth="1"/>
    <col min="2315" max="2315" width="14" style="253" bestFit="1" customWidth="1"/>
    <col min="2316" max="2318" width="8.85546875" style="253"/>
    <col min="2319" max="2319" width="10.85546875" style="253" customWidth="1"/>
    <col min="2320" max="2320" width="10.28515625" style="253" bestFit="1" customWidth="1"/>
    <col min="2321" max="2566" width="8.85546875" style="253"/>
    <col min="2567" max="2567" width="11.28515625" style="253" bestFit="1" customWidth="1"/>
    <col min="2568" max="2568" width="9.42578125" style="253" bestFit="1" customWidth="1"/>
    <col min="2569" max="2569" width="12.140625" style="253" bestFit="1" customWidth="1"/>
    <col min="2570" max="2570" width="10.28515625" style="253" bestFit="1" customWidth="1"/>
    <col min="2571" max="2571" width="14" style="253" bestFit="1" customWidth="1"/>
    <col min="2572" max="2574" width="8.85546875" style="253"/>
    <col min="2575" max="2575" width="10.85546875" style="253" customWidth="1"/>
    <col min="2576" max="2576" width="10.28515625" style="253" bestFit="1" customWidth="1"/>
    <col min="2577" max="2822" width="8.85546875" style="253"/>
    <col min="2823" max="2823" width="11.28515625" style="253" bestFit="1" customWidth="1"/>
    <col min="2824" max="2824" width="9.42578125" style="253" bestFit="1" customWidth="1"/>
    <col min="2825" max="2825" width="12.140625" style="253" bestFit="1" customWidth="1"/>
    <col min="2826" max="2826" width="10.28515625" style="253" bestFit="1" customWidth="1"/>
    <col min="2827" max="2827" width="14" style="253" bestFit="1" customWidth="1"/>
    <col min="2828" max="2830" width="8.85546875" style="253"/>
    <col min="2831" max="2831" width="10.85546875" style="253" customWidth="1"/>
    <col min="2832" max="2832" width="10.28515625" style="253" bestFit="1" customWidth="1"/>
    <col min="2833" max="3078" width="8.85546875" style="253"/>
    <col min="3079" max="3079" width="11.28515625" style="253" bestFit="1" customWidth="1"/>
    <col min="3080" max="3080" width="9.42578125" style="253" bestFit="1" customWidth="1"/>
    <col min="3081" max="3081" width="12.140625" style="253" bestFit="1" customWidth="1"/>
    <col min="3082" max="3082" width="10.28515625" style="253" bestFit="1" customWidth="1"/>
    <col min="3083" max="3083" width="14" style="253" bestFit="1" customWidth="1"/>
    <col min="3084" max="3086" width="8.85546875" style="253"/>
    <col min="3087" max="3087" width="10.85546875" style="253" customWidth="1"/>
    <col min="3088" max="3088" width="10.28515625" style="253" bestFit="1" customWidth="1"/>
    <col min="3089" max="3334" width="8.85546875" style="253"/>
    <col min="3335" max="3335" width="11.28515625" style="253" bestFit="1" customWidth="1"/>
    <col min="3336" max="3336" width="9.42578125" style="253" bestFit="1" customWidth="1"/>
    <col min="3337" max="3337" width="12.140625" style="253" bestFit="1" customWidth="1"/>
    <col min="3338" max="3338" width="10.28515625" style="253" bestFit="1" customWidth="1"/>
    <col min="3339" max="3339" width="14" style="253" bestFit="1" customWidth="1"/>
    <col min="3340" max="3342" width="8.85546875" style="253"/>
    <col min="3343" max="3343" width="10.85546875" style="253" customWidth="1"/>
    <col min="3344" max="3344" width="10.28515625" style="253" bestFit="1" customWidth="1"/>
    <col min="3345" max="3590" width="8.85546875" style="253"/>
    <col min="3591" max="3591" width="11.28515625" style="253" bestFit="1" customWidth="1"/>
    <col min="3592" max="3592" width="9.42578125" style="253" bestFit="1" customWidth="1"/>
    <col min="3593" max="3593" width="12.140625" style="253" bestFit="1" customWidth="1"/>
    <col min="3594" max="3594" width="10.28515625" style="253" bestFit="1" customWidth="1"/>
    <col min="3595" max="3595" width="14" style="253" bestFit="1" customWidth="1"/>
    <col min="3596" max="3598" width="8.85546875" style="253"/>
    <col min="3599" max="3599" width="10.85546875" style="253" customWidth="1"/>
    <col min="3600" max="3600" width="10.28515625" style="253" bestFit="1" customWidth="1"/>
    <col min="3601" max="3846" width="8.85546875" style="253"/>
    <col min="3847" max="3847" width="11.28515625" style="253" bestFit="1" customWidth="1"/>
    <col min="3848" max="3848" width="9.42578125" style="253" bestFit="1" customWidth="1"/>
    <col min="3849" max="3849" width="12.140625" style="253" bestFit="1" customWidth="1"/>
    <col min="3850" max="3850" width="10.28515625" style="253" bestFit="1" customWidth="1"/>
    <col min="3851" max="3851" width="14" style="253" bestFit="1" customWidth="1"/>
    <col min="3852" max="3854" width="8.85546875" style="253"/>
    <col min="3855" max="3855" width="10.85546875" style="253" customWidth="1"/>
    <col min="3856" max="3856" width="10.28515625" style="253" bestFit="1" customWidth="1"/>
    <col min="3857" max="4102" width="8.85546875" style="253"/>
    <col min="4103" max="4103" width="11.28515625" style="253" bestFit="1" customWidth="1"/>
    <col min="4104" max="4104" width="9.42578125" style="253" bestFit="1" customWidth="1"/>
    <col min="4105" max="4105" width="12.140625" style="253" bestFit="1" customWidth="1"/>
    <col min="4106" max="4106" width="10.28515625" style="253" bestFit="1" customWidth="1"/>
    <col min="4107" max="4107" width="14" style="253" bestFit="1" customWidth="1"/>
    <col min="4108" max="4110" width="8.85546875" style="253"/>
    <col min="4111" max="4111" width="10.85546875" style="253" customWidth="1"/>
    <col min="4112" max="4112" width="10.28515625" style="253" bestFit="1" customWidth="1"/>
    <col min="4113" max="4358" width="8.85546875" style="253"/>
    <col min="4359" max="4359" width="11.28515625" style="253" bestFit="1" customWidth="1"/>
    <col min="4360" max="4360" width="9.42578125" style="253" bestFit="1" customWidth="1"/>
    <col min="4361" max="4361" width="12.140625" style="253" bestFit="1" customWidth="1"/>
    <col min="4362" max="4362" width="10.28515625" style="253" bestFit="1" customWidth="1"/>
    <col min="4363" max="4363" width="14" style="253" bestFit="1" customWidth="1"/>
    <col min="4364" max="4366" width="8.85546875" style="253"/>
    <col min="4367" max="4367" width="10.85546875" style="253" customWidth="1"/>
    <col min="4368" max="4368" width="10.28515625" style="253" bestFit="1" customWidth="1"/>
    <col min="4369" max="4614" width="8.85546875" style="253"/>
    <col min="4615" max="4615" width="11.28515625" style="253" bestFit="1" customWidth="1"/>
    <col min="4616" max="4616" width="9.42578125" style="253" bestFit="1" customWidth="1"/>
    <col min="4617" max="4617" width="12.140625" style="253" bestFit="1" customWidth="1"/>
    <col min="4618" max="4618" width="10.28515625" style="253" bestFit="1" customWidth="1"/>
    <col min="4619" max="4619" width="14" style="253" bestFit="1" customWidth="1"/>
    <col min="4620" max="4622" width="8.85546875" style="253"/>
    <col min="4623" max="4623" width="10.85546875" style="253" customWidth="1"/>
    <col min="4624" max="4624" width="10.28515625" style="253" bestFit="1" customWidth="1"/>
    <col min="4625" max="4870" width="8.85546875" style="253"/>
    <col min="4871" max="4871" width="11.28515625" style="253" bestFit="1" customWidth="1"/>
    <col min="4872" max="4872" width="9.42578125" style="253" bestFit="1" customWidth="1"/>
    <col min="4873" max="4873" width="12.140625" style="253" bestFit="1" customWidth="1"/>
    <col min="4874" max="4874" width="10.28515625" style="253" bestFit="1" customWidth="1"/>
    <col min="4875" max="4875" width="14" style="253" bestFit="1" customWidth="1"/>
    <col min="4876" max="4878" width="8.85546875" style="253"/>
    <col min="4879" max="4879" width="10.85546875" style="253" customWidth="1"/>
    <col min="4880" max="4880" width="10.28515625" style="253" bestFit="1" customWidth="1"/>
    <col min="4881" max="5126" width="8.85546875" style="253"/>
    <col min="5127" max="5127" width="11.28515625" style="253" bestFit="1" customWidth="1"/>
    <col min="5128" max="5128" width="9.42578125" style="253" bestFit="1" customWidth="1"/>
    <col min="5129" max="5129" width="12.140625" style="253" bestFit="1" customWidth="1"/>
    <col min="5130" max="5130" width="10.28515625" style="253" bestFit="1" customWidth="1"/>
    <col min="5131" max="5131" width="14" style="253" bestFit="1" customWidth="1"/>
    <col min="5132" max="5134" width="8.85546875" style="253"/>
    <col min="5135" max="5135" width="10.85546875" style="253" customWidth="1"/>
    <col min="5136" max="5136" width="10.28515625" style="253" bestFit="1" customWidth="1"/>
    <col min="5137" max="5382" width="8.85546875" style="253"/>
    <col min="5383" max="5383" width="11.28515625" style="253" bestFit="1" customWidth="1"/>
    <col min="5384" max="5384" width="9.42578125" style="253" bestFit="1" customWidth="1"/>
    <col min="5385" max="5385" width="12.140625" style="253" bestFit="1" customWidth="1"/>
    <col min="5386" max="5386" width="10.28515625" style="253" bestFit="1" customWidth="1"/>
    <col min="5387" max="5387" width="14" style="253" bestFit="1" customWidth="1"/>
    <col min="5388" max="5390" width="8.85546875" style="253"/>
    <col min="5391" max="5391" width="10.85546875" style="253" customWidth="1"/>
    <col min="5392" max="5392" width="10.28515625" style="253" bestFit="1" customWidth="1"/>
    <col min="5393" max="5638" width="8.85546875" style="253"/>
    <col min="5639" max="5639" width="11.28515625" style="253" bestFit="1" customWidth="1"/>
    <col min="5640" max="5640" width="9.42578125" style="253" bestFit="1" customWidth="1"/>
    <col min="5641" max="5641" width="12.140625" style="253" bestFit="1" customWidth="1"/>
    <col min="5642" max="5642" width="10.28515625" style="253" bestFit="1" customWidth="1"/>
    <col min="5643" max="5643" width="14" style="253" bestFit="1" customWidth="1"/>
    <col min="5644" max="5646" width="8.85546875" style="253"/>
    <col min="5647" max="5647" width="10.85546875" style="253" customWidth="1"/>
    <col min="5648" max="5648" width="10.28515625" style="253" bestFit="1" customWidth="1"/>
    <col min="5649" max="5894" width="8.85546875" style="253"/>
    <col min="5895" max="5895" width="11.28515625" style="253" bestFit="1" customWidth="1"/>
    <col min="5896" max="5896" width="9.42578125" style="253" bestFit="1" customWidth="1"/>
    <col min="5897" max="5897" width="12.140625" style="253" bestFit="1" customWidth="1"/>
    <col min="5898" max="5898" width="10.28515625" style="253" bestFit="1" customWidth="1"/>
    <col min="5899" max="5899" width="14" style="253" bestFit="1" customWidth="1"/>
    <col min="5900" max="5902" width="8.85546875" style="253"/>
    <col min="5903" max="5903" width="10.85546875" style="253" customWidth="1"/>
    <col min="5904" max="5904" width="10.28515625" style="253" bestFit="1" customWidth="1"/>
    <col min="5905" max="6150" width="8.85546875" style="253"/>
    <col min="6151" max="6151" width="11.28515625" style="253" bestFit="1" customWidth="1"/>
    <col min="6152" max="6152" width="9.42578125" style="253" bestFit="1" customWidth="1"/>
    <col min="6153" max="6153" width="12.140625" style="253" bestFit="1" customWidth="1"/>
    <col min="6154" max="6154" width="10.28515625" style="253" bestFit="1" customWidth="1"/>
    <col min="6155" max="6155" width="14" style="253" bestFit="1" customWidth="1"/>
    <col min="6156" max="6158" width="8.85546875" style="253"/>
    <col min="6159" max="6159" width="10.85546875" style="253" customWidth="1"/>
    <col min="6160" max="6160" width="10.28515625" style="253" bestFit="1" customWidth="1"/>
    <col min="6161" max="6406" width="8.85546875" style="253"/>
    <col min="6407" max="6407" width="11.28515625" style="253" bestFit="1" customWidth="1"/>
    <col min="6408" max="6408" width="9.42578125" style="253" bestFit="1" customWidth="1"/>
    <col min="6409" max="6409" width="12.140625" style="253" bestFit="1" customWidth="1"/>
    <col min="6410" max="6410" width="10.28515625" style="253" bestFit="1" customWidth="1"/>
    <col min="6411" max="6411" width="14" style="253" bestFit="1" customWidth="1"/>
    <col min="6412" max="6414" width="8.85546875" style="253"/>
    <col min="6415" max="6415" width="10.85546875" style="253" customWidth="1"/>
    <col min="6416" max="6416" width="10.28515625" style="253" bestFit="1" customWidth="1"/>
    <col min="6417" max="6662" width="8.85546875" style="253"/>
    <col min="6663" max="6663" width="11.28515625" style="253" bestFit="1" customWidth="1"/>
    <col min="6664" max="6664" width="9.42578125" style="253" bestFit="1" customWidth="1"/>
    <col min="6665" max="6665" width="12.140625" style="253" bestFit="1" customWidth="1"/>
    <col min="6666" max="6666" width="10.28515625" style="253" bestFit="1" customWidth="1"/>
    <col min="6667" max="6667" width="14" style="253" bestFit="1" customWidth="1"/>
    <col min="6668" max="6670" width="8.85546875" style="253"/>
    <col min="6671" max="6671" width="10.85546875" style="253" customWidth="1"/>
    <col min="6672" max="6672" width="10.28515625" style="253" bestFit="1" customWidth="1"/>
    <col min="6673" max="6918" width="8.85546875" style="253"/>
    <col min="6919" max="6919" width="11.28515625" style="253" bestFit="1" customWidth="1"/>
    <col min="6920" max="6920" width="9.42578125" style="253" bestFit="1" customWidth="1"/>
    <col min="6921" max="6921" width="12.140625" style="253" bestFit="1" customWidth="1"/>
    <col min="6922" max="6922" width="10.28515625" style="253" bestFit="1" customWidth="1"/>
    <col min="6923" max="6923" width="14" style="253" bestFit="1" customWidth="1"/>
    <col min="6924" max="6926" width="8.85546875" style="253"/>
    <col min="6927" max="6927" width="10.85546875" style="253" customWidth="1"/>
    <col min="6928" max="6928" width="10.28515625" style="253" bestFit="1" customWidth="1"/>
    <col min="6929" max="7174" width="8.85546875" style="253"/>
    <col min="7175" max="7175" width="11.28515625" style="253" bestFit="1" customWidth="1"/>
    <col min="7176" max="7176" width="9.42578125" style="253" bestFit="1" customWidth="1"/>
    <col min="7177" max="7177" width="12.140625" style="253" bestFit="1" customWidth="1"/>
    <col min="7178" max="7178" width="10.28515625" style="253" bestFit="1" customWidth="1"/>
    <col min="7179" max="7179" width="14" style="253" bestFit="1" customWidth="1"/>
    <col min="7180" max="7182" width="8.85546875" style="253"/>
    <col min="7183" max="7183" width="10.85546875" style="253" customWidth="1"/>
    <col min="7184" max="7184" width="10.28515625" style="253" bestFit="1" customWidth="1"/>
    <col min="7185" max="7430" width="8.85546875" style="253"/>
    <col min="7431" max="7431" width="11.28515625" style="253" bestFit="1" customWidth="1"/>
    <col min="7432" max="7432" width="9.42578125" style="253" bestFit="1" customWidth="1"/>
    <col min="7433" max="7433" width="12.140625" style="253" bestFit="1" customWidth="1"/>
    <col min="7434" max="7434" width="10.28515625" style="253" bestFit="1" customWidth="1"/>
    <col min="7435" max="7435" width="14" style="253" bestFit="1" customWidth="1"/>
    <col min="7436" max="7438" width="8.85546875" style="253"/>
    <col min="7439" max="7439" width="10.85546875" style="253" customWidth="1"/>
    <col min="7440" max="7440" width="10.28515625" style="253" bestFit="1" customWidth="1"/>
    <col min="7441" max="7686" width="8.85546875" style="253"/>
    <col min="7687" max="7687" width="11.28515625" style="253" bestFit="1" customWidth="1"/>
    <col min="7688" max="7688" width="9.42578125" style="253" bestFit="1" customWidth="1"/>
    <col min="7689" max="7689" width="12.140625" style="253" bestFit="1" customWidth="1"/>
    <col min="7690" max="7690" width="10.28515625" style="253" bestFit="1" customWidth="1"/>
    <col min="7691" max="7691" width="14" style="253" bestFit="1" customWidth="1"/>
    <col min="7692" max="7694" width="8.85546875" style="253"/>
    <col min="7695" max="7695" width="10.85546875" style="253" customWidth="1"/>
    <col min="7696" max="7696" width="10.28515625" style="253" bestFit="1" customWidth="1"/>
    <col min="7697" max="7942" width="8.85546875" style="253"/>
    <col min="7943" max="7943" width="11.28515625" style="253" bestFit="1" customWidth="1"/>
    <col min="7944" max="7944" width="9.42578125" style="253" bestFit="1" customWidth="1"/>
    <col min="7945" max="7945" width="12.140625" style="253" bestFit="1" customWidth="1"/>
    <col min="7946" max="7946" width="10.28515625" style="253" bestFit="1" customWidth="1"/>
    <col min="7947" max="7947" width="14" style="253" bestFit="1" customWidth="1"/>
    <col min="7948" max="7950" width="8.85546875" style="253"/>
    <col min="7951" max="7951" width="10.85546875" style="253" customWidth="1"/>
    <col min="7952" max="7952" width="10.28515625" style="253" bestFit="1" customWidth="1"/>
    <col min="7953" max="8198" width="8.85546875" style="253"/>
    <col min="8199" max="8199" width="11.28515625" style="253" bestFit="1" customWidth="1"/>
    <col min="8200" max="8200" width="9.42578125" style="253" bestFit="1" customWidth="1"/>
    <col min="8201" max="8201" width="12.140625" style="253" bestFit="1" customWidth="1"/>
    <col min="8202" max="8202" width="10.28515625" style="253" bestFit="1" customWidth="1"/>
    <col min="8203" max="8203" width="14" style="253" bestFit="1" customWidth="1"/>
    <col min="8204" max="8206" width="8.85546875" style="253"/>
    <col min="8207" max="8207" width="10.85546875" style="253" customWidth="1"/>
    <col min="8208" max="8208" width="10.28515625" style="253" bestFit="1" customWidth="1"/>
    <col min="8209" max="8454" width="8.85546875" style="253"/>
    <col min="8455" max="8455" width="11.28515625" style="253" bestFit="1" customWidth="1"/>
    <col min="8456" max="8456" width="9.42578125" style="253" bestFit="1" customWidth="1"/>
    <col min="8457" max="8457" width="12.140625" style="253" bestFit="1" customWidth="1"/>
    <col min="8458" max="8458" width="10.28515625" style="253" bestFit="1" customWidth="1"/>
    <col min="8459" max="8459" width="14" style="253" bestFit="1" customWidth="1"/>
    <col min="8460" max="8462" width="8.85546875" style="253"/>
    <col min="8463" max="8463" width="10.85546875" style="253" customWidth="1"/>
    <col min="8464" max="8464" width="10.28515625" style="253" bestFit="1" customWidth="1"/>
    <col min="8465" max="8710" width="8.85546875" style="253"/>
    <col min="8711" max="8711" width="11.28515625" style="253" bestFit="1" customWidth="1"/>
    <col min="8712" max="8712" width="9.42578125" style="253" bestFit="1" customWidth="1"/>
    <col min="8713" max="8713" width="12.140625" style="253" bestFit="1" customWidth="1"/>
    <col min="8714" max="8714" width="10.28515625" style="253" bestFit="1" customWidth="1"/>
    <col min="8715" max="8715" width="14" style="253" bestFit="1" customWidth="1"/>
    <col min="8716" max="8718" width="8.85546875" style="253"/>
    <col min="8719" max="8719" width="10.85546875" style="253" customWidth="1"/>
    <col min="8720" max="8720" width="10.28515625" style="253" bestFit="1" customWidth="1"/>
    <col min="8721" max="8966" width="8.85546875" style="253"/>
    <col min="8967" max="8967" width="11.28515625" style="253" bestFit="1" customWidth="1"/>
    <col min="8968" max="8968" width="9.42578125" style="253" bestFit="1" customWidth="1"/>
    <col min="8969" max="8969" width="12.140625" style="253" bestFit="1" customWidth="1"/>
    <col min="8970" max="8970" width="10.28515625" style="253" bestFit="1" customWidth="1"/>
    <col min="8971" max="8971" width="14" style="253" bestFit="1" customWidth="1"/>
    <col min="8972" max="8974" width="8.85546875" style="253"/>
    <col min="8975" max="8975" width="10.85546875" style="253" customWidth="1"/>
    <col min="8976" max="8976" width="10.28515625" style="253" bestFit="1" customWidth="1"/>
    <col min="8977" max="9222" width="8.85546875" style="253"/>
    <col min="9223" max="9223" width="11.28515625" style="253" bestFit="1" customWidth="1"/>
    <col min="9224" max="9224" width="9.42578125" style="253" bestFit="1" customWidth="1"/>
    <col min="9225" max="9225" width="12.140625" style="253" bestFit="1" customWidth="1"/>
    <col min="9226" max="9226" width="10.28515625" style="253" bestFit="1" customWidth="1"/>
    <col min="9227" max="9227" width="14" style="253" bestFit="1" customWidth="1"/>
    <col min="9228" max="9230" width="8.85546875" style="253"/>
    <col min="9231" max="9231" width="10.85546875" style="253" customWidth="1"/>
    <col min="9232" max="9232" width="10.28515625" style="253" bestFit="1" customWidth="1"/>
    <col min="9233" max="9478" width="8.85546875" style="253"/>
    <col min="9479" max="9479" width="11.28515625" style="253" bestFit="1" customWidth="1"/>
    <col min="9480" max="9480" width="9.42578125" style="253" bestFit="1" customWidth="1"/>
    <col min="9481" max="9481" width="12.140625" style="253" bestFit="1" customWidth="1"/>
    <col min="9482" max="9482" width="10.28515625" style="253" bestFit="1" customWidth="1"/>
    <col min="9483" max="9483" width="14" style="253" bestFit="1" customWidth="1"/>
    <col min="9484" max="9486" width="8.85546875" style="253"/>
    <col min="9487" max="9487" width="10.85546875" style="253" customWidth="1"/>
    <col min="9488" max="9488" width="10.28515625" style="253" bestFit="1" customWidth="1"/>
    <col min="9489" max="9734" width="8.85546875" style="253"/>
    <col min="9735" max="9735" width="11.28515625" style="253" bestFit="1" customWidth="1"/>
    <col min="9736" max="9736" width="9.42578125" style="253" bestFit="1" customWidth="1"/>
    <col min="9737" max="9737" width="12.140625" style="253" bestFit="1" customWidth="1"/>
    <col min="9738" max="9738" width="10.28515625" style="253" bestFit="1" customWidth="1"/>
    <col min="9739" max="9739" width="14" style="253" bestFit="1" customWidth="1"/>
    <col min="9740" max="9742" width="8.85546875" style="253"/>
    <col min="9743" max="9743" width="10.85546875" style="253" customWidth="1"/>
    <col min="9744" max="9744" width="10.28515625" style="253" bestFit="1" customWidth="1"/>
    <col min="9745" max="9990" width="8.85546875" style="253"/>
    <col min="9991" max="9991" width="11.28515625" style="253" bestFit="1" customWidth="1"/>
    <col min="9992" max="9992" width="9.42578125" style="253" bestFit="1" customWidth="1"/>
    <col min="9993" max="9993" width="12.140625" style="253" bestFit="1" customWidth="1"/>
    <col min="9994" max="9994" width="10.28515625" style="253" bestFit="1" customWidth="1"/>
    <col min="9995" max="9995" width="14" style="253" bestFit="1" customWidth="1"/>
    <col min="9996" max="9998" width="8.85546875" style="253"/>
    <col min="9999" max="9999" width="10.85546875" style="253" customWidth="1"/>
    <col min="10000" max="10000" width="10.28515625" style="253" bestFit="1" customWidth="1"/>
    <col min="10001" max="10246" width="8.85546875" style="253"/>
    <col min="10247" max="10247" width="11.28515625" style="253" bestFit="1" customWidth="1"/>
    <col min="10248" max="10248" width="9.42578125" style="253" bestFit="1" customWidth="1"/>
    <col min="10249" max="10249" width="12.140625" style="253" bestFit="1" customWidth="1"/>
    <col min="10250" max="10250" width="10.28515625" style="253" bestFit="1" customWidth="1"/>
    <col min="10251" max="10251" width="14" style="253" bestFit="1" customWidth="1"/>
    <col min="10252" max="10254" width="8.85546875" style="253"/>
    <col min="10255" max="10255" width="10.85546875" style="253" customWidth="1"/>
    <col min="10256" max="10256" width="10.28515625" style="253" bestFit="1" customWidth="1"/>
    <col min="10257" max="10502" width="8.85546875" style="253"/>
    <col min="10503" max="10503" width="11.28515625" style="253" bestFit="1" customWidth="1"/>
    <col min="10504" max="10504" width="9.42578125" style="253" bestFit="1" customWidth="1"/>
    <col min="10505" max="10505" width="12.140625" style="253" bestFit="1" customWidth="1"/>
    <col min="10506" max="10506" width="10.28515625" style="253" bestFit="1" customWidth="1"/>
    <col min="10507" max="10507" width="14" style="253" bestFit="1" customWidth="1"/>
    <col min="10508" max="10510" width="8.85546875" style="253"/>
    <col min="10511" max="10511" width="10.85546875" style="253" customWidth="1"/>
    <col min="10512" max="10512" width="10.28515625" style="253" bestFit="1" customWidth="1"/>
    <col min="10513" max="10758" width="8.85546875" style="253"/>
    <col min="10759" max="10759" width="11.28515625" style="253" bestFit="1" customWidth="1"/>
    <col min="10760" max="10760" width="9.42578125" style="253" bestFit="1" customWidth="1"/>
    <col min="10761" max="10761" width="12.140625" style="253" bestFit="1" customWidth="1"/>
    <col min="10762" max="10762" width="10.28515625" style="253" bestFit="1" customWidth="1"/>
    <col min="10763" max="10763" width="14" style="253" bestFit="1" customWidth="1"/>
    <col min="10764" max="10766" width="8.85546875" style="253"/>
    <col min="10767" max="10767" width="10.85546875" style="253" customWidth="1"/>
    <col min="10768" max="10768" width="10.28515625" style="253" bestFit="1" customWidth="1"/>
    <col min="10769" max="11014" width="8.85546875" style="253"/>
    <col min="11015" max="11015" width="11.28515625" style="253" bestFit="1" customWidth="1"/>
    <col min="11016" max="11016" width="9.42578125" style="253" bestFit="1" customWidth="1"/>
    <col min="11017" max="11017" width="12.140625" style="253" bestFit="1" customWidth="1"/>
    <col min="11018" max="11018" width="10.28515625" style="253" bestFit="1" customWidth="1"/>
    <col min="11019" max="11019" width="14" style="253" bestFit="1" customWidth="1"/>
    <col min="11020" max="11022" width="8.85546875" style="253"/>
    <col min="11023" max="11023" width="10.85546875" style="253" customWidth="1"/>
    <col min="11024" max="11024" width="10.28515625" style="253" bestFit="1" customWidth="1"/>
    <col min="11025" max="11270" width="8.85546875" style="253"/>
    <col min="11271" max="11271" width="11.28515625" style="253" bestFit="1" customWidth="1"/>
    <col min="11272" max="11272" width="9.42578125" style="253" bestFit="1" customWidth="1"/>
    <col min="11273" max="11273" width="12.140625" style="253" bestFit="1" customWidth="1"/>
    <col min="11274" max="11274" width="10.28515625" style="253" bestFit="1" customWidth="1"/>
    <col min="11275" max="11275" width="14" style="253" bestFit="1" customWidth="1"/>
    <col min="11276" max="11278" width="8.85546875" style="253"/>
    <col min="11279" max="11279" width="10.85546875" style="253" customWidth="1"/>
    <col min="11280" max="11280" width="10.28515625" style="253" bestFit="1" customWidth="1"/>
    <col min="11281" max="11526" width="8.85546875" style="253"/>
    <col min="11527" max="11527" width="11.28515625" style="253" bestFit="1" customWidth="1"/>
    <col min="11528" max="11528" width="9.42578125" style="253" bestFit="1" customWidth="1"/>
    <col min="11529" max="11529" width="12.140625" style="253" bestFit="1" customWidth="1"/>
    <col min="11530" max="11530" width="10.28515625" style="253" bestFit="1" customWidth="1"/>
    <col min="11531" max="11531" width="14" style="253" bestFit="1" customWidth="1"/>
    <col min="11532" max="11534" width="8.85546875" style="253"/>
    <col min="11535" max="11535" width="10.85546875" style="253" customWidth="1"/>
    <col min="11536" max="11536" width="10.28515625" style="253" bestFit="1" customWidth="1"/>
    <col min="11537" max="11782" width="8.85546875" style="253"/>
    <col min="11783" max="11783" width="11.28515625" style="253" bestFit="1" customWidth="1"/>
    <col min="11784" max="11784" width="9.42578125" style="253" bestFit="1" customWidth="1"/>
    <col min="11785" max="11785" width="12.140625" style="253" bestFit="1" customWidth="1"/>
    <col min="11786" max="11786" width="10.28515625" style="253" bestFit="1" customWidth="1"/>
    <col min="11787" max="11787" width="14" style="253" bestFit="1" customWidth="1"/>
    <col min="11788" max="11790" width="8.85546875" style="253"/>
    <col min="11791" max="11791" width="10.85546875" style="253" customWidth="1"/>
    <col min="11792" max="11792" width="10.28515625" style="253" bestFit="1" customWidth="1"/>
    <col min="11793" max="12038" width="8.85546875" style="253"/>
    <col min="12039" max="12039" width="11.28515625" style="253" bestFit="1" customWidth="1"/>
    <col min="12040" max="12040" width="9.42578125" style="253" bestFit="1" customWidth="1"/>
    <col min="12041" max="12041" width="12.140625" style="253" bestFit="1" customWidth="1"/>
    <col min="12042" max="12042" width="10.28515625" style="253" bestFit="1" customWidth="1"/>
    <col min="12043" max="12043" width="14" style="253" bestFit="1" customWidth="1"/>
    <col min="12044" max="12046" width="8.85546875" style="253"/>
    <col min="12047" max="12047" width="10.85546875" style="253" customWidth="1"/>
    <col min="12048" max="12048" width="10.28515625" style="253" bestFit="1" customWidth="1"/>
    <col min="12049" max="12294" width="8.85546875" style="253"/>
    <col min="12295" max="12295" width="11.28515625" style="253" bestFit="1" customWidth="1"/>
    <col min="12296" max="12296" width="9.42578125" style="253" bestFit="1" customWidth="1"/>
    <col min="12297" max="12297" width="12.140625" style="253" bestFit="1" customWidth="1"/>
    <col min="12298" max="12298" width="10.28515625" style="253" bestFit="1" customWidth="1"/>
    <col min="12299" max="12299" width="14" style="253" bestFit="1" customWidth="1"/>
    <col min="12300" max="12302" width="8.85546875" style="253"/>
    <col min="12303" max="12303" width="10.85546875" style="253" customWidth="1"/>
    <col min="12304" max="12304" width="10.28515625" style="253" bestFit="1" customWidth="1"/>
    <col min="12305" max="12550" width="8.85546875" style="253"/>
    <col min="12551" max="12551" width="11.28515625" style="253" bestFit="1" customWidth="1"/>
    <col min="12552" max="12552" width="9.42578125" style="253" bestFit="1" customWidth="1"/>
    <col min="12553" max="12553" width="12.140625" style="253" bestFit="1" customWidth="1"/>
    <col min="12554" max="12554" width="10.28515625" style="253" bestFit="1" customWidth="1"/>
    <col min="12555" max="12555" width="14" style="253" bestFit="1" customWidth="1"/>
    <col min="12556" max="12558" width="8.85546875" style="253"/>
    <col min="12559" max="12559" width="10.85546875" style="253" customWidth="1"/>
    <col min="12560" max="12560" width="10.28515625" style="253" bestFit="1" customWidth="1"/>
    <col min="12561" max="12806" width="8.85546875" style="253"/>
    <col min="12807" max="12807" width="11.28515625" style="253" bestFit="1" customWidth="1"/>
    <col min="12808" max="12808" width="9.42578125" style="253" bestFit="1" customWidth="1"/>
    <col min="12809" max="12809" width="12.140625" style="253" bestFit="1" customWidth="1"/>
    <col min="12810" max="12810" width="10.28515625" style="253" bestFit="1" customWidth="1"/>
    <col min="12811" max="12811" width="14" style="253" bestFit="1" customWidth="1"/>
    <col min="12812" max="12814" width="8.85546875" style="253"/>
    <col min="12815" max="12815" width="10.85546875" style="253" customWidth="1"/>
    <col min="12816" max="12816" width="10.28515625" style="253" bestFit="1" customWidth="1"/>
    <col min="12817" max="13062" width="8.85546875" style="253"/>
    <col min="13063" max="13063" width="11.28515625" style="253" bestFit="1" customWidth="1"/>
    <col min="13064" max="13064" width="9.42578125" style="253" bestFit="1" customWidth="1"/>
    <col min="13065" max="13065" width="12.140625" style="253" bestFit="1" customWidth="1"/>
    <col min="13066" max="13066" width="10.28515625" style="253" bestFit="1" customWidth="1"/>
    <col min="13067" max="13067" width="14" style="253" bestFit="1" customWidth="1"/>
    <col min="13068" max="13070" width="8.85546875" style="253"/>
    <col min="13071" max="13071" width="10.85546875" style="253" customWidth="1"/>
    <col min="13072" max="13072" width="10.28515625" style="253" bestFit="1" customWidth="1"/>
    <col min="13073" max="13318" width="8.85546875" style="253"/>
    <col min="13319" max="13319" width="11.28515625" style="253" bestFit="1" customWidth="1"/>
    <col min="13320" max="13320" width="9.42578125" style="253" bestFit="1" customWidth="1"/>
    <col min="13321" max="13321" width="12.140625" style="253" bestFit="1" customWidth="1"/>
    <col min="13322" max="13322" width="10.28515625" style="253" bestFit="1" customWidth="1"/>
    <col min="13323" max="13323" width="14" style="253" bestFit="1" customWidth="1"/>
    <col min="13324" max="13326" width="8.85546875" style="253"/>
    <col min="13327" max="13327" width="10.85546875" style="253" customWidth="1"/>
    <col min="13328" max="13328" width="10.28515625" style="253" bestFit="1" customWidth="1"/>
    <col min="13329" max="13574" width="8.85546875" style="253"/>
    <col min="13575" max="13575" width="11.28515625" style="253" bestFit="1" customWidth="1"/>
    <col min="13576" max="13576" width="9.42578125" style="253" bestFit="1" customWidth="1"/>
    <col min="13577" max="13577" width="12.140625" style="253" bestFit="1" customWidth="1"/>
    <col min="13578" max="13578" width="10.28515625" style="253" bestFit="1" customWidth="1"/>
    <col min="13579" max="13579" width="14" style="253" bestFit="1" customWidth="1"/>
    <col min="13580" max="13582" width="8.85546875" style="253"/>
    <col min="13583" max="13583" width="10.85546875" style="253" customWidth="1"/>
    <col min="13584" max="13584" width="10.28515625" style="253" bestFit="1" customWidth="1"/>
    <col min="13585" max="13830" width="8.85546875" style="253"/>
    <col min="13831" max="13831" width="11.28515625" style="253" bestFit="1" customWidth="1"/>
    <col min="13832" max="13832" width="9.42578125" style="253" bestFit="1" customWidth="1"/>
    <col min="13833" max="13833" width="12.140625" style="253" bestFit="1" customWidth="1"/>
    <col min="13834" max="13834" width="10.28515625" style="253" bestFit="1" customWidth="1"/>
    <col min="13835" max="13835" width="14" style="253" bestFit="1" customWidth="1"/>
    <col min="13836" max="13838" width="8.85546875" style="253"/>
    <col min="13839" max="13839" width="10.85546875" style="253" customWidth="1"/>
    <col min="13840" max="13840" width="10.28515625" style="253" bestFit="1" customWidth="1"/>
    <col min="13841" max="14086" width="8.85546875" style="253"/>
    <col min="14087" max="14087" width="11.28515625" style="253" bestFit="1" customWidth="1"/>
    <col min="14088" max="14088" width="9.42578125" style="253" bestFit="1" customWidth="1"/>
    <col min="14089" max="14089" width="12.140625" style="253" bestFit="1" customWidth="1"/>
    <col min="14090" max="14090" width="10.28515625" style="253" bestFit="1" customWidth="1"/>
    <col min="14091" max="14091" width="14" style="253" bestFit="1" customWidth="1"/>
    <col min="14092" max="14094" width="8.85546875" style="253"/>
    <col min="14095" max="14095" width="10.85546875" style="253" customWidth="1"/>
    <col min="14096" max="14096" width="10.28515625" style="253" bestFit="1" customWidth="1"/>
    <col min="14097" max="14342" width="8.85546875" style="253"/>
    <col min="14343" max="14343" width="11.28515625" style="253" bestFit="1" customWidth="1"/>
    <col min="14344" max="14344" width="9.42578125" style="253" bestFit="1" customWidth="1"/>
    <col min="14345" max="14345" width="12.140625" style="253" bestFit="1" customWidth="1"/>
    <col min="14346" max="14346" width="10.28515625" style="253" bestFit="1" customWidth="1"/>
    <col min="14347" max="14347" width="14" style="253" bestFit="1" customWidth="1"/>
    <col min="14348" max="14350" width="8.85546875" style="253"/>
    <col min="14351" max="14351" width="10.85546875" style="253" customWidth="1"/>
    <col min="14352" max="14352" width="10.28515625" style="253" bestFit="1" customWidth="1"/>
    <col min="14353" max="14598" width="8.85546875" style="253"/>
    <col min="14599" max="14599" width="11.28515625" style="253" bestFit="1" customWidth="1"/>
    <col min="14600" max="14600" width="9.42578125" style="253" bestFit="1" customWidth="1"/>
    <col min="14601" max="14601" width="12.140625" style="253" bestFit="1" customWidth="1"/>
    <col min="14602" max="14602" width="10.28515625" style="253" bestFit="1" customWidth="1"/>
    <col min="14603" max="14603" width="14" style="253" bestFit="1" customWidth="1"/>
    <col min="14604" max="14606" width="8.85546875" style="253"/>
    <col min="14607" max="14607" width="10.85546875" style="253" customWidth="1"/>
    <col min="14608" max="14608" width="10.28515625" style="253" bestFit="1" customWidth="1"/>
    <col min="14609" max="14854" width="8.85546875" style="253"/>
    <col min="14855" max="14855" width="11.28515625" style="253" bestFit="1" customWidth="1"/>
    <col min="14856" max="14856" width="9.42578125" style="253" bestFit="1" customWidth="1"/>
    <col min="14857" max="14857" width="12.140625" style="253" bestFit="1" customWidth="1"/>
    <col min="14858" max="14858" width="10.28515625" style="253" bestFit="1" customWidth="1"/>
    <col min="14859" max="14859" width="14" style="253" bestFit="1" customWidth="1"/>
    <col min="14860" max="14862" width="8.85546875" style="253"/>
    <col min="14863" max="14863" width="10.85546875" style="253" customWidth="1"/>
    <col min="14864" max="14864" width="10.28515625" style="253" bestFit="1" customWidth="1"/>
    <col min="14865" max="15110" width="8.85546875" style="253"/>
    <col min="15111" max="15111" width="11.28515625" style="253" bestFit="1" customWidth="1"/>
    <col min="15112" max="15112" width="9.42578125" style="253" bestFit="1" customWidth="1"/>
    <col min="15113" max="15113" width="12.140625" style="253" bestFit="1" customWidth="1"/>
    <col min="15114" max="15114" width="10.28515625" style="253" bestFit="1" customWidth="1"/>
    <col min="15115" max="15115" width="14" style="253" bestFit="1" customWidth="1"/>
    <col min="15116" max="15118" width="8.85546875" style="253"/>
    <col min="15119" max="15119" width="10.85546875" style="253" customWidth="1"/>
    <col min="15120" max="15120" width="10.28515625" style="253" bestFit="1" customWidth="1"/>
    <col min="15121" max="15366" width="8.85546875" style="253"/>
    <col min="15367" max="15367" width="11.28515625" style="253" bestFit="1" customWidth="1"/>
    <col min="15368" max="15368" width="9.42578125" style="253" bestFit="1" customWidth="1"/>
    <col min="15369" max="15369" width="12.140625" style="253" bestFit="1" customWidth="1"/>
    <col min="15370" max="15370" width="10.28515625" style="253" bestFit="1" customWidth="1"/>
    <col min="15371" max="15371" width="14" style="253" bestFit="1" customWidth="1"/>
    <col min="15372" max="15374" width="8.85546875" style="253"/>
    <col min="15375" max="15375" width="10.85546875" style="253" customWidth="1"/>
    <col min="15376" max="15376" width="10.28515625" style="253" bestFit="1" customWidth="1"/>
    <col min="15377" max="15622" width="8.85546875" style="253"/>
    <col min="15623" max="15623" width="11.28515625" style="253" bestFit="1" customWidth="1"/>
    <col min="15624" max="15624" width="9.42578125" style="253" bestFit="1" customWidth="1"/>
    <col min="15625" max="15625" width="12.140625" style="253" bestFit="1" customWidth="1"/>
    <col min="15626" max="15626" width="10.28515625" style="253" bestFit="1" customWidth="1"/>
    <col min="15627" max="15627" width="14" style="253" bestFit="1" customWidth="1"/>
    <col min="15628" max="15630" width="8.85546875" style="253"/>
    <col min="15631" max="15631" width="10.85546875" style="253" customWidth="1"/>
    <col min="15632" max="15632" width="10.28515625" style="253" bestFit="1" customWidth="1"/>
    <col min="15633" max="15878" width="8.85546875" style="253"/>
    <col min="15879" max="15879" width="11.28515625" style="253" bestFit="1" customWidth="1"/>
    <col min="15880" max="15880" width="9.42578125" style="253" bestFit="1" customWidth="1"/>
    <col min="15881" max="15881" width="12.140625" style="253" bestFit="1" customWidth="1"/>
    <col min="15882" max="15882" width="10.28515625" style="253" bestFit="1" customWidth="1"/>
    <col min="15883" max="15883" width="14" style="253" bestFit="1" customWidth="1"/>
    <col min="15884" max="15886" width="8.85546875" style="253"/>
    <col min="15887" max="15887" width="10.85546875" style="253" customWidth="1"/>
    <col min="15888" max="15888" width="10.28515625" style="253" bestFit="1" customWidth="1"/>
    <col min="15889" max="16134" width="8.85546875" style="253"/>
    <col min="16135" max="16135" width="11.28515625" style="253" bestFit="1" customWidth="1"/>
    <col min="16136" max="16136" width="9.42578125" style="253" bestFit="1" customWidth="1"/>
    <col min="16137" max="16137" width="12.140625" style="253" bestFit="1" customWidth="1"/>
    <col min="16138" max="16138" width="10.28515625" style="253" bestFit="1" customWidth="1"/>
    <col min="16139" max="16139" width="14" style="253" bestFit="1" customWidth="1"/>
    <col min="16140" max="16142" width="8.85546875" style="253"/>
    <col min="16143" max="16143" width="10.85546875" style="253" customWidth="1"/>
    <col min="16144" max="16144" width="10.28515625" style="253" bestFit="1" customWidth="1"/>
    <col min="16145" max="16384" width="8.85546875" style="253"/>
  </cols>
  <sheetData>
    <row r="1" spans="1:16" ht="15">
      <c r="A1" s="278" t="s">
        <v>32</v>
      </c>
      <c r="B1" s="277"/>
      <c r="C1" s="277"/>
      <c r="D1" s="277"/>
      <c r="E1" s="277"/>
      <c r="F1" s="277"/>
      <c r="G1" s="277"/>
      <c r="H1" s="277"/>
      <c r="I1" s="277"/>
      <c r="J1" s="276"/>
      <c r="K1" s="275" t="s">
        <v>442</v>
      </c>
      <c r="O1" s="302" t="s">
        <v>520</v>
      </c>
    </row>
    <row r="2" spans="1:16" ht="15">
      <c r="A2" s="278" t="s">
        <v>1</v>
      </c>
      <c r="B2" s="277"/>
      <c r="C2" s="277"/>
      <c r="D2" s="277"/>
      <c r="E2" s="277"/>
      <c r="F2" s="277"/>
      <c r="G2" s="277"/>
      <c r="H2" s="277"/>
      <c r="I2" s="277"/>
      <c r="J2" s="276"/>
      <c r="K2" s="275" t="s">
        <v>29</v>
      </c>
      <c r="O2" s="253" t="s">
        <v>514</v>
      </c>
    </row>
    <row r="3" spans="1:16" ht="15">
      <c r="A3" s="274" t="s">
        <v>551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O3" s="256">
        <v>40664</v>
      </c>
      <c r="P3" s="304">
        <v>1.6000000000000001E-3</v>
      </c>
    </row>
    <row r="4" spans="1:16" ht="15">
      <c r="A4" s="263" t="s">
        <v>513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O4" s="256">
        <v>40695</v>
      </c>
      <c r="P4" s="303">
        <v>1.5E-3</v>
      </c>
    </row>
    <row r="5" spans="1:16" ht="14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O5" s="256">
        <v>40725</v>
      </c>
      <c r="P5" s="303">
        <v>1.4E-3</v>
      </c>
    </row>
    <row r="6" spans="1:16" ht="14.2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O6" s="256">
        <v>40756</v>
      </c>
      <c r="P6" s="304">
        <v>1.6000000000000001E-3</v>
      </c>
    </row>
    <row r="7" spans="1:16" ht="15">
      <c r="A7" s="273" t="s">
        <v>24</v>
      </c>
      <c r="B7" s="272"/>
      <c r="C7" s="272"/>
      <c r="D7" s="272"/>
      <c r="E7" s="272"/>
      <c r="F7" s="272"/>
      <c r="G7" s="262"/>
      <c r="H7" s="262"/>
      <c r="I7" s="262"/>
      <c r="J7" s="262"/>
      <c r="K7" s="262"/>
      <c r="O7" s="256">
        <v>40787</v>
      </c>
      <c r="P7" s="303">
        <v>1.4E-3</v>
      </c>
    </row>
    <row r="8" spans="1:16" ht="15">
      <c r="A8" s="270" t="s">
        <v>23</v>
      </c>
      <c r="B8" s="271" t="s">
        <v>512</v>
      </c>
      <c r="C8" s="271"/>
      <c r="D8" s="271"/>
      <c r="E8" s="271"/>
      <c r="F8" s="264"/>
      <c r="G8" s="264"/>
      <c r="H8" s="264"/>
      <c r="I8" s="264"/>
      <c r="J8" s="262"/>
      <c r="K8" s="270" t="s">
        <v>511</v>
      </c>
      <c r="O8" s="256">
        <v>40817</v>
      </c>
      <c r="P8" s="303">
        <v>1.5E-3</v>
      </c>
    </row>
    <row r="9" spans="1:16" ht="14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O9" s="256">
        <v>40848</v>
      </c>
      <c r="P9" s="303">
        <v>1.4E-3</v>
      </c>
    </row>
    <row r="10" spans="1:16" ht="14.25">
      <c r="A10" s="257">
        <v>1</v>
      </c>
      <c r="B10" s="262" t="s">
        <v>523</v>
      </c>
      <c r="C10" s="262"/>
      <c r="D10" s="262"/>
      <c r="E10" s="262"/>
      <c r="F10" s="262"/>
      <c r="G10" s="262"/>
      <c r="H10" s="262"/>
      <c r="I10" s="262"/>
      <c r="J10" s="262"/>
      <c r="K10" s="339">
        <v>0</v>
      </c>
      <c r="O10" s="256">
        <v>40878</v>
      </c>
      <c r="P10" s="303">
        <v>1.4E-3</v>
      </c>
    </row>
    <row r="11" spans="1:16" ht="14.25">
      <c r="A11" s="257">
        <v>2</v>
      </c>
      <c r="C11" s="262"/>
      <c r="D11" s="262"/>
      <c r="E11" s="262"/>
      <c r="F11" s="262"/>
      <c r="G11" s="262"/>
      <c r="H11" s="262"/>
      <c r="I11" s="262"/>
      <c r="J11" s="262"/>
      <c r="K11" s="340"/>
      <c r="O11" s="256">
        <v>40909</v>
      </c>
      <c r="P11" s="303">
        <v>1.4E-3</v>
      </c>
    </row>
    <row r="12" spans="1:16" ht="14.25">
      <c r="A12" s="257">
        <v>3</v>
      </c>
      <c r="B12" s="262" t="s">
        <v>550</v>
      </c>
      <c r="C12" s="262"/>
      <c r="D12" s="262"/>
      <c r="E12" s="262"/>
      <c r="F12" s="262"/>
      <c r="G12" s="262"/>
      <c r="H12" s="262"/>
      <c r="I12" s="262"/>
      <c r="J12" s="262"/>
      <c r="K12" s="341">
        <v>0</v>
      </c>
      <c r="O12" s="256">
        <v>40940</v>
      </c>
      <c r="P12" s="303">
        <v>1.6999999999999999E-3</v>
      </c>
    </row>
    <row r="13" spans="1:16" ht="14.25">
      <c r="A13" s="257">
        <v>4</v>
      </c>
      <c r="B13" s="262" t="s">
        <v>510</v>
      </c>
      <c r="C13" s="262"/>
      <c r="D13" s="262"/>
      <c r="E13" s="262"/>
      <c r="F13" s="262"/>
      <c r="G13" s="262"/>
      <c r="H13" s="262"/>
      <c r="I13" s="262"/>
      <c r="J13" s="262"/>
      <c r="K13" s="342">
        <v>0</v>
      </c>
      <c r="O13" s="256">
        <v>40969</v>
      </c>
      <c r="P13" s="303">
        <v>1.8E-3</v>
      </c>
    </row>
    <row r="14" spans="1:16" ht="15" thickBot="1">
      <c r="A14" s="257">
        <v>5</v>
      </c>
      <c r="B14" s="262" t="s">
        <v>509</v>
      </c>
      <c r="C14" s="262"/>
      <c r="D14" s="262"/>
      <c r="E14" s="262"/>
      <c r="F14" s="262"/>
      <c r="G14" s="262"/>
      <c r="H14" s="262"/>
      <c r="I14" s="262"/>
      <c r="J14" s="262"/>
      <c r="K14" s="291">
        <f>SUM(K10:K13)</f>
        <v>0</v>
      </c>
      <c r="O14" s="256">
        <v>41000</v>
      </c>
      <c r="P14" s="303">
        <v>2E-3</v>
      </c>
    </row>
    <row r="15" spans="1:16" ht="15.75" thickTop="1" thickBot="1">
      <c r="A15" s="257">
        <v>6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O15" s="266" t="s">
        <v>154</v>
      </c>
      <c r="P15" s="303">
        <f>AVERAGE(P3:P14)</f>
        <v>1.5583333333333334E-3</v>
      </c>
    </row>
    <row r="16" spans="1:16" ht="15" thickBot="1">
      <c r="A16" s="257">
        <v>7</v>
      </c>
      <c r="B16" s="262" t="s">
        <v>508</v>
      </c>
      <c r="C16" s="262"/>
      <c r="D16" s="262"/>
      <c r="E16" s="262"/>
      <c r="F16" s="262"/>
      <c r="G16" s="262"/>
      <c r="H16" s="262"/>
      <c r="I16" s="262"/>
      <c r="J16" s="262"/>
      <c r="K16" s="343">
        <v>0</v>
      </c>
      <c r="O16" s="266" t="s">
        <v>506</v>
      </c>
      <c r="P16" s="305">
        <v>5.0000000000000001E-3</v>
      </c>
    </row>
    <row r="17" spans="1:17" ht="14.25">
      <c r="A17" s="257">
        <v>8</v>
      </c>
      <c r="B17" s="262" t="s">
        <v>507</v>
      </c>
      <c r="C17" s="262"/>
      <c r="D17" s="262"/>
      <c r="E17" s="262"/>
      <c r="F17" s="262"/>
      <c r="G17" s="262"/>
      <c r="H17" s="262"/>
      <c r="I17" s="262"/>
      <c r="J17" s="262"/>
      <c r="K17" s="262"/>
      <c r="O17" s="266" t="s">
        <v>115</v>
      </c>
      <c r="P17" s="303">
        <f>P15-P16</f>
        <v>-3.4416666666666667E-3</v>
      </c>
    </row>
    <row r="18" spans="1:17" ht="14.25">
      <c r="A18" s="257">
        <v>9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O18" s="266"/>
    </row>
    <row r="19" spans="1:17" ht="15">
      <c r="A19" s="257">
        <v>10</v>
      </c>
      <c r="B19" s="262"/>
      <c r="C19" s="262"/>
      <c r="D19" s="262"/>
      <c r="E19" s="262"/>
      <c r="F19" s="262"/>
      <c r="G19" s="262"/>
      <c r="H19" s="269" t="s">
        <v>505</v>
      </c>
      <c r="I19" s="269" t="s">
        <v>504</v>
      </c>
      <c r="J19" s="269" t="s">
        <v>503</v>
      </c>
      <c r="K19" s="262"/>
      <c r="O19" s="253" t="s">
        <v>502</v>
      </c>
    </row>
    <row r="20" spans="1:17" ht="15">
      <c r="A20" s="257">
        <v>11</v>
      </c>
      <c r="B20" s="265" t="s">
        <v>155</v>
      </c>
      <c r="C20" s="264"/>
      <c r="D20" s="264"/>
      <c r="E20" s="264"/>
      <c r="F20" s="264"/>
      <c r="G20" s="262"/>
      <c r="H20" s="268" t="s">
        <v>13</v>
      </c>
      <c r="I20" s="268" t="s">
        <v>14</v>
      </c>
      <c r="J20" s="268" t="s">
        <v>114</v>
      </c>
      <c r="K20" s="262"/>
    </row>
    <row r="21" spans="1:17" ht="14.25">
      <c r="A21" s="257">
        <v>12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7" ht="14.25">
      <c r="A22" s="257">
        <v>13</v>
      </c>
      <c r="B22" s="262" t="s">
        <v>501</v>
      </c>
      <c r="C22" s="262"/>
      <c r="D22" s="262"/>
      <c r="E22" s="262"/>
      <c r="F22" s="262"/>
      <c r="G22" s="262"/>
      <c r="H22" s="344">
        <v>0</v>
      </c>
      <c r="I22" s="345">
        <f>K14</f>
        <v>0</v>
      </c>
      <c r="J22" s="306">
        <f>SUM(H22:I22)</f>
        <v>0</v>
      </c>
      <c r="K22" s="262"/>
    </row>
    <row r="23" spans="1:17" ht="14.25">
      <c r="A23" s="257">
        <v>14</v>
      </c>
      <c r="B23" s="262"/>
      <c r="C23" s="262"/>
      <c r="D23" s="262"/>
      <c r="E23" s="262"/>
      <c r="F23" s="262"/>
      <c r="G23" s="262"/>
      <c r="H23" s="346">
        <v>0</v>
      </c>
      <c r="I23" s="347">
        <v>0</v>
      </c>
      <c r="J23" s="307">
        <f>SUM(H23:I23)</f>
        <v>0</v>
      </c>
      <c r="K23" s="262"/>
      <c r="P23" s="303"/>
    </row>
    <row r="24" spans="1:17" ht="14.25">
      <c r="A24" s="257">
        <v>15</v>
      </c>
      <c r="B24" s="262"/>
      <c r="C24" s="262"/>
      <c r="D24" s="262"/>
      <c r="E24" s="262"/>
      <c r="F24" s="262"/>
      <c r="G24" s="262"/>
      <c r="H24" s="267"/>
      <c r="I24" s="308"/>
      <c r="J24" s="308"/>
      <c r="K24" s="262"/>
    </row>
    <row r="25" spans="1:17" ht="14.25">
      <c r="A25" s="257">
        <v>16</v>
      </c>
      <c r="B25" s="262" t="s">
        <v>500</v>
      </c>
      <c r="C25" s="262"/>
      <c r="D25" s="262"/>
      <c r="E25" s="262"/>
      <c r="F25" s="262"/>
      <c r="G25" s="262"/>
      <c r="H25" s="307">
        <f>SUM(H22:H24)</f>
        <v>0</v>
      </c>
      <c r="I25" s="307">
        <f>SUM(I22:I24)</f>
        <v>0</v>
      </c>
      <c r="J25" s="309">
        <f>SUM(J22:J24)</f>
        <v>0</v>
      </c>
      <c r="K25" s="262"/>
    </row>
    <row r="26" spans="1:17" ht="14.25">
      <c r="A26" s="257">
        <v>17</v>
      </c>
      <c r="B26" s="262" t="s">
        <v>499</v>
      </c>
      <c r="C26" s="262"/>
      <c r="D26" s="262"/>
      <c r="E26" s="262"/>
      <c r="F26" s="262"/>
      <c r="G26" s="262"/>
      <c r="H26" s="267">
        <f>H25*K16</f>
        <v>0</v>
      </c>
      <c r="I26" s="267">
        <f>I25*K16</f>
        <v>0</v>
      </c>
      <c r="J26" s="308">
        <f>SUM(H26:I26)</f>
        <v>0</v>
      </c>
      <c r="K26" s="262"/>
      <c r="Q26" s="303"/>
    </row>
    <row r="27" spans="1:17" ht="15" thickBot="1">
      <c r="A27" s="257">
        <v>18</v>
      </c>
      <c r="B27" s="262" t="s">
        <v>114</v>
      </c>
      <c r="C27" s="262"/>
      <c r="D27" s="262"/>
      <c r="E27" s="262"/>
      <c r="F27" s="262"/>
      <c r="G27" s="262"/>
      <c r="H27" s="310">
        <f>SUM(H25:H26)</f>
        <v>0</v>
      </c>
      <c r="I27" s="310">
        <f>SUM(I25:I26)</f>
        <v>0</v>
      </c>
      <c r="J27" s="310">
        <f>SUM(J25:J26)</f>
        <v>0</v>
      </c>
      <c r="K27" s="262"/>
      <c r="O27" s="266" t="s">
        <v>498</v>
      </c>
      <c r="Q27" s="303"/>
    </row>
    <row r="28" spans="1:17" ht="15" thickTop="1">
      <c r="A28" s="257">
        <v>19</v>
      </c>
      <c r="B28" s="262"/>
      <c r="C28" s="262"/>
      <c r="D28" s="262"/>
      <c r="E28" s="262"/>
      <c r="F28" s="262"/>
      <c r="G28" s="262"/>
      <c r="H28" s="311"/>
      <c r="I28" s="311"/>
      <c r="J28" s="311"/>
      <c r="K28" s="262"/>
      <c r="O28" s="253" t="s">
        <v>496</v>
      </c>
      <c r="Q28" s="303"/>
    </row>
    <row r="29" spans="1:17" ht="15">
      <c r="A29" s="257">
        <v>20</v>
      </c>
      <c r="B29" s="265" t="s">
        <v>497</v>
      </c>
      <c r="C29" s="264"/>
      <c r="D29" s="264"/>
      <c r="E29" s="264"/>
      <c r="F29" s="264"/>
      <c r="G29" s="262"/>
      <c r="H29" s="262"/>
      <c r="I29" s="262"/>
      <c r="J29" s="262"/>
      <c r="K29" s="262"/>
      <c r="O29" s="253" t="s">
        <v>495</v>
      </c>
      <c r="Q29" s="303"/>
    </row>
    <row r="30" spans="1:17" ht="15">
      <c r="A30" s="257">
        <v>21</v>
      </c>
      <c r="B30" s="263"/>
      <c r="C30" s="262"/>
      <c r="D30" s="262"/>
      <c r="E30" s="262"/>
      <c r="F30" s="262"/>
      <c r="G30" s="262"/>
      <c r="H30" s="262"/>
      <c r="I30" s="262"/>
      <c r="J30" s="262"/>
      <c r="K30" s="262"/>
      <c r="O30" s="253" t="s">
        <v>493</v>
      </c>
      <c r="Q30" s="303"/>
    </row>
    <row r="31" spans="1:17" ht="14.25">
      <c r="A31" s="257">
        <v>22</v>
      </c>
      <c r="B31" s="262" t="s">
        <v>494</v>
      </c>
      <c r="C31" s="262"/>
      <c r="D31" s="262"/>
      <c r="E31" s="262"/>
      <c r="F31" s="262"/>
      <c r="G31" s="262"/>
      <c r="H31" s="262"/>
      <c r="I31" s="262"/>
      <c r="J31" s="262"/>
      <c r="K31" s="262"/>
      <c r="O31" s="253" t="s">
        <v>491</v>
      </c>
      <c r="Q31" s="303"/>
    </row>
    <row r="32" spans="1:17" ht="14.25">
      <c r="A32" s="257">
        <v>23</v>
      </c>
      <c r="B32" s="262" t="s">
        <v>492</v>
      </c>
      <c r="C32" s="262"/>
      <c r="D32" s="262"/>
      <c r="E32" s="262"/>
      <c r="F32" s="262"/>
      <c r="G32" s="312">
        <f>+B.8!F22</f>
        <v>0.14829999999999999</v>
      </c>
      <c r="H32" s="262"/>
      <c r="I32" s="262"/>
      <c r="J32" s="262"/>
      <c r="K32" s="262"/>
      <c r="O32" s="253" t="s">
        <v>489</v>
      </c>
      <c r="Q32" s="303"/>
    </row>
    <row r="33" spans="1:17" ht="14.25">
      <c r="A33" s="257">
        <v>24</v>
      </c>
      <c r="B33" s="262" t="s">
        <v>490</v>
      </c>
      <c r="C33" s="262"/>
      <c r="D33" s="262"/>
      <c r="E33" s="262"/>
      <c r="F33" s="262"/>
      <c r="G33" s="262"/>
      <c r="H33" s="262"/>
      <c r="I33" s="262"/>
      <c r="J33" s="262"/>
      <c r="K33" s="262"/>
      <c r="Q33" s="303"/>
    </row>
    <row r="34" spans="1:17" ht="14.25">
      <c r="A34" s="257">
        <v>25</v>
      </c>
      <c r="B34" s="262" t="s">
        <v>488</v>
      </c>
      <c r="C34" s="262"/>
      <c r="D34" s="262"/>
      <c r="E34" s="262"/>
      <c r="F34" s="262"/>
      <c r="G34" s="312">
        <f>1-G32</f>
        <v>0.85170000000000001</v>
      </c>
      <c r="H34" s="262"/>
      <c r="I34" s="262"/>
      <c r="J34" s="262"/>
      <c r="K34" s="262"/>
      <c r="O34" s="253" t="s">
        <v>486</v>
      </c>
      <c r="Q34" s="303"/>
    </row>
    <row r="35" spans="1:17" ht="14.25">
      <c r="A35" s="257">
        <v>26</v>
      </c>
      <c r="B35" s="262" t="s">
        <v>487</v>
      </c>
      <c r="C35" s="262"/>
      <c r="D35" s="262"/>
      <c r="E35" s="262"/>
      <c r="F35" s="262"/>
      <c r="G35" s="262"/>
      <c r="H35" s="262"/>
      <c r="I35" s="262"/>
      <c r="J35" s="262"/>
      <c r="K35" s="262"/>
      <c r="O35" s="253" t="s">
        <v>484</v>
      </c>
      <c r="Q35" s="303"/>
    </row>
    <row r="36" spans="1:17" ht="14.25">
      <c r="A36" s="257">
        <v>27</v>
      </c>
      <c r="B36" s="262" t="s">
        <v>485</v>
      </c>
      <c r="C36" s="262"/>
      <c r="D36" s="262"/>
      <c r="E36" s="262"/>
      <c r="F36" s="262"/>
      <c r="G36" s="262">
        <f>+B.6!G35</f>
        <v>16571767.975719998</v>
      </c>
      <c r="H36" s="262"/>
      <c r="I36" s="262"/>
      <c r="J36" s="262"/>
      <c r="K36" s="262"/>
      <c r="O36" s="253" t="s">
        <v>482</v>
      </c>
      <c r="Q36" s="303"/>
    </row>
    <row r="37" spans="1:17" ht="14.25">
      <c r="A37" s="257">
        <v>28</v>
      </c>
      <c r="B37" s="262" t="s">
        <v>483</v>
      </c>
      <c r="C37" s="262"/>
      <c r="D37" s="262"/>
      <c r="E37" s="262"/>
      <c r="F37" s="262"/>
      <c r="G37" s="262"/>
      <c r="H37" s="262"/>
      <c r="I37" s="262"/>
      <c r="J37" s="262"/>
      <c r="K37" s="262"/>
      <c r="O37" s="253" t="s">
        <v>480</v>
      </c>
      <c r="Q37" s="303"/>
    </row>
    <row r="38" spans="1:17" ht="14.25">
      <c r="A38" s="257">
        <v>29</v>
      </c>
      <c r="B38" s="262" t="s">
        <v>481</v>
      </c>
      <c r="C38" s="262"/>
      <c r="D38" s="262"/>
      <c r="E38" s="262"/>
      <c r="F38" s="262"/>
      <c r="G38" s="262">
        <f>+B.6!F35</f>
        <v>16851020.133679997</v>
      </c>
      <c r="H38" s="262"/>
      <c r="I38" s="262"/>
      <c r="J38" s="262"/>
      <c r="K38" s="262"/>
      <c r="O38" s="253" t="s">
        <v>479</v>
      </c>
    </row>
    <row r="39" spans="1:17" ht="14.25">
      <c r="A39" s="257">
        <v>30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O39" s="253" t="s">
        <v>477</v>
      </c>
    </row>
    <row r="40" spans="1:17" ht="14.25">
      <c r="A40" s="257">
        <v>31</v>
      </c>
      <c r="B40" s="262" t="s">
        <v>478</v>
      </c>
      <c r="C40" s="262"/>
      <c r="D40" s="262"/>
      <c r="E40" s="262"/>
      <c r="F40" s="262"/>
      <c r="G40" s="306">
        <f>H27</f>
        <v>0</v>
      </c>
      <c r="H40" s="313">
        <f>ROUND(G40/$G$38,4)</f>
        <v>0</v>
      </c>
      <c r="I40" s="260" t="s">
        <v>460</v>
      </c>
      <c r="J40" s="262"/>
      <c r="K40" s="262"/>
      <c r="O40" s="253" t="s">
        <v>475</v>
      </c>
    </row>
    <row r="41" spans="1:17" ht="14.25">
      <c r="A41" s="257">
        <v>32</v>
      </c>
      <c r="B41" s="262" t="s">
        <v>476</v>
      </c>
      <c r="C41" s="262"/>
      <c r="D41" s="262"/>
      <c r="E41" s="262"/>
      <c r="F41" s="262"/>
      <c r="G41" s="306">
        <f>H27</f>
        <v>0</v>
      </c>
      <c r="H41" s="313">
        <f>ROUND(G41/$G$36,4)</f>
        <v>0</v>
      </c>
      <c r="I41" s="260" t="s">
        <v>460</v>
      </c>
      <c r="J41" s="262"/>
      <c r="K41" s="262"/>
      <c r="O41" s="253" t="s">
        <v>473</v>
      </c>
    </row>
    <row r="42" spans="1:17" ht="14.25">
      <c r="A42" s="257">
        <v>33</v>
      </c>
      <c r="B42" s="262" t="s">
        <v>474</v>
      </c>
      <c r="C42" s="262"/>
      <c r="D42" s="262"/>
      <c r="E42" s="262"/>
      <c r="F42" s="262"/>
      <c r="G42" s="261">
        <f>I27</f>
        <v>0</v>
      </c>
      <c r="H42" s="262"/>
      <c r="I42" s="314">
        <f>ROUND(I27/G38,4)</f>
        <v>0</v>
      </c>
      <c r="J42" s="260" t="s">
        <v>460</v>
      </c>
      <c r="K42" s="262"/>
      <c r="O42" s="253" t="s">
        <v>471</v>
      </c>
    </row>
    <row r="43" spans="1:17" ht="15" thickBot="1">
      <c r="A43" s="257">
        <v>34</v>
      </c>
      <c r="B43" s="262" t="s">
        <v>472</v>
      </c>
      <c r="C43" s="262"/>
      <c r="D43" s="262"/>
      <c r="E43" s="262"/>
      <c r="F43" s="262"/>
      <c r="G43" s="262"/>
      <c r="H43" s="262"/>
      <c r="I43" s="262"/>
      <c r="J43" s="262"/>
      <c r="K43" s="260"/>
      <c r="O43" s="253" t="s">
        <v>469</v>
      </c>
    </row>
    <row r="44" spans="1:17" ht="15.75" thickBot="1">
      <c r="A44" s="257">
        <v>35</v>
      </c>
      <c r="B44" s="262" t="s">
        <v>470</v>
      </c>
      <c r="C44" s="262"/>
      <c r="D44" s="262"/>
      <c r="E44" s="262"/>
      <c r="F44" s="262"/>
      <c r="G44" s="262"/>
      <c r="H44" s="315">
        <f>SUM(H40:H41)</f>
        <v>0</v>
      </c>
      <c r="I44" s="258" t="s">
        <v>460</v>
      </c>
      <c r="J44" s="262"/>
      <c r="K44" s="262"/>
    </row>
    <row r="45" spans="1:17" ht="15.75" thickBot="1">
      <c r="A45" s="257">
        <v>36</v>
      </c>
      <c r="B45" s="262" t="s">
        <v>468</v>
      </c>
      <c r="C45" s="262"/>
      <c r="D45" s="262"/>
      <c r="E45" s="262"/>
      <c r="F45" s="262"/>
      <c r="G45" s="262"/>
      <c r="H45" s="316"/>
      <c r="I45" s="259"/>
      <c r="J45" s="262"/>
      <c r="K45" s="262"/>
      <c r="M45" s="253" t="s">
        <v>543</v>
      </c>
    </row>
    <row r="46" spans="1:17" ht="15.75" thickBot="1">
      <c r="A46" s="257">
        <v>37</v>
      </c>
      <c r="B46" s="262" t="s">
        <v>467</v>
      </c>
      <c r="C46" s="262"/>
      <c r="D46" s="262"/>
      <c r="E46" s="262"/>
      <c r="F46" s="262"/>
      <c r="G46" s="262"/>
      <c r="H46" s="315">
        <f>SUM(H40:H40)</f>
        <v>0</v>
      </c>
      <c r="I46" s="258" t="s">
        <v>460</v>
      </c>
      <c r="J46" s="262"/>
      <c r="K46" s="262"/>
      <c r="O46" s="253" t="s">
        <v>465</v>
      </c>
    </row>
    <row r="47" spans="1:17" ht="15" thickBot="1">
      <c r="A47" s="257">
        <v>38</v>
      </c>
      <c r="B47" s="262" t="s">
        <v>466</v>
      </c>
      <c r="C47" s="262"/>
      <c r="D47" s="262"/>
      <c r="E47" s="262"/>
      <c r="F47" s="262"/>
      <c r="G47" s="262"/>
      <c r="H47" s="262"/>
      <c r="I47" s="262"/>
      <c r="J47" s="262"/>
      <c r="K47" s="262"/>
      <c r="O47" s="253" t="s">
        <v>463</v>
      </c>
    </row>
    <row r="48" spans="1:17" ht="15.75" thickBot="1">
      <c r="A48" s="257">
        <v>39</v>
      </c>
      <c r="B48" s="262" t="s">
        <v>464</v>
      </c>
      <c r="C48" s="262"/>
      <c r="D48" s="262"/>
      <c r="E48" s="262"/>
      <c r="F48" s="262"/>
      <c r="G48" s="262"/>
      <c r="H48" s="262"/>
      <c r="I48" s="317">
        <f>I42+H44</f>
        <v>0</v>
      </c>
      <c r="J48" s="258" t="s">
        <v>460</v>
      </c>
      <c r="K48" s="262"/>
    </row>
    <row r="49" spans="1:20" ht="15.75" thickBot="1">
      <c r="A49" s="257">
        <v>40</v>
      </c>
      <c r="B49" s="262" t="s">
        <v>462</v>
      </c>
      <c r="C49" s="262"/>
      <c r="D49" s="262"/>
      <c r="E49" s="262"/>
      <c r="F49" s="262"/>
      <c r="G49" s="262"/>
      <c r="H49" s="262"/>
      <c r="I49" s="318"/>
      <c r="J49" s="259"/>
      <c r="K49" s="262"/>
    </row>
    <row r="50" spans="1:20" ht="15.75" thickBot="1">
      <c r="A50" s="257">
        <v>41</v>
      </c>
      <c r="B50" s="262" t="s">
        <v>461</v>
      </c>
      <c r="C50" s="262"/>
      <c r="D50" s="262"/>
      <c r="E50" s="262"/>
      <c r="F50" s="262"/>
      <c r="G50" s="262"/>
      <c r="H50" s="262"/>
      <c r="I50" s="317">
        <f>I42+H46</f>
        <v>0</v>
      </c>
      <c r="J50" s="258" t="s">
        <v>460</v>
      </c>
      <c r="K50" s="262"/>
      <c r="O50" s="253" t="s">
        <v>459</v>
      </c>
    </row>
    <row r="51" spans="1:20">
      <c r="O51" s="253" t="s">
        <v>458</v>
      </c>
    </row>
    <row r="52" spans="1:20">
      <c r="O52" s="253" t="s">
        <v>457</v>
      </c>
    </row>
    <row r="53" spans="1:20">
      <c r="O53" s="253" t="s">
        <v>456</v>
      </c>
    </row>
    <row r="54" spans="1:20">
      <c r="O54" s="253" t="s">
        <v>455</v>
      </c>
    </row>
    <row r="55" spans="1:20">
      <c r="O55" s="253" t="s">
        <v>454</v>
      </c>
    </row>
    <row r="56" spans="1:20" ht="92.25" customHeight="1">
      <c r="O56" s="514" t="s">
        <v>524</v>
      </c>
      <c r="P56" s="515"/>
      <c r="Q56" s="515"/>
      <c r="R56" s="515"/>
      <c r="S56" s="515"/>
      <c r="T56" s="515"/>
    </row>
    <row r="57" spans="1:20" ht="141.75" customHeight="1">
      <c r="O57" s="514" t="s">
        <v>525</v>
      </c>
      <c r="P57" s="515"/>
      <c r="Q57" s="515"/>
      <c r="R57" s="515"/>
      <c r="S57" s="515"/>
      <c r="T57" s="515"/>
    </row>
    <row r="58" spans="1:20">
      <c r="O58" s="253" t="s">
        <v>453</v>
      </c>
    </row>
    <row r="59" spans="1:20">
      <c r="O59" s="253" t="s">
        <v>452</v>
      </c>
    </row>
    <row r="60" spans="1:20">
      <c r="O60" s="253" t="s">
        <v>451</v>
      </c>
    </row>
    <row r="61" spans="1:20">
      <c r="O61" s="253" t="s">
        <v>450</v>
      </c>
    </row>
    <row r="62" spans="1:20">
      <c r="O62" s="253" t="s">
        <v>449</v>
      </c>
    </row>
    <row r="63" spans="1:20">
      <c r="O63" s="253" t="s">
        <v>448</v>
      </c>
    </row>
    <row r="65" spans="15:15">
      <c r="O65" s="253" t="s">
        <v>447</v>
      </c>
    </row>
    <row r="67" spans="15:15">
      <c r="O67" s="253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30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N36"/>
  <sheetViews>
    <sheetView zoomScale="80" zoomScaleNormal="80" zoomScaleSheetLayoutView="130" workbookViewId="0">
      <selection activeCell="L35" sqref="L35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4">
      <c r="A1" s="6" t="s">
        <v>32</v>
      </c>
      <c r="K1" s="18" t="s">
        <v>31</v>
      </c>
    </row>
    <row r="2" spans="1:14">
      <c r="A2" s="1" t="str">
        <f>A.1!A2</f>
        <v>Comparison of Current and Previous Cases</v>
      </c>
      <c r="K2" s="18" t="s">
        <v>36</v>
      </c>
    </row>
    <row r="3" spans="1:14">
      <c r="A3" s="1" t="s">
        <v>35</v>
      </c>
    </row>
    <row r="5" spans="1:14">
      <c r="G5" s="2" t="s">
        <v>27</v>
      </c>
      <c r="I5" s="2" t="s">
        <v>26</v>
      </c>
      <c r="K5" s="2" t="s">
        <v>25</v>
      </c>
    </row>
    <row r="6" spans="1:14">
      <c r="A6" s="17" t="s">
        <v>24</v>
      </c>
      <c r="B6" s="6"/>
      <c r="C6" s="6"/>
      <c r="D6" s="6"/>
      <c r="E6" s="6"/>
      <c r="F6" s="6"/>
      <c r="G6" s="497" t="s">
        <v>3</v>
      </c>
      <c r="H6" s="497"/>
      <c r="I6" s="497"/>
      <c r="J6" s="6"/>
      <c r="K6" s="6"/>
    </row>
    <row r="7" spans="1:14">
      <c r="A7" s="16" t="s">
        <v>23</v>
      </c>
      <c r="B7" s="14" t="s">
        <v>22</v>
      </c>
      <c r="C7" s="14"/>
      <c r="D7" s="14"/>
      <c r="E7" s="14"/>
      <c r="F7" s="14"/>
      <c r="G7" s="19" t="str">
        <f>A.1!G7</f>
        <v>2023-00095</v>
      </c>
      <c r="H7" s="14"/>
      <c r="I7" s="19" t="str">
        <f>A.1!I7</f>
        <v>2023-00198</v>
      </c>
      <c r="J7" s="14"/>
      <c r="K7" s="14" t="s">
        <v>21</v>
      </c>
    </row>
    <row r="8" spans="1:14">
      <c r="G8" s="2" t="s">
        <v>20</v>
      </c>
      <c r="I8" s="2" t="s">
        <v>20</v>
      </c>
      <c r="K8" s="2" t="s">
        <v>20</v>
      </c>
    </row>
    <row r="9" spans="1:14">
      <c r="A9" s="3">
        <v>1</v>
      </c>
      <c r="B9" s="7" t="s">
        <v>34</v>
      </c>
    </row>
    <row r="10" spans="1:14">
      <c r="A10" s="3">
        <v>2</v>
      </c>
    </row>
    <row r="11" spans="1:14">
      <c r="A11" s="3">
        <v>3</v>
      </c>
      <c r="B11" s="464" t="s">
        <v>552</v>
      </c>
    </row>
    <row r="12" spans="1:14">
      <c r="A12" s="3">
        <v>4</v>
      </c>
      <c r="B12" s="8" t="s">
        <v>6</v>
      </c>
      <c r="C12" s="3">
        <v>300</v>
      </c>
      <c r="D12" s="1" t="s">
        <v>4</v>
      </c>
      <c r="G12" s="321">
        <v>1.5483</v>
      </c>
      <c r="H12" s="335"/>
      <c r="I12" s="4">
        <v>1.5483</v>
      </c>
      <c r="K12" s="4">
        <f>I12-G12</f>
        <v>0</v>
      </c>
    </row>
    <row r="13" spans="1:14">
      <c r="A13" s="3">
        <v>5</v>
      </c>
      <c r="B13" s="8" t="s">
        <v>18</v>
      </c>
      <c r="C13" s="3">
        <v>14700</v>
      </c>
      <c r="D13" s="1" t="s">
        <v>4</v>
      </c>
      <c r="G13" s="321">
        <v>1.0762</v>
      </c>
      <c r="H13" s="335"/>
      <c r="I13" s="4">
        <v>1.0762</v>
      </c>
      <c r="K13" s="4">
        <f>I13-G13</f>
        <v>0</v>
      </c>
    </row>
    <row r="14" spans="1:14">
      <c r="A14" s="3">
        <v>6</v>
      </c>
      <c r="B14" s="8" t="s">
        <v>5</v>
      </c>
      <c r="C14" s="3">
        <v>15000</v>
      </c>
      <c r="D14" s="1" t="s">
        <v>4</v>
      </c>
      <c r="G14" s="321">
        <v>0.88880000000000003</v>
      </c>
      <c r="I14" s="4">
        <v>0.88880000000000003</v>
      </c>
      <c r="K14" s="4">
        <f>I14-G14</f>
        <v>0</v>
      </c>
    </row>
    <row r="15" spans="1:14">
      <c r="A15" s="3">
        <v>7</v>
      </c>
      <c r="N15" s="300"/>
    </row>
    <row r="16" spans="1:14">
      <c r="A16" s="3">
        <v>8</v>
      </c>
      <c r="N16" s="300"/>
    </row>
    <row r="17" spans="1:14">
      <c r="A17" s="3">
        <v>9</v>
      </c>
      <c r="B17" s="7" t="s">
        <v>33</v>
      </c>
      <c r="N17" s="300"/>
    </row>
    <row r="18" spans="1:14">
      <c r="A18" s="3">
        <v>10</v>
      </c>
      <c r="N18" s="300"/>
    </row>
    <row r="19" spans="1:14">
      <c r="A19" s="3">
        <v>11</v>
      </c>
      <c r="B19" s="464" t="str">
        <f>+B11</f>
        <v>Simple Margin / Distribution Charge (per Case No. 2015-00343)</v>
      </c>
      <c r="N19" s="300"/>
    </row>
    <row r="20" spans="1:14">
      <c r="A20" s="3">
        <v>12</v>
      </c>
      <c r="B20" s="8" t="s">
        <v>6</v>
      </c>
      <c r="C20" s="3">
        <v>15000</v>
      </c>
      <c r="D20" s="1" t="s">
        <v>4</v>
      </c>
      <c r="G20" s="321">
        <v>0.95569999999999999</v>
      </c>
      <c r="H20" s="335"/>
      <c r="I20" s="4">
        <v>0.95569999999999999</v>
      </c>
      <c r="K20" s="4">
        <f>I20-G20</f>
        <v>0</v>
      </c>
      <c r="N20" s="300"/>
    </row>
    <row r="21" spans="1:14">
      <c r="A21" s="3">
        <v>13</v>
      </c>
      <c r="B21" s="8" t="s">
        <v>5</v>
      </c>
      <c r="C21" s="3">
        <v>15000</v>
      </c>
      <c r="D21" s="1" t="s">
        <v>4</v>
      </c>
      <c r="G21" s="321">
        <v>0.78369999999999995</v>
      </c>
      <c r="H21" s="335"/>
      <c r="I21" s="4">
        <v>0.78369999999999995</v>
      </c>
      <c r="K21" s="4">
        <f>I21-G21</f>
        <v>0</v>
      </c>
      <c r="N21" s="300"/>
    </row>
    <row r="22" spans="1:14">
      <c r="A22" s="3">
        <v>14</v>
      </c>
      <c r="N22" s="300"/>
    </row>
    <row r="23" spans="1:14">
      <c r="A23" s="3"/>
      <c r="N23" s="300"/>
    </row>
    <row r="24" spans="1:14">
      <c r="A24" s="3"/>
    </row>
    <row r="25" spans="1:14">
      <c r="A25" s="3"/>
    </row>
    <row r="26" spans="1:14">
      <c r="A26" s="3"/>
    </row>
    <row r="27" spans="1:14">
      <c r="A27" s="3"/>
    </row>
    <row r="28" spans="1:14">
      <c r="A28" s="3"/>
    </row>
    <row r="29" spans="1:14">
      <c r="A29" s="3"/>
    </row>
    <row r="30" spans="1:14">
      <c r="A30" s="3"/>
    </row>
    <row r="31" spans="1:14">
      <c r="A31" s="3"/>
    </row>
    <row r="32" spans="1:14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239" customWidth="1"/>
    <col min="3" max="4" width="2.85546875" style="239" customWidth="1"/>
    <col min="5" max="8" width="9.28515625" style="239" customWidth="1"/>
    <col min="9" max="9" width="24" style="239" customWidth="1"/>
    <col min="10" max="10" width="9.28515625" style="239" customWidth="1"/>
    <col min="11" max="11" width="11.5703125" style="239" customWidth="1"/>
    <col min="12" max="16384" width="9.28515625" style="239"/>
  </cols>
  <sheetData>
    <row r="1" spans="1:12">
      <c r="A1" s="252" t="s">
        <v>443</v>
      </c>
      <c r="B1" s="252"/>
      <c r="C1" s="251"/>
      <c r="D1" s="251"/>
      <c r="E1" s="251"/>
      <c r="F1" s="251"/>
      <c r="G1" s="251"/>
      <c r="H1" s="251"/>
      <c r="I1" s="251"/>
      <c r="J1" s="251"/>
      <c r="K1" s="239" t="s">
        <v>442</v>
      </c>
    </row>
    <row r="2" spans="1:12">
      <c r="A2" s="252" t="s">
        <v>441</v>
      </c>
      <c r="B2" s="252"/>
      <c r="C2" s="251"/>
      <c r="D2" s="251"/>
      <c r="E2" s="251"/>
      <c r="F2" s="251"/>
      <c r="G2" s="251"/>
      <c r="H2" s="251"/>
      <c r="I2" s="251"/>
      <c r="J2" s="251"/>
      <c r="K2" s="239" t="s">
        <v>36</v>
      </c>
    </row>
    <row r="3" spans="1:12">
      <c r="A3" s="252" t="s">
        <v>440</v>
      </c>
      <c r="B3" s="252"/>
      <c r="C3" s="251"/>
      <c r="D3" s="251"/>
      <c r="E3" s="251"/>
      <c r="F3" s="251"/>
      <c r="G3" s="251"/>
      <c r="H3" s="251"/>
      <c r="I3" s="251"/>
      <c r="J3" s="251"/>
    </row>
    <row r="6" spans="1:12">
      <c r="A6" s="239" t="s">
        <v>439</v>
      </c>
    </row>
    <row r="8" spans="1:12">
      <c r="A8" s="239" t="s">
        <v>438</v>
      </c>
      <c r="J8" s="239" t="str">
        <f>+E.1!A3</f>
        <v>Case No. 2016-00129</v>
      </c>
      <c r="K8" s="348"/>
      <c r="L8" s="250"/>
    </row>
    <row r="9" spans="1:12">
      <c r="A9" s="239" t="s">
        <v>522</v>
      </c>
    </row>
    <row r="12" spans="1:12">
      <c r="A12" s="239" t="s">
        <v>437</v>
      </c>
    </row>
    <row r="14" spans="1:12">
      <c r="A14" s="239" t="s">
        <v>549</v>
      </c>
    </row>
    <row r="15" spans="1:12">
      <c r="A15" s="239" t="s">
        <v>436</v>
      </c>
    </row>
    <row r="17" spans="3:9">
      <c r="I17" s="242"/>
    </row>
    <row r="19" spans="3:9">
      <c r="C19" s="239" t="s">
        <v>435</v>
      </c>
    </row>
    <row r="21" spans="3:9">
      <c r="C21" s="239" t="s">
        <v>434</v>
      </c>
      <c r="I21" s="319">
        <f>-E.1!K14</f>
        <v>0</v>
      </c>
    </row>
    <row r="22" spans="3:9">
      <c r="C22" s="239" t="s">
        <v>433</v>
      </c>
      <c r="I22" s="242">
        <v>0</v>
      </c>
    </row>
    <row r="23" spans="3:9">
      <c r="C23" s="239" t="s">
        <v>432</v>
      </c>
      <c r="I23" s="244">
        <f>I24-I21-I22</f>
        <v>0</v>
      </c>
    </row>
    <row r="24" spans="3:9" ht="16.5" thickBot="1">
      <c r="E24" s="239" t="s">
        <v>114</v>
      </c>
      <c r="I24" s="249">
        <f>-I35</f>
        <v>0</v>
      </c>
    </row>
    <row r="25" spans="3:9" ht="16.5" thickTop="1">
      <c r="I25" s="248"/>
    </row>
    <row r="27" spans="3:9">
      <c r="C27" s="239" t="s">
        <v>431</v>
      </c>
    </row>
    <row r="29" spans="3:9">
      <c r="C29" s="239" t="s">
        <v>231</v>
      </c>
    </row>
    <row r="30" spans="3:9">
      <c r="D30" s="239" t="s">
        <v>430</v>
      </c>
      <c r="I30" s="247">
        <f>'WP-E.1'!B23</f>
        <v>0</v>
      </c>
    </row>
    <row r="31" spans="3:9">
      <c r="D31" s="239" t="s">
        <v>429</v>
      </c>
      <c r="I31" s="246">
        <f>'WP-E.1'!C23</f>
        <v>0</v>
      </c>
    </row>
    <row r="32" spans="3:9">
      <c r="D32" s="239" t="s">
        <v>428</v>
      </c>
      <c r="I32" s="246">
        <f>'WP-E.1'!D23</f>
        <v>0</v>
      </c>
    </row>
    <row r="33" spans="3:9">
      <c r="D33" s="239" t="s">
        <v>427</v>
      </c>
      <c r="I33" s="246">
        <f>'WP-E.1'!E23</f>
        <v>0</v>
      </c>
    </row>
    <row r="34" spans="3:9">
      <c r="C34" s="245" t="s">
        <v>279</v>
      </c>
      <c r="I34" s="244"/>
    </row>
    <row r="35" spans="3:9" ht="16.5" thickBot="1">
      <c r="E35" s="239" t="s">
        <v>114</v>
      </c>
      <c r="I35" s="243">
        <f>SUM(I30:I34)</f>
        <v>0</v>
      </c>
    </row>
    <row r="36" spans="3:9" ht="16.5" thickTop="1">
      <c r="I36" s="242"/>
    </row>
    <row r="39" spans="3:9">
      <c r="E39" s="241"/>
    </row>
    <row r="47" spans="3:9">
      <c r="I47" s="240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34"/>
  </sheetPr>
  <dimension ref="A1:Q41"/>
  <sheetViews>
    <sheetView zoomScale="80" zoomScaleNormal="80" workbookViewId="0">
      <selection activeCell="L27" sqref="L27"/>
    </sheetView>
  </sheetViews>
  <sheetFormatPr defaultColWidth="9.28515625" defaultRowHeight="12.75"/>
  <cols>
    <col min="1" max="5" width="9.28515625" style="352" customWidth="1"/>
    <col min="6" max="6" width="6.85546875" style="352" customWidth="1"/>
    <col min="7" max="7" width="9.5703125" style="352" bestFit="1" customWidth="1"/>
    <col min="8" max="8" width="15.140625" style="352" bestFit="1" customWidth="1"/>
    <col min="9" max="9" width="14.85546875" style="352" customWidth="1"/>
    <col min="10" max="10" width="9.28515625" style="352"/>
    <col min="11" max="11" width="9.42578125" style="352" customWidth="1"/>
    <col min="12" max="12" width="9.28515625" style="352"/>
    <col min="13" max="13" width="9.85546875" style="352" customWidth="1"/>
    <col min="14" max="256" width="9.28515625" style="352"/>
    <col min="257" max="261" width="9.28515625" style="352" customWidth="1"/>
    <col min="262" max="262" width="6.85546875" style="352" customWidth="1"/>
    <col min="263" max="263" width="9.140625" style="352" customWidth="1"/>
    <col min="264" max="264" width="14" style="352" bestFit="1" customWidth="1"/>
    <col min="265" max="265" width="14.85546875" style="352" customWidth="1"/>
    <col min="266" max="512" width="9.28515625" style="352"/>
    <col min="513" max="517" width="9.28515625" style="352" customWidth="1"/>
    <col min="518" max="518" width="6.85546875" style="352" customWidth="1"/>
    <col min="519" max="519" width="9.140625" style="352" customWidth="1"/>
    <col min="520" max="520" width="14" style="352" bestFit="1" customWidth="1"/>
    <col min="521" max="521" width="14.85546875" style="352" customWidth="1"/>
    <col min="522" max="768" width="9.28515625" style="352"/>
    <col min="769" max="773" width="9.28515625" style="352" customWidth="1"/>
    <col min="774" max="774" width="6.85546875" style="352" customWidth="1"/>
    <col min="775" max="775" width="9.140625" style="352" customWidth="1"/>
    <col min="776" max="776" width="14" style="352" bestFit="1" customWidth="1"/>
    <col min="777" max="777" width="14.85546875" style="352" customWidth="1"/>
    <col min="778" max="1024" width="9.28515625" style="352"/>
    <col min="1025" max="1029" width="9.28515625" style="352" customWidth="1"/>
    <col min="1030" max="1030" width="6.85546875" style="352" customWidth="1"/>
    <col min="1031" max="1031" width="9.140625" style="352" customWidth="1"/>
    <col min="1032" max="1032" width="14" style="352" bestFit="1" customWidth="1"/>
    <col min="1033" max="1033" width="14.85546875" style="352" customWidth="1"/>
    <col min="1034" max="1280" width="9.28515625" style="352"/>
    <col min="1281" max="1285" width="9.28515625" style="352" customWidth="1"/>
    <col min="1286" max="1286" width="6.85546875" style="352" customWidth="1"/>
    <col min="1287" max="1287" width="9.140625" style="352" customWidth="1"/>
    <col min="1288" max="1288" width="14" style="352" bestFit="1" customWidth="1"/>
    <col min="1289" max="1289" width="14.85546875" style="352" customWidth="1"/>
    <col min="1290" max="1536" width="9.28515625" style="352"/>
    <col min="1537" max="1541" width="9.28515625" style="352" customWidth="1"/>
    <col min="1542" max="1542" width="6.85546875" style="352" customWidth="1"/>
    <col min="1543" max="1543" width="9.140625" style="352" customWidth="1"/>
    <col min="1544" max="1544" width="14" style="352" bestFit="1" customWidth="1"/>
    <col min="1545" max="1545" width="14.85546875" style="352" customWidth="1"/>
    <col min="1546" max="1792" width="9.28515625" style="352"/>
    <col min="1793" max="1797" width="9.28515625" style="352" customWidth="1"/>
    <col min="1798" max="1798" width="6.85546875" style="352" customWidth="1"/>
    <col min="1799" max="1799" width="9.140625" style="352" customWidth="1"/>
    <col min="1800" max="1800" width="14" style="352" bestFit="1" customWidth="1"/>
    <col min="1801" max="1801" width="14.85546875" style="352" customWidth="1"/>
    <col min="1802" max="2048" width="9.28515625" style="352"/>
    <col min="2049" max="2053" width="9.28515625" style="352" customWidth="1"/>
    <col min="2054" max="2054" width="6.85546875" style="352" customWidth="1"/>
    <col min="2055" max="2055" width="9.140625" style="352" customWidth="1"/>
    <col min="2056" max="2056" width="14" style="352" bestFit="1" customWidth="1"/>
    <col min="2057" max="2057" width="14.85546875" style="352" customWidth="1"/>
    <col min="2058" max="2304" width="9.28515625" style="352"/>
    <col min="2305" max="2309" width="9.28515625" style="352" customWidth="1"/>
    <col min="2310" max="2310" width="6.85546875" style="352" customWidth="1"/>
    <col min="2311" max="2311" width="9.140625" style="352" customWidth="1"/>
    <col min="2312" max="2312" width="14" style="352" bestFit="1" customWidth="1"/>
    <col min="2313" max="2313" width="14.85546875" style="352" customWidth="1"/>
    <col min="2314" max="2560" width="9.28515625" style="352"/>
    <col min="2561" max="2565" width="9.28515625" style="352" customWidth="1"/>
    <col min="2566" max="2566" width="6.85546875" style="352" customWidth="1"/>
    <col min="2567" max="2567" width="9.140625" style="352" customWidth="1"/>
    <col min="2568" max="2568" width="14" style="352" bestFit="1" customWidth="1"/>
    <col min="2569" max="2569" width="14.85546875" style="352" customWidth="1"/>
    <col min="2570" max="2816" width="9.28515625" style="352"/>
    <col min="2817" max="2821" width="9.28515625" style="352" customWidth="1"/>
    <col min="2822" max="2822" width="6.85546875" style="352" customWidth="1"/>
    <col min="2823" max="2823" width="9.140625" style="352" customWidth="1"/>
    <col min="2824" max="2824" width="14" style="352" bestFit="1" customWidth="1"/>
    <col min="2825" max="2825" width="14.85546875" style="352" customWidth="1"/>
    <col min="2826" max="3072" width="9.28515625" style="352"/>
    <col min="3073" max="3077" width="9.28515625" style="352" customWidth="1"/>
    <col min="3078" max="3078" width="6.85546875" style="352" customWidth="1"/>
    <col min="3079" max="3079" width="9.140625" style="352" customWidth="1"/>
    <col min="3080" max="3080" width="14" style="352" bestFit="1" customWidth="1"/>
    <col min="3081" max="3081" width="14.85546875" style="352" customWidth="1"/>
    <col min="3082" max="3328" width="9.28515625" style="352"/>
    <col min="3329" max="3333" width="9.28515625" style="352" customWidth="1"/>
    <col min="3334" max="3334" width="6.85546875" style="352" customWidth="1"/>
    <col min="3335" max="3335" width="9.140625" style="352" customWidth="1"/>
    <col min="3336" max="3336" width="14" style="352" bestFit="1" customWidth="1"/>
    <col min="3337" max="3337" width="14.85546875" style="352" customWidth="1"/>
    <col min="3338" max="3584" width="9.28515625" style="352"/>
    <col min="3585" max="3589" width="9.28515625" style="352" customWidth="1"/>
    <col min="3590" max="3590" width="6.85546875" style="352" customWidth="1"/>
    <col min="3591" max="3591" width="9.140625" style="352" customWidth="1"/>
    <col min="3592" max="3592" width="14" style="352" bestFit="1" customWidth="1"/>
    <col min="3593" max="3593" width="14.85546875" style="352" customWidth="1"/>
    <col min="3594" max="3840" width="9.28515625" style="352"/>
    <col min="3841" max="3845" width="9.28515625" style="352" customWidth="1"/>
    <col min="3846" max="3846" width="6.85546875" style="352" customWidth="1"/>
    <col min="3847" max="3847" width="9.140625" style="352" customWidth="1"/>
    <col min="3848" max="3848" width="14" style="352" bestFit="1" customWidth="1"/>
    <col min="3849" max="3849" width="14.85546875" style="352" customWidth="1"/>
    <col min="3850" max="4096" width="9.28515625" style="352"/>
    <col min="4097" max="4101" width="9.28515625" style="352" customWidth="1"/>
    <col min="4102" max="4102" width="6.85546875" style="352" customWidth="1"/>
    <col min="4103" max="4103" width="9.140625" style="352" customWidth="1"/>
    <col min="4104" max="4104" width="14" style="352" bestFit="1" customWidth="1"/>
    <col min="4105" max="4105" width="14.85546875" style="352" customWidth="1"/>
    <col min="4106" max="4352" width="9.28515625" style="352"/>
    <col min="4353" max="4357" width="9.28515625" style="352" customWidth="1"/>
    <col min="4358" max="4358" width="6.85546875" style="352" customWidth="1"/>
    <col min="4359" max="4359" width="9.140625" style="352" customWidth="1"/>
    <col min="4360" max="4360" width="14" style="352" bestFit="1" customWidth="1"/>
    <col min="4361" max="4361" width="14.85546875" style="352" customWidth="1"/>
    <col min="4362" max="4608" width="9.28515625" style="352"/>
    <col min="4609" max="4613" width="9.28515625" style="352" customWidth="1"/>
    <col min="4614" max="4614" width="6.85546875" style="352" customWidth="1"/>
    <col min="4615" max="4615" width="9.140625" style="352" customWidth="1"/>
    <col min="4616" max="4616" width="14" style="352" bestFit="1" customWidth="1"/>
    <col min="4617" max="4617" width="14.85546875" style="352" customWidth="1"/>
    <col min="4618" max="4864" width="9.28515625" style="352"/>
    <col min="4865" max="4869" width="9.28515625" style="352" customWidth="1"/>
    <col min="4870" max="4870" width="6.85546875" style="352" customWidth="1"/>
    <col min="4871" max="4871" width="9.140625" style="352" customWidth="1"/>
    <col min="4872" max="4872" width="14" style="352" bestFit="1" customWidth="1"/>
    <col min="4873" max="4873" width="14.85546875" style="352" customWidth="1"/>
    <col min="4874" max="5120" width="9.28515625" style="352"/>
    <col min="5121" max="5125" width="9.28515625" style="352" customWidth="1"/>
    <col min="5126" max="5126" width="6.85546875" style="352" customWidth="1"/>
    <col min="5127" max="5127" width="9.140625" style="352" customWidth="1"/>
    <col min="5128" max="5128" width="14" style="352" bestFit="1" customWidth="1"/>
    <col min="5129" max="5129" width="14.85546875" style="352" customWidth="1"/>
    <col min="5130" max="5376" width="9.28515625" style="352"/>
    <col min="5377" max="5381" width="9.28515625" style="352" customWidth="1"/>
    <col min="5382" max="5382" width="6.85546875" style="352" customWidth="1"/>
    <col min="5383" max="5383" width="9.140625" style="352" customWidth="1"/>
    <col min="5384" max="5384" width="14" style="352" bestFit="1" customWidth="1"/>
    <col min="5385" max="5385" width="14.85546875" style="352" customWidth="1"/>
    <col min="5386" max="5632" width="9.28515625" style="352"/>
    <col min="5633" max="5637" width="9.28515625" style="352" customWidth="1"/>
    <col min="5638" max="5638" width="6.85546875" style="352" customWidth="1"/>
    <col min="5639" max="5639" width="9.140625" style="352" customWidth="1"/>
    <col min="5640" max="5640" width="14" style="352" bestFit="1" customWidth="1"/>
    <col min="5641" max="5641" width="14.85546875" style="352" customWidth="1"/>
    <col min="5642" max="5888" width="9.28515625" style="352"/>
    <col min="5889" max="5893" width="9.28515625" style="352" customWidth="1"/>
    <col min="5894" max="5894" width="6.85546875" style="352" customWidth="1"/>
    <col min="5895" max="5895" width="9.140625" style="352" customWidth="1"/>
    <col min="5896" max="5896" width="14" style="352" bestFit="1" customWidth="1"/>
    <col min="5897" max="5897" width="14.85546875" style="352" customWidth="1"/>
    <col min="5898" max="6144" width="9.28515625" style="352"/>
    <col min="6145" max="6149" width="9.28515625" style="352" customWidth="1"/>
    <col min="6150" max="6150" width="6.85546875" style="352" customWidth="1"/>
    <col min="6151" max="6151" width="9.140625" style="352" customWidth="1"/>
    <col min="6152" max="6152" width="14" style="352" bestFit="1" customWidth="1"/>
    <col min="6153" max="6153" width="14.85546875" style="352" customWidth="1"/>
    <col min="6154" max="6400" width="9.28515625" style="352"/>
    <col min="6401" max="6405" width="9.28515625" style="352" customWidth="1"/>
    <col min="6406" max="6406" width="6.85546875" style="352" customWidth="1"/>
    <col min="6407" max="6407" width="9.140625" style="352" customWidth="1"/>
    <col min="6408" max="6408" width="14" style="352" bestFit="1" customWidth="1"/>
    <col min="6409" max="6409" width="14.85546875" style="352" customWidth="1"/>
    <col min="6410" max="6656" width="9.28515625" style="352"/>
    <col min="6657" max="6661" width="9.28515625" style="352" customWidth="1"/>
    <col min="6662" max="6662" width="6.85546875" style="352" customWidth="1"/>
    <col min="6663" max="6663" width="9.140625" style="352" customWidth="1"/>
    <col min="6664" max="6664" width="14" style="352" bestFit="1" customWidth="1"/>
    <col min="6665" max="6665" width="14.85546875" style="352" customWidth="1"/>
    <col min="6666" max="6912" width="9.28515625" style="352"/>
    <col min="6913" max="6917" width="9.28515625" style="352" customWidth="1"/>
    <col min="6918" max="6918" width="6.85546875" style="352" customWidth="1"/>
    <col min="6919" max="6919" width="9.140625" style="352" customWidth="1"/>
    <col min="6920" max="6920" width="14" style="352" bestFit="1" customWidth="1"/>
    <col min="6921" max="6921" width="14.85546875" style="352" customWidth="1"/>
    <col min="6922" max="7168" width="9.28515625" style="352"/>
    <col min="7169" max="7173" width="9.28515625" style="352" customWidth="1"/>
    <col min="7174" max="7174" width="6.85546875" style="352" customWidth="1"/>
    <col min="7175" max="7175" width="9.140625" style="352" customWidth="1"/>
    <col min="7176" max="7176" width="14" style="352" bestFit="1" customWidth="1"/>
    <col min="7177" max="7177" width="14.85546875" style="352" customWidth="1"/>
    <col min="7178" max="7424" width="9.28515625" style="352"/>
    <col min="7425" max="7429" width="9.28515625" style="352" customWidth="1"/>
    <col min="7430" max="7430" width="6.85546875" style="352" customWidth="1"/>
    <col min="7431" max="7431" width="9.140625" style="352" customWidth="1"/>
    <col min="7432" max="7432" width="14" style="352" bestFit="1" customWidth="1"/>
    <col min="7433" max="7433" width="14.85546875" style="352" customWidth="1"/>
    <col min="7434" max="7680" width="9.28515625" style="352"/>
    <col min="7681" max="7685" width="9.28515625" style="352" customWidth="1"/>
    <col min="7686" max="7686" width="6.85546875" style="352" customWidth="1"/>
    <col min="7687" max="7687" width="9.140625" style="352" customWidth="1"/>
    <col min="7688" max="7688" width="14" style="352" bestFit="1" customWidth="1"/>
    <col min="7689" max="7689" width="14.85546875" style="352" customWidth="1"/>
    <col min="7690" max="7936" width="9.28515625" style="352"/>
    <col min="7937" max="7941" width="9.28515625" style="352" customWidth="1"/>
    <col min="7942" max="7942" width="6.85546875" style="352" customWidth="1"/>
    <col min="7943" max="7943" width="9.140625" style="352" customWidth="1"/>
    <col min="7944" max="7944" width="14" style="352" bestFit="1" customWidth="1"/>
    <col min="7945" max="7945" width="14.85546875" style="352" customWidth="1"/>
    <col min="7946" max="8192" width="9.28515625" style="352"/>
    <col min="8193" max="8197" width="9.28515625" style="352" customWidth="1"/>
    <col min="8198" max="8198" width="6.85546875" style="352" customWidth="1"/>
    <col min="8199" max="8199" width="9.140625" style="352" customWidth="1"/>
    <col min="8200" max="8200" width="14" style="352" bestFit="1" customWidth="1"/>
    <col min="8201" max="8201" width="14.85546875" style="352" customWidth="1"/>
    <col min="8202" max="8448" width="9.28515625" style="352"/>
    <col min="8449" max="8453" width="9.28515625" style="352" customWidth="1"/>
    <col min="8454" max="8454" width="6.85546875" style="352" customWidth="1"/>
    <col min="8455" max="8455" width="9.140625" style="352" customWidth="1"/>
    <col min="8456" max="8456" width="14" style="352" bestFit="1" customWidth="1"/>
    <col min="8457" max="8457" width="14.85546875" style="352" customWidth="1"/>
    <col min="8458" max="8704" width="9.28515625" style="352"/>
    <col min="8705" max="8709" width="9.28515625" style="352" customWidth="1"/>
    <col min="8710" max="8710" width="6.85546875" style="352" customWidth="1"/>
    <col min="8711" max="8711" width="9.140625" style="352" customWidth="1"/>
    <col min="8712" max="8712" width="14" style="352" bestFit="1" customWidth="1"/>
    <col min="8713" max="8713" width="14.85546875" style="352" customWidth="1"/>
    <col min="8714" max="8960" width="9.28515625" style="352"/>
    <col min="8961" max="8965" width="9.28515625" style="352" customWidth="1"/>
    <col min="8966" max="8966" width="6.85546875" style="352" customWidth="1"/>
    <col min="8967" max="8967" width="9.140625" style="352" customWidth="1"/>
    <col min="8968" max="8968" width="14" style="352" bestFit="1" customWidth="1"/>
    <col min="8969" max="8969" width="14.85546875" style="352" customWidth="1"/>
    <col min="8970" max="9216" width="9.28515625" style="352"/>
    <col min="9217" max="9221" width="9.28515625" style="352" customWidth="1"/>
    <col min="9222" max="9222" width="6.85546875" style="352" customWidth="1"/>
    <col min="9223" max="9223" width="9.140625" style="352" customWidth="1"/>
    <col min="9224" max="9224" width="14" style="352" bestFit="1" customWidth="1"/>
    <col min="9225" max="9225" width="14.85546875" style="352" customWidth="1"/>
    <col min="9226" max="9472" width="9.28515625" style="352"/>
    <col min="9473" max="9477" width="9.28515625" style="352" customWidth="1"/>
    <col min="9478" max="9478" width="6.85546875" style="352" customWidth="1"/>
    <col min="9479" max="9479" width="9.140625" style="352" customWidth="1"/>
    <col min="9480" max="9480" width="14" style="352" bestFit="1" customWidth="1"/>
    <col min="9481" max="9481" width="14.85546875" style="352" customWidth="1"/>
    <col min="9482" max="9728" width="9.28515625" style="352"/>
    <col min="9729" max="9733" width="9.28515625" style="352" customWidth="1"/>
    <col min="9734" max="9734" width="6.85546875" style="352" customWidth="1"/>
    <col min="9735" max="9735" width="9.140625" style="352" customWidth="1"/>
    <col min="9736" max="9736" width="14" style="352" bestFit="1" customWidth="1"/>
    <col min="9737" max="9737" width="14.85546875" style="352" customWidth="1"/>
    <col min="9738" max="9984" width="9.28515625" style="352"/>
    <col min="9985" max="9989" width="9.28515625" style="352" customWidth="1"/>
    <col min="9990" max="9990" width="6.85546875" style="352" customWidth="1"/>
    <col min="9991" max="9991" width="9.140625" style="352" customWidth="1"/>
    <col min="9992" max="9992" width="14" style="352" bestFit="1" customWidth="1"/>
    <col min="9993" max="9993" width="14.85546875" style="352" customWidth="1"/>
    <col min="9994" max="10240" width="9.28515625" style="352"/>
    <col min="10241" max="10245" width="9.28515625" style="352" customWidth="1"/>
    <col min="10246" max="10246" width="6.85546875" style="352" customWidth="1"/>
    <col min="10247" max="10247" width="9.140625" style="352" customWidth="1"/>
    <col min="10248" max="10248" width="14" style="352" bestFit="1" customWidth="1"/>
    <col min="10249" max="10249" width="14.85546875" style="352" customWidth="1"/>
    <col min="10250" max="10496" width="9.28515625" style="352"/>
    <col min="10497" max="10501" width="9.28515625" style="352" customWidth="1"/>
    <col min="10502" max="10502" width="6.85546875" style="352" customWidth="1"/>
    <col min="10503" max="10503" width="9.140625" style="352" customWidth="1"/>
    <col min="10504" max="10504" width="14" style="352" bestFit="1" customWidth="1"/>
    <col min="10505" max="10505" width="14.85546875" style="352" customWidth="1"/>
    <col min="10506" max="10752" width="9.28515625" style="352"/>
    <col min="10753" max="10757" width="9.28515625" style="352" customWidth="1"/>
    <col min="10758" max="10758" width="6.85546875" style="352" customWidth="1"/>
    <col min="10759" max="10759" width="9.140625" style="352" customWidth="1"/>
    <col min="10760" max="10760" width="14" style="352" bestFit="1" customWidth="1"/>
    <col min="10761" max="10761" width="14.85546875" style="352" customWidth="1"/>
    <col min="10762" max="11008" width="9.28515625" style="352"/>
    <col min="11009" max="11013" width="9.28515625" style="352" customWidth="1"/>
    <col min="11014" max="11014" width="6.85546875" style="352" customWidth="1"/>
    <col min="11015" max="11015" width="9.140625" style="352" customWidth="1"/>
    <col min="11016" max="11016" width="14" style="352" bestFit="1" customWidth="1"/>
    <col min="11017" max="11017" width="14.85546875" style="352" customWidth="1"/>
    <col min="11018" max="11264" width="9.28515625" style="352"/>
    <col min="11265" max="11269" width="9.28515625" style="352" customWidth="1"/>
    <col min="11270" max="11270" width="6.85546875" style="352" customWidth="1"/>
    <col min="11271" max="11271" width="9.140625" style="352" customWidth="1"/>
    <col min="11272" max="11272" width="14" style="352" bestFit="1" customWidth="1"/>
    <col min="11273" max="11273" width="14.85546875" style="352" customWidth="1"/>
    <col min="11274" max="11520" width="9.28515625" style="352"/>
    <col min="11521" max="11525" width="9.28515625" style="352" customWidth="1"/>
    <col min="11526" max="11526" width="6.85546875" style="352" customWidth="1"/>
    <col min="11527" max="11527" width="9.140625" style="352" customWidth="1"/>
    <col min="11528" max="11528" width="14" style="352" bestFit="1" customWidth="1"/>
    <col min="11529" max="11529" width="14.85546875" style="352" customWidth="1"/>
    <col min="11530" max="11776" width="9.28515625" style="352"/>
    <col min="11777" max="11781" width="9.28515625" style="352" customWidth="1"/>
    <col min="11782" max="11782" width="6.85546875" style="352" customWidth="1"/>
    <col min="11783" max="11783" width="9.140625" style="352" customWidth="1"/>
    <col min="11784" max="11784" width="14" style="352" bestFit="1" customWidth="1"/>
    <col min="11785" max="11785" width="14.85546875" style="352" customWidth="1"/>
    <col min="11786" max="12032" width="9.28515625" style="352"/>
    <col min="12033" max="12037" width="9.28515625" style="352" customWidth="1"/>
    <col min="12038" max="12038" width="6.85546875" style="352" customWidth="1"/>
    <col min="12039" max="12039" width="9.140625" style="352" customWidth="1"/>
    <col min="12040" max="12040" width="14" style="352" bestFit="1" customWidth="1"/>
    <col min="12041" max="12041" width="14.85546875" style="352" customWidth="1"/>
    <col min="12042" max="12288" width="9.28515625" style="352"/>
    <col min="12289" max="12293" width="9.28515625" style="352" customWidth="1"/>
    <col min="12294" max="12294" width="6.85546875" style="352" customWidth="1"/>
    <col min="12295" max="12295" width="9.140625" style="352" customWidth="1"/>
    <col min="12296" max="12296" width="14" style="352" bestFit="1" customWidth="1"/>
    <col min="12297" max="12297" width="14.85546875" style="352" customWidth="1"/>
    <col min="12298" max="12544" width="9.28515625" style="352"/>
    <col min="12545" max="12549" width="9.28515625" style="352" customWidth="1"/>
    <col min="12550" max="12550" width="6.85546875" style="352" customWidth="1"/>
    <col min="12551" max="12551" width="9.140625" style="352" customWidth="1"/>
    <col min="12552" max="12552" width="14" style="352" bestFit="1" customWidth="1"/>
    <col min="12553" max="12553" width="14.85546875" style="352" customWidth="1"/>
    <col min="12554" max="12800" width="9.28515625" style="352"/>
    <col min="12801" max="12805" width="9.28515625" style="352" customWidth="1"/>
    <col min="12806" max="12806" width="6.85546875" style="352" customWidth="1"/>
    <col min="12807" max="12807" width="9.140625" style="352" customWidth="1"/>
    <col min="12808" max="12808" width="14" style="352" bestFit="1" customWidth="1"/>
    <col min="12809" max="12809" width="14.85546875" style="352" customWidth="1"/>
    <col min="12810" max="13056" width="9.28515625" style="352"/>
    <col min="13057" max="13061" width="9.28515625" style="352" customWidth="1"/>
    <col min="13062" max="13062" width="6.85546875" style="352" customWidth="1"/>
    <col min="13063" max="13063" width="9.140625" style="352" customWidth="1"/>
    <col min="13064" max="13064" width="14" style="352" bestFit="1" customWidth="1"/>
    <col min="13065" max="13065" width="14.85546875" style="352" customWidth="1"/>
    <col min="13066" max="13312" width="9.28515625" style="352"/>
    <col min="13313" max="13317" width="9.28515625" style="352" customWidth="1"/>
    <col min="13318" max="13318" width="6.85546875" style="352" customWidth="1"/>
    <col min="13319" max="13319" width="9.140625" style="352" customWidth="1"/>
    <col min="13320" max="13320" width="14" style="352" bestFit="1" customWidth="1"/>
    <col min="13321" max="13321" width="14.85546875" style="352" customWidth="1"/>
    <col min="13322" max="13568" width="9.28515625" style="352"/>
    <col min="13569" max="13573" width="9.28515625" style="352" customWidth="1"/>
    <col min="13574" max="13574" width="6.85546875" style="352" customWidth="1"/>
    <col min="13575" max="13575" width="9.140625" style="352" customWidth="1"/>
    <col min="13576" max="13576" width="14" style="352" bestFit="1" customWidth="1"/>
    <col min="13577" max="13577" width="14.85546875" style="352" customWidth="1"/>
    <col min="13578" max="13824" width="9.28515625" style="352"/>
    <col min="13825" max="13829" width="9.28515625" style="352" customWidth="1"/>
    <col min="13830" max="13830" width="6.85546875" style="352" customWidth="1"/>
    <col min="13831" max="13831" width="9.140625" style="352" customWidth="1"/>
    <col min="13832" max="13832" width="14" style="352" bestFit="1" customWidth="1"/>
    <col min="13833" max="13833" width="14.85546875" style="352" customWidth="1"/>
    <col min="13834" max="14080" width="9.28515625" style="352"/>
    <col min="14081" max="14085" width="9.28515625" style="352" customWidth="1"/>
    <col min="14086" max="14086" width="6.85546875" style="352" customWidth="1"/>
    <col min="14087" max="14087" width="9.140625" style="352" customWidth="1"/>
    <col min="14088" max="14088" width="14" style="352" bestFit="1" customWidth="1"/>
    <col min="14089" max="14089" width="14.85546875" style="352" customWidth="1"/>
    <col min="14090" max="14336" width="9.28515625" style="352"/>
    <col min="14337" max="14341" width="9.28515625" style="352" customWidth="1"/>
    <col min="14342" max="14342" width="6.85546875" style="352" customWidth="1"/>
    <col min="14343" max="14343" width="9.140625" style="352" customWidth="1"/>
    <col min="14344" max="14344" width="14" style="352" bestFit="1" customWidth="1"/>
    <col min="14345" max="14345" width="14.85546875" style="352" customWidth="1"/>
    <col min="14346" max="14592" width="9.28515625" style="352"/>
    <col min="14593" max="14597" width="9.28515625" style="352" customWidth="1"/>
    <col min="14598" max="14598" width="6.85546875" style="352" customWidth="1"/>
    <col min="14599" max="14599" width="9.140625" style="352" customWidth="1"/>
    <col min="14600" max="14600" width="14" style="352" bestFit="1" customWidth="1"/>
    <col min="14601" max="14601" width="14.85546875" style="352" customWidth="1"/>
    <col min="14602" max="14848" width="9.28515625" style="352"/>
    <col min="14849" max="14853" width="9.28515625" style="352" customWidth="1"/>
    <col min="14854" max="14854" width="6.85546875" style="352" customWidth="1"/>
    <col min="14855" max="14855" width="9.140625" style="352" customWidth="1"/>
    <col min="14856" max="14856" width="14" style="352" bestFit="1" customWidth="1"/>
    <col min="14857" max="14857" width="14.85546875" style="352" customWidth="1"/>
    <col min="14858" max="15104" width="9.28515625" style="352"/>
    <col min="15105" max="15109" width="9.28515625" style="352" customWidth="1"/>
    <col min="15110" max="15110" width="6.85546875" style="352" customWidth="1"/>
    <col min="15111" max="15111" width="9.140625" style="352" customWidth="1"/>
    <col min="15112" max="15112" width="14" style="352" bestFit="1" customWidth="1"/>
    <col min="15113" max="15113" width="14.85546875" style="352" customWidth="1"/>
    <col min="15114" max="15360" width="9.28515625" style="352"/>
    <col min="15361" max="15365" width="9.28515625" style="352" customWidth="1"/>
    <col min="15366" max="15366" width="6.85546875" style="352" customWidth="1"/>
    <col min="15367" max="15367" width="9.140625" style="352" customWidth="1"/>
    <col min="15368" max="15368" width="14" style="352" bestFit="1" customWidth="1"/>
    <col min="15369" max="15369" width="14.85546875" style="352" customWidth="1"/>
    <col min="15370" max="15616" width="9.28515625" style="352"/>
    <col min="15617" max="15621" width="9.28515625" style="352" customWidth="1"/>
    <col min="15622" max="15622" width="6.85546875" style="352" customWidth="1"/>
    <col min="15623" max="15623" width="9.140625" style="352" customWidth="1"/>
    <col min="15624" max="15624" width="14" style="352" bestFit="1" customWidth="1"/>
    <col min="15625" max="15625" width="14.85546875" style="352" customWidth="1"/>
    <col min="15626" max="15872" width="9.28515625" style="352"/>
    <col min="15873" max="15877" width="9.28515625" style="352" customWidth="1"/>
    <col min="15878" max="15878" width="6.85546875" style="352" customWidth="1"/>
    <col min="15879" max="15879" width="9.140625" style="352" customWidth="1"/>
    <col min="15880" max="15880" width="14" style="352" bestFit="1" customWidth="1"/>
    <col min="15881" max="15881" width="14.85546875" style="352" customWidth="1"/>
    <col min="15882" max="16128" width="9.28515625" style="352"/>
    <col min="16129" max="16133" width="9.28515625" style="352" customWidth="1"/>
    <col min="16134" max="16134" width="6.85546875" style="352" customWidth="1"/>
    <col min="16135" max="16135" width="9.140625" style="352" customWidth="1"/>
    <col min="16136" max="16136" width="14" style="352" bestFit="1" customWidth="1"/>
    <col min="16137" max="16137" width="14.85546875" style="352" customWidth="1"/>
    <col min="16138" max="16384" width="9.28515625" style="352"/>
  </cols>
  <sheetData>
    <row r="1" spans="1:17" ht="15.75">
      <c r="A1" s="349" t="s">
        <v>32</v>
      </c>
      <c r="B1" s="350"/>
      <c r="C1" s="350"/>
      <c r="D1" s="350"/>
      <c r="E1" s="350"/>
      <c r="F1" s="350"/>
      <c r="G1" s="350"/>
      <c r="H1" s="350"/>
      <c r="I1" s="351" t="s">
        <v>442</v>
      </c>
    </row>
    <row r="2" spans="1:17" ht="15.75">
      <c r="A2" s="353" t="s">
        <v>526</v>
      </c>
      <c r="B2" s="350"/>
      <c r="C2" s="350"/>
      <c r="D2" s="350"/>
      <c r="E2" s="350"/>
      <c r="F2" s="350"/>
      <c r="G2" s="350"/>
      <c r="H2" s="350"/>
      <c r="I2" s="351"/>
    </row>
    <row r="3" spans="1:17" ht="15.75">
      <c r="A3" s="354" t="e">
        <f>#REF!</f>
        <v>#REF!</v>
      </c>
    </row>
    <row r="4" spans="1:17">
      <c r="A4" s="355" t="s">
        <v>527</v>
      </c>
    </row>
    <row r="7" spans="1:17">
      <c r="A7" s="356" t="s">
        <v>24</v>
      </c>
      <c r="B7" s="357"/>
      <c r="C7" s="357"/>
      <c r="D7" s="357"/>
      <c r="E7" s="357"/>
      <c r="F7" s="357"/>
    </row>
    <row r="8" spans="1:17">
      <c r="A8" s="358" t="s">
        <v>23</v>
      </c>
      <c r="B8" s="359" t="s">
        <v>512</v>
      </c>
      <c r="C8" s="359"/>
      <c r="D8" s="359"/>
      <c r="E8" s="359"/>
      <c r="F8" s="360"/>
      <c r="G8" s="360"/>
      <c r="H8" s="360"/>
      <c r="I8" s="358" t="s">
        <v>511</v>
      </c>
    </row>
    <row r="10" spans="1:17">
      <c r="A10" s="361">
        <v>1</v>
      </c>
      <c r="B10" s="352" t="s">
        <v>569</v>
      </c>
      <c r="I10" s="479">
        <v>4690892.07</v>
      </c>
    </row>
    <row r="11" spans="1:17">
      <c r="A11" s="361">
        <v>2</v>
      </c>
      <c r="B11" s="352" t="s">
        <v>570</v>
      </c>
      <c r="I11" s="362">
        <f>PBR.1!H31</f>
        <v>-724383.64000000013</v>
      </c>
    </row>
    <row r="12" spans="1:17">
      <c r="A12" s="361">
        <v>3</v>
      </c>
      <c r="I12" s="395">
        <v>0</v>
      </c>
    </row>
    <row r="13" spans="1:17">
      <c r="A13" s="361">
        <v>4</v>
      </c>
      <c r="B13" s="352" t="s">
        <v>114</v>
      </c>
      <c r="I13" s="363">
        <f>SUM(I10:I12)</f>
        <v>3966508.43</v>
      </c>
    </row>
    <row r="14" spans="1:17">
      <c r="A14" s="361">
        <v>5</v>
      </c>
      <c r="M14" s="364"/>
      <c r="N14" s="364"/>
      <c r="O14" s="364"/>
    </row>
    <row r="15" spans="1:17">
      <c r="A15" s="361">
        <v>6</v>
      </c>
      <c r="M15" s="364"/>
      <c r="N15" s="364"/>
      <c r="O15" s="364"/>
      <c r="Q15" s="300"/>
    </row>
    <row r="16" spans="1:17">
      <c r="A16" s="361">
        <v>7</v>
      </c>
      <c r="B16" s="352" t="s">
        <v>114</v>
      </c>
      <c r="I16" s="363">
        <f>I13</f>
        <v>3966508.43</v>
      </c>
      <c r="M16" s="364"/>
      <c r="N16" s="364"/>
      <c r="O16" s="364"/>
      <c r="Q16" s="300"/>
    </row>
    <row r="17" spans="1:17">
      <c r="A17" s="361">
        <v>8</v>
      </c>
      <c r="B17" s="352" t="s">
        <v>528</v>
      </c>
      <c r="I17" s="394">
        <v>0</v>
      </c>
      <c r="M17" s="364"/>
      <c r="N17" s="364"/>
      <c r="O17" s="364"/>
      <c r="Q17" s="300"/>
    </row>
    <row r="18" spans="1:17" ht="13.5" thickBot="1">
      <c r="A18" s="361">
        <v>9</v>
      </c>
      <c r="B18" s="352" t="s">
        <v>509</v>
      </c>
      <c r="I18" s="365">
        <f>SUM(I16:I17)</f>
        <v>3966508.43</v>
      </c>
      <c r="M18" s="364"/>
      <c r="N18" s="364"/>
      <c r="O18" s="364"/>
      <c r="Q18" s="300"/>
    </row>
    <row r="19" spans="1:17" ht="13.5" thickTop="1">
      <c r="A19" s="361">
        <v>10</v>
      </c>
      <c r="M19" s="364"/>
      <c r="N19" s="364"/>
      <c r="O19" s="364"/>
      <c r="Q19" s="300"/>
    </row>
    <row r="20" spans="1:17">
      <c r="A20" s="361">
        <v>11</v>
      </c>
      <c r="M20" s="364"/>
      <c r="N20" s="364"/>
      <c r="O20" s="364"/>
      <c r="Q20" s="300"/>
    </row>
    <row r="21" spans="1:17">
      <c r="A21" s="361">
        <v>12</v>
      </c>
      <c r="H21" s="366"/>
      <c r="Q21" s="300"/>
    </row>
    <row r="22" spans="1:17">
      <c r="A22" s="361">
        <v>13</v>
      </c>
      <c r="B22" s="367" t="s">
        <v>155</v>
      </c>
      <c r="C22" s="360"/>
      <c r="D22" s="360"/>
      <c r="E22" s="360"/>
      <c r="F22" s="360"/>
      <c r="H22" s="368" t="s">
        <v>114</v>
      </c>
      <c r="Q22" s="300"/>
    </row>
    <row r="23" spans="1:17" ht="13.5" customHeight="1">
      <c r="A23" s="361">
        <v>14</v>
      </c>
      <c r="Q23" s="300"/>
    </row>
    <row r="24" spans="1:17">
      <c r="A24" s="361">
        <v>15</v>
      </c>
      <c r="B24" s="352" t="s">
        <v>529</v>
      </c>
      <c r="H24" s="363">
        <f>I18</f>
        <v>3966508.43</v>
      </c>
    </row>
    <row r="25" spans="1:17">
      <c r="A25" s="361">
        <v>16</v>
      </c>
    </row>
    <row r="26" spans="1:17">
      <c r="A26" s="361">
        <v>17</v>
      </c>
      <c r="B26" s="367" t="s">
        <v>530</v>
      </c>
      <c r="C26" s="360"/>
      <c r="D26" s="360"/>
      <c r="E26" s="360"/>
      <c r="F26" s="360"/>
    </row>
    <row r="27" spans="1:17" ht="13.5" customHeight="1">
      <c r="A27" s="361">
        <v>18</v>
      </c>
      <c r="B27" s="355"/>
    </row>
    <row r="28" spans="1:17">
      <c r="A28" s="361">
        <v>19</v>
      </c>
      <c r="B28" s="352" t="s">
        <v>494</v>
      </c>
    </row>
    <row r="29" spans="1:17">
      <c r="A29" s="361">
        <v>20</v>
      </c>
      <c r="B29" s="352" t="s">
        <v>531</v>
      </c>
      <c r="H29" s="369">
        <f>B.6!E17</f>
        <v>0.14829999999999999</v>
      </c>
    </row>
    <row r="30" spans="1:17">
      <c r="A30" s="361">
        <v>21</v>
      </c>
      <c r="B30" s="352" t="s">
        <v>490</v>
      </c>
    </row>
    <row r="31" spans="1:17">
      <c r="A31" s="361">
        <v>22</v>
      </c>
      <c r="B31" s="352" t="s">
        <v>488</v>
      </c>
      <c r="H31" s="369">
        <f>1-H29</f>
        <v>0.85170000000000001</v>
      </c>
    </row>
    <row r="32" spans="1:17">
      <c r="A32" s="361">
        <v>23</v>
      </c>
      <c r="B32" s="352" t="s">
        <v>487</v>
      </c>
    </row>
    <row r="33" spans="1:9">
      <c r="A33" s="361">
        <v>24</v>
      </c>
      <c r="B33" s="352" t="s">
        <v>532</v>
      </c>
      <c r="H33" s="352">
        <f>+B.6!E26</f>
        <v>16571767.975719998</v>
      </c>
    </row>
    <row r="34" spans="1:9">
      <c r="A34" s="361">
        <v>25</v>
      </c>
      <c r="B34" s="352" t="s">
        <v>483</v>
      </c>
    </row>
    <row r="35" spans="1:9">
      <c r="A35" s="361">
        <v>26</v>
      </c>
      <c r="B35" s="352" t="s">
        <v>533</v>
      </c>
      <c r="H35" s="352">
        <f>+B.6!F35</f>
        <v>16851020.133679997</v>
      </c>
    </row>
    <row r="36" spans="1:9">
      <c r="A36" s="361">
        <v>27</v>
      </c>
    </row>
    <row r="37" spans="1:9" ht="13.5" thickBot="1">
      <c r="A37" s="361">
        <v>28</v>
      </c>
    </row>
    <row r="38" spans="1:9" ht="13.5" thickBot="1">
      <c r="A38" s="361">
        <v>29</v>
      </c>
      <c r="B38" s="352" t="s">
        <v>565</v>
      </c>
      <c r="G38" s="370">
        <f>H24/H35</f>
        <v>0.23538684296460913</v>
      </c>
      <c r="H38" s="371" t="s">
        <v>460</v>
      </c>
      <c r="I38" s="369"/>
    </row>
    <row r="39" spans="1:9" ht="13.5" thickBot="1">
      <c r="A39" s="361">
        <v>30</v>
      </c>
      <c r="G39" s="372"/>
      <c r="H39" s="373"/>
    </row>
    <row r="40" spans="1:9" ht="13.5" thickBot="1">
      <c r="A40" s="361">
        <v>31</v>
      </c>
      <c r="B40" s="352" t="s">
        <v>566</v>
      </c>
      <c r="G40" s="370">
        <f>H24/H35</f>
        <v>0.23538684296460913</v>
      </c>
      <c r="H40" s="371" t="s">
        <v>460</v>
      </c>
    </row>
    <row r="41" spans="1:9">
      <c r="A41" s="361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53"/>
  <sheetViews>
    <sheetView showGridLines="0" zoomScale="80" zoomScaleNormal="80" zoomScaleSheetLayoutView="100" zoomScalePageLayoutView="70" workbookViewId="0">
      <selection activeCell="L27" sqref="L27"/>
    </sheetView>
  </sheetViews>
  <sheetFormatPr defaultRowHeight="12.75"/>
  <cols>
    <col min="1" max="1" width="5.7109375" style="374" customWidth="1"/>
    <col min="2" max="2" width="9.7109375" style="374" customWidth="1"/>
    <col min="3" max="7" width="14.7109375" style="374" customWidth="1"/>
    <col min="8" max="8" width="16.28515625" style="374" customWidth="1"/>
    <col min="9" max="9" width="2.7109375" style="374" customWidth="1"/>
    <col min="10" max="10" width="9.140625" style="374"/>
    <col min="11" max="11" width="12.28515625" style="374" bestFit="1" customWidth="1"/>
    <col min="12" max="12" width="13" style="374" bestFit="1" customWidth="1"/>
    <col min="13" max="13" width="9.85546875" style="374" customWidth="1"/>
    <col min="14" max="249" width="9.140625" style="374"/>
    <col min="250" max="250" width="5.7109375" style="374" customWidth="1"/>
    <col min="251" max="251" width="9.7109375" style="374" customWidth="1"/>
    <col min="252" max="256" width="14.7109375" style="374" customWidth="1"/>
    <col min="257" max="257" width="16.28515625" style="374" customWidth="1"/>
    <col min="258" max="258" width="2.7109375" style="374" customWidth="1"/>
    <col min="259" max="260" width="15.140625" style="374" customWidth="1"/>
    <col min="261" max="261" width="15.7109375" style="374" customWidth="1"/>
    <col min="262" max="262" width="12.28515625" style="374" bestFit="1" customWidth="1"/>
    <col min="263" max="263" width="9.140625" style="374"/>
    <col min="264" max="264" width="11.28515625" style="374" bestFit="1" customWidth="1"/>
    <col min="265" max="265" width="12.85546875" style="374" bestFit="1" customWidth="1"/>
    <col min="266" max="505" width="9.140625" style="374"/>
    <col min="506" max="506" width="5.7109375" style="374" customWidth="1"/>
    <col min="507" max="507" width="9.7109375" style="374" customWidth="1"/>
    <col min="508" max="512" width="14.7109375" style="374" customWidth="1"/>
    <col min="513" max="513" width="16.28515625" style="374" customWidth="1"/>
    <col min="514" max="514" width="2.7109375" style="374" customWidth="1"/>
    <col min="515" max="516" width="15.140625" style="374" customWidth="1"/>
    <col min="517" max="517" width="15.7109375" style="374" customWidth="1"/>
    <col min="518" max="518" width="12.28515625" style="374" bestFit="1" customWidth="1"/>
    <col min="519" max="519" width="9.140625" style="374"/>
    <col min="520" max="520" width="11.28515625" style="374" bestFit="1" customWidth="1"/>
    <col min="521" max="521" width="12.85546875" style="374" bestFit="1" customWidth="1"/>
    <col min="522" max="761" width="9.140625" style="374"/>
    <col min="762" max="762" width="5.7109375" style="374" customWidth="1"/>
    <col min="763" max="763" width="9.7109375" style="374" customWidth="1"/>
    <col min="764" max="768" width="14.7109375" style="374" customWidth="1"/>
    <col min="769" max="769" width="16.28515625" style="374" customWidth="1"/>
    <col min="770" max="770" width="2.7109375" style="374" customWidth="1"/>
    <col min="771" max="772" width="15.140625" style="374" customWidth="1"/>
    <col min="773" max="773" width="15.7109375" style="374" customWidth="1"/>
    <col min="774" max="774" width="12.28515625" style="374" bestFit="1" customWidth="1"/>
    <col min="775" max="775" width="9.140625" style="374"/>
    <col min="776" max="776" width="11.28515625" style="374" bestFit="1" customWidth="1"/>
    <col min="777" max="777" width="12.85546875" style="374" bestFit="1" customWidth="1"/>
    <col min="778" max="1017" width="9.140625" style="374"/>
    <col min="1018" max="1018" width="5.7109375" style="374" customWidth="1"/>
    <col min="1019" max="1019" width="9.7109375" style="374" customWidth="1"/>
    <col min="1020" max="1024" width="14.7109375" style="374" customWidth="1"/>
    <col min="1025" max="1025" width="16.28515625" style="374" customWidth="1"/>
    <col min="1026" max="1026" width="2.7109375" style="374" customWidth="1"/>
    <col min="1027" max="1028" width="15.140625" style="374" customWidth="1"/>
    <col min="1029" max="1029" width="15.7109375" style="374" customWidth="1"/>
    <col min="1030" max="1030" width="12.28515625" style="374" bestFit="1" customWidth="1"/>
    <col min="1031" max="1031" width="9.140625" style="374"/>
    <col min="1032" max="1032" width="11.28515625" style="374" bestFit="1" customWidth="1"/>
    <col min="1033" max="1033" width="12.85546875" style="374" bestFit="1" customWidth="1"/>
    <col min="1034" max="1273" width="9.140625" style="374"/>
    <col min="1274" max="1274" width="5.7109375" style="374" customWidth="1"/>
    <col min="1275" max="1275" width="9.7109375" style="374" customWidth="1"/>
    <col min="1276" max="1280" width="14.7109375" style="374" customWidth="1"/>
    <col min="1281" max="1281" width="16.28515625" style="374" customWidth="1"/>
    <col min="1282" max="1282" width="2.7109375" style="374" customWidth="1"/>
    <col min="1283" max="1284" width="15.140625" style="374" customWidth="1"/>
    <col min="1285" max="1285" width="15.7109375" style="374" customWidth="1"/>
    <col min="1286" max="1286" width="12.28515625" style="374" bestFit="1" customWidth="1"/>
    <col min="1287" max="1287" width="9.140625" style="374"/>
    <col min="1288" max="1288" width="11.28515625" style="374" bestFit="1" customWidth="1"/>
    <col min="1289" max="1289" width="12.85546875" style="374" bestFit="1" customWidth="1"/>
    <col min="1290" max="1529" width="9.140625" style="374"/>
    <col min="1530" max="1530" width="5.7109375" style="374" customWidth="1"/>
    <col min="1531" max="1531" width="9.7109375" style="374" customWidth="1"/>
    <col min="1532" max="1536" width="14.7109375" style="374" customWidth="1"/>
    <col min="1537" max="1537" width="16.28515625" style="374" customWidth="1"/>
    <col min="1538" max="1538" width="2.7109375" style="374" customWidth="1"/>
    <col min="1539" max="1540" width="15.140625" style="374" customWidth="1"/>
    <col min="1541" max="1541" width="15.7109375" style="374" customWidth="1"/>
    <col min="1542" max="1542" width="12.28515625" style="374" bestFit="1" customWidth="1"/>
    <col min="1543" max="1543" width="9.140625" style="374"/>
    <col min="1544" max="1544" width="11.28515625" style="374" bestFit="1" customWidth="1"/>
    <col min="1545" max="1545" width="12.85546875" style="374" bestFit="1" customWidth="1"/>
    <col min="1546" max="1785" width="9.140625" style="374"/>
    <col min="1786" max="1786" width="5.7109375" style="374" customWidth="1"/>
    <col min="1787" max="1787" width="9.7109375" style="374" customWidth="1"/>
    <col min="1788" max="1792" width="14.7109375" style="374" customWidth="1"/>
    <col min="1793" max="1793" width="16.28515625" style="374" customWidth="1"/>
    <col min="1794" max="1794" width="2.7109375" style="374" customWidth="1"/>
    <col min="1795" max="1796" width="15.140625" style="374" customWidth="1"/>
    <col min="1797" max="1797" width="15.7109375" style="374" customWidth="1"/>
    <col min="1798" max="1798" width="12.28515625" style="374" bestFit="1" customWidth="1"/>
    <col min="1799" max="1799" width="9.140625" style="374"/>
    <col min="1800" max="1800" width="11.28515625" style="374" bestFit="1" customWidth="1"/>
    <col min="1801" max="1801" width="12.85546875" style="374" bestFit="1" customWidth="1"/>
    <col min="1802" max="2041" width="9.140625" style="374"/>
    <col min="2042" max="2042" width="5.7109375" style="374" customWidth="1"/>
    <col min="2043" max="2043" width="9.7109375" style="374" customWidth="1"/>
    <col min="2044" max="2048" width="14.7109375" style="374" customWidth="1"/>
    <col min="2049" max="2049" width="16.28515625" style="374" customWidth="1"/>
    <col min="2050" max="2050" width="2.7109375" style="374" customWidth="1"/>
    <col min="2051" max="2052" width="15.140625" style="374" customWidth="1"/>
    <col min="2053" max="2053" width="15.7109375" style="374" customWidth="1"/>
    <col min="2054" max="2054" width="12.28515625" style="374" bestFit="1" customWidth="1"/>
    <col min="2055" max="2055" width="9.140625" style="374"/>
    <col min="2056" max="2056" width="11.28515625" style="374" bestFit="1" customWidth="1"/>
    <col min="2057" max="2057" width="12.85546875" style="374" bestFit="1" customWidth="1"/>
    <col min="2058" max="2297" width="9.140625" style="374"/>
    <col min="2298" max="2298" width="5.7109375" style="374" customWidth="1"/>
    <col min="2299" max="2299" width="9.7109375" style="374" customWidth="1"/>
    <col min="2300" max="2304" width="14.7109375" style="374" customWidth="1"/>
    <col min="2305" max="2305" width="16.28515625" style="374" customWidth="1"/>
    <col min="2306" max="2306" width="2.7109375" style="374" customWidth="1"/>
    <col min="2307" max="2308" width="15.140625" style="374" customWidth="1"/>
    <col min="2309" max="2309" width="15.7109375" style="374" customWidth="1"/>
    <col min="2310" max="2310" width="12.28515625" style="374" bestFit="1" customWidth="1"/>
    <col min="2311" max="2311" width="9.140625" style="374"/>
    <col min="2312" max="2312" width="11.28515625" style="374" bestFit="1" customWidth="1"/>
    <col min="2313" max="2313" width="12.85546875" style="374" bestFit="1" customWidth="1"/>
    <col min="2314" max="2553" width="9.140625" style="374"/>
    <col min="2554" max="2554" width="5.7109375" style="374" customWidth="1"/>
    <col min="2555" max="2555" width="9.7109375" style="374" customWidth="1"/>
    <col min="2556" max="2560" width="14.7109375" style="374" customWidth="1"/>
    <col min="2561" max="2561" width="16.28515625" style="374" customWidth="1"/>
    <col min="2562" max="2562" width="2.7109375" style="374" customWidth="1"/>
    <col min="2563" max="2564" width="15.140625" style="374" customWidth="1"/>
    <col min="2565" max="2565" width="15.7109375" style="374" customWidth="1"/>
    <col min="2566" max="2566" width="12.28515625" style="374" bestFit="1" customWidth="1"/>
    <col min="2567" max="2567" width="9.140625" style="374"/>
    <col min="2568" max="2568" width="11.28515625" style="374" bestFit="1" customWidth="1"/>
    <col min="2569" max="2569" width="12.85546875" style="374" bestFit="1" customWidth="1"/>
    <col min="2570" max="2809" width="9.140625" style="374"/>
    <col min="2810" max="2810" width="5.7109375" style="374" customWidth="1"/>
    <col min="2811" max="2811" width="9.7109375" style="374" customWidth="1"/>
    <col min="2812" max="2816" width="14.7109375" style="374" customWidth="1"/>
    <col min="2817" max="2817" width="16.28515625" style="374" customWidth="1"/>
    <col min="2818" max="2818" width="2.7109375" style="374" customWidth="1"/>
    <col min="2819" max="2820" width="15.140625" style="374" customWidth="1"/>
    <col min="2821" max="2821" width="15.7109375" style="374" customWidth="1"/>
    <col min="2822" max="2822" width="12.28515625" style="374" bestFit="1" customWidth="1"/>
    <col min="2823" max="2823" width="9.140625" style="374"/>
    <col min="2824" max="2824" width="11.28515625" style="374" bestFit="1" customWidth="1"/>
    <col min="2825" max="2825" width="12.85546875" style="374" bestFit="1" customWidth="1"/>
    <col min="2826" max="3065" width="9.140625" style="374"/>
    <col min="3066" max="3066" width="5.7109375" style="374" customWidth="1"/>
    <col min="3067" max="3067" width="9.7109375" style="374" customWidth="1"/>
    <col min="3068" max="3072" width="14.7109375" style="374" customWidth="1"/>
    <col min="3073" max="3073" width="16.28515625" style="374" customWidth="1"/>
    <col min="3074" max="3074" width="2.7109375" style="374" customWidth="1"/>
    <col min="3075" max="3076" width="15.140625" style="374" customWidth="1"/>
    <col min="3077" max="3077" width="15.7109375" style="374" customWidth="1"/>
    <col min="3078" max="3078" width="12.28515625" style="374" bestFit="1" customWidth="1"/>
    <col min="3079" max="3079" width="9.140625" style="374"/>
    <col min="3080" max="3080" width="11.28515625" style="374" bestFit="1" customWidth="1"/>
    <col min="3081" max="3081" width="12.85546875" style="374" bestFit="1" customWidth="1"/>
    <col min="3082" max="3321" width="9.140625" style="374"/>
    <col min="3322" max="3322" width="5.7109375" style="374" customWidth="1"/>
    <col min="3323" max="3323" width="9.7109375" style="374" customWidth="1"/>
    <col min="3324" max="3328" width="14.7109375" style="374" customWidth="1"/>
    <col min="3329" max="3329" width="16.28515625" style="374" customWidth="1"/>
    <col min="3330" max="3330" width="2.7109375" style="374" customWidth="1"/>
    <col min="3331" max="3332" width="15.140625" style="374" customWidth="1"/>
    <col min="3333" max="3333" width="15.7109375" style="374" customWidth="1"/>
    <col min="3334" max="3334" width="12.28515625" style="374" bestFit="1" customWidth="1"/>
    <col min="3335" max="3335" width="9.140625" style="374"/>
    <col min="3336" max="3336" width="11.28515625" style="374" bestFit="1" customWidth="1"/>
    <col min="3337" max="3337" width="12.85546875" style="374" bestFit="1" customWidth="1"/>
    <col min="3338" max="3577" width="9.140625" style="374"/>
    <col min="3578" max="3578" width="5.7109375" style="374" customWidth="1"/>
    <col min="3579" max="3579" width="9.7109375" style="374" customWidth="1"/>
    <col min="3580" max="3584" width="14.7109375" style="374" customWidth="1"/>
    <col min="3585" max="3585" width="16.28515625" style="374" customWidth="1"/>
    <col min="3586" max="3586" width="2.7109375" style="374" customWidth="1"/>
    <col min="3587" max="3588" width="15.140625" style="374" customWidth="1"/>
    <col min="3589" max="3589" width="15.7109375" style="374" customWidth="1"/>
    <col min="3590" max="3590" width="12.28515625" style="374" bestFit="1" customWidth="1"/>
    <col min="3591" max="3591" width="9.140625" style="374"/>
    <col min="3592" max="3592" width="11.28515625" style="374" bestFit="1" customWidth="1"/>
    <col min="3593" max="3593" width="12.85546875" style="374" bestFit="1" customWidth="1"/>
    <col min="3594" max="3833" width="9.140625" style="374"/>
    <col min="3834" max="3834" width="5.7109375" style="374" customWidth="1"/>
    <col min="3835" max="3835" width="9.7109375" style="374" customWidth="1"/>
    <col min="3836" max="3840" width="14.7109375" style="374" customWidth="1"/>
    <col min="3841" max="3841" width="16.28515625" style="374" customWidth="1"/>
    <col min="3842" max="3842" width="2.7109375" style="374" customWidth="1"/>
    <col min="3843" max="3844" width="15.140625" style="374" customWidth="1"/>
    <col min="3845" max="3845" width="15.7109375" style="374" customWidth="1"/>
    <col min="3846" max="3846" width="12.28515625" style="374" bestFit="1" customWidth="1"/>
    <col min="3847" max="3847" width="9.140625" style="374"/>
    <col min="3848" max="3848" width="11.28515625" style="374" bestFit="1" customWidth="1"/>
    <col min="3849" max="3849" width="12.85546875" style="374" bestFit="1" customWidth="1"/>
    <col min="3850" max="4089" width="9.140625" style="374"/>
    <col min="4090" max="4090" width="5.7109375" style="374" customWidth="1"/>
    <col min="4091" max="4091" width="9.7109375" style="374" customWidth="1"/>
    <col min="4092" max="4096" width="14.7109375" style="374" customWidth="1"/>
    <col min="4097" max="4097" width="16.28515625" style="374" customWidth="1"/>
    <col min="4098" max="4098" width="2.7109375" style="374" customWidth="1"/>
    <col min="4099" max="4100" width="15.140625" style="374" customWidth="1"/>
    <col min="4101" max="4101" width="15.7109375" style="374" customWidth="1"/>
    <col min="4102" max="4102" width="12.28515625" style="374" bestFit="1" customWidth="1"/>
    <col min="4103" max="4103" width="9.140625" style="374"/>
    <col min="4104" max="4104" width="11.28515625" style="374" bestFit="1" customWidth="1"/>
    <col min="4105" max="4105" width="12.85546875" style="374" bestFit="1" customWidth="1"/>
    <col min="4106" max="4345" width="9.140625" style="374"/>
    <col min="4346" max="4346" width="5.7109375" style="374" customWidth="1"/>
    <col min="4347" max="4347" width="9.7109375" style="374" customWidth="1"/>
    <col min="4348" max="4352" width="14.7109375" style="374" customWidth="1"/>
    <col min="4353" max="4353" width="16.28515625" style="374" customWidth="1"/>
    <col min="4354" max="4354" width="2.7109375" style="374" customWidth="1"/>
    <col min="4355" max="4356" width="15.140625" style="374" customWidth="1"/>
    <col min="4357" max="4357" width="15.7109375" style="374" customWidth="1"/>
    <col min="4358" max="4358" width="12.28515625" style="374" bestFit="1" customWidth="1"/>
    <col min="4359" max="4359" width="9.140625" style="374"/>
    <col min="4360" max="4360" width="11.28515625" style="374" bestFit="1" customWidth="1"/>
    <col min="4361" max="4361" width="12.85546875" style="374" bestFit="1" customWidth="1"/>
    <col min="4362" max="4601" width="9.140625" style="374"/>
    <col min="4602" max="4602" width="5.7109375" style="374" customWidth="1"/>
    <col min="4603" max="4603" width="9.7109375" style="374" customWidth="1"/>
    <col min="4604" max="4608" width="14.7109375" style="374" customWidth="1"/>
    <col min="4609" max="4609" width="16.28515625" style="374" customWidth="1"/>
    <col min="4610" max="4610" width="2.7109375" style="374" customWidth="1"/>
    <col min="4611" max="4612" width="15.140625" style="374" customWidth="1"/>
    <col min="4613" max="4613" width="15.7109375" style="374" customWidth="1"/>
    <col min="4614" max="4614" width="12.28515625" style="374" bestFit="1" customWidth="1"/>
    <col min="4615" max="4615" width="9.140625" style="374"/>
    <col min="4616" max="4616" width="11.28515625" style="374" bestFit="1" customWidth="1"/>
    <col min="4617" max="4617" width="12.85546875" style="374" bestFit="1" customWidth="1"/>
    <col min="4618" max="4857" width="9.140625" style="374"/>
    <col min="4858" max="4858" width="5.7109375" style="374" customWidth="1"/>
    <col min="4859" max="4859" width="9.7109375" style="374" customWidth="1"/>
    <col min="4860" max="4864" width="14.7109375" style="374" customWidth="1"/>
    <col min="4865" max="4865" width="16.28515625" style="374" customWidth="1"/>
    <col min="4866" max="4866" width="2.7109375" style="374" customWidth="1"/>
    <col min="4867" max="4868" width="15.140625" style="374" customWidth="1"/>
    <col min="4869" max="4869" width="15.7109375" style="374" customWidth="1"/>
    <col min="4870" max="4870" width="12.28515625" style="374" bestFit="1" customWidth="1"/>
    <col min="4871" max="4871" width="9.140625" style="374"/>
    <col min="4872" max="4872" width="11.28515625" style="374" bestFit="1" customWidth="1"/>
    <col min="4873" max="4873" width="12.85546875" style="374" bestFit="1" customWidth="1"/>
    <col min="4874" max="5113" width="9.140625" style="374"/>
    <col min="5114" max="5114" width="5.7109375" style="374" customWidth="1"/>
    <col min="5115" max="5115" width="9.7109375" style="374" customWidth="1"/>
    <col min="5116" max="5120" width="14.7109375" style="374" customWidth="1"/>
    <col min="5121" max="5121" width="16.28515625" style="374" customWidth="1"/>
    <col min="5122" max="5122" width="2.7109375" style="374" customWidth="1"/>
    <col min="5123" max="5124" width="15.140625" style="374" customWidth="1"/>
    <col min="5125" max="5125" width="15.7109375" style="374" customWidth="1"/>
    <col min="5126" max="5126" width="12.28515625" style="374" bestFit="1" customWidth="1"/>
    <col min="5127" max="5127" width="9.140625" style="374"/>
    <col min="5128" max="5128" width="11.28515625" style="374" bestFit="1" customWidth="1"/>
    <col min="5129" max="5129" width="12.85546875" style="374" bestFit="1" customWidth="1"/>
    <col min="5130" max="5369" width="9.140625" style="374"/>
    <col min="5370" max="5370" width="5.7109375" style="374" customWidth="1"/>
    <col min="5371" max="5371" width="9.7109375" style="374" customWidth="1"/>
    <col min="5372" max="5376" width="14.7109375" style="374" customWidth="1"/>
    <col min="5377" max="5377" width="16.28515625" style="374" customWidth="1"/>
    <col min="5378" max="5378" width="2.7109375" style="374" customWidth="1"/>
    <col min="5379" max="5380" width="15.140625" style="374" customWidth="1"/>
    <col min="5381" max="5381" width="15.7109375" style="374" customWidth="1"/>
    <col min="5382" max="5382" width="12.28515625" style="374" bestFit="1" customWidth="1"/>
    <col min="5383" max="5383" width="9.140625" style="374"/>
    <col min="5384" max="5384" width="11.28515625" style="374" bestFit="1" customWidth="1"/>
    <col min="5385" max="5385" width="12.85546875" style="374" bestFit="1" customWidth="1"/>
    <col min="5386" max="5625" width="9.140625" style="374"/>
    <col min="5626" max="5626" width="5.7109375" style="374" customWidth="1"/>
    <col min="5627" max="5627" width="9.7109375" style="374" customWidth="1"/>
    <col min="5628" max="5632" width="14.7109375" style="374" customWidth="1"/>
    <col min="5633" max="5633" width="16.28515625" style="374" customWidth="1"/>
    <col min="5634" max="5634" width="2.7109375" style="374" customWidth="1"/>
    <col min="5635" max="5636" width="15.140625" style="374" customWidth="1"/>
    <col min="5637" max="5637" width="15.7109375" style="374" customWidth="1"/>
    <col min="5638" max="5638" width="12.28515625" style="374" bestFit="1" customWidth="1"/>
    <col min="5639" max="5639" width="9.140625" style="374"/>
    <col min="5640" max="5640" width="11.28515625" style="374" bestFit="1" customWidth="1"/>
    <col min="5641" max="5641" width="12.85546875" style="374" bestFit="1" customWidth="1"/>
    <col min="5642" max="5881" width="9.140625" style="374"/>
    <col min="5882" max="5882" width="5.7109375" style="374" customWidth="1"/>
    <col min="5883" max="5883" width="9.7109375" style="374" customWidth="1"/>
    <col min="5884" max="5888" width="14.7109375" style="374" customWidth="1"/>
    <col min="5889" max="5889" width="16.28515625" style="374" customWidth="1"/>
    <col min="5890" max="5890" width="2.7109375" style="374" customWidth="1"/>
    <col min="5891" max="5892" width="15.140625" style="374" customWidth="1"/>
    <col min="5893" max="5893" width="15.7109375" style="374" customWidth="1"/>
    <col min="5894" max="5894" width="12.28515625" style="374" bestFit="1" customWidth="1"/>
    <col min="5895" max="5895" width="9.140625" style="374"/>
    <col min="5896" max="5896" width="11.28515625" style="374" bestFit="1" customWidth="1"/>
    <col min="5897" max="5897" width="12.85546875" style="374" bestFit="1" customWidth="1"/>
    <col min="5898" max="6137" width="9.140625" style="374"/>
    <col min="6138" max="6138" width="5.7109375" style="374" customWidth="1"/>
    <col min="6139" max="6139" width="9.7109375" style="374" customWidth="1"/>
    <col min="6140" max="6144" width="14.7109375" style="374" customWidth="1"/>
    <col min="6145" max="6145" width="16.28515625" style="374" customWidth="1"/>
    <col min="6146" max="6146" width="2.7109375" style="374" customWidth="1"/>
    <col min="6147" max="6148" width="15.140625" style="374" customWidth="1"/>
    <col min="6149" max="6149" width="15.7109375" style="374" customWidth="1"/>
    <col min="6150" max="6150" width="12.28515625" style="374" bestFit="1" customWidth="1"/>
    <col min="6151" max="6151" width="9.140625" style="374"/>
    <col min="6152" max="6152" width="11.28515625" style="374" bestFit="1" customWidth="1"/>
    <col min="6153" max="6153" width="12.85546875" style="374" bestFit="1" customWidth="1"/>
    <col min="6154" max="6393" width="9.140625" style="374"/>
    <col min="6394" max="6394" width="5.7109375" style="374" customWidth="1"/>
    <col min="6395" max="6395" width="9.7109375" style="374" customWidth="1"/>
    <col min="6396" max="6400" width="14.7109375" style="374" customWidth="1"/>
    <col min="6401" max="6401" width="16.28515625" style="374" customWidth="1"/>
    <col min="6402" max="6402" width="2.7109375" style="374" customWidth="1"/>
    <col min="6403" max="6404" width="15.140625" style="374" customWidth="1"/>
    <col min="6405" max="6405" width="15.7109375" style="374" customWidth="1"/>
    <col min="6406" max="6406" width="12.28515625" style="374" bestFit="1" customWidth="1"/>
    <col min="6407" max="6407" width="9.140625" style="374"/>
    <col min="6408" max="6408" width="11.28515625" style="374" bestFit="1" customWidth="1"/>
    <col min="6409" max="6409" width="12.85546875" style="374" bestFit="1" customWidth="1"/>
    <col min="6410" max="6649" width="9.140625" style="374"/>
    <col min="6650" max="6650" width="5.7109375" style="374" customWidth="1"/>
    <col min="6651" max="6651" width="9.7109375" style="374" customWidth="1"/>
    <col min="6652" max="6656" width="14.7109375" style="374" customWidth="1"/>
    <col min="6657" max="6657" width="16.28515625" style="374" customWidth="1"/>
    <col min="6658" max="6658" width="2.7109375" style="374" customWidth="1"/>
    <col min="6659" max="6660" width="15.140625" style="374" customWidth="1"/>
    <col min="6661" max="6661" width="15.7109375" style="374" customWidth="1"/>
    <col min="6662" max="6662" width="12.28515625" style="374" bestFit="1" customWidth="1"/>
    <col min="6663" max="6663" width="9.140625" style="374"/>
    <col min="6664" max="6664" width="11.28515625" style="374" bestFit="1" customWidth="1"/>
    <col min="6665" max="6665" width="12.85546875" style="374" bestFit="1" customWidth="1"/>
    <col min="6666" max="6905" width="9.140625" style="374"/>
    <col min="6906" max="6906" width="5.7109375" style="374" customWidth="1"/>
    <col min="6907" max="6907" width="9.7109375" style="374" customWidth="1"/>
    <col min="6908" max="6912" width="14.7109375" style="374" customWidth="1"/>
    <col min="6913" max="6913" width="16.28515625" style="374" customWidth="1"/>
    <col min="6914" max="6914" width="2.7109375" style="374" customWidth="1"/>
    <col min="6915" max="6916" width="15.140625" style="374" customWidth="1"/>
    <col min="6917" max="6917" width="15.7109375" style="374" customWidth="1"/>
    <col min="6918" max="6918" width="12.28515625" style="374" bestFit="1" customWidth="1"/>
    <col min="6919" max="6919" width="9.140625" style="374"/>
    <col min="6920" max="6920" width="11.28515625" style="374" bestFit="1" customWidth="1"/>
    <col min="6921" max="6921" width="12.85546875" style="374" bestFit="1" customWidth="1"/>
    <col min="6922" max="7161" width="9.140625" style="374"/>
    <col min="7162" max="7162" width="5.7109375" style="374" customWidth="1"/>
    <col min="7163" max="7163" width="9.7109375" style="374" customWidth="1"/>
    <col min="7164" max="7168" width="14.7109375" style="374" customWidth="1"/>
    <col min="7169" max="7169" width="16.28515625" style="374" customWidth="1"/>
    <col min="7170" max="7170" width="2.7109375" style="374" customWidth="1"/>
    <col min="7171" max="7172" width="15.140625" style="374" customWidth="1"/>
    <col min="7173" max="7173" width="15.7109375" style="374" customWidth="1"/>
    <col min="7174" max="7174" width="12.28515625" style="374" bestFit="1" customWidth="1"/>
    <col min="7175" max="7175" width="9.140625" style="374"/>
    <col min="7176" max="7176" width="11.28515625" style="374" bestFit="1" customWidth="1"/>
    <col min="7177" max="7177" width="12.85546875" style="374" bestFit="1" customWidth="1"/>
    <col min="7178" max="7417" width="9.140625" style="374"/>
    <col min="7418" max="7418" width="5.7109375" style="374" customWidth="1"/>
    <col min="7419" max="7419" width="9.7109375" style="374" customWidth="1"/>
    <col min="7420" max="7424" width="14.7109375" style="374" customWidth="1"/>
    <col min="7425" max="7425" width="16.28515625" style="374" customWidth="1"/>
    <col min="7426" max="7426" width="2.7109375" style="374" customWidth="1"/>
    <col min="7427" max="7428" width="15.140625" style="374" customWidth="1"/>
    <col min="7429" max="7429" width="15.7109375" style="374" customWidth="1"/>
    <col min="7430" max="7430" width="12.28515625" style="374" bestFit="1" customWidth="1"/>
    <col min="7431" max="7431" width="9.140625" style="374"/>
    <col min="7432" max="7432" width="11.28515625" style="374" bestFit="1" customWidth="1"/>
    <col min="7433" max="7433" width="12.85546875" style="374" bestFit="1" customWidth="1"/>
    <col min="7434" max="7673" width="9.140625" style="374"/>
    <col min="7674" max="7674" width="5.7109375" style="374" customWidth="1"/>
    <col min="7675" max="7675" width="9.7109375" style="374" customWidth="1"/>
    <col min="7676" max="7680" width="14.7109375" style="374" customWidth="1"/>
    <col min="7681" max="7681" width="16.28515625" style="374" customWidth="1"/>
    <col min="7682" max="7682" width="2.7109375" style="374" customWidth="1"/>
    <col min="7683" max="7684" width="15.140625" style="374" customWidth="1"/>
    <col min="7685" max="7685" width="15.7109375" style="374" customWidth="1"/>
    <col min="7686" max="7686" width="12.28515625" style="374" bestFit="1" customWidth="1"/>
    <col min="7687" max="7687" width="9.140625" style="374"/>
    <col min="7688" max="7688" width="11.28515625" style="374" bestFit="1" customWidth="1"/>
    <col min="7689" max="7689" width="12.85546875" style="374" bestFit="1" customWidth="1"/>
    <col min="7690" max="7929" width="9.140625" style="374"/>
    <col min="7930" max="7930" width="5.7109375" style="374" customWidth="1"/>
    <col min="7931" max="7931" width="9.7109375" style="374" customWidth="1"/>
    <col min="7932" max="7936" width="14.7109375" style="374" customWidth="1"/>
    <col min="7937" max="7937" width="16.28515625" style="374" customWidth="1"/>
    <col min="7938" max="7938" width="2.7109375" style="374" customWidth="1"/>
    <col min="7939" max="7940" width="15.140625" style="374" customWidth="1"/>
    <col min="7941" max="7941" width="15.7109375" style="374" customWidth="1"/>
    <col min="7942" max="7942" width="12.28515625" style="374" bestFit="1" customWidth="1"/>
    <col min="7943" max="7943" width="9.140625" style="374"/>
    <col min="7944" max="7944" width="11.28515625" style="374" bestFit="1" customWidth="1"/>
    <col min="7945" max="7945" width="12.85546875" style="374" bestFit="1" customWidth="1"/>
    <col min="7946" max="8185" width="9.140625" style="374"/>
    <col min="8186" max="8186" width="5.7109375" style="374" customWidth="1"/>
    <col min="8187" max="8187" width="9.7109375" style="374" customWidth="1"/>
    <col min="8188" max="8192" width="14.7109375" style="374" customWidth="1"/>
    <col min="8193" max="8193" width="16.28515625" style="374" customWidth="1"/>
    <col min="8194" max="8194" width="2.7109375" style="374" customWidth="1"/>
    <col min="8195" max="8196" width="15.140625" style="374" customWidth="1"/>
    <col min="8197" max="8197" width="15.7109375" style="374" customWidth="1"/>
    <col min="8198" max="8198" width="12.28515625" style="374" bestFit="1" customWidth="1"/>
    <col min="8199" max="8199" width="9.140625" style="374"/>
    <col min="8200" max="8200" width="11.28515625" style="374" bestFit="1" customWidth="1"/>
    <col min="8201" max="8201" width="12.85546875" style="374" bestFit="1" customWidth="1"/>
    <col min="8202" max="8441" width="9.140625" style="374"/>
    <col min="8442" max="8442" width="5.7109375" style="374" customWidth="1"/>
    <col min="8443" max="8443" width="9.7109375" style="374" customWidth="1"/>
    <col min="8444" max="8448" width="14.7109375" style="374" customWidth="1"/>
    <col min="8449" max="8449" width="16.28515625" style="374" customWidth="1"/>
    <col min="8450" max="8450" width="2.7109375" style="374" customWidth="1"/>
    <col min="8451" max="8452" width="15.140625" style="374" customWidth="1"/>
    <col min="8453" max="8453" width="15.7109375" style="374" customWidth="1"/>
    <col min="8454" max="8454" width="12.28515625" style="374" bestFit="1" customWidth="1"/>
    <col min="8455" max="8455" width="9.140625" style="374"/>
    <col min="8456" max="8456" width="11.28515625" style="374" bestFit="1" customWidth="1"/>
    <col min="8457" max="8457" width="12.85546875" style="374" bestFit="1" customWidth="1"/>
    <col min="8458" max="8697" width="9.140625" style="374"/>
    <col min="8698" max="8698" width="5.7109375" style="374" customWidth="1"/>
    <col min="8699" max="8699" width="9.7109375" style="374" customWidth="1"/>
    <col min="8700" max="8704" width="14.7109375" style="374" customWidth="1"/>
    <col min="8705" max="8705" width="16.28515625" style="374" customWidth="1"/>
    <col min="8706" max="8706" width="2.7109375" style="374" customWidth="1"/>
    <col min="8707" max="8708" width="15.140625" style="374" customWidth="1"/>
    <col min="8709" max="8709" width="15.7109375" style="374" customWidth="1"/>
    <col min="8710" max="8710" width="12.28515625" style="374" bestFit="1" customWidth="1"/>
    <col min="8711" max="8711" width="9.140625" style="374"/>
    <col min="8712" max="8712" width="11.28515625" style="374" bestFit="1" customWidth="1"/>
    <col min="8713" max="8713" width="12.85546875" style="374" bestFit="1" customWidth="1"/>
    <col min="8714" max="8953" width="9.140625" style="374"/>
    <col min="8954" max="8954" width="5.7109375" style="374" customWidth="1"/>
    <col min="8955" max="8955" width="9.7109375" style="374" customWidth="1"/>
    <col min="8956" max="8960" width="14.7109375" style="374" customWidth="1"/>
    <col min="8961" max="8961" width="16.28515625" style="374" customWidth="1"/>
    <col min="8962" max="8962" width="2.7109375" style="374" customWidth="1"/>
    <col min="8963" max="8964" width="15.140625" style="374" customWidth="1"/>
    <col min="8965" max="8965" width="15.7109375" style="374" customWidth="1"/>
    <col min="8966" max="8966" width="12.28515625" style="374" bestFit="1" customWidth="1"/>
    <col min="8967" max="8967" width="9.140625" style="374"/>
    <col min="8968" max="8968" width="11.28515625" style="374" bestFit="1" customWidth="1"/>
    <col min="8969" max="8969" width="12.85546875" style="374" bestFit="1" customWidth="1"/>
    <col min="8970" max="9209" width="9.140625" style="374"/>
    <col min="9210" max="9210" width="5.7109375" style="374" customWidth="1"/>
    <col min="9211" max="9211" width="9.7109375" style="374" customWidth="1"/>
    <col min="9212" max="9216" width="14.7109375" style="374" customWidth="1"/>
    <col min="9217" max="9217" width="16.28515625" style="374" customWidth="1"/>
    <col min="9218" max="9218" width="2.7109375" style="374" customWidth="1"/>
    <col min="9219" max="9220" width="15.140625" style="374" customWidth="1"/>
    <col min="9221" max="9221" width="15.7109375" style="374" customWidth="1"/>
    <col min="9222" max="9222" width="12.28515625" style="374" bestFit="1" customWidth="1"/>
    <col min="9223" max="9223" width="9.140625" style="374"/>
    <col min="9224" max="9224" width="11.28515625" style="374" bestFit="1" customWidth="1"/>
    <col min="9225" max="9225" width="12.85546875" style="374" bestFit="1" customWidth="1"/>
    <col min="9226" max="9465" width="9.140625" style="374"/>
    <col min="9466" max="9466" width="5.7109375" style="374" customWidth="1"/>
    <col min="9467" max="9467" width="9.7109375" style="374" customWidth="1"/>
    <col min="9468" max="9472" width="14.7109375" style="374" customWidth="1"/>
    <col min="9473" max="9473" width="16.28515625" style="374" customWidth="1"/>
    <col min="9474" max="9474" width="2.7109375" style="374" customWidth="1"/>
    <col min="9475" max="9476" width="15.140625" style="374" customWidth="1"/>
    <col min="9477" max="9477" width="15.7109375" style="374" customWidth="1"/>
    <col min="9478" max="9478" width="12.28515625" style="374" bestFit="1" customWidth="1"/>
    <col min="9479" max="9479" width="9.140625" style="374"/>
    <col min="9480" max="9480" width="11.28515625" style="374" bestFit="1" customWidth="1"/>
    <col min="9481" max="9481" width="12.85546875" style="374" bestFit="1" customWidth="1"/>
    <col min="9482" max="9721" width="9.140625" style="374"/>
    <col min="9722" max="9722" width="5.7109375" style="374" customWidth="1"/>
    <col min="9723" max="9723" width="9.7109375" style="374" customWidth="1"/>
    <col min="9724" max="9728" width="14.7109375" style="374" customWidth="1"/>
    <col min="9729" max="9729" width="16.28515625" style="374" customWidth="1"/>
    <col min="9730" max="9730" width="2.7109375" style="374" customWidth="1"/>
    <col min="9731" max="9732" width="15.140625" style="374" customWidth="1"/>
    <col min="9733" max="9733" width="15.7109375" style="374" customWidth="1"/>
    <col min="9734" max="9734" width="12.28515625" style="374" bestFit="1" customWidth="1"/>
    <col min="9735" max="9735" width="9.140625" style="374"/>
    <col min="9736" max="9736" width="11.28515625" style="374" bestFit="1" customWidth="1"/>
    <col min="9737" max="9737" width="12.85546875" style="374" bestFit="1" customWidth="1"/>
    <col min="9738" max="9977" width="9.140625" style="374"/>
    <col min="9978" max="9978" width="5.7109375" style="374" customWidth="1"/>
    <col min="9979" max="9979" width="9.7109375" style="374" customWidth="1"/>
    <col min="9980" max="9984" width="14.7109375" style="374" customWidth="1"/>
    <col min="9985" max="9985" width="16.28515625" style="374" customWidth="1"/>
    <col min="9986" max="9986" width="2.7109375" style="374" customWidth="1"/>
    <col min="9987" max="9988" width="15.140625" style="374" customWidth="1"/>
    <col min="9989" max="9989" width="15.7109375" style="374" customWidth="1"/>
    <col min="9990" max="9990" width="12.28515625" style="374" bestFit="1" customWidth="1"/>
    <col min="9991" max="9991" width="9.140625" style="374"/>
    <col min="9992" max="9992" width="11.28515625" style="374" bestFit="1" customWidth="1"/>
    <col min="9993" max="9993" width="12.85546875" style="374" bestFit="1" customWidth="1"/>
    <col min="9994" max="10233" width="9.140625" style="374"/>
    <col min="10234" max="10234" width="5.7109375" style="374" customWidth="1"/>
    <col min="10235" max="10235" width="9.7109375" style="374" customWidth="1"/>
    <col min="10236" max="10240" width="14.7109375" style="374" customWidth="1"/>
    <col min="10241" max="10241" width="16.28515625" style="374" customWidth="1"/>
    <col min="10242" max="10242" width="2.7109375" style="374" customWidth="1"/>
    <col min="10243" max="10244" width="15.140625" style="374" customWidth="1"/>
    <col min="10245" max="10245" width="15.7109375" style="374" customWidth="1"/>
    <col min="10246" max="10246" width="12.28515625" style="374" bestFit="1" customWidth="1"/>
    <col min="10247" max="10247" width="9.140625" style="374"/>
    <col min="10248" max="10248" width="11.28515625" style="374" bestFit="1" customWidth="1"/>
    <col min="10249" max="10249" width="12.85546875" style="374" bestFit="1" customWidth="1"/>
    <col min="10250" max="10489" width="9.140625" style="374"/>
    <col min="10490" max="10490" width="5.7109375" style="374" customWidth="1"/>
    <col min="10491" max="10491" width="9.7109375" style="374" customWidth="1"/>
    <col min="10492" max="10496" width="14.7109375" style="374" customWidth="1"/>
    <col min="10497" max="10497" width="16.28515625" style="374" customWidth="1"/>
    <col min="10498" max="10498" width="2.7109375" style="374" customWidth="1"/>
    <col min="10499" max="10500" width="15.140625" style="374" customWidth="1"/>
    <col min="10501" max="10501" width="15.7109375" style="374" customWidth="1"/>
    <col min="10502" max="10502" width="12.28515625" style="374" bestFit="1" customWidth="1"/>
    <col min="10503" max="10503" width="9.140625" style="374"/>
    <col min="10504" max="10504" width="11.28515625" style="374" bestFit="1" customWidth="1"/>
    <col min="10505" max="10505" width="12.85546875" style="374" bestFit="1" customWidth="1"/>
    <col min="10506" max="10745" width="9.140625" style="374"/>
    <col min="10746" max="10746" width="5.7109375" style="374" customWidth="1"/>
    <col min="10747" max="10747" width="9.7109375" style="374" customWidth="1"/>
    <col min="10748" max="10752" width="14.7109375" style="374" customWidth="1"/>
    <col min="10753" max="10753" width="16.28515625" style="374" customWidth="1"/>
    <col min="10754" max="10754" width="2.7109375" style="374" customWidth="1"/>
    <col min="10755" max="10756" width="15.140625" style="374" customWidth="1"/>
    <col min="10757" max="10757" width="15.7109375" style="374" customWidth="1"/>
    <col min="10758" max="10758" width="12.28515625" style="374" bestFit="1" customWidth="1"/>
    <col min="10759" max="10759" width="9.140625" style="374"/>
    <col min="10760" max="10760" width="11.28515625" style="374" bestFit="1" customWidth="1"/>
    <col min="10761" max="10761" width="12.85546875" style="374" bestFit="1" customWidth="1"/>
    <col min="10762" max="11001" width="9.140625" style="374"/>
    <col min="11002" max="11002" width="5.7109375" style="374" customWidth="1"/>
    <col min="11003" max="11003" width="9.7109375" style="374" customWidth="1"/>
    <col min="11004" max="11008" width="14.7109375" style="374" customWidth="1"/>
    <col min="11009" max="11009" width="16.28515625" style="374" customWidth="1"/>
    <col min="11010" max="11010" width="2.7109375" style="374" customWidth="1"/>
    <col min="11011" max="11012" width="15.140625" style="374" customWidth="1"/>
    <col min="11013" max="11013" width="15.7109375" style="374" customWidth="1"/>
    <col min="11014" max="11014" width="12.28515625" style="374" bestFit="1" customWidth="1"/>
    <col min="11015" max="11015" width="9.140625" style="374"/>
    <col min="11016" max="11016" width="11.28515625" style="374" bestFit="1" customWidth="1"/>
    <col min="11017" max="11017" width="12.85546875" style="374" bestFit="1" customWidth="1"/>
    <col min="11018" max="11257" width="9.140625" style="374"/>
    <col min="11258" max="11258" width="5.7109375" style="374" customWidth="1"/>
    <col min="11259" max="11259" width="9.7109375" style="374" customWidth="1"/>
    <col min="11260" max="11264" width="14.7109375" style="374" customWidth="1"/>
    <col min="11265" max="11265" width="16.28515625" style="374" customWidth="1"/>
    <col min="11266" max="11266" width="2.7109375" style="374" customWidth="1"/>
    <col min="11267" max="11268" width="15.140625" style="374" customWidth="1"/>
    <col min="11269" max="11269" width="15.7109375" style="374" customWidth="1"/>
    <col min="11270" max="11270" width="12.28515625" style="374" bestFit="1" customWidth="1"/>
    <col min="11271" max="11271" width="9.140625" style="374"/>
    <col min="11272" max="11272" width="11.28515625" style="374" bestFit="1" customWidth="1"/>
    <col min="11273" max="11273" width="12.85546875" style="374" bestFit="1" customWidth="1"/>
    <col min="11274" max="11513" width="9.140625" style="374"/>
    <col min="11514" max="11514" width="5.7109375" style="374" customWidth="1"/>
    <col min="11515" max="11515" width="9.7109375" style="374" customWidth="1"/>
    <col min="11516" max="11520" width="14.7109375" style="374" customWidth="1"/>
    <col min="11521" max="11521" width="16.28515625" style="374" customWidth="1"/>
    <col min="11522" max="11522" width="2.7109375" style="374" customWidth="1"/>
    <col min="11523" max="11524" width="15.140625" style="374" customWidth="1"/>
    <col min="11525" max="11525" width="15.7109375" style="374" customWidth="1"/>
    <col min="11526" max="11526" width="12.28515625" style="374" bestFit="1" customWidth="1"/>
    <col min="11527" max="11527" width="9.140625" style="374"/>
    <col min="11528" max="11528" width="11.28515625" style="374" bestFit="1" customWidth="1"/>
    <col min="11529" max="11529" width="12.85546875" style="374" bestFit="1" customWidth="1"/>
    <col min="11530" max="11769" width="9.140625" style="374"/>
    <col min="11770" max="11770" width="5.7109375" style="374" customWidth="1"/>
    <col min="11771" max="11771" width="9.7109375" style="374" customWidth="1"/>
    <col min="11772" max="11776" width="14.7109375" style="374" customWidth="1"/>
    <col min="11777" max="11777" width="16.28515625" style="374" customWidth="1"/>
    <col min="11778" max="11778" width="2.7109375" style="374" customWidth="1"/>
    <col min="11779" max="11780" width="15.140625" style="374" customWidth="1"/>
    <col min="11781" max="11781" width="15.7109375" style="374" customWidth="1"/>
    <col min="11782" max="11782" width="12.28515625" style="374" bestFit="1" customWidth="1"/>
    <col min="11783" max="11783" width="9.140625" style="374"/>
    <col min="11784" max="11784" width="11.28515625" style="374" bestFit="1" customWidth="1"/>
    <col min="11785" max="11785" width="12.85546875" style="374" bestFit="1" customWidth="1"/>
    <col min="11786" max="12025" width="9.140625" style="374"/>
    <col min="12026" max="12026" width="5.7109375" style="374" customWidth="1"/>
    <col min="12027" max="12027" width="9.7109375" style="374" customWidth="1"/>
    <col min="12028" max="12032" width="14.7109375" style="374" customWidth="1"/>
    <col min="12033" max="12033" width="16.28515625" style="374" customWidth="1"/>
    <col min="12034" max="12034" width="2.7109375" style="374" customWidth="1"/>
    <col min="12035" max="12036" width="15.140625" style="374" customWidth="1"/>
    <col min="12037" max="12037" width="15.7109375" style="374" customWidth="1"/>
    <col min="12038" max="12038" width="12.28515625" style="374" bestFit="1" customWidth="1"/>
    <col min="12039" max="12039" width="9.140625" style="374"/>
    <col min="12040" max="12040" width="11.28515625" style="374" bestFit="1" customWidth="1"/>
    <col min="12041" max="12041" width="12.85546875" style="374" bestFit="1" customWidth="1"/>
    <col min="12042" max="12281" width="9.140625" style="374"/>
    <col min="12282" max="12282" width="5.7109375" style="374" customWidth="1"/>
    <col min="12283" max="12283" width="9.7109375" style="374" customWidth="1"/>
    <col min="12284" max="12288" width="14.7109375" style="374" customWidth="1"/>
    <col min="12289" max="12289" width="16.28515625" style="374" customWidth="1"/>
    <col min="12290" max="12290" width="2.7109375" style="374" customWidth="1"/>
    <col min="12291" max="12292" width="15.140625" style="374" customWidth="1"/>
    <col min="12293" max="12293" width="15.7109375" style="374" customWidth="1"/>
    <col min="12294" max="12294" width="12.28515625" style="374" bestFit="1" customWidth="1"/>
    <col min="12295" max="12295" width="9.140625" style="374"/>
    <col min="12296" max="12296" width="11.28515625" style="374" bestFit="1" customWidth="1"/>
    <col min="12297" max="12297" width="12.85546875" style="374" bestFit="1" customWidth="1"/>
    <col min="12298" max="12537" width="9.140625" style="374"/>
    <col min="12538" max="12538" width="5.7109375" style="374" customWidth="1"/>
    <col min="12539" max="12539" width="9.7109375" style="374" customWidth="1"/>
    <col min="12540" max="12544" width="14.7109375" style="374" customWidth="1"/>
    <col min="12545" max="12545" width="16.28515625" style="374" customWidth="1"/>
    <col min="12546" max="12546" width="2.7109375" style="374" customWidth="1"/>
    <col min="12547" max="12548" width="15.140625" style="374" customWidth="1"/>
    <col min="12549" max="12549" width="15.7109375" style="374" customWidth="1"/>
    <col min="12550" max="12550" width="12.28515625" style="374" bestFit="1" customWidth="1"/>
    <col min="12551" max="12551" width="9.140625" style="374"/>
    <col min="12552" max="12552" width="11.28515625" style="374" bestFit="1" customWidth="1"/>
    <col min="12553" max="12553" width="12.85546875" style="374" bestFit="1" customWidth="1"/>
    <col min="12554" max="12793" width="9.140625" style="374"/>
    <col min="12794" max="12794" width="5.7109375" style="374" customWidth="1"/>
    <col min="12795" max="12795" width="9.7109375" style="374" customWidth="1"/>
    <col min="12796" max="12800" width="14.7109375" style="374" customWidth="1"/>
    <col min="12801" max="12801" width="16.28515625" style="374" customWidth="1"/>
    <col min="12802" max="12802" width="2.7109375" style="374" customWidth="1"/>
    <col min="12803" max="12804" width="15.140625" style="374" customWidth="1"/>
    <col min="12805" max="12805" width="15.7109375" style="374" customWidth="1"/>
    <col min="12806" max="12806" width="12.28515625" style="374" bestFit="1" customWidth="1"/>
    <col min="12807" max="12807" width="9.140625" style="374"/>
    <col min="12808" max="12808" width="11.28515625" style="374" bestFit="1" customWidth="1"/>
    <col min="12809" max="12809" width="12.85546875" style="374" bestFit="1" customWidth="1"/>
    <col min="12810" max="13049" width="9.140625" style="374"/>
    <col min="13050" max="13050" width="5.7109375" style="374" customWidth="1"/>
    <col min="13051" max="13051" width="9.7109375" style="374" customWidth="1"/>
    <col min="13052" max="13056" width="14.7109375" style="374" customWidth="1"/>
    <col min="13057" max="13057" width="16.28515625" style="374" customWidth="1"/>
    <col min="13058" max="13058" width="2.7109375" style="374" customWidth="1"/>
    <col min="13059" max="13060" width="15.140625" style="374" customWidth="1"/>
    <col min="13061" max="13061" width="15.7109375" style="374" customWidth="1"/>
    <col min="13062" max="13062" width="12.28515625" style="374" bestFit="1" customWidth="1"/>
    <col min="13063" max="13063" width="9.140625" style="374"/>
    <col min="13064" max="13064" width="11.28515625" style="374" bestFit="1" customWidth="1"/>
    <col min="13065" max="13065" width="12.85546875" style="374" bestFit="1" customWidth="1"/>
    <col min="13066" max="13305" width="9.140625" style="374"/>
    <col min="13306" max="13306" width="5.7109375" style="374" customWidth="1"/>
    <col min="13307" max="13307" width="9.7109375" style="374" customWidth="1"/>
    <col min="13308" max="13312" width="14.7109375" style="374" customWidth="1"/>
    <col min="13313" max="13313" width="16.28515625" style="374" customWidth="1"/>
    <col min="13314" max="13314" width="2.7109375" style="374" customWidth="1"/>
    <col min="13315" max="13316" width="15.140625" style="374" customWidth="1"/>
    <col min="13317" max="13317" width="15.7109375" style="374" customWidth="1"/>
    <col min="13318" max="13318" width="12.28515625" style="374" bestFit="1" customWidth="1"/>
    <col min="13319" max="13319" width="9.140625" style="374"/>
    <col min="13320" max="13320" width="11.28515625" style="374" bestFit="1" customWidth="1"/>
    <col min="13321" max="13321" width="12.85546875" style="374" bestFit="1" customWidth="1"/>
    <col min="13322" max="13561" width="9.140625" style="374"/>
    <col min="13562" max="13562" width="5.7109375" style="374" customWidth="1"/>
    <col min="13563" max="13563" width="9.7109375" style="374" customWidth="1"/>
    <col min="13564" max="13568" width="14.7109375" style="374" customWidth="1"/>
    <col min="13569" max="13569" width="16.28515625" style="374" customWidth="1"/>
    <col min="13570" max="13570" width="2.7109375" style="374" customWidth="1"/>
    <col min="13571" max="13572" width="15.140625" style="374" customWidth="1"/>
    <col min="13573" max="13573" width="15.7109375" style="374" customWidth="1"/>
    <col min="13574" max="13574" width="12.28515625" style="374" bestFit="1" customWidth="1"/>
    <col min="13575" max="13575" width="9.140625" style="374"/>
    <col min="13576" max="13576" width="11.28515625" style="374" bestFit="1" customWidth="1"/>
    <col min="13577" max="13577" width="12.85546875" style="374" bestFit="1" customWidth="1"/>
    <col min="13578" max="13817" width="9.140625" style="374"/>
    <col min="13818" max="13818" width="5.7109375" style="374" customWidth="1"/>
    <col min="13819" max="13819" width="9.7109375" style="374" customWidth="1"/>
    <col min="13820" max="13824" width="14.7109375" style="374" customWidth="1"/>
    <col min="13825" max="13825" width="16.28515625" style="374" customWidth="1"/>
    <col min="13826" max="13826" width="2.7109375" style="374" customWidth="1"/>
    <col min="13827" max="13828" width="15.140625" style="374" customWidth="1"/>
    <col min="13829" max="13829" width="15.7109375" style="374" customWidth="1"/>
    <col min="13830" max="13830" width="12.28515625" style="374" bestFit="1" customWidth="1"/>
    <col min="13831" max="13831" width="9.140625" style="374"/>
    <col min="13832" max="13832" width="11.28515625" style="374" bestFit="1" customWidth="1"/>
    <col min="13833" max="13833" width="12.85546875" style="374" bestFit="1" customWidth="1"/>
    <col min="13834" max="14073" width="9.140625" style="374"/>
    <col min="14074" max="14074" width="5.7109375" style="374" customWidth="1"/>
    <col min="14075" max="14075" width="9.7109375" style="374" customWidth="1"/>
    <col min="14076" max="14080" width="14.7109375" style="374" customWidth="1"/>
    <col min="14081" max="14081" width="16.28515625" style="374" customWidth="1"/>
    <col min="14082" max="14082" width="2.7109375" style="374" customWidth="1"/>
    <col min="14083" max="14084" width="15.140625" style="374" customWidth="1"/>
    <col min="14085" max="14085" width="15.7109375" style="374" customWidth="1"/>
    <col min="14086" max="14086" width="12.28515625" style="374" bestFit="1" customWidth="1"/>
    <col min="14087" max="14087" width="9.140625" style="374"/>
    <col min="14088" max="14088" width="11.28515625" style="374" bestFit="1" customWidth="1"/>
    <col min="14089" max="14089" width="12.85546875" style="374" bestFit="1" customWidth="1"/>
    <col min="14090" max="14329" width="9.140625" style="374"/>
    <col min="14330" max="14330" width="5.7109375" style="374" customWidth="1"/>
    <col min="14331" max="14331" width="9.7109375" style="374" customWidth="1"/>
    <col min="14332" max="14336" width="14.7109375" style="374" customWidth="1"/>
    <col min="14337" max="14337" width="16.28515625" style="374" customWidth="1"/>
    <col min="14338" max="14338" width="2.7109375" style="374" customWidth="1"/>
    <col min="14339" max="14340" width="15.140625" style="374" customWidth="1"/>
    <col min="14341" max="14341" width="15.7109375" style="374" customWidth="1"/>
    <col min="14342" max="14342" width="12.28515625" style="374" bestFit="1" customWidth="1"/>
    <col min="14343" max="14343" width="9.140625" style="374"/>
    <col min="14344" max="14344" width="11.28515625" style="374" bestFit="1" customWidth="1"/>
    <col min="14345" max="14345" width="12.85546875" style="374" bestFit="1" customWidth="1"/>
    <col min="14346" max="14585" width="9.140625" style="374"/>
    <col min="14586" max="14586" width="5.7109375" style="374" customWidth="1"/>
    <col min="14587" max="14587" width="9.7109375" style="374" customWidth="1"/>
    <col min="14588" max="14592" width="14.7109375" style="374" customWidth="1"/>
    <col min="14593" max="14593" width="16.28515625" style="374" customWidth="1"/>
    <col min="14594" max="14594" width="2.7109375" style="374" customWidth="1"/>
    <col min="14595" max="14596" width="15.140625" style="374" customWidth="1"/>
    <col min="14597" max="14597" width="15.7109375" style="374" customWidth="1"/>
    <col min="14598" max="14598" width="12.28515625" style="374" bestFit="1" customWidth="1"/>
    <col min="14599" max="14599" width="9.140625" style="374"/>
    <col min="14600" max="14600" width="11.28515625" style="374" bestFit="1" customWidth="1"/>
    <col min="14601" max="14601" width="12.85546875" style="374" bestFit="1" customWidth="1"/>
    <col min="14602" max="14841" width="9.140625" style="374"/>
    <col min="14842" max="14842" width="5.7109375" style="374" customWidth="1"/>
    <col min="14843" max="14843" width="9.7109375" style="374" customWidth="1"/>
    <col min="14844" max="14848" width="14.7109375" style="374" customWidth="1"/>
    <col min="14849" max="14849" width="16.28515625" style="374" customWidth="1"/>
    <col min="14850" max="14850" width="2.7109375" style="374" customWidth="1"/>
    <col min="14851" max="14852" width="15.140625" style="374" customWidth="1"/>
    <col min="14853" max="14853" width="15.7109375" style="374" customWidth="1"/>
    <col min="14854" max="14854" width="12.28515625" style="374" bestFit="1" customWidth="1"/>
    <col min="14855" max="14855" width="9.140625" style="374"/>
    <col min="14856" max="14856" width="11.28515625" style="374" bestFit="1" customWidth="1"/>
    <col min="14857" max="14857" width="12.85546875" style="374" bestFit="1" customWidth="1"/>
    <col min="14858" max="15097" width="9.140625" style="374"/>
    <col min="15098" max="15098" width="5.7109375" style="374" customWidth="1"/>
    <col min="15099" max="15099" width="9.7109375" style="374" customWidth="1"/>
    <col min="15100" max="15104" width="14.7109375" style="374" customWidth="1"/>
    <col min="15105" max="15105" width="16.28515625" style="374" customWidth="1"/>
    <col min="15106" max="15106" width="2.7109375" style="374" customWidth="1"/>
    <col min="15107" max="15108" width="15.140625" style="374" customWidth="1"/>
    <col min="15109" max="15109" width="15.7109375" style="374" customWidth="1"/>
    <col min="15110" max="15110" width="12.28515625" style="374" bestFit="1" customWidth="1"/>
    <col min="15111" max="15111" width="9.140625" style="374"/>
    <col min="15112" max="15112" width="11.28515625" style="374" bestFit="1" customWidth="1"/>
    <col min="15113" max="15113" width="12.85546875" style="374" bestFit="1" customWidth="1"/>
    <col min="15114" max="15353" width="9.140625" style="374"/>
    <col min="15354" max="15354" width="5.7109375" style="374" customWidth="1"/>
    <col min="15355" max="15355" width="9.7109375" style="374" customWidth="1"/>
    <col min="15356" max="15360" width="14.7109375" style="374" customWidth="1"/>
    <col min="15361" max="15361" width="16.28515625" style="374" customWidth="1"/>
    <col min="15362" max="15362" width="2.7109375" style="374" customWidth="1"/>
    <col min="15363" max="15364" width="15.140625" style="374" customWidth="1"/>
    <col min="15365" max="15365" width="15.7109375" style="374" customWidth="1"/>
    <col min="15366" max="15366" width="12.28515625" style="374" bestFit="1" customWidth="1"/>
    <col min="15367" max="15367" width="9.140625" style="374"/>
    <col min="15368" max="15368" width="11.28515625" style="374" bestFit="1" customWidth="1"/>
    <col min="15369" max="15369" width="12.85546875" style="374" bestFit="1" customWidth="1"/>
    <col min="15370" max="15609" width="9.140625" style="374"/>
    <col min="15610" max="15610" width="5.7109375" style="374" customWidth="1"/>
    <col min="15611" max="15611" width="9.7109375" style="374" customWidth="1"/>
    <col min="15612" max="15616" width="14.7109375" style="374" customWidth="1"/>
    <col min="15617" max="15617" width="16.28515625" style="374" customWidth="1"/>
    <col min="15618" max="15618" width="2.7109375" style="374" customWidth="1"/>
    <col min="15619" max="15620" width="15.140625" style="374" customWidth="1"/>
    <col min="15621" max="15621" width="15.7109375" style="374" customWidth="1"/>
    <col min="15622" max="15622" width="12.28515625" style="374" bestFit="1" customWidth="1"/>
    <col min="15623" max="15623" width="9.140625" style="374"/>
    <col min="15624" max="15624" width="11.28515625" style="374" bestFit="1" customWidth="1"/>
    <col min="15625" max="15625" width="12.85546875" style="374" bestFit="1" customWidth="1"/>
    <col min="15626" max="15865" width="9.140625" style="374"/>
    <col min="15866" max="15866" width="5.7109375" style="374" customWidth="1"/>
    <col min="15867" max="15867" width="9.7109375" style="374" customWidth="1"/>
    <col min="15868" max="15872" width="14.7109375" style="374" customWidth="1"/>
    <col min="15873" max="15873" width="16.28515625" style="374" customWidth="1"/>
    <col min="15874" max="15874" width="2.7109375" style="374" customWidth="1"/>
    <col min="15875" max="15876" width="15.140625" style="374" customWidth="1"/>
    <col min="15877" max="15877" width="15.7109375" style="374" customWidth="1"/>
    <col min="15878" max="15878" width="12.28515625" style="374" bestFit="1" customWidth="1"/>
    <col min="15879" max="15879" width="9.140625" style="374"/>
    <col min="15880" max="15880" width="11.28515625" style="374" bestFit="1" customWidth="1"/>
    <col min="15881" max="15881" width="12.85546875" style="374" bestFit="1" customWidth="1"/>
    <col min="15882" max="16121" width="9.140625" style="374"/>
    <col min="16122" max="16122" width="5.7109375" style="374" customWidth="1"/>
    <col min="16123" max="16123" width="9.7109375" style="374" customWidth="1"/>
    <col min="16124" max="16128" width="14.7109375" style="374" customWidth="1"/>
    <col min="16129" max="16129" width="16.28515625" style="374" customWidth="1"/>
    <col min="16130" max="16130" width="2.7109375" style="374" customWidth="1"/>
    <col min="16131" max="16132" width="15.140625" style="374" customWidth="1"/>
    <col min="16133" max="16133" width="15.7109375" style="374" customWidth="1"/>
    <col min="16134" max="16134" width="12.28515625" style="374" bestFit="1" customWidth="1"/>
    <col min="16135" max="16135" width="9.140625" style="374"/>
    <col min="16136" max="16136" width="11.28515625" style="374" bestFit="1" customWidth="1"/>
    <col min="16137" max="16137" width="12.85546875" style="374" bestFit="1" customWidth="1"/>
    <col min="16138" max="16384" width="9.140625" style="374"/>
  </cols>
  <sheetData>
    <row r="1" spans="1:17">
      <c r="A1" s="374" t="s">
        <v>32</v>
      </c>
      <c r="H1" s="375" t="s">
        <v>384</v>
      </c>
      <c r="I1" s="375"/>
    </row>
    <row r="2" spans="1:17">
      <c r="A2" s="374" t="s">
        <v>534</v>
      </c>
      <c r="H2" s="375" t="s">
        <v>535</v>
      </c>
      <c r="I2" s="375"/>
    </row>
    <row r="3" spans="1:17">
      <c r="A3" s="374" t="s">
        <v>544</v>
      </c>
      <c r="I3" s="375"/>
    </row>
    <row r="4" spans="1:17">
      <c r="A4" s="376"/>
      <c r="C4" s="376"/>
      <c r="D4" s="376"/>
      <c r="E4" s="376"/>
      <c r="F4" s="376"/>
      <c r="G4" s="376"/>
      <c r="H4" s="376"/>
      <c r="I4" s="376"/>
    </row>
    <row r="6" spans="1:17">
      <c r="A6" s="374" t="s">
        <v>562</v>
      </c>
      <c r="H6" s="476">
        <v>3278565.76</v>
      </c>
      <c r="I6" s="377"/>
    </row>
    <row r="7" spans="1:17" ht="15">
      <c r="A7" s="374" t="s">
        <v>564</v>
      </c>
      <c r="H7" s="491">
        <f>-1011930.69</f>
        <v>-1011930.69</v>
      </c>
      <c r="I7" s="377"/>
    </row>
    <row r="8" spans="1:17">
      <c r="H8" s="377"/>
      <c r="I8" s="377"/>
    </row>
    <row r="9" spans="1:17" ht="13.5" thickBot="1">
      <c r="A9" s="352" t="s">
        <v>114</v>
      </c>
      <c r="H9" s="378">
        <f>SUM(H6:H8)</f>
        <v>2266635.0699999998</v>
      </c>
      <c r="I9" s="379"/>
      <c r="K9" s="377"/>
    </row>
    <row r="10" spans="1:17" ht="13.5" thickTop="1">
      <c r="H10" s="380"/>
      <c r="I10" s="380"/>
    </row>
    <row r="11" spans="1:17" ht="12.75" customHeight="1">
      <c r="B11" s="381"/>
      <c r="C11" s="381"/>
      <c r="D11" s="381"/>
      <c r="E11" s="381"/>
      <c r="F11" s="381"/>
      <c r="G11" s="381"/>
      <c r="H11" s="381"/>
      <c r="I11" s="381"/>
    </row>
    <row r="12" spans="1:17" ht="12.75" customHeight="1">
      <c r="F12" s="382" t="s">
        <v>384</v>
      </c>
      <c r="H12" s="380"/>
      <c r="I12" s="380"/>
      <c r="K12" s="374" t="s">
        <v>563</v>
      </c>
    </row>
    <row r="13" spans="1:17" ht="12.75" customHeight="1">
      <c r="A13" s="382" t="s">
        <v>24</v>
      </c>
      <c r="C13" s="382"/>
      <c r="D13" s="382"/>
      <c r="E13" s="382" t="s">
        <v>384</v>
      </c>
      <c r="F13" s="382" t="s">
        <v>318</v>
      </c>
      <c r="G13" s="382" t="s">
        <v>536</v>
      </c>
      <c r="H13" s="380"/>
      <c r="I13" s="380"/>
    </row>
    <row r="14" spans="1:17" ht="12.75" customHeight="1">
      <c r="A14" s="384" t="s">
        <v>23</v>
      </c>
      <c r="B14" s="384" t="s">
        <v>40</v>
      </c>
      <c r="C14" s="384" t="s">
        <v>537</v>
      </c>
      <c r="D14" s="384" t="s">
        <v>383</v>
      </c>
      <c r="E14" s="384" t="s">
        <v>379</v>
      </c>
      <c r="F14" s="384" t="s">
        <v>314</v>
      </c>
      <c r="G14" s="384" t="s">
        <v>379</v>
      </c>
      <c r="H14" s="384" t="s">
        <v>538</v>
      </c>
      <c r="I14" s="384"/>
    </row>
    <row r="15" spans="1:17">
      <c r="B15" s="382" t="s">
        <v>27</v>
      </c>
      <c r="C15" s="382" t="s">
        <v>26</v>
      </c>
      <c r="D15" s="382" t="s">
        <v>25</v>
      </c>
      <c r="E15" s="382" t="s">
        <v>121</v>
      </c>
      <c r="F15" s="382" t="s">
        <v>120</v>
      </c>
      <c r="G15" s="382" t="s">
        <v>539</v>
      </c>
      <c r="H15" s="382" t="s">
        <v>540</v>
      </c>
      <c r="I15" s="382"/>
      <c r="Q15" s="300"/>
    </row>
    <row r="16" spans="1:17">
      <c r="A16" s="382">
        <v>1</v>
      </c>
      <c r="C16" s="384"/>
      <c r="D16" s="384"/>
      <c r="E16" s="384"/>
      <c r="F16" s="384"/>
      <c r="G16" s="384"/>
      <c r="H16" s="384"/>
      <c r="I16" s="384"/>
      <c r="Q16" s="300"/>
    </row>
    <row r="17" spans="1:17">
      <c r="A17" s="382">
        <v>2</v>
      </c>
      <c r="B17" s="385" t="s">
        <v>541</v>
      </c>
      <c r="C17" s="386"/>
      <c r="D17" s="387"/>
      <c r="E17" s="380"/>
      <c r="F17" s="380"/>
      <c r="G17" s="380"/>
      <c r="H17" s="383">
        <f>H9</f>
        <v>2266635.0699999998</v>
      </c>
      <c r="I17" s="383"/>
      <c r="Q17" s="300"/>
    </row>
    <row r="18" spans="1:17">
      <c r="A18" s="382">
        <v>3</v>
      </c>
      <c r="B18" s="428">
        <v>44228</v>
      </c>
      <c r="C18" s="477">
        <v>3389655</v>
      </c>
      <c r="D18" s="466">
        <v>0.1807</v>
      </c>
      <c r="E18" s="430">
        <f>ROUND(C18*D18,2)</f>
        <v>612510.66</v>
      </c>
      <c r="F18" s="478">
        <f>G18-E18</f>
        <v>1263.1300000000047</v>
      </c>
      <c r="G18" s="490">
        <v>613773.79</v>
      </c>
      <c r="H18" s="388">
        <f>H17-G18</f>
        <v>1652861.2799999998</v>
      </c>
      <c r="I18" s="388"/>
      <c r="L18" s="463"/>
      <c r="M18" s="463"/>
      <c r="O18" s="429"/>
      <c r="Q18" s="300"/>
    </row>
    <row r="19" spans="1:17">
      <c r="A19" s="382">
        <v>4</v>
      </c>
      <c r="B19" s="385">
        <f t="shared" ref="B19:B29" si="0">EDATE(B18,1)</f>
        <v>44256</v>
      </c>
      <c r="C19" s="477">
        <v>2766915</v>
      </c>
      <c r="D19" s="404">
        <f>D18</f>
        <v>0.1807</v>
      </c>
      <c r="E19" s="431">
        <f t="shared" ref="E19:E29" si="1">ROUND(C19*D19,2)</f>
        <v>499981.54</v>
      </c>
      <c r="F19" s="478">
        <f t="shared" ref="F19:F29" si="2">G19-E19</f>
        <v>-763.22999999992317</v>
      </c>
      <c r="G19" s="490">
        <v>499218.31000000006</v>
      </c>
      <c r="H19" s="388">
        <f t="shared" ref="H19:H28" si="3">+H18-G19</f>
        <v>1153642.9699999997</v>
      </c>
      <c r="I19" s="388"/>
      <c r="L19" s="463"/>
      <c r="M19" s="463"/>
      <c r="O19" s="429"/>
      <c r="Q19" s="300"/>
    </row>
    <row r="20" spans="1:17">
      <c r="A20" s="382">
        <v>5</v>
      </c>
      <c r="B20" s="385">
        <f t="shared" si="0"/>
        <v>44287</v>
      </c>
      <c r="C20" s="477">
        <v>1390161</v>
      </c>
      <c r="D20" s="404">
        <f t="shared" ref="D20:D29" si="4">D19</f>
        <v>0.1807</v>
      </c>
      <c r="E20" s="431">
        <f t="shared" si="1"/>
        <v>251202.09</v>
      </c>
      <c r="F20" s="478">
        <f t="shared" si="2"/>
        <v>-461.1699999999837</v>
      </c>
      <c r="G20" s="490">
        <v>250740.92</v>
      </c>
      <c r="H20" s="388">
        <f t="shared" si="3"/>
        <v>902902.0499999997</v>
      </c>
      <c r="I20" s="388"/>
      <c r="L20" s="463"/>
      <c r="M20" s="463"/>
      <c r="O20" s="429"/>
      <c r="Q20" s="300"/>
    </row>
    <row r="21" spans="1:17">
      <c r="A21" s="382">
        <v>6</v>
      </c>
      <c r="B21" s="385">
        <f t="shared" si="0"/>
        <v>44317</v>
      </c>
      <c r="C21" s="477">
        <v>763455</v>
      </c>
      <c r="D21" s="404">
        <f t="shared" si="4"/>
        <v>0.1807</v>
      </c>
      <c r="E21" s="431">
        <f t="shared" si="1"/>
        <v>137956.32</v>
      </c>
      <c r="F21" s="478">
        <f t="shared" si="2"/>
        <v>-498.10000000000582</v>
      </c>
      <c r="G21" s="490">
        <v>137458.22</v>
      </c>
      <c r="H21" s="388">
        <f t="shared" si="3"/>
        <v>765443.82999999973</v>
      </c>
      <c r="I21" s="388"/>
      <c r="L21" s="463"/>
      <c r="M21" s="463"/>
      <c r="O21" s="429"/>
      <c r="Q21" s="300"/>
    </row>
    <row r="22" spans="1:17">
      <c r="A22" s="382">
        <v>7</v>
      </c>
      <c r="B22" s="385">
        <f t="shared" si="0"/>
        <v>44348</v>
      </c>
      <c r="C22" s="477">
        <v>503319</v>
      </c>
      <c r="D22" s="404">
        <f t="shared" si="4"/>
        <v>0.1807</v>
      </c>
      <c r="E22" s="431">
        <f t="shared" si="1"/>
        <v>90949.74</v>
      </c>
      <c r="F22" s="478">
        <f t="shared" si="2"/>
        <v>-121.47000000000116</v>
      </c>
      <c r="G22" s="490">
        <v>90828.27</v>
      </c>
      <c r="H22" s="388">
        <f t="shared" si="3"/>
        <v>674615.55999999971</v>
      </c>
      <c r="I22" s="388"/>
      <c r="L22" s="463"/>
      <c r="M22" s="463"/>
      <c r="O22" s="429"/>
      <c r="Q22" s="300"/>
    </row>
    <row r="23" spans="1:17">
      <c r="A23" s="382">
        <v>8</v>
      </c>
      <c r="B23" s="385">
        <f t="shared" si="0"/>
        <v>44378</v>
      </c>
      <c r="C23" s="477">
        <v>390293</v>
      </c>
      <c r="D23" s="404">
        <f t="shared" si="4"/>
        <v>0.1807</v>
      </c>
      <c r="E23" s="431">
        <f t="shared" si="1"/>
        <v>70525.95</v>
      </c>
      <c r="F23" s="478">
        <f t="shared" si="2"/>
        <v>-182.19000000000233</v>
      </c>
      <c r="G23" s="490">
        <v>70343.759999999995</v>
      </c>
      <c r="H23" s="388">
        <f t="shared" si="3"/>
        <v>604271.7999999997</v>
      </c>
      <c r="I23" s="388"/>
      <c r="L23" s="463"/>
      <c r="M23" s="463"/>
      <c r="O23" s="429"/>
      <c r="Q23" s="300"/>
    </row>
    <row r="24" spans="1:17">
      <c r="A24" s="382">
        <v>9</v>
      </c>
      <c r="B24" s="385">
        <f t="shared" si="0"/>
        <v>44409</v>
      </c>
      <c r="C24" s="477">
        <v>344052</v>
      </c>
      <c r="D24" s="404">
        <f t="shared" si="4"/>
        <v>0.1807</v>
      </c>
      <c r="E24" s="431">
        <f t="shared" si="1"/>
        <v>62170.2</v>
      </c>
      <c r="F24" s="478">
        <f t="shared" si="2"/>
        <v>-152.45999999999185</v>
      </c>
      <c r="G24" s="490">
        <v>62017.740000000005</v>
      </c>
      <c r="H24" s="388">
        <f t="shared" si="3"/>
        <v>542254.05999999971</v>
      </c>
      <c r="I24" s="388"/>
      <c r="L24" s="463"/>
      <c r="M24" s="463"/>
      <c r="O24" s="429"/>
    </row>
    <row r="25" spans="1:17">
      <c r="A25" s="382">
        <v>10</v>
      </c>
      <c r="B25" s="385">
        <f t="shared" si="0"/>
        <v>44440</v>
      </c>
      <c r="C25" s="477">
        <v>470438</v>
      </c>
      <c r="D25" s="404">
        <f t="shared" si="4"/>
        <v>0.1807</v>
      </c>
      <c r="E25" s="431">
        <f t="shared" si="1"/>
        <v>85008.15</v>
      </c>
      <c r="F25" s="478">
        <f t="shared" si="2"/>
        <v>-72.169999999983702</v>
      </c>
      <c r="G25" s="490">
        <v>84935.98000000001</v>
      </c>
      <c r="H25" s="388">
        <f t="shared" si="3"/>
        <v>457318.07999999973</v>
      </c>
      <c r="I25" s="388"/>
      <c r="L25" s="463"/>
      <c r="M25" s="463"/>
      <c r="O25" s="429"/>
    </row>
    <row r="26" spans="1:17">
      <c r="A26" s="382">
        <v>11</v>
      </c>
      <c r="B26" s="385">
        <f t="shared" si="0"/>
        <v>44470</v>
      </c>
      <c r="C26" s="477">
        <v>498181.00899999996</v>
      </c>
      <c r="D26" s="404">
        <f t="shared" si="4"/>
        <v>0.1807</v>
      </c>
      <c r="E26" s="431">
        <f t="shared" si="1"/>
        <v>90021.31</v>
      </c>
      <c r="F26" s="478">
        <f t="shared" si="2"/>
        <v>-70.120000000009895</v>
      </c>
      <c r="G26" s="490">
        <v>89951.189999999988</v>
      </c>
      <c r="H26" s="388">
        <f t="shared" si="3"/>
        <v>367366.88999999972</v>
      </c>
      <c r="I26" s="388"/>
      <c r="L26" s="463"/>
      <c r="M26" s="463"/>
      <c r="O26" s="429"/>
    </row>
    <row r="27" spans="1:17">
      <c r="A27" s="382">
        <v>12</v>
      </c>
      <c r="B27" s="385">
        <f t="shared" si="0"/>
        <v>44501</v>
      </c>
      <c r="C27" s="477">
        <v>1096893.5456000001</v>
      </c>
      <c r="D27" s="404">
        <f t="shared" si="4"/>
        <v>0.1807</v>
      </c>
      <c r="E27" s="431">
        <f t="shared" si="1"/>
        <v>198208.66</v>
      </c>
      <c r="F27" s="478">
        <f t="shared" si="2"/>
        <v>-44.190000000031432</v>
      </c>
      <c r="G27" s="490">
        <v>198164.46999999997</v>
      </c>
      <c r="H27" s="388">
        <f t="shared" si="3"/>
        <v>169202.41999999975</v>
      </c>
      <c r="I27" s="388"/>
      <c r="L27" s="463"/>
      <c r="M27" s="463"/>
      <c r="O27" s="429"/>
    </row>
    <row r="28" spans="1:17">
      <c r="A28" s="382">
        <v>13</v>
      </c>
      <c r="B28" s="385">
        <f t="shared" si="0"/>
        <v>44531</v>
      </c>
      <c r="C28" s="477">
        <v>2174091.8985000001</v>
      </c>
      <c r="D28" s="404">
        <f t="shared" si="4"/>
        <v>0.1807</v>
      </c>
      <c r="E28" s="431">
        <f t="shared" si="1"/>
        <v>392858.41</v>
      </c>
      <c r="F28" s="478">
        <f t="shared" si="2"/>
        <v>-222.29000000003725</v>
      </c>
      <c r="G28" s="490">
        <v>392636.11999999994</v>
      </c>
      <c r="H28" s="388">
        <f t="shared" si="3"/>
        <v>-223433.70000000019</v>
      </c>
      <c r="I28" s="388"/>
      <c r="L28" s="463"/>
      <c r="M28" s="463"/>
      <c r="O28" s="429"/>
    </row>
    <row r="29" spans="1:17">
      <c r="A29" s="382">
        <v>14</v>
      </c>
      <c r="B29" s="385">
        <f t="shared" si="0"/>
        <v>44562</v>
      </c>
      <c r="C29" s="477">
        <v>2775179.9979999997</v>
      </c>
      <c r="D29" s="404">
        <f t="shared" si="4"/>
        <v>0.1807</v>
      </c>
      <c r="E29" s="431">
        <f t="shared" si="1"/>
        <v>501475.03</v>
      </c>
      <c r="F29" s="478">
        <f t="shared" si="2"/>
        <v>-525.09000000002561</v>
      </c>
      <c r="G29" s="490">
        <v>500949.94</v>
      </c>
      <c r="H29" s="388">
        <f>+H28-G29</f>
        <v>-724383.64000000013</v>
      </c>
      <c r="I29" s="388"/>
      <c r="L29" s="463"/>
      <c r="M29" s="463"/>
      <c r="O29" s="429"/>
    </row>
    <row r="30" spans="1:17">
      <c r="A30" s="382">
        <v>15</v>
      </c>
    </row>
    <row r="31" spans="1:17" ht="13.5" thickBot="1">
      <c r="A31" s="382">
        <v>16</v>
      </c>
      <c r="B31" s="374" t="s">
        <v>114</v>
      </c>
      <c r="C31" s="389">
        <f>SUM(C18:C29)</f>
        <v>16562634.451099999</v>
      </c>
      <c r="D31" s="390"/>
      <c r="E31" s="391">
        <f>SUM(E18:E29)</f>
        <v>2992868.0600000005</v>
      </c>
      <c r="F31" s="391">
        <f>SUM(F18:F29)</f>
        <v>-1849.3499999999913</v>
      </c>
      <c r="G31" s="391">
        <f>SUM(G18:G29)</f>
        <v>2991018.71</v>
      </c>
      <c r="H31" s="482">
        <f>H29</f>
        <v>-724383.64000000013</v>
      </c>
      <c r="I31" s="377"/>
    </row>
    <row r="32" spans="1:17" ht="13.5" thickTop="1">
      <c r="A32" s="382"/>
      <c r="B32" s="385"/>
    </row>
    <row r="33" spans="1:9" hidden="1">
      <c r="A33" s="382">
        <v>18</v>
      </c>
      <c r="B33" s="385"/>
      <c r="H33" s="377"/>
      <c r="I33" s="377"/>
    </row>
    <row r="34" spans="1:9" hidden="1">
      <c r="A34" s="382">
        <v>19</v>
      </c>
      <c r="B34" s="385">
        <v>40848</v>
      </c>
    </row>
    <row r="35" spans="1:9" hidden="1">
      <c r="A35" s="382">
        <v>20</v>
      </c>
      <c r="B35" s="385">
        <v>40878</v>
      </c>
    </row>
    <row r="36" spans="1:9" hidden="1">
      <c r="A36" s="382">
        <v>21</v>
      </c>
      <c r="B36" s="385">
        <v>40909</v>
      </c>
    </row>
    <row r="37" spans="1:9" hidden="1">
      <c r="A37" s="382">
        <v>22</v>
      </c>
      <c r="B37" s="385">
        <v>40940</v>
      </c>
    </row>
    <row r="38" spans="1:9" hidden="1">
      <c r="A38" s="382">
        <v>23</v>
      </c>
      <c r="B38" s="385">
        <v>40969</v>
      </c>
    </row>
    <row r="39" spans="1:9" hidden="1">
      <c r="A39" s="382">
        <v>24</v>
      </c>
      <c r="B39" s="385">
        <v>41000</v>
      </c>
    </row>
    <row r="40" spans="1:9" hidden="1">
      <c r="A40" s="382">
        <v>25</v>
      </c>
      <c r="B40" s="385">
        <v>41030</v>
      </c>
    </row>
    <row r="41" spans="1:9" hidden="1">
      <c r="A41" s="382">
        <v>26</v>
      </c>
      <c r="B41" s="385">
        <v>41061</v>
      </c>
    </row>
    <row r="42" spans="1:9" hidden="1">
      <c r="A42" s="382">
        <v>27</v>
      </c>
      <c r="B42" s="385">
        <v>41091</v>
      </c>
    </row>
    <row r="43" spans="1:9" hidden="1">
      <c r="A43" s="382">
        <v>28</v>
      </c>
      <c r="B43" s="385">
        <v>41122</v>
      </c>
    </row>
    <row r="44" spans="1:9" hidden="1">
      <c r="A44" s="382">
        <v>29</v>
      </c>
      <c r="B44" s="385">
        <v>41153</v>
      </c>
      <c r="H44" s="392"/>
    </row>
    <row r="45" spans="1:9" hidden="1">
      <c r="A45" s="382">
        <v>30</v>
      </c>
      <c r="B45" s="385">
        <v>41183</v>
      </c>
    </row>
    <row r="46" spans="1:9" hidden="1">
      <c r="A46" s="382">
        <v>31</v>
      </c>
    </row>
    <row r="47" spans="1:9" hidden="1">
      <c r="A47" s="382">
        <v>32</v>
      </c>
      <c r="B47" s="374" t="s">
        <v>114</v>
      </c>
    </row>
    <row r="48" spans="1:9" hidden="1">
      <c r="A48" s="382">
        <v>33</v>
      </c>
    </row>
    <row r="49" spans="8:8" hidden="1">
      <c r="H49" s="374" t="s">
        <v>542</v>
      </c>
    </row>
    <row r="50" spans="8:8" hidden="1"/>
    <row r="51" spans="8:8" hidden="1"/>
    <row r="52" spans="8:8" hidden="1"/>
    <row r="53" spans="8:8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253"/>
    <col min="2" max="2" width="10.7109375" style="253" bestFit="1" customWidth="1"/>
    <col min="3" max="3" width="11" style="253" bestFit="1" customWidth="1"/>
    <col min="4" max="4" width="10.85546875" style="253" bestFit="1" customWidth="1"/>
    <col min="5" max="5" width="14.42578125" style="253" bestFit="1" customWidth="1"/>
    <col min="6" max="6" width="10.7109375" style="253" bestFit="1" customWidth="1"/>
    <col min="7" max="16384" width="9.140625" style="253"/>
  </cols>
  <sheetData>
    <row r="1" spans="1:15">
      <c r="F1" s="253" t="s">
        <v>521</v>
      </c>
    </row>
    <row r="5" spans="1:15">
      <c r="A5" s="253" t="s">
        <v>445</v>
      </c>
    </row>
    <row r="8" spans="1:15">
      <c r="A8" s="253" t="s">
        <v>40</v>
      </c>
      <c r="B8" s="253" t="s">
        <v>430</v>
      </c>
      <c r="C8" s="253" t="s">
        <v>429</v>
      </c>
      <c r="D8" s="253" t="s">
        <v>428</v>
      </c>
      <c r="E8" s="253" t="s">
        <v>427</v>
      </c>
      <c r="F8" s="253" t="s">
        <v>114</v>
      </c>
    </row>
    <row r="9" spans="1:15">
      <c r="A9" s="256">
        <v>41852</v>
      </c>
      <c r="B9" s="408">
        <v>158961.51319999999</v>
      </c>
      <c r="C9" s="408">
        <v>141504.38870000001</v>
      </c>
      <c r="D9" s="408">
        <v>21718.821400000001</v>
      </c>
      <c r="E9" s="408">
        <v>30639.5383</v>
      </c>
      <c r="F9" s="253">
        <f>SUM(B9:E9)</f>
        <v>352824.26160000003</v>
      </c>
      <c r="H9" s="297"/>
      <c r="L9" s="292"/>
      <c r="M9" s="292"/>
      <c r="N9" s="292"/>
      <c r="O9" s="292"/>
    </row>
    <row r="10" spans="1:15">
      <c r="A10" s="256">
        <v>41883</v>
      </c>
      <c r="B10" s="408">
        <v>173004.0906</v>
      </c>
      <c r="C10" s="408">
        <v>182628.03279999999</v>
      </c>
      <c r="D10" s="408">
        <v>15995.840399999999</v>
      </c>
      <c r="E10" s="408">
        <v>34244.456899999997</v>
      </c>
      <c r="F10" s="253">
        <f>SUM(B10:E10)</f>
        <v>405872.42069999996</v>
      </c>
      <c r="H10" s="297"/>
      <c r="L10" s="292"/>
      <c r="M10" s="292"/>
      <c r="N10" s="292"/>
      <c r="O10" s="292"/>
    </row>
    <row r="11" spans="1:15">
      <c r="A11" s="256">
        <v>41913</v>
      </c>
      <c r="B11" s="408">
        <v>238493.9026</v>
      </c>
      <c r="C11" s="408">
        <v>239355.46410000001</v>
      </c>
      <c r="D11" s="408">
        <v>35722.877899999999</v>
      </c>
      <c r="E11" s="408">
        <v>43775.160799999998</v>
      </c>
      <c r="F11" s="253">
        <f>SUM(B11:E11)</f>
        <v>557347.40540000005</v>
      </c>
      <c r="H11" s="297"/>
      <c r="L11" s="292"/>
      <c r="M11" s="292"/>
      <c r="N11" s="292"/>
      <c r="O11" s="292"/>
    </row>
    <row r="12" spans="1:15">
      <c r="A12" s="256">
        <v>41944</v>
      </c>
      <c r="B12" s="408">
        <v>872654.14540000004</v>
      </c>
      <c r="C12" s="408">
        <v>390726.05829999998</v>
      </c>
      <c r="D12" s="408">
        <v>43805.2762</v>
      </c>
      <c r="E12" s="408">
        <v>85802.631299999994</v>
      </c>
      <c r="F12" s="253">
        <f t="shared" ref="F12:F20" si="0">SUM(B12:E12)</f>
        <v>1392988.1111999999</v>
      </c>
      <c r="H12" s="297"/>
      <c r="L12" s="292"/>
      <c r="M12" s="292"/>
      <c r="N12" s="292"/>
      <c r="O12" s="292"/>
    </row>
    <row r="13" spans="1:15">
      <c r="A13" s="256">
        <v>41974</v>
      </c>
      <c r="B13" s="408">
        <v>1632491.5681</v>
      </c>
      <c r="C13" s="408">
        <v>705077.81050000002</v>
      </c>
      <c r="D13" s="408">
        <v>89855.670800000007</v>
      </c>
      <c r="E13" s="408">
        <v>153903.71170000001</v>
      </c>
      <c r="F13" s="253">
        <f t="shared" si="0"/>
        <v>2581328.7610999998</v>
      </c>
      <c r="H13" s="297"/>
      <c r="L13" s="292"/>
      <c r="M13" s="292"/>
      <c r="N13" s="292"/>
      <c r="O13" s="292"/>
    </row>
    <row r="14" spans="1:15">
      <c r="A14" s="256">
        <v>42005</v>
      </c>
      <c r="B14" s="408">
        <v>2213741.1485000001</v>
      </c>
      <c r="C14" s="408">
        <v>975517.43790000002</v>
      </c>
      <c r="D14" s="408">
        <v>121881.40949999999</v>
      </c>
      <c r="E14" s="408">
        <v>209593.76930000001</v>
      </c>
      <c r="F14" s="253">
        <f t="shared" si="0"/>
        <v>3520733.7652000003</v>
      </c>
      <c r="H14" s="297"/>
      <c r="L14" s="292"/>
      <c r="M14" s="292"/>
      <c r="N14" s="292"/>
      <c r="O14" s="292"/>
    </row>
    <row r="15" spans="1:15">
      <c r="A15" s="256">
        <v>42036</v>
      </c>
      <c r="B15" s="408">
        <v>1817597.5035000001</v>
      </c>
      <c r="C15" s="408">
        <v>844546.01450000005</v>
      </c>
      <c r="D15" s="408">
        <v>94906.321500000005</v>
      </c>
      <c r="E15" s="408">
        <v>176706.0387</v>
      </c>
      <c r="F15" s="253">
        <f t="shared" si="0"/>
        <v>2933755.8782000002</v>
      </c>
      <c r="H15" s="297"/>
      <c r="L15" s="292"/>
      <c r="M15" s="292"/>
      <c r="N15" s="292"/>
      <c r="O15" s="292"/>
    </row>
    <row r="16" spans="1:15">
      <c r="A16" s="256">
        <v>42064</v>
      </c>
      <c r="B16" s="408">
        <v>2409789.2143999999</v>
      </c>
      <c r="C16" s="408">
        <v>1007671.9408</v>
      </c>
      <c r="D16" s="408">
        <v>169506.30910000001</v>
      </c>
      <c r="E16" s="408">
        <v>226828.78779999999</v>
      </c>
      <c r="F16" s="253">
        <f t="shared" si="0"/>
        <v>3813796.2521000002</v>
      </c>
      <c r="H16" s="297"/>
      <c r="L16" s="292"/>
      <c r="M16" s="292"/>
      <c r="N16" s="292"/>
      <c r="O16" s="292"/>
    </row>
    <row r="17" spans="1:15">
      <c r="A17" s="256">
        <v>42095</v>
      </c>
      <c r="B17" s="408">
        <v>840910.45070000004</v>
      </c>
      <c r="C17" s="408">
        <v>401850.52179999999</v>
      </c>
      <c r="D17" s="408">
        <v>53596.465850000001</v>
      </c>
      <c r="E17" s="408">
        <v>87909.298200000005</v>
      </c>
      <c r="F17" s="253">
        <f t="shared" si="0"/>
        <v>1384266.7365500003</v>
      </c>
      <c r="H17" s="297"/>
      <c r="L17" s="292"/>
      <c r="M17" s="292"/>
      <c r="N17" s="292"/>
      <c r="O17" s="292"/>
    </row>
    <row r="18" spans="1:15">
      <c r="A18" s="256">
        <v>42125</v>
      </c>
      <c r="B18" s="408">
        <v>329075.9436</v>
      </c>
      <c r="C18" s="408">
        <v>198011.92790000001</v>
      </c>
      <c r="D18" s="408">
        <v>41289.269999999997</v>
      </c>
      <c r="E18" s="408">
        <v>50030.712800000001</v>
      </c>
      <c r="F18" s="253">
        <f t="shared" si="0"/>
        <v>618407.85430000001</v>
      </c>
      <c r="H18" s="297"/>
      <c r="L18" s="292"/>
      <c r="M18" s="292"/>
      <c r="N18" s="292"/>
      <c r="O18" s="292"/>
    </row>
    <row r="19" spans="1:15">
      <c r="A19" s="256">
        <v>42156</v>
      </c>
      <c r="B19" s="408">
        <v>196516.9406</v>
      </c>
      <c r="C19" s="408">
        <v>149991.2708</v>
      </c>
      <c r="D19" s="408">
        <v>35203.321900000003</v>
      </c>
      <c r="E19" s="408">
        <v>30772.874400000001</v>
      </c>
      <c r="F19" s="253">
        <f t="shared" si="0"/>
        <v>412484.40769999998</v>
      </c>
      <c r="H19" s="297"/>
      <c r="L19" s="292"/>
      <c r="M19" s="292"/>
      <c r="N19" s="292"/>
      <c r="O19" s="292"/>
    </row>
    <row r="20" spans="1:15">
      <c r="A20" s="256">
        <v>42186</v>
      </c>
      <c r="B20" s="408">
        <v>158183.5889</v>
      </c>
      <c r="C20" s="408">
        <v>140989.4682</v>
      </c>
      <c r="D20" s="408">
        <v>14840.625899999999</v>
      </c>
      <c r="E20" s="408">
        <v>25864.262200000001</v>
      </c>
      <c r="F20" s="253">
        <f t="shared" si="0"/>
        <v>339877.94519999996</v>
      </c>
      <c r="H20" s="297"/>
      <c r="L20" s="292"/>
      <c r="M20" s="292"/>
      <c r="N20" s="292"/>
      <c r="O20" s="292"/>
    </row>
    <row r="21" spans="1:15">
      <c r="A21" s="253" t="s">
        <v>114</v>
      </c>
      <c r="B21" s="253">
        <f>SUM(B9:B20)</f>
        <v>11041420.010100001</v>
      </c>
      <c r="C21" s="253">
        <f>SUM(C9:C20)</f>
        <v>5377870.3363000005</v>
      </c>
      <c r="D21" s="253">
        <f>SUM(D9:D20)</f>
        <v>738322.21045000013</v>
      </c>
      <c r="E21" s="253">
        <f>SUM(E9:E20)</f>
        <v>1156071.2424000003</v>
      </c>
      <c r="F21" s="253">
        <f>SUM(F9:F20)</f>
        <v>18313683.799249999</v>
      </c>
      <c r="L21" s="292"/>
      <c r="M21" s="292"/>
      <c r="N21" s="292"/>
      <c r="O21" s="292"/>
    </row>
    <row r="22" spans="1:15">
      <c r="A22" s="253" t="s">
        <v>444</v>
      </c>
      <c r="B22" s="255">
        <f>+E.1!I50</f>
        <v>0</v>
      </c>
      <c r="C22" s="255">
        <f>B22</f>
        <v>0</v>
      </c>
      <c r="D22" s="255">
        <f>C22</f>
        <v>0</v>
      </c>
      <c r="E22" s="255">
        <f>D22</f>
        <v>0</v>
      </c>
      <c r="F22" s="255">
        <f>E22</f>
        <v>0</v>
      </c>
      <c r="L22" s="292"/>
      <c r="M22" s="292"/>
      <c r="N22" s="292"/>
      <c r="O22" s="292"/>
    </row>
    <row r="23" spans="1:15">
      <c r="B23" s="254">
        <f>ROUND(B21*B22,2)</f>
        <v>0</v>
      </c>
      <c r="C23" s="254">
        <f>ROUND(C21*C22,2)</f>
        <v>0</v>
      </c>
      <c r="D23" s="254">
        <f>ROUND(D21*D22,2)</f>
        <v>0</v>
      </c>
      <c r="E23" s="254">
        <f>ROUND(E21*E22,2)</f>
        <v>0</v>
      </c>
      <c r="F23" s="254">
        <f>ROUND(F21*F22,2)</f>
        <v>0</v>
      </c>
      <c r="L23" s="293"/>
      <c r="M23" s="293"/>
      <c r="N23" s="293"/>
      <c r="O23" s="293"/>
    </row>
    <row r="27" spans="1:15">
      <c r="D27" s="297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20" t="s">
        <v>93</v>
      </c>
      <c r="B1" s="20" t="s">
        <v>92</v>
      </c>
      <c r="C1" s="20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36" t="s">
        <v>46</v>
      </c>
      <c r="B2" s="36" t="s">
        <v>80</v>
      </c>
      <c r="C2" s="36" t="s">
        <v>52</v>
      </c>
      <c r="D2" s="35" t="e">
        <f t="shared" ref="D2:D33" si="0">EffectiveDate</f>
        <v>#REF!</v>
      </c>
      <c r="E2" s="33" t="s">
        <v>83</v>
      </c>
      <c r="F2" s="33" t="s">
        <v>42</v>
      </c>
      <c r="G2" s="33" t="e">
        <f>#REF!</f>
        <v>#REF!</v>
      </c>
      <c r="H2" s="33">
        <v>1</v>
      </c>
      <c r="I2" s="33">
        <v>1</v>
      </c>
      <c r="J2" s="33" t="s">
        <v>41</v>
      </c>
      <c r="K2" s="33">
        <v>9</v>
      </c>
    </row>
    <row r="3" spans="1:13">
      <c r="A3" s="36" t="s">
        <v>46</v>
      </c>
      <c r="B3" s="36" t="s">
        <v>80</v>
      </c>
      <c r="C3" s="36" t="s">
        <v>50</v>
      </c>
      <c r="D3" s="35" t="e">
        <f t="shared" si="0"/>
        <v>#REF!</v>
      </c>
      <c r="E3" s="33" t="s">
        <v>82</v>
      </c>
      <c r="F3" s="33" t="s">
        <v>42</v>
      </c>
      <c r="G3" s="34" t="e">
        <f>#REF!</f>
        <v>#REF!</v>
      </c>
      <c r="H3" s="33">
        <v>1</v>
      </c>
      <c r="I3" s="33">
        <v>1</v>
      </c>
      <c r="J3" s="33" t="s">
        <v>41</v>
      </c>
      <c r="K3" s="33">
        <v>9</v>
      </c>
    </row>
    <row r="4" spans="1:13">
      <c r="A4" s="36" t="s">
        <v>46</v>
      </c>
      <c r="B4" s="36" t="s">
        <v>80</v>
      </c>
      <c r="C4" s="36" t="s">
        <v>48</v>
      </c>
      <c r="D4" s="35" t="e">
        <f t="shared" si="0"/>
        <v>#REF!</v>
      </c>
      <c r="E4" s="33" t="s">
        <v>81</v>
      </c>
      <c r="F4" s="33" t="s">
        <v>42</v>
      </c>
      <c r="G4" s="34" t="e">
        <f>#REF!</f>
        <v>#REF!</v>
      </c>
      <c r="H4" s="33">
        <v>1</v>
      </c>
      <c r="I4" s="33">
        <v>1</v>
      </c>
      <c r="J4" s="33" t="s">
        <v>41</v>
      </c>
      <c r="K4" s="33">
        <v>9</v>
      </c>
    </row>
    <row r="5" spans="1:13">
      <c r="A5" s="32" t="s">
        <v>46</v>
      </c>
      <c r="B5" s="32" t="s">
        <v>80</v>
      </c>
      <c r="C5" s="32" t="s">
        <v>44</v>
      </c>
      <c r="D5" s="31" t="e">
        <f t="shared" si="0"/>
        <v>#REF!</v>
      </c>
      <c r="E5" s="30" t="s">
        <v>79</v>
      </c>
      <c r="F5" s="30" t="s">
        <v>42</v>
      </c>
      <c r="G5" s="30" t="e">
        <f>#REF!</f>
        <v>#REF!</v>
      </c>
      <c r="H5" s="30">
        <v>1</v>
      </c>
      <c r="I5" s="30">
        <v>1</v>
      </c>
      <c r="J5" s="30" t="s">
        <v>41</v>
      </c>
      <c r="K5" s="30">
        <v>9</v>
      </c>
      <c r="M5" s="1" t="e">
        <f>SUM(G2:G5)</f>
        <v>#REF!</v>
      </c>
    </row>
    <row r="6" spans="1:13">
      <c r="A6" s="27" t="s">
        <v>46</v>
      </c>
      <c r="B6" s="27" t="s">
        <v>78</v>
      </c>
      <c r="C6" s="27" t="s">
        <v>52</v>
      </c>
      <c r="D6" s="26" t="e">
        <f t="shared" si="0"/>
        <v>#REF!</v>
      </c>
      <c r="E6" s="24" t="s">
        <v>72</v>
      </c>
      <c r="F6" s="24" t="s">
        <v>42</v>
      </c>
      <c r="G6" s="24" t="e">
        <f>G2</f>
        <v>#REF!</v>
      </c>
      <c r="H6" s="24">
        <v>1</v>
      </c>
      <c r="I6" s="24">
        <v>1</v>
      </c>
      <c r="J6" s="24" t="s">
        <v>41</v>
      </c>
      <c r="K6" s="24">
        <v>9</v>
      </c>
    </row>
    <row r="7" spans="1:13">
      <c r="A7" s="27" t="s">
        <v>46</v>
      </c>
      <c r="B7" s="27" t="s">
        <v>78</v>
      </c>
      <c r="C7" s="27" t="s">
        <v>50</v>
      </c>
      <c r="D7" s="26" t="e">
        <f t="shared" si="0"/>
        <v>#REF!</v>
      </c>
      <c r="E7" s="24" t="s">
        <v>71</v>
      </c>
      <c r="F7" s="24" t="s">
        <v>42</v>
      </c>
      <c r="G7" s="24" t="e">
        <f>G3</f>
        <v>#REF!</v>
      </c>
      <c r="H7" s="24">
        <v>1</v>
      </c>
      <c r="I7" s="24">
        <v>1</v>
      </c>
      <c r="J7" s="24" t="s">
        <v>41</v>
      </c>
      <c r="K7" s="24">
        <v>9</v>
      </c>
    </row>
    <row r="8" spans="1:13">
      <c r="A8" s="27" t="s">
        <v>46</v>
      </c>
      <c r="B8" s="27" t="s">
        <v>78</v>
      </c>
      <c r="C8" s="27" t="s">
        <v>48</v>
      </c>
      <c r="D8" s="26" t="e">
        <f t="shared" si="0"/>
        <v>#REF!</v>
      </c>
      <c r="E8" s="24" t="s">
        <v>70</v>
      </c>
      <c r="F8" s="24" t="s">
        <v>42</v>
      </c>
      <c r="G8" s="25" t="e">
        <f>G4</f>
        <v>#REF!</v>
      </c>
      <c r="H8" s="24">
        <v>1</v>
      </c>
      <c r="I8" s="24">
        <v>1</v>
      </c>
      <c r="J8" s="24" t="s">
        <v>41</v>
      </c>
      <c r="K8" s="24">
        <v>9</v>
      </c>
    </row>
    <row r="9" spans="1:13">
      <c r="A9" s="23" t="s">
        <v>46</v>
      </c>
      <c r="B9" s="23" t="s">
        <v>78</v>
      </c>
      <c r="C9" s="23" t="s">
        <v>44</v>
      </c>
      <c r="D9" s="22" t="e">
        <f t="shared" si="0"/>
        <v>#REF!</v>
      </c>
      <c r="E9" s="21" t="s">
        <v>68</v>
      </c>
      <c r="F9" s="21" t="s">
        <v>42</v>
      </c>
      <c r="G9" s="21" t="e">
        <f>G5</f>
        <v>#REF!</v>
      </c>
      <c r="H9" s="21">
        <v>1</v>
      </c>
      <c r="I9" s="21">
        <v>1</v>
      </c>
      <c r="J9" s="21" t="s">
        <v>41</v>
      </c>
      <c r="K9" s="21">
        <v>9</v>
      </c>
      <c r="M9" s="1" t="e">
        <f>SUM(G6:G9)</f>
        <v>#REF!</v>
      </c>
    </row>
    <row r="10" spans="1:13">
      <c r="A10" s="36" t="s">
        <v>46</v>
      </c>
      <c r="B10" s="36" t="s">
        <v>74</v>
      </c>
      <c r="C10" s="36" t="s">
        <v>52</v>
      </c>
      <c r="D10" s="35" t="e">
        <f t="shared" si="0"/>
        <v>#REF!</v>
      </c>
      <c r="E10" s="33" t="s">
        <v>77</v>
      </c>
      <c r="F10" s="33" t="s">
        <v>42</v>
      </c>
      <c r="G10" s="33" t="e">
        <f>#REF!</f>
        <v>#REF!</v>
      </c>
      <c r="H10" s="33">
        <v>1</v>
      </c>
      <c r="I10" s="33">
        <v>1</v>
      </c>
      <c r="J10" s="33" t="s">
        <v>41</v>
      </c>
      <c r="K10" s="33">
        <v>9</v>
      </c>
    </row>
    <row r="11" spans="1:13">
      <c r="A11" s="36" t="s">
        <v>46</v>
      </c>
      <c r="B11" s="36" t="s">
        <v>74</v>
      </c>
      <c r="C11" s="36" t="s">
        <v>50</v>
      </c>
      <c r="D11" s="35" t="e">
        <f t="shared" si="0"/>
        <v>#REF!</v>
      </c>
      <c r="E11" s="33" t="s">
        <v>76</v>
      </c>
      <c r="F11" s="33" t="s">
        <v>42</v>
      </c>
      <c r="G11" s="34" t="e">
        <f>G3</f>
        <v>#REF!</v>
      </c>
      <c r="H11" s="33">
        <v>1</v>
      </c>
      <c r="I11" s="33">
        <v>1</v>
      </c>
      <c r="J11" s="33" t="s">
        <v>41</v>
      </c>
      <c r="K11" s="33">
        <v>9</v>
      </c>
    </row>
    <row r="12" spans="1:13">
      <c r="A12" s="36" t="s">
        <v>46</v>
      </c>
      <c r="B12" s="36" t="s">
        <v>74</v>
      </c>
      <c r="C12" s="36" t="s">
        <v>48</v>
      </c>
      <c r="D12" s="35" t="e">
        <f t="shared" si="0"/>
        <v>#REF!</v>
      </c>
      <c r="E12" s="33" t="s">
        <v>75</v>
      </c>
      <c r="F12" s="33" t="s">
        <v>42</v>
      </c>
      <c r="G12" s="34" t="e">
        <f>#REF!</f>
        <v>#REF!</v>
      </c>
      <c r="H12" s="33">
        <v>1</v>
      </c>
      <c r="I12" s="33">
        <v>1</v>
      </c>
      <c r="J12" s="33" t="s">
        <v>41</v>
      </c>
      <c r="K12" s="33">
        <v>9</v>
      </c>
    </row>
    <row r="13" spans="1:13">
      <c r="A13" s="32" t="s">
        <v>46</v>
      </c>
      <c r="B13" s="32" t="s">
        <v>74</v>
      </c>
      <c r="C13" s="32" t="s">
        <v>44</v>
      </c>
      <c r="D13" s="31" t="e">
        <f t="shared" si="0"/>
        <v>#REF!</v>
      </c>
      <c r="E13" s="30" t="s">
        <v>73</v>
      </c>
      <c r="F13" s="30" t="s">
        <v>42</v>
      </c>
      <c r="G13" s="30" t="e">
        <f>#REF!</f>
        <v>#REF!</v>
      </c>
      <c r="H13" s="30">
        <v>1</v>
      </c>
      <c r="I13" s="30">
        <v>1</v>
      </c>
      <c r="J13" s="30" t="s">
        <v>41</v>
      </c>
      <c r="K13" s="30">
        <v>9</v>
      </c>
      <c r="M13" s="1" t="e">
        <f>SUM(G10:G13)</f>
        <v>#REF!</v>
      </c>
    </row>
    <row r="14" spans="1:13">
      <c r="A14" s="27" t="s">
        <v>46</v>
      </c>
      <c r="B14" s="27" t="s">
        <v>69</v>
      </c>
      <c r="C14" s="27" t="s">
        <v>52</v>
      </c>
      <c r="D14" s="26" t="e">
        <f t="shared" si="0"/>
        <v>#REF!</v>
      </c>
      <c r="E14" s="24" t="s">
        <v>72</v>
      </c>
      <c r="F14" s="24" t="s">
        <v>42</v>
      </c>
      <c r="G14" s="24" t="e">
        <f>G2</f>
        <v>#REF!</v>
      </c>
      <c r="H14" s="24">
        <v>1</v>
      </c>
      <c r="I14" s="24">
        <v>1</v>
      </c>
      <c r="J14" s="24" t="s">
        <v>41</v>
      </c>
      <c r="K14" s="24">
        <v>9</v>
      </c>
    </row>
    <row r="15" spans="1:13">
      <c r="A15" s="27" t="s">
        <v>46</v>
      </c>
      <c r="B15" s="27" t="s">
        <v>69</v>
      </c>
      <c r="C15" s="27" t="s">
        <v>50</v>
      </c>
      <c r="D15" s="26" t="e">
        <f t="shared" si="0"/>
        <v>#REF!</v>
      </c>
      <c r="E15" s="24" t="s">
        <v>71</v>
      </c>
      <c r="F15" s="24" t="s">
        <v>42</v>
      </c>
      <c r="G15" s="24" t="e">
        <f>G3</f>
        <v>#REF!</v>
      </c>
      <c r="H15" s="24">
        <v>1</v>
      </c>
      <c r="I15" s="24">
        <v>1</v>
      </c>
      <c r="J15" s="24" t="s">
        <v>41</v>
      </c>
      <c r="K15" s="24">
        <v>9</v>
      </c>
    </row>
    <row r="16" spans="1:13">
      <c r="A16" s="27" t="s">
        <v>46</v>
      </c>
      <c r="B16" s="27" t="s">
        <v>69</v>
      </c>
      <c r="C16" s="27" t="s">
        <v>48</v>
      </c>
      <c r="D16" s="26" t="e">
        <f t="shared" si="0"/>
        <v>#REF!</v>
      </c>
      <c r="E16" s="24" t="s">
        <v>70</v>
      </c>
      <c r="F16" s="24" t="s">
        <v>42</v>
      </c>
      <c r="G16" s="25" t="e">
        <f>G4</f>
        <v>#REF!</v>
      </c>
      <c r="H16" s="24">
        <v>1</v>
      </c>
      <c r="I16" s="24">
        <v>1</v>
      </c>
      <c r="J16" s="24" t="s">
        <v>41</v>
      </c>
      <c r="K16" s="24">
        <v>9</v>
      </c>
    </row>
    <row r="17" spans="1:13">
      <c r="A17" s="23" t="s">
        <v>46</v>
      </c>
      <c r="B17" s="23" t="s">
        <v>69</v>
      </c>
      <c r="C17" s="23" t="s">
        <v>44</v>
      </c>
      <c r="D17" s="22" t="e">
        <f t="shared" si="0"/>
        <v>#REF!</v>
      </c>
      <c r="E17" s="21" t="s">
        <v>68</v>
      </c>
      <c r="F17" s="21" t="s">
        <v>42</v>
      </c>
      <c r="G17" s="21" t="e">
        <f>G5</f>
        <v>#REF!</v>
      </c>
      <c r="H17" s="21">
        <v>1</v>
      </c>
      <c r="I17" s="21">
        <v>1</v>
      </c>
      <c r="J17" s="21" t="s">
        <v>41</v>
      </c>
      <c r="K17" s="21">
        <v>9</v>
      </c>
      <c r="M17" s="1" t="e">
        <f>SUM(G14:G17)</f>
        <v>#REF!</v>
      </c>
    </row>
    <row r="18" spans="1:13">
      <c r="A18" s="38" t="s">
        <v>46</v>
      </c>
      <c r="B18" s="38" t="s">
        <v>64</v>
      </c>
      <c r="C18" s="38" t="s">
        <v>52</v>
      </c>
      <c r="D18" s="35" t="e">
        <f t="shared" si="0"/>
        <v>#REF!</v>
      </c>
      <c r="E18" s="37" t="s">
        <v>67</v>
      </c>
      <c r="F18" s="37" t="s">
        <v>42</v>
      </c>
      <c r="G18" s="33" t="e">
        <f>G2</f>
        <v>#REF!</v>
      </c>
      <c r="H18" s="37">
        <v>1</v>
      </c>
      <c r="I18" s="37">
        <v>1</v>
      </c>
      <c r="J18" s="37" t="s">
        <v>41</v>
      </c>
      <c r="K18" s="37">
        <v>9</v>
      </c>
    </row>
    <row r="19" spans="1:13">
      <c r="A19" s="36" t="s">
        <v>46</v>
      </c>
      <c r="B19" s="36" t="s">
        <v>64</v>
      </c>
      <c r="C19" s="36" t="s">
        <v>50</v>
      </c>
      <c r="D19" s="35" t="e">
        <f t="shared" si="0"/>
        <v>#REF!</v>
      </c>
      <c r="E19" s="33" t="s">
        <v>66</v>
      </c>
      <c r="F19" s="33" t="s">
        <v>42</v>
      </c>
      <c r="G19" s="33" t="e">
        <f>G3</f>
        <v>#REF!</v>
      </c>
      <c r="H19" s="33">
        <v>1</v>
      </c>
      <c r="I19" s="33">
        <v>1</v>
      </c>
      <c r="J19" s="33" t="s">
        <v>41</v>
      </c>
      <c r="K19" s="33">
        <v>9</v>
      </c>
    </row>
    <row r="20" spans="1:13">
      <c r="A20" s="36" t="s">
        <v>46</v>
      </c>
      <c r="B20" s="36" t="s">
        <v>64</v>
      </c>
      <c r="C20" s="36" t="s">
        <v>48</v>
      </c>
      <c r="D20" s="35" t="e">
        <f t="shared" si="0"/>
        <v>#REF!</v>
      </c>
      <c r="E20" s="33" t="s">
        <v>65</v>
      </c>
      <c r="F20" s="33" t="s">
        <v>42</v>
      </c>
      <c r="G20" s="34" t="e">
        <f>G4</f>
        <v>#REF!</v>
      </c>
      <c r="H20" s="33">
        <v>1</v>
      </c>
      <c r="I20" s="33">
        <v>1</v>
      </c>
      <c r="J20" s="33" t="s">
        <v>41</v>
      </c>
      <c r="K20" s="33">
        <v>9</v>
      </c>
    </row>
    <row r="21" spans="1:13">
      <c r="A21" s="32" t="s">
        <v>46</v>
      </c>
      <c r="B21" s="32" t="s">
        <v>64</v>
      </c>
      <c r="C21" s="32" t="s">
        <v>44</v>
      </c>
      <c r="D21" s="31" t="e">
        <f t="shared" si="0"/>
        <v>#REF!</v>
      </c>
      <c r="E21" s="30" t="s">
        <v>63</v>
      </c>
      <c r="F21" s="30" t="s">
        <v>42</v>
      </c>
      <c r="G21" s="33" t="e">
        <f>G5</f>
        <v>#REF!</v>
      </c>
      <c r="H21" s="30">
        <v>1</v>
      </c>
      <c r="I21" s="30">
        <v>1</v>
      </c>
      <c r="J21" s="30" t="s">
        <v>41</v>
      </c>
      <c r="K21" s="30">
        <v>9</v>
      </c>
      <c r="M21" s="1" t="e">
        <f>SUM(G18:G21)</f>
        <v>#REF!</v>
      </c>
    </row>
    <row r="22" spans="1:13">
      <c r="A22" s="29" t="s">
        <v>46</v>
      </c>
      <c r="B22" s="29" t="s">
        <v>59</v>
      </c>
      <c r="C22" s="29" t="s">
        <v>52</v>
      </c>
      <c r="D22" s="26" t="e">
        <f t="shared" si="0"/>
        <v>#REF!</v>
      </c>
      <c r="E22" s="28" t="s">
        <v>62</v>
      </c>
      <c r="F22" s="28" t="s">
        <v>42</v>
      </c>
      <c r="G22" s="28" t="e">
        <f>G10</f>
        <v>#REF!</v>
      </c>
      <c r="H22" s="28">
        <v>1</v>
      </c>
      <c r="I22" s="28">
        <v>1</v>
      </c>
      <c r="J22" s="28" t="s">
        <v>41</v>
      </c>
      <c r="K22" s="28">
        <v>9</v>
      </c>
    </row>
    <row r="23" spans="1:13">
      <c r="A23" s="27" t="s">
        <v>46</v>
      </c>
      <c r="B23" s="27" t="s">
        <v>59</v>
      </c>
      <c r="C23" s="27" t="s">
        <v>50</v>
      </c>
      <c r="D23" s="26" t="e">
        <f t="shared" si="0"/>
        <v>#REF!</v>
      </c>
      <c r="E23" s="24" t="s">
        <v>61</v>
      </c>
      <c r="F23" s="24" t="s">
        <v>42</v>
      </c>
      <c r="G23" s="25" t="e">
        <f>G3</f>
        <v>#REF!</v>
      </c>
      <c r="H23" s="24">
        <v>1</v>
      </c>
      <c r="I23" s="24">
        <v>1</v>
      </c>
      <c r="J23" s="24" t="s">
        <v>41</v>
      </c>
      <c r="K23" s="24">
        <v>9</v>
      </c>
    </row>
    <row r="24" spans="1:13">
      <c r="A24" s="27" t="s">
        <v>46</v>
      </c>
      <c r="B24" s="27" t="s">
        <v>59</v>
      </c>
      <c r="C24" s="27" t="s">
        <v>48</v>
      </c>
      <c r="D24" s="26" t="e">
        <f t="shared" si="0"/>
        <v>#REF!</v>
      </c>
      <c r="E24" s="24" t="s">
        <v>60</v>
      </c>
      <c r="F24" s="24" t="s">
        <v>42</v>
      </c>
      <c r="G24" s="25" t="e">
        <f>G12</f>
        <v>#REF!</v>
      </c>
      <c r="H24" s="24">
        <v>1</v>
      </c>
      <c r="I24" s="24">
        <v>1</v>
      </c>
      <c r="J24" s="24" t="s">
        <v>41</v>
      </c>
      <c r="K24" s="24">
        <v>9</v>
      </c>
    </row>
    <row r="25" spans="1:13">
      <c r="A25" s="23" t="s">
        <v>46</v>
      </c>
      <c r="B25" s="23" t="s">
        <v>59</v>
      </c>
      <c r="C25" s="23" t="s">
        <v>44</v>
      </c>
      <c r="D25" s="22" t="e">
        <f t="shared" si="0"/>
        <v>#REF!</v>
      </c>
      <c r="E25" s="21" t="s">
        <v>58</v>
      </c>
      <c r="F25" s="21" t="s">
        <v>42</v>
      </c>
      <c r="G25" s="21" t="e">
        <f>G13</f>
        <v>#REF!</v>
      </c>
      <c r="H25" s="21">
        <v>1</v>
      </c>
      <c r="I25" s="21">
        <v>1</v>
      </c>
      <c r="J25" s="21" t="s">
        <v>41</v>
      </c>
      <c r="K25" s="21">
        <v>9</v>
      </c>
      <c r="M25" s="1" t="e">
        <f>SUM(G22:G25)</f>
        <v>#REF!</v>
      </c>
    </row>
    <row r="26" spans="1:13">
      <c r="A26" s="38" t="s">
        <v>46</v>
      </c>
      <c r="B26" s="38" t="s">
        <v>54</v>
      </c>
      <c r="C26" s="38" t="s">
        <v>52</v>
      </c>
      <c r="D26" s="35" t="e">
        <f t="shared" si="0"/>
        <v>#REF!</v>
      </c>
      <c r="E26" s="37" t="s">
        <v>57</v>
      </c>
      <c r="F26" s="37" t="s">
        <v>42</v>
      </c>
      <c r="G26" s="37" t="e">
        <f>G10</f>
        <v>#REF!</v>
      </c>
      <c r="H26" s="37">
        <v>1</v>
      </c>
      <c r="I26" s="37">
        <v>1</v>
      </c>
      <c r="J26" s="37" t="s">
        <v>41</v>
      </c>
      <c r="K26" s="37">
        <v>9</v>
      </c>
    </row>
    <row r="27" spans="1:13">
      <c r="A27" s="36" t="s">
        <v>46</v>
      </c>
      <c r="B27" s="36" t="s">
        <v>54</v>
      </c>
      <c r="C27" s="36" t="s">
        <v>50</v>
      </c>
      <c r="D27" s="35" t="e">
        <f t="shared" si="0"/>
        <v>#REF!</v>
      </c>
      <c r="E27" s="33" t="s">
        <v>56</v>
      </c>
      <c r="F27" s="33" t="s">
        <v>42</v>
      </c>
      <c r="G27" s="33" t="e">
        <f>G11</f>
        <v>#REF!</v>
      </c>
      <c r="H27" s="33">
        <v>1</v>
      </c>
      <c r="I27" s="33">
        <v>1</v>
      </c>
      <c r="J27" s="33" t="s">
        <v>41</v>
      </c>
      <c r="K27" s="33">
        <v>9</v>
      </c>
    </row>
    <row r="28" spans="1:13">
      <c r="A28" s="36" t="s">
        <v>46</v>
      </c>
      <c r="B28" s="36" t="s">
        <v>54</v>
      </c>
      <c r="C28" s="36" t="s">
        <v>48</v>
      </c>
      <c r="D28" s="35" t="e">
        <f t="shared" si="0"/>
        <v>#REF!</v>
      </c>
      <c r="E28" s="33" t="s">
        <v>55</v>
      </c>
      <c r="F28" s="33" t="s">
        <v>42</v>
      </c>
      <c r="G28" s="34" t="e">
        <f>G12</f>
        <v>#REF!</v>
      </c>
      <c r="H28" s="33">
        <v>1</v>
      </c>
      <c r="I28" s="33">
        <v>1</v>
      </c>
      <c r="J28" s="33" t="s">
        <v>41</v>
      </c>
      <c r="K28" s="33">
        <v>9</v>
      </c>
    </row>
    <row r="29" spans="1:13">
      <c r="A29" s="32" t="s">
        <v>46</v>
      </c>
      <c r="B29" s="32" t="s">
        <v>54</v>
      </c>
      <c r="C29" s="32" t="s">
        <v>44</v>
      </c>
      <c r="D29" s="31" t="e">
        <f t="shared" si="0"/>
        <v>#REF!</v>
      </c>
      <c r="E29" s="30" t="s">
        <v>53</v>
      </c>
      <c r="F29" s="30" t="s">
        <v>42</v>
      </c>
      <c r="G29" s="30" t="e">
        <f>G13</f>
        <v>#REF!</v>
      </c>
      <c r="H29" s="30">
        <v>1</v>
      </c>
      <c r="I29" s="30">
        <v>1</v>
      </c>
      <c r="J29" s="30" t="s">
        <v>41</v>
      </c>
      <c r="K29" s="30">
        <v>9</v>
      </c>
      <c r="M29" s="1" t="e">
        <f>SUM(G26:G29)</f>
        <v>#REF!</v>
      </c>
    </row>
    <row r="30" spans="1:13">
      <c r="A30" s="29" t="s">
        <v>46</v>
      </c>
      <c r="B30" s="29" t="s">
        <v>45</v>
      </c>
      <c r="C30" s="29" t="s">
        <v>52</v>
      </c>
      <c r="D30" s="26" t="e">
        <f t="shared" si="0"/>
        <v>#REF!</v>
      </c>
      <c r="E30" s="28" t="s">
        <v>51</v>
      </c>
      <c r="F30" s="28" t="s">
        <v>42</v>
      </c>
      <c r="G30" s="24" t="e">
        <f>G10</f>
        <v>#REF!</v>
      </c>
      <c r="H30" s="28">
        <v>1</v>
      </c>
      <c r="I30" s="28">
        <v>1</v>
      </c>
      <c r="J30" s="28" t="s">
        <v>41</v>
      </c>
      <c r="K30" s="28">
        <v>9</v>
      </c>
    </row>
    <row r="31" spans="1:13">
      <c r="A31" s="27" t="s">
        <v>46</v>
      </c>
      <c r="B31" s="27" t="s">
        <v>45</v>
      </c>
      <c r="C31" s="27" t="s">
        <v>50</v>
      </c>
      <c r="D31" s="26" t="e">
        <f t="shared" si="0"/>
        <v>#REF!</v>
      </c>
      <c r="E31" s="24" t="s">
        <v>49</v>
      </c>
      <c r="F31" s="24" t="s">
        <v>42</v>
      </c>
      <c r="G31" s="24" t="e">
        <f>G11</f>
        <v>#REF!</v>
      </c>
      <c r="H31" s="24">
        <v>1</v>
      </c>
      <c r="I31" s="24">
        <v>1</v>
      </c>
      <c r="J31" s="24" t="s">
        <v>41</v>
      </c>
      <c r="K31" s="24">
        <v>9</v>
      </c>
    </row>
    <row r="32" spans="1:13">
      <c r="A32" s="27" t="s">
        <v>46</v>
      </c>
      <c r="B32" s="27" t="s">
        <v>45</v>
      </c>
      <c r="C32" s="27" t="s">
        <v>48</v>
      </c>
      <c r="D32" s="26" t="e">
        <f t="shared" si="0"/>
        <v>#REF!</v>
      </c>
      <c r="E32" s="24" t="s">
        <v>47</v>
      </c>
      <c r="F32" s="24" t="s">
        <v>42</v>
      </c>
      <c r="G32" s="25" t="e">
        <f>G16</f>
        <v>#REF!</v>
      </c>
      <c r="H32" s="24">
        <v>1</v>
      </c>
      <c r="I32" s="24">
        <v>1</v>
      </c>
      <c r="J32" s="24" t="s">
        <v>41</v>
      </c>
      <c r="K32" s="24">
        <v>9</v>
      </c>
    </row>
    <row r="33" spans="1:13">
      <c r="A33" s="23" t="s">
        <v>46</v>
      </c>
      <c r="B33" s="23" t="s">
        <v>45</v>
      </c>
      <c r="C33" s="23" t="s">
        <v>44</v>
      </c>
      <c r="D33" s="22" t="e">
        <f t="shared" si="0"/>
        <v>#REF!</v>
      </c>
      <c r="E33" s="21" t="s">
        <v>43</v>
      </c>
      <c r="F33" s="21" t="s">
        <v>42</v>
      </c>
      <c r="G33" s="21" t="e">
        <f>G13</f>
        <v>#REF!</v>
      </c>
      <c r="H33" s="21">
        <v>1</v>
      </c>
      <c r="I33" s="21">
        <v>1</v>
      </c>
      <c r="J33" s="21" t="s">
        <v>41</v>
      </c>
      <c r="K33" s="21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298" bestFit="1" customWidth="1"/>
  </cols>
  <sheetData>
    <row r="1" spans="1:1">
      <c r="A1" s="298">
        <v>41970</v>
      </c>
    </row>
    <row r="2" spans="1:1">
      <c r="A2" s="298">
        <v>41998</v>
      </c>
    </row>
    <row r="3" spans="1:1">
      <c r="A3" s="298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zoomScale="85" zoomScaleNormal="85" zoomScaleSheetLayoutView="85" workbookViewId="0">
      <pane xSplit="4" ySplit="9" topLeftCell="E51" activePane="bottomRight" state="frozen"/>
      <selection activeCell="L49" sqref="L49"/>
      <selection pane="topRight" activeCell="L49" sqref="L49"/>
      <selection pane="bottomLeft" activeCell="L49" sqref="L49"/>
      <selection pane="bottomRight" activeCell="K33" sqref="K33"/>
    </sheetView>
  </sheetViews>
  <sheetFormatPr defaultColWidth="9.85546875" defaultRowHeight="14.25"/>
  <cols>
    <col min="1" max="1" width="4.85546875" style="39" customWidth="1"/>
    <col min="2" max="2" width="18" style="39" customWidth="1"/>
    <col min="3" max="3" width="10.28515625" style="39" customWidth="1"/>
    <col min="4" max="4" width="17.85546875" style="39" bestFit="1" customWidth="1"/>
    <col min="5" max="5" width="13.42578125" style="39" customWidth="1"/>
    <col min="6" max="6" width="9.42578125" style="39" customWidth="1"/>
    <col min="7" max="7" width="13.42578125" style="39" customWidth="1"/>
    <col min="8" max="8" width="1.85546875" style="39" customWidth="1"/>
    <col min="9" max="9" width="13.42578125" style="39" customWidth="1"/>
    <col min="10" max="10" width="1.85546875" style="39" customWidth="1"/>
    <col min="11" max="11" width="12.140625" style="39" customWidth="1"/>
    <col min="12" max="12" width="10.85546875" style="39" bestFit="1" customWidth="1"/>
    <col min="13" max="16384" width="9.85546875" style="39"/>
  </cols>
  <sheetData>
    <row r="1" spans="1:17" ht="15">
      <c r="A1" s="68" t="s">
        <v>32</v>
      </c>
      <c r="B1" s="55"/>
      <c r="C1" s="55"/>
      <c r="D1" s="55"/>
      <c r="E1" s="55"/>
      <c r="F1" s="55"/>
      <c r="G1" s="55"/>
      <c r="H1" s="55"/>
      <c r="I1" s="41" t="s">
        <v>125</v>
      </c>
      <c r="J1" s="41"/>
    </row>
    <row r="2" spans="1:17">
      <c r="A2" s="55" t="s">
        <v>124</v>
      </c>
      <c r="B2" s="55"/>
      <c r="C2" s="55"/>
      <c r="D2" s="55"/>
      <c r="E2" s="55"/>
      <c r="F2" s="55"/>
      <c r="G2" s="55"/>
      <c r="H2" s="55"/>
      <c r="I2" s="41" t="s">
        <v>123</v>
      </c>
      <c r="J2" s="41"/>
    </row>
    <row r="3" spans="1:17">
      <c r="A3" s="67" t="s">
        <v>122</v>
      </c>
      <c r="B3" s="55"/>
      <c r="C3" s="55"/>
      <c r="D3" s="55"/>
      <c r="E3" s="55"/>
      <c r="F3" s="55"/>
      <c r="G3" s="55"/>
      <c r="H3" s="55"/>
      <c r="I3" s="55"/>
      <c r="J3" s="41"/>
    </row>
    <row r="4" spans="1:17">
      <c r="A4" s="41"/>
      <c r="B4" s="41"/>
      <c r="C4" s="41"/>
      <c r="D4" s="41"/>
      <c r="E4" s="41"/>
      <c r="F4" s="66"/>
      <c r="G4" s="41"/>
      <c r="H4" s="41"/>
      <c r="I4" s="41"/>
      <c r="J4" s="41"/>
    </row>
    <row r="5" spans="1:17" ht="15">
      <c r="A5" s="61"/>
      <c r="B5" s="41"/>
      <c r="C5" s="41"/>
      <c r="D5" s="60" t="s">
        <v>27</v>
      </c>
      <c r="E5" s="60" t="s">
        <v>26</v>
      </c>
      <c r="F5" s="60" t="s">
        <v>25</v>
      </c>
      <c r="G5" s="60" t="s">
        <v>121</v>
      </c>
      <c r="H5" s="41"/>
      <c r="I5" s="60" t="s">
        <v>120</v>
      </c>
      <c r="J5" s="41"/>
    </row>
    <row r="6" spans="1:17" ht="15">
      <c r="A6" s="61"/>
      <c r="B6" s="61"/>
      <c r="C6" s="61"/>
      <c r="D6" s="61"/>
      <c r="E6" s="61"/>
      <c r="F6" s="61"/>
      <c r="G6" s="65" t="s">
        <v>119</v>
      </c>
      <c r="H6" s="65"/>
      <c r="I6" s="65"/>
      <c r="J6" s="65"/>
    </row>
    <row r="7" spans="1:17" ht="15">
      <c r="A7" s="64" t="s">
        <v>24</v>
      </c>
      <c r="B7" s="61"/>
      <c r="C7" s="61"/>
      <c r="D7" s="64" t="s">
        <v>0</v>
      </c>
      <c r="E7" s="64" t="s">
        <v>118</v>
      </c>
      <c r="F7" s="61"/>
      <c r="G7" s="61"/>
      <c r="H7" s="61"/>
      <c r="I7" s="61"/>
      <c r="J7" s="61"/>
    </row>
    <row r="8" spans="1:17" ht="15">
      <c r="A8" s="63" t="s">
        <v>23</v>
      </c>
      <c r="B8" s="62" t="s">
        <v>22</v>
      </c>
      <c r="C8" s="62"/>
      <c r="D8" s="63" t="s">
        <v>117</v>
      </c>
      <c r="E8" s="63" t="s">
        <v>116</v>
      </c>
      <c r="F8" s="63" t="s">
        <v>115</v>
      </c>
      <c r="G8" s="63" t="s">
        <v>114</v>
      </c>
      <c r="H8" s="62"/>
      <c r="I8" s="63" t="s">
        <v>13</v>
      </c>
      <c r="J8" s="62"/>
    </row>
    <row r="9" spans="1:17" ht="15">
      <c r="A9" s="41"/>
      <c r="B9" s="61"/>
      <c r="C9" s="41"/>
      <c r="D9" s="41"/>
      <c r="E9" s="60" t="s">
        <v>113</v>
      </c>
      <c r="F9" s="60" t="s">
        <v>112</v>
      </c>
      <c r="G9" s="60" t="s">
        <v>111</v>
      </c>
      <c r="H9" s="41"/>
      <c r="I9" s="60" t="s">
        <v>111</v>
      </c>
      <c r="J9" s="41"/>
      <c r="N9" s="59"/>
    </row>
    <row r="10" spans="1:17" ht="15">
      <c r="A10" s="41">
        <v>1</v>
      </c>
      <c r="B10" s="56" t="s">
        <v>110</v>
      </c>
      <c r="C10" s="41"/>
      <c r="D10" s="41"/>
      <c r="E10" s="41"/>
      <c r="F10" s="41"/>
      <c r="G10" s="47"/>
      <c r="H10" s="41"/>
      <c r="I10" s="47"/>
      <c r="J10" s="41"/>
    </row>
    <row r="11" spans="1:17">
      <c r="A11" s="41">
        <v>2</v>
      </c>
      <c r="B11" s="41" t="s">
        <v>105</v>
      </c>
      <c r="C11" s="60">
        <v>29760</v>
      </c>
      <c r="D11" s="47"/>
      <c r="E11" s="322">
        <v>12175247</v>
      </c>
      <c r="F11" s="58"/>
      <c r="G11" s="47"/>
      <c r="H11" s="41"/>
      <c r="I11" s="47"/>
      <c r="J11" s="41"/>
    </row>
    <row r="12" spans="1:17">
      <c r="A12" s="41">
        <v>3</v>
      </c>
      <c r="B12" s="41" t="s">
        <v>109</v>
      </c>
      <c r="C12" s="60"/>
      <c r="D12" s="51" t="s">
        <v>104</v>
      </c>
      <c r="E12" s="41"/>
      <c r="F12" s="403">
        <v>0.30880000000000002</v>
      </c>
      <c r="G12" s="47">
        <f>ROUND($E$11*$F12,0)</f>
        <v>3759716</v>
      </c>
      <c r="H12" s="41"/>
      <c r="I12" s="47">
        <f>ROUND($E$11*$F12,0)</f>
        <v>3759716</v>
      </c>
      <c r="J12" s="41"/>
    </row>
    <row r="13" spans="1:17">
      <c r="A13" s="41">
        <v>4</v>
      </c>
      <c r="B13" s="41"/>
      <c r="C13" s="60"/>
      <c r="D13" s="41"/>
      <c r="E13" s="47"/>
      <c r="F13" s="58"/>
      <c r="G13" s="47"/>
      <c r="H13" s="41"/>
      <c r="I13" s="47"/>
      <c r="J13" s="41"/>
    </row>
    <row r="14" spans="1:17">
      <c r="A14" s="41">
        <v>5</v>
      </c>
      <c r="B14" s="39" t="s">
        <v>98</v>
      </c>
      <c r="C14" s="71"/>
      <c r="E14" s="57">
        <f>SUM(E11:E13)</f>
        <v>12175247</v>
      </c>
      <c r="G14" s="57">
        <f>SUM(G11:G13)</f>
        <v>3759716</v>
      </c>
      <c r="I14" s="57">
        <f>SUM(I11:I13)</f>
        <v>3759716</v>
      </c>
    </row>
    <row r="15" spans="1:17">
      <c r="A15" s="41">
        <v>6</v>
      </c>
      <c r="C15" s="71"/>
      <c r="Q15" s="475"/>
    </row>
    <row r="16" spans="1:17" ht="15">
      <c r="A16" s="41">
        <v>7</v>
      </c>
      <c r="B16" s="56" t="s">
        <v>108</v>
      </c>
      <c r="C16" s="60"/>
      <c r="D16" s="47"/>
      <c r="E16" s="47"/>
      <c r="F16" s="46"/>
      <c r="G16" s="47"/>
      <c r="H16" s="41"/>
      <c r="I16" s="47"/>
      <c r="J16" s="41"/>
      <c r="Q16" s="475"/>
    </row>
    <row r="17" spans="1:17">
      <c r="A17" s="41">
        <v>8</v>
      </c>
      <c r="B17" s="41" t="s">
        <v>105</v>
      </c>
      <c r="C17" s="60">
        <v>29762</v>
      </c>
      <c r="D17" s="47"/>
      <c r="E17" s="322">
        <v>27757688</v>
      </c>
      <c r="F17" s="46"/>
      <c r="G17" s="47"/>
      <c r="H17" s="41"/>
      <c r="I17" s="47"/>
      <c r="J17" s="41"/>
      <c r="Q17" s="475"/>
    </row>
    <row r="18" spans="1:17">
      <c r="A18" s="41">
        <v>9</v>
      </c>
      <c r="B18" s="41" t="s">
        <v>102</v>
      </c>
      <c r="C18" s="60"/>
      <c r="D18" s="51" t="s">
        <v>104</v>
      </c>
      <c r="E18" s="47"/>
      <c r="F18" s="403">
        <v>0.3543</v>
      </c>
      <c r="G18" s="47">
        <f>ROUND($E$17*$F18,0)</f>
        <v>9834549</v>
      </c>
      <c r="H18" s="41"/>
      <c r="I18" s="47">
        <f>ROUND($E$17*$F18,0)</f>
        <v>9834549</v>
      </c>
      <c r="J18" s="41"/>
      <c r="Q18" s="475"/>
    </row>
    <row r="19" spans="1:17">
      <c r="A19" s="41">
        <v>10</v>
      </c>
      <c r="B19" s="41"/>
      <c r="C19" s="60"/>
      <c r="D19" s="47"/>
      <c r="E19" s="47"/>
      <c r="F19" s="46"/>
      <c r="G19" s="47"/>
      <c r="H19" s="41"/>
      <c r="I19" s="47"/>
      <c r="J19" s="41"/>
      <c r="Q19" s="475"/>
    </row>
    <row r="20" spans="1:17">
      <c r="A20" s="41">
        <v>11</v>
      </c>
      <c r="B20" s="41" t="s">
        <v>103</v>
      </c>
      <c r="C20" s="91">
        <v>29759</v>
      </c>
      <c r="D20" s="47"/>
      <c r="E20" s="322">
        <v>6022500</v>
      </c>
      <c r="F20" s="46"/>
      <c r="G20" s="47"/>
      <c r="H20" s="41"/>
      <c r="I20" s="47"/>
      <c r="J20" s="41"/>
      <c r="Q20" s="475"/>
    </row>
    <row r="21" spans="1:17">
      <c r="A21" s="41">
        <v>12</v>
      </c>
      <c r="B21" s="41" t="s">
        <v>102</v>
      </c>
      <c r="C21" s="402" t="s">
        <v>101</v>
      </c>
      <c r="D21" s="51" t="s">
        <v>100</v>
      </c>
      <c r="E21" s="47"/>
      <c r="F21" s="403">
        <v>0.18940000000000001</v>
      </c>
      <c r="G21" s="47">
        <f>ROUND($E$20*$F21,0)</f>
        <v>1140662</v>
      </c>
      <c r="H21" s="41"/>
      <c r="I21" s="47">
        <f>ROUND($E$20*$F21,0)</f>
        <v>1140662</v>
      </c>
      <c r="J21" s="41"/>
      <c r="L21" s="50"/>
      <c r="Q21" s="475"/>
    </row>
    <row r="22" spans="1:17">
      <c r="A22" s="41">
        <v>13</v>
      </c>
      <c r="C22" s="71"/>
      <c r="Q22" s="475"/>
    </row>
    <row r="23" spans="1:17">
      <c r="A23" s="41">
        <v>14</v>
      </c>
      <c r="B23" s="41" t="s">
        <v>103</v>
      </c>
      <c r="C23" s="91">
        <v>34380</v>
      </c>
      <c r="D23" s="47"/>
      <c r="E23" s="322">
        <v>3650000</v>
      </c>
      <c r="Q23" s="475"/>
    </row>
    <row r="24" spans="1:17">
      <c r="A24" s="41">
        <v>15</v>
      </c>
      <c r="B24" s="41" t="s">
        <v>102</v>
      </c>
      <c r="C24" s="402" t="s">
        <v>101</v>
      </c>
      <c r="D24" s="51" t="s">
        <v>100</v>
      </c>
      <c r="F24" s="403">
        <v>0.18940000000000001</v>
      </c>
      <c r="G24" s="47">
        <f>ROUND($E$23*$F24,0)</f>
        <v>691310</v>
      </c>
      <c r="I24" s="47">
        <f>ROUND($E$23*$F24,0)</f>
        <v>691310</v>
      </c>
    </row>
    <row r="25" spans="1:17">
      <c r="A25" s="41">
        <v>16</v>
      </c>
      <c r="C25" s="71"/>
    </row>
    <row r="26" spans="1:17">
      <c r="A26" s="41">
        <v>17</v>
      </c>
      <c r="B26" s="39" t="s">
        <v>97</v>
      </c>
      <c r="C26" s="71"/>
      <c r="E26" s="57">
        <f>SUM(E17:E25)</f>
        <v>37430188</v>
      </c>
      <c r="G26" s="57">
        <f>SUM(G17:G25)</f>
        <v>11666521</v>
      </c>
      <c r="I26" s="57">
        <f>SUM(I17:I25)</f>
        <v>11666521</v>
      </c>
    </row>
    <row r="27" spans="1:17">
      <c r="A27" s="41">
        <v>18</v>
      </c>
      <c r="C27" s="71"/>
    </row>
    <row r="28" spans="1:17" ht="15">
      <c r="A28" s="41">
        <v>19</v>
      </c>
      <c r="B28" s="56" t="s">
        <v>107</v>
      </c>
      <c r="C28" s="60"/>
      <c r="D28" s="41"/>
      <c r="E28" s="41"/>
      <c r="F28" s="46"/>
      <c r="G28" s="41"/>
      <c r="H28" s="41"/>
      <c r="I28" s="41"/>
    </row>
    <row r="29" spans="1:17">
      <c r="A29" s="41">
        <v>20</v>
      </c>
      <c r="B29" s="41" t="s">
        <v>553</v>
      </c>
      <c r="C29" s="60">
        <v>35772</v>
      </c>
      <c r="D29" s="51" t="s">
        <v>556</v>
      </c>
      <c r="E29" s="322">
        <v>323400</v>
      </c>
      <c r="F29" s="46"/>
      <c r="G29" s="47"/>
      <c r="H29" s="41"/>
      <c r="I29" s="47"/>
    </row>
    <row r="30" spans="1:17">
      <c r="A30" s="41">
        <v>21</v>
      </c>
      <c r="B30" s="41" t="s">
        <v>102</v>
      </c>
      <c r="C30" s="60"/>
      <c r="D30" s="51"/>
      <c r="E30" s="47"/>
      <c r="F30" s="403">
        <v>0.32819999999999999</v>
      </c>
      <c r="G30" s="47">
        <f>ROUND($E$29*$F30,0)</f>
        <v>106140</v>
      </c>
      <c r="H30" s="41"/>
      <c r="I30" s="47">
        <f>ROUND($E$29*$F30,0)</f>
        <v>106140</v>
      </c>
      <c r="L30" s="50"/>
    </row>
    <row r="31" spans="1:17">
      <c r="A31" s="41">
        <v>22</v>
      </c>
      <c r="B31" s="41"/>
      <c r="C31" s="60"/>
      <c r="D31" s="51"/>
      <c r="E31" s="47"/>
      <c r="F31" s="403"/>
      <c r="G31" s="47"/>
      <c r="H31" s="41"/>
      <c r="I31" s="47"/>
      <c r="L31" s="50"/>
    </row>
    <row r="32" spans="1:17">
      <c r="A32" s="41">
        <v>23</v>
      </c>
      <c r="B32" s="41"/>
      <c r="C32" s="60"/>
      <c r="D32" s="51"/>
      <c r="E32" s="322"/>
      <c r="F32" s="46"/>
      <c r="G32" s="47"/>
      <c r="H32" s="41"/>
      <c r="I32" s="47"/>
      <c r="L32" s="50"/>
    </row>
    <row r="33" spans="1:12">
      <c r="A33" s="41">
        <v>24</v>
      </c>
      <c r="B33" s="41"/>
      <c r="C33" s="60"/>
      <c r="D33" s="51"/>
      <c r="E33" s="47"/>
      <c r="F33" s="403"/>
      <c r="G33" s="47"/>
      <c r="H33" s="41"/>
      <c r="I33" s="47"/>
      <c r="L33" s="50"/>
    </row>
    <row r="34" spans="1:12">
      <c r="A34" s="41">
        <v>25</v>
      </c>
      <c r="B34" s="41"/>
      <c r="C34" s="60"/>
      <c r="D34" s="47"/>
      <c r="E34" s="47"/>
      <c r="F34" s="46"/>
      <c r="G34" s="47"/>
      <c r="H34" s="41"/>
      <c r="I34" s="47"/>
      <c r="J34" s="41"/>
    </row>
    <row r="35" spans="1:12">
      <c r="A35" s="41">
        <v>26</v>
      </c>
      <c r="B35" s="39" t="s">
        <v>96</v>
      </c>
      <c r="C35" s="71"/>
      <c r="E35" s="57">
        <f>SUM(E29:E34)</f>
        <v>323400</v>
      </c>
      <c r="G35" s="57">
        <f>SUM(G29:G34)</f>
        <v>106140</v>
      </c>
      <c r="I35" s="57">
        <f>SUM(I29:I34)</f>
        <v>106140</v>
      </c>
    </row>
    <row r="36" spans="1:12">
      <c r="A36" s="41">
        <v>27</v>
      </c>
      <c r="C36" s="71"/>
    </row>
    <row r="37" spans="1:12" ht="15">
      <c r="A37" s="41">
        <v>28</v>
      </c>
      <c r="B37" s="56" t="s">
        <v>106</v>
      </c>
      <c r="C37" s="60"/>
      <c r="D37" s="47"/>
      <c r="E37" s="47"/>
      <c r="F37" s="46"/>
      <c r="G37" s="47"/>
      <c r="H37" s="41"/>
      <c r="I37" s="47"/>
    </row>
    <row r="38" spans="1:12">
      <c r="A38" s="41">
        <v>29</v>
      </c>
      <c r="B38" s="41" t="s">
        <v>105</v>
      </c>
      <c r="C38" s="60">
        <v>29763</v>
      </c>
      <c r="D38" s="47"/>
      <c r="E38" s="322">
        <v>3320769</v>
      </c>
      <c r="F38" s="46"/>
      <c r="G38" s="47"/>
      <c r="H38" s="41"/>
      <c r="I38" s="47"/>
    </row>
    <row r="39" spans="1:12">
      <c r="A39" s="41">
        <v>30</v>
      </c>
      <c r="B39" s="41" t="s">
        <v>102</v>
      </c>
      <c r="C39" s="60"/>
      <c r="D39" s="51" t="s">
        <v>104</v>
      </c>
      <c r="E39" s="47"/>
      <c r="F39" s="403">
        <v>0.41899999999999998</v>
      </c>
      <c r="G39" s="47">
        <f>ROUND($E$38*$F39,0)</f>
        <v>1391402</v>
      </c>
      <c r="H39" s="41"/>
      <c r="I39" s="47">
        <f>ROUND($E$38*$F39,0)</f>
        <v>1391402</v>
      </c>
    </row>
    <row r="40" spans="1:12">
      <c r="A40" s="41">
        <v>31</v>
      </c>
      <c r="B40" s="41"/>
      <c r="C40" s="60"/>
      <c r="D40" s="47"/>
      <c r="E40" s="47"/>
      <c r="F40" s="46"/>
      <c r="G40" s="47"/>
      <c r="H40" s="41"/>
      <c r="I40" s="47"/>
    </row>
    <row r="41" spans="1:12">
      <c r="A41" s="41">
        <v>32</v>
      </c>
      <c r="B41" s="41" t="s">
        <v>103</v>
      </c>
      <c r="C41" s="91">
        <v>31097</v>
      </c>
      <c r="D41" s="47"/>
      <c r="E41" s="322">
        <v>1825000</v>
      </c>
      <c r="F41" s="46"/>
      <c r="G41" s="47"/>
      <c r="H41" s="41"/>
      <c r="I41" s="47"/>
    </row>
    <row r="42" spans="1:12">
      <c r="A42" s="41">
        <v>33</v>
      </c>
      <c r="B42" s="41" t="s">
        <v>102</v>
      </c>
      <c r="C42" s="60"/>
      <c r="D42" s="51" t="s">
        <v>100</v>
      </c>
      <c r="E42" s="47"/>
      <c r="F42" s="403">
        <v>0.2742</v>
      </c>
      <c r="G42" s="47">
        <f>ROUND($E$41*$F42,0)</f>
        <v>500415</v>
      </c>
      <c r="H42" s="41"/>
      <c r="I42" s="47">
        <f>ROUND($E$41*$F42,0)</f>
        <v>500415</v>
      </c>
      <c r="L42" s="50"/>
    </row>
    <row r="43" spans="1:12">
      <c r="A43" s="41">
        <v>34</v>
      </c>
      <c r="B43" s="41"/>
      <c r="C43" s="60"/>
      <c r="D43" s="47"/>
      <c r="E43" s="47"/>
      <c r="F43" s="46"/>
      <c r="G43" s="47"/>
      <c r="H43" s="41"/>
      <c r="I43" s="47"/>
    </row>
    <row r="44" spans="1:12" hidden="1">
      <c r="A44" s="41">
        <v>35</v>
      </c>
      <c r="B44" s="41" t="s">
        <v>103</v>
      </c>
      <c r="C44" s="91"/>
      <c r="D44" s="47"/>
      <c r="E44" s="322"/>
      <c r="F44" s="46"/>
      <c r="G44" s="47"/>
      <c r="H44" s="41"/>
      <c r="I44" s="47"/>
      <c r="J44" s="41"/>
    </row>
    <row r="45" spans="1:12" hidden="1">
      <c r="A45" s="41">
        <v>36</v>
      </c>
      <c r="B45" s="41" t="s">
        <v>102</v>
      </c>
      <c r="C45" s="402" t="s">
        <v>101</v>
      </c>
      <c r="D45" s="51" t="s">
        <v>100</v>
      </c>
      <c r="E45" s="47"/>
      <c r="F45" s="403"/>
      <c r="G45" s="47">
        <f>ROUND($E$44*$F45,0)</f>
        <v>0</v>
      </c>
      <c r="H45" s="41"/>
      <c r="I45" s="47">
        <f>ROUND($E$44*$F45,0)</f>
        <v>0</v>
      </c>
      <c r="J45" s="41"/>
      <c r="L45" s="50"/>
    </row>
    <row r="46" spans="1:12" hidden="1">
      <c r="A46" s="41">
        <v>37</v>
      </c>
      <c r="B46" s="41"/>
      <c r="C46" s="60"/>
      <c r="D46" s="41"/>
      <c r="E46" s="41"/>
      <c r="F46" s="46"/>
      <c r="G46" s="41"/>
      <c r="H46" s="41"/>
      <c r="I46" s="41"/>
    </row>
    <row r="47" spans="1:12">
      <c r="A47" s="41">
        <v>38</v>
      </c>
      <c r="B47" s="41" t="s">
        <v>99</v>
      </c>
      <c r="C47" s="60"/>
      <c r="D47" s="47"/>
      <c r="E47" s="48">
        <f>SUM(E38:E46)</f>
        <v>5145769</v>
      </c>
      <c r="F47" s="46"/>
      <c r="G47" s="48">
        <f>SUM(G38:G46)</f>
        <v>1891817</v>
      </c>
      <c r="H47" s="41"/>
      <c r="I47" s="48">
        <f>SUM(I38:I46)</f>
        <v>1891817</v>
      </c>
    </row>
    <row r="48" spans="1:12">
      <c r="A48" s="41">
        <v>39</v>
      </c>
      <c r="B48" s="41"/>
      <c r="C48" s="60"/>
      <c r="D48" s="47"/>
      <c r="E48" s="47"/>
      <c r="F48" s="46"/>
      <c r="G48" s="47"/>
      <c r="H48" s="41"/>
      <c r="I48" s="47"/>
    </row>
    <row r="49" spans="1:12" ht="15">
      <c r="A49" s="41">
        <v>40</v>
      </c>
      <c r="B49" s="56" t="s">
        <v>516</v>
      </c>
      <c r="C49" s="60"/>
      <c r="D49" s="47"/>
      <c r="E49" s="47"/>
      <c r="F49" s="46"/>
      <c r="G49" s="47"/>
      <c r="H49" s="41"/>
      <c r="I49" s="47"/>
    </row>
    <row r="50" spans="1:12">
      <c r="A50" s="41">
        <v>41</v>
      </c>
      <c r="B50" s="41" t="s">
        <v>103</v>
      </c>
      <c r="C50" s="91">
        <v>54299</v>
      </c>
      <c r="D50" s="47"/>
      <c r="E50" s="322">
        <v>2555000</v>
      </c>
      <c r="F50" s="46"/>
      <c r="G50" s="47"/>
      <c r="H50" s="41"/>
      <c r="I50" s="47"/>
    </row>
    <row r="51" spans="1:12">
      <c r="A51" s="41">
        <v>42</v>
      </c>
      <c r="B51" s="41" t="s">
        <v>102</v>
      </c>
      <c r="C51" s="402" t="s">
        <v>101</v>
      </c>
      <c r="D51" s="51" t="s">
        <v>100</v>
      </c>
      <c r="E51" s="47"/>
      <c r="F51" s="403">
        <v>0.105</v>
      </c>
      <c r="G51" s="47">
        <f>ROUND($E$50*$F51,0)</f>
        <v>268275</v>
      </c>
      <c r="H51" s="41"/>
      <c r="I51" s="47">
        <f>ROUND($E$50*$F51,0)</f>
        <v>268275</v>
      </c>
    </row>
    <row r="52" spans="1:12">
      <c r="A52" s="41">
        <v>43</v>
      </c>
      <c r="B52" s="41"/>
      <c r="C52" s="60"/>
      <c r="D52" s="41"/>
      <c r="E52" s="41"/>
      <c r="F52" s="46"/>
      <c r="G52" s="41"/>
      <c r="H52" s="41"/>
      <c r="I52" s="41"/>
    </row>
    <row r="53" spans="1:12">
      <c r="A53" s="41">
        <v>44</v>
      </c>
      <c r="B53" s="41" t="s">
        <v>517</v>
      </c>
      <c r="C53" s="41"/>
      <c r="D53" s="47"/>
      <c r="E53" s="48">
        <f>SUM(E50:E52)</f>
        <v>2555000</v>
      </c>
      <c r="F53" s="46"/>
      <c r="G53" s="48">
        <f>SUM(G50:G52)</f>
        <v>268275</v>
      </c>
      <c r="H53" s="41"/>
      <c r="I53" s="48">
        <f>SUM(I50:I52)</f>
        <v>268275</v>
      </c>
    </row>
    <row r="54" spans="1:12">
      <c r="A54" s="41">
        <v>45</v>
      </c>
      <c r="B54" s="41"/>
      <c r="C54" s="60"/>
      <c r="D54" s="47"/>
      <c r="E54" s="47"/>
      <c r="F54" s="46"/>
      <c r="G54" s="47"/>
      <c r="H54" s="41"/>
      <c r="I54" s="47"/>
    </row>
    <row r="55" spans="1:12" ht="15">
      <c r="A55" s="41">
        <v>46</v>
      </c>
      <c r="B55" s="56" t="s">
        <v>554</v>
      </c>
      <c r="C55" s="60"/>
      <c r="D55" s="47"/>
      <c r="E55" s="47"/>
      <c r="F55" s="46"/>
      <c r="G55" s="47"/>
      <c r="H55" s="41"/>
      <c r="I55" s="47"/>
    </row>
    <row r="56" spans="1:12">
      <c r="A56" s="41">
        <v>47</v>
      </c>
      <c r="B56" s="41" t="s">
        <v>103</v>
      </c>
      <c r="C56" s="91">
        <v>36773</v>
      </c>
      <c r="D56" s="47"/>
      <c r="E56" s="322">
        <v>1825000</v>
      </c>
      <c r="F56" s="46"/>
      <c r="G56" s="47"/>
      <c r="H56" s="41"/>
      <c r="I56" s="47"/>
    </row>
    <row r="57" spans="1:12">
      <c r="A57" s="41">
        <v>48</v>
      </c>
      <c r="B57" s="41" t="s">
        <v>102</v>
      </c>
      <c r="C57" s="402" t="s">
        <v>101</v>
      </c>
      <c r="D57" s="51" t="s">
        <v>100</v>
      </c>
      <c r="E57" s="47"/>
      <c r="F57" s="403">
        <v>0.1181</v>
      </c>
      <c r="G57" s="47">
        <f>ROUND($E$56*$F57,0)</f>
        <v>215533</v>
      </c>
      <c r="H57" s="41"/>
      <c r="I57" s="47">
        <f>ROUND($E$56*$F57,0)</f>
        <v>215533</v>
      </c>
      <c r="L57" s="50"/>
    </row>
    <row r="58" spans="1:12">
      <c r="A58" s="41">
        <v>49</v>
      </c>
      <c r="B58" s="41"/>
      <c r="C58" s="60"/>
      <c r="D58" s="41"/>
      <c r="E58" s="41"/>
      <c r="F58" s="46"/>
      <c r="G58" s="41"/>
      <c r="H58" s="41"/>
      <c r="I58" s="41"/>
      <c r="L58" s="432"/>
    </row>
    <row r="59" spans="1:12">
      <c r="A59" s="41">
        <v>50</v>
      </c>
      <c r="B59" s="41" t="s">
        <v>555</v>
      </c>
      <c r="C59" s="41"/>
      <c r="D59" s="47"/>
      <c r="E59" s="48">
        <f>SUM(E56:E58)</f>
        <v>1825000</v>
      </c>
      <c r="F59" s="46"/>
      <c r="G59" s="48">
        <f>SUM(G56:G58)</f>
        <v>215533</v>
      </c>
      <c r="H59" s="41"/>
      <c r="I59" s="48">
        <f>SUM(I56:I58)</f>
        <v>215533</v>
      </c>
    </row>
    <row r="60" spans="1:12">
      <c r="A60" s="41">
        <v>51</v>
      </c>
    </row>
    <row r="61" spans="1:12">
      <c r="A61" s="41">
        <v>52</v>
      </c>
      <c r="B61" s="39" t="s">
        <v>98</v>
      </c>
      <c r="E61" s="43">
        <f>E14</f>
        <v>12175247</v>
      </c>
      <c r="F61" s="43"/>
      <c r="G61" s="43">
        <f>G14</f>
        <v>3759716</v>
      </c>
      <c r="H61" s="43"/>
      <c r="I61" s="43">
        <f>I14</f>
        <v>3759716</v>
      </c>
    </row>
    <row r="62" spans="1:12">
      <c r="A62" s="41">
        <v>53</v>
      </c>
      <c r="B62" s="39" t="s">
        <v>97</v>
      </c>
      <c r="E62" s="43">
        <f>E26</f>
        <v>37430188</v>
      </c>
      <c r="F62" s="43"/>
      <c r="G62" s="43">
        <f>G26</f>
        <v>11666521</v>
      </c>
      <c r="H62" s="43"/>
      <c r="I62" s="43">
        <f>I26</f>
        <v>11666521</v>
      </c>
    </row>
    <row r="63" spans="1:12">
      <c r="A63" s="41">
        <v>54</v>
      </c>
      <c r="B63" s="39" t="s">
        <v>96</v>
      </c>
      <c r="E63" s="43">
        <f>E35</f>
        <v>323400</v>
      </c>
      <c r="F63" s="43"/>
      <c r="G63" s="43">
        <f>G35</f>
        <v>106140</v>
      </c>
      <c r="H63" s="43"/>
      <c r="I63" s="43">
        <f>I35</f>
        <v>106140</v>
      </c>
    </row>
    <row r="64" spans="1:12">
      <c r="A64" s="41">
        <v>55</v>
      </c>
      <c r="B64" s="39" t="s">
        <v>99</v>
      </c>
      <c r="E64" s="43">
        <f>E47</f>
        <v>5145769</v>
      </c>
      <c r="F64" s="43"/>
      <c r="G64" s="43">
        <f>G47</f>
        <v>1891817</v>
      </c>
      <c r="H64" s="43"/>
      <c r="I64" s="43">
        <f>I47</f>
        <v>1891817</v>
      </c>
    </row>
    <row r="65" spans="1:9">
      <c r="A65" s="41">
        <v>56</v>
      </c>
      <c r="B65" s="39" t="s">
        <v>517</v>
      </c>
      <c r="E65" s="43">
        <f>E53</f>
        <v>2555000</v>
      </c>
      <c r="F65" s="43"/>
      <c r="G65" s="43">
        <f>G53</f>
        <v>268275</v>
      </c>
      <c r="H65" s="43"/>
      <c r="I65" s="43">
        <f>I53</f>
        <v>268275</v>
      </c>
    </row>
    <row r="66" spans="1:9">
      <c r="A66" s="41">
        <v>57</v>
      </c>
      <c r="B66" s="39" t="s">
        <v>555</v>
      </c>
      <c r="E66" s="43">
        <f>E59</f>
        <v>1825000</v>
      </c>
      <c r="F66" s="481"/>
      <c r="G66" s="43">
        <f>G59</f>
        <v>215533</v>
      </c>
      <c r="H66" s="43"/>
      <c r="I66" s="43">
        <f>I59</f>
        <v>215533</v>
      </c>
    </row>
    <row r="67" spans="1:9">
      <c r="A67" s="41">
        <v>58</v>
      </c>
      <c r="B67" s="41"/>
      <c r="C67" s="41"/>
      <c r="E67" s="50"/>
      <c r="F67" s="40"/>
    </row>
    <row r="68" spans="1:9">
      <c r="A68" s="41">
        <v>59</v>
      </c>
      <c r="B68" s="41" t="s">
        <v>95</v>
      </c>
      <c r="C68" s="41"/>
      <c r="D68" s="47"/>
      <c r="E68" s="48">
        <f>SUM(E61:E66)</f>
        <v>59454604</v>
      </c>
      <c r="F68" s="46"/>
      <c r="G68" s="48">
        <f>SUM(G61:G66)</f>
        <v>17908002</v>
      </c>
      <c r="H68" s="49"/>
      <c r="I68" s="48">
        <f>SUM(I61:J66)</f>
        <v>17908002</v>
      </c>
    </row>
    <row r="69" spans="1:9">
      <c r="A69" s="41">
        <v>60</v>
      </c>
      <c r="B69" s="41"/>
      <c r="C69" s="41"/>
      <c r="D69" s="47"/>
      <c r="E69" s="47"/>
      <c r="F69" s="46"/>
      <c r="G69" s="47"/>
      <c r="H69" s="41"/>
      <c r="I69" s="47"/>
    </row>
    <row r="70" spans="1:9">
      <c r="A70" s="41">
        <v>61</v>
      </c>
      <c r="B70" s="41"/>
      <c r="C70" s="41"/>
      <c r="D70" s="41"/>
      <c r="E70" s="41"/>
      <c r="F70" s="46"/>
      <c r="G70" s="41"/>
      <c r="H70" s="41"/>
      <c r="I70" s="41"/>
    </row>
    <row r="71" spans="1:9" ht="15" thickBot="1">
      <c r="A71" s="41">
        <v>62</v>
      </c>
      <c r="B71" s="41" t="s">
        <v>94</v>
      </c>
      <c r="C71" s="41"/>
      <c r="D71" s="41"/>
      <c r="E71" s="47"/>
      <c r="F71" s="46"/>
      <c r="G71" s="44">
        <f>SUM(G68:G70)</f>
        <v>17908002</v>
      </c>
      <c r="H71" s="45"/>
      <c r="I71" s="44">
        <f>SUM(I68:I70)</f>
        <v>17908002</v>
      </c>
    </row>
    <row r="72" spans="1:9" ht="15" thickTop="1">
      <c r="A72" s="41"/>
      <c r="F72" s="40"/>
    </row>
    <row r="73" spans="1:9">
      <c r="A73" s="41"/>
      <c r="F73" s="40"/>
      <c r="G73" s="43"/>
    </row>
    <row r="74" spans="1:9">
      <c r="A74" s="41"/>
      <c r="F74" s="40"/>
    </row>
    <row r="75" spans="1:9">
      <c r="A75" s="41"/>
      <c r="F75" s="40"/>
    </row>
    <row r="76" spans="1:9">
      <c r="A76" s="41"/>
      <c r="F76" s="40"/>
      <c r="G76" s="42"/>
    </row>
    <row r="77" spans="1:9">
      <c r="A77" s="41"/>
      <c r="F77" s="40"/>
    </row>
    <row r="78" spans="1:9">
      <c r="A78" s="41"/>
      <c r="F78" s="40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zoomScale="80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G42" sqref="G42"/>
    </sheetView>
  </sheetViews>
  <sheetFormatPr defaultColWidth="9.85546875" defaultRowHeight="14.25"/>
  <cols>
    <col min="1" max="1" width="4.85546875" style="39" customWidth="1"/>
    <col min="2" max="2" width="17.140625" style="39" customWidth="1"/>
    <col min="3" max="3" width="23.42578125" style="39" customWidth="1"/>
    <col min="4" max="4" width="9.85546875" style="39" customWidth="1"/>
    <col min="5" max="5" width="13" style="39" bestFit="1" customWidth="1"/>
    <col min="6" max="6" width="10.85546875" style="39" customWidth="1"/>
    <col min="7" max="7" width="11.7109375" style="39" bestFit="1" customWidth="1"/>
    <col min="8" max="8" width="1.85546875" style="39" customWidth="1"/>
    <col min="9" max="9" width="13.5703125" style="39" customWidth="1"/>
    <col min="10" max="10" width="1.85546875" style="39" customWidth="1"/>
    <col min="11" max="11" width="11.28515625" style="39" customWidth="1"/>
    <col min="12" max="13" width="9.85546875" style="39"/>
    <col min="14" max="14" width="12.7109375" style="39" bestFit="1" customWidth="1"/>
    <col min="15" max="16384" width="9.85546875" style="39"/>
  </cols>
  <sheetData>
    <row r="1" spans="1:17" ht="15">
      <c r="A1" s="68" t="s">
        <v>32</v>
      </c>
      <c r="B1" s="55"/>
      <c r="C1" s="55"/>
      <c r="D1" s="55"/>
      <c r="E1" s="55"/>
      <c r="F1" s="55"/>
      <c r="G1" s="55"/>
      <c r="H1" s="55"/>
      <c r="I1" s="41" t="s">
        <v>125</v>
      </c>
      <c r="J1" s="41"/>
    </row>
    <row r="2" spans="1:17">
      <c r="A2" s="55" t="str">
        <f>B.1!A2</f>
        <v>Expected Gas Cost (EGC) Calculation</v>
      </c>
      <c r="B2" s="55"/>
      <c r="C2" s="55"/>
      <c r="D2" s="55"/>
      <c r="E2" s="55"/>
      <c r="F2" s="55"/>
      <c r="G2" s="55"/>
      <c r="H2" s="55"/>
      <c r="I2" s="41" t="s">
        <v>141</v>
      </c>
      <c r="J2" s="41"/>
    </row>
    <row r="3" spans="1:17">
      <c r="A3" s="67" t="s">
        <v>140</v>
      </c>
      <c r="B3" s="55"/>
      <c r="C3" s="55"/>
      <c r="D3" s="55"/>
      <c r="E3" s="55"/>
      <c r="F3" s="55"/>
      <c r="G3" s="55"/>
      <c r="H3" s="55"/>
      <c r="I3" s="55"/>
      <c r="J3" s="41"/>
    </row>
    <row r="4" spans="1:17">
      <c r="A4" s="41"/>
      <c r="B4" s="41"/>
      <c r="C4" s="41"/>
      <c r="D4" s="41"/>
      <c r="E4" s="41"/>
      <c r="F4" s="66"/>
      <c r="G4" s="41"/>
      <c r="H4" s="41"/>
      <c r="I4" s="41"/>
      <c r="J4" s="41"/>
    </row>
    <row r="5" spans="1:17" ht="15">
      <c r="A5" s="61"/>
      <c r="B5" s="41"/>
      <c r="C5" s="41"/>
      <c r="D5" s="60" t="s">
        <v>27</v>
      </c>
      <c r="E5" s="60" t="s">
        <v>26</v>
      </c>
      <c r="F5" s="60" t="s">
        <v>25</v>
      </c>
      <c r="G5" s="60" t="s">
        <v>121</v>
      </c>
      <c r="H5" s="41"/>
      <c r="I5" s="60" t="s">
        <v>120</v>
      </c>
      <c r="J5" s="41"/>
    </row>
    <row r="6" spans="1:17" ht="15">
      <c r="A6" s="61"/>
      <c r="B6" s="61"/>
      <c r="C6" s="61"/>
      <c r="D6" s="61"/>
      <c r="E6" s="61"/>
      <c r="F6" s="61"/>
      <c r="G6" s="65" t="s">
        <v>119</v>
      </c>
      <c r="H6" s="65"/>
      <c r="I6" s="65"/>
      <c r="J6" s="65"/>
    </row>
    <row r="7" spans="1:17" ht="15">
      <c r="A7" s="64" t="s">
        <v>24</v>
      </c>
      <c r="B7" s="61"/>
      <c r="C7" s="61"/>
      <c r="D7" s="64" t="s">
        <v>0</v>
      </c>
      <c r="E7" s="64" t="s">
        <v>118</v>
      </c>
      <c r="F7" s="61"/>
      <c r="G7" s="61"/>
      <c r="H7" s="61"/>
      <c r="I7" s="61"/>
      <c r="J7" s="61"/>
    </row>
    <row r="8" spans="1:17" ht="15">
      <c r="A8" s="63" t="s">
        <v>23</v>
      </c>
      <c r="B8" s="62" t="s">
        <v>22</v>
      </c>
      <c r="C8" s="62"/>
      <c r="D8" s="63" t="s">
        <v>117</v>
      </c>
      <c r="E8" s="63" t="s">
        <v>116</v>
      </c>
      <c r="F8" s="63" t="s">
        <v>115</v>
      </c>
      <c r="G8" s="63" t="s">
        <v>114</v>
      </c>
      <c r="H8" s="62"/>
      <c r="I8" s="63" t="s">
        <v>13</v>
      </c>
      <c r="J8" s="62"/>
    </row>
    <row r="9" spans="1:17" ht="15">
      <c r="A9" s="41"/>
      <c r="B9" s="61"/>
      <c r="C9" s="41"/>
      <c r="D9" s="41"/>
      <c r="E9" s="60" t="s">
        <v>113</v>
      </c>
      <c r="F9" s="60" t="s">
        <v>112</v>
      </c>
      <c r="G9" s="60" t="s">
        <v>111</v>
      </c>
      <c r="H9" s="41"/>
      <c r="I9" s="60" t="s">
        <v>111</v>
      </c>
      <c r="J9" s="41"/>
    </row>
    <row r="10" spans="1:17" ht="15">
      <c r="A10" s="41"/>
      <c r="B10" s="61"/>
      <c r="C10" s="41"/>
      <c r="D10" s="41"/>
      <c r="E10" s="41"/>
      <c r="F10" s="41"/>
      <c r="G10" s="41"/>
      <c r="H10" s="41"/>
      <c r="I10" s="41"/>
      <c r="J10" s="41"/>
    </row>
    <row r="11" spans="1:17" ht="15">
      <c r="A11" s="41">
        <v>1</v>
      </c>
      <c r="B11" s="56" t="s">
        <v>139</v>
      </c>
      <c r="C11" s="41"/>
      <c r="D11" s="47"/>
      <c r="E11" s="47"/>
      <c r="F11" s="58"/>
      <c r="G11" s="47"/>
      <c r="H11" s="41"/>
      <c r="I11" s="47"/>
      <c r="J11" s="41"/>
    </row>
    <row r="12" spans="1:17">
      <c r="A12" s="41">
        <v>2</v>
      </c>
      <c r="B12" s="41" t="s">
        <v>136</v>
      </c>
      <c r="C12" s="55">
        <v>2546</v>
      </c>
      <c r="D12" s="41"/>
      <c r="E12" s="322">
        <v>145000</v>
      </c>
      <c r="F12" s="323"/>
      <c r="G12" s="47"/>
      <c r="H12" s="41"/>
      <c r="I12" s="47"/>
      <c r="J12" s="41"/>
    </row>
    <row r="13" spans="1:17">
      <c r="A13" s="41">
        <v>3</v>
      </c>
      <c r="B13" s="41" t="s">
        <v>102</v>
      </c>
      <c r="C13" s="55"/>
      <c r="D13" s="70" t="s">
        <v>135</v>
      </c>
      <c r="E13" s="322"/>
      <c r="F13" s="323">
        <v>9.0149000000000008</v>
      </c>
      <c r="G13" s="47">
        <f>ROUND($E$12*$F$13,0)</f>
        <v>1307161</v>
      </c>
      <c r="H13" s="41"/>
      <c r="I13" s="47">
        <f>ROUND($E$12*$F$13,0)</f>
        <v>1307161</v>
      </c>
      <c r="J13" s="41"/>
    </row>
    <row r="14" spans="1:17">
      <c r="A14" s="41">
        <v>4</v>
      </c>
      <c r="B14" s="41"/>
      <c r="C14" s="55"/>
      <c r="D14" s="41"/>
      <c r="E14" s="322"/>
      <c r="F14" s="323"/>
      <c r="G14" s="47"/>
      <c r="H14" s="41"/>
      <c r="I14" s="47"/>
      <c r="J14" s="41"/>
    </row>
    <row r="15" spans="1:17">
      <c r="A15" s="41">
        <v>5</v>
      </c>
      <c r="B15" s="41" t="s">
        <v>515</v>
      </c>
      <c r="C15" s="55">
        <v>95033</v>
      </c>
      <c r="D15" s="47"/>
      <c r="E15" s="322">
        <v>144000</v>
      </c>
      <c r="F15" s="323"/>
      <c r="G15" s="47"/>
      <c r="H15" s="41"/>
      <c r="I15" s="47"/>
      <c r="J15" s="41"/>
      <c r="Q15" s="475"/>
    </row>
    <row r="16" spans="1:17">
      <c r="A16" s="41">
        <v>6</v>
      </c>
      <c r="B16" s="41" t="s">
        <v>102</v>
      </c>
      <c r="C16" s="55"/>
      <c r="D16" s="70">
        <v>14</v>
      </c>
      <c r="E16" s="322"/>
      <c r="F16" s="323">
        <v>8.2125000000000004</v>
      </c>
      <c r="G16" s="47">
        <f>ROUND($E$15*$F$16,0)</f>
        <v>1182600</v>
      </c>
      <c r="H16" s="41"/>
      <c r="I16" s="47">
        <f>ROUND($E$15*$F$16,0)</f>
        <v>1182600</v>
      </c>
      <c r="J16" s="41"/>
      <c r="Q16" s="475"/>
    </row>
    <row r="17" spans="1:17">
      <c r="A17" s="41">
        <v>7</v>
      </c>
      <c r="B17" s="41"/>
      <c r="C17" s="55"/>
      <c r="D17" s="70"/>
      <c r="E17" s="322"/>
      <c r="F17" s="323"/>
      <c r="G17" s="47"/>
      <c r="H17" s="41"/>
      <c r="I17" s="47"/>
      <c r="J17" s="41"/>
      <c r="Q17" s="475"/>
    </row>
    <row r="18" spans="1:17">
      <c r="A18" s="41">
        <v>8</v>
      </c>
      <c r="B18" s="41" t="s">
        <v>138</v>
      </c>
      <c r="C18" s="41"/>
      <c r="D18" s="47"/>
      <c r="E18" s="48">
        <f>SUM(E12:E17)</f>
        <v>289000</v>
      </c>
      <c r="F18" s="46"/>
      <c r="G18" s="48">
        <f>SUM(G12:G17)</f>
        <v>2489761</v>
      </c>
      <c r="H18" s="41"/>
      <c r="I18" s="48">
        <f>SUM(I12:I17)</f>
        <v>2489761</v>
      </c>
      <c r="J18" s="41"/>
      <c r="Q18" s="475"/>
    </row>
    <row r="19" spans="1:17">
      <c r="A19" s="41">
        <v>9</v>
      </c>
      <c r="B19" s="41"/>
      <c r="C19" s="41"/>
      <c r="D19" s="47"/>
      <c r="E19" s="47"/>
      <c r="F19" s="46"/>
      <c r="G19" s="47"/>
      <c r="H19" s="41"/>
      <c r="I19" s="47"/>
      <c r="J19" s="41"/>
      <c r="Q19" s="475"/>
    </row>
    <row r="20" spans="1:17" ht="15">
      <c r="A20" s="41">
        <v>10</v>
      </c>
      <c r="B20" s="56" t="s">
        <v>137</v>
      </c>
      <c r="C20" s="41"/>
      <c r="D20" s="47"/>
      <c r="E20" s="47"/>
      <c r="F20" s="46"/>
      <c r="G20" s="47"/>
      <c r="H20" s="41"/>
      <c r="I20" s="47"/>
      <c r="J20" s="41"/>
      <c r="Q20" s="475"/>
    </row>
    <row r="21" spans="1:17">
      <c r="A21" s="41">
        <v>11</v>
      </c>
      <c r="B21" s="41" t="s">
        <v>515</v>
      </c>
      <c r="C21" s="55">
        <v>300264</v>
      </c>
      <c r="D21" s="47"/>
      <c r="E21" s="322">
        <v>30000</v>
      </c>
      <c r="F21" s="323"/>
      <c r="G21" s="47"/>
      <c r="H21" s="41"/>
      <c r="I21" s="47"/>
      <c r="J21" s="41"/>
      <c r="Q21" s="475"/>
    </row>
    <row r="22" spans="1:17">
      <c r="A22" s="41">
        <v>12</v>
      </c>
      <c r="B22" s="41" t="s">
        <v>102</v>
      </c>
      <c r="C22" s="55"/>
      <c r="D22" s="70">
        <v>14</v>
      </c>
      <c r="E22" s="322"/>
      <c r="F22" s="323">
        <v>4.1062500000000002</v>
      </c>
      <c r="G22" s="47">
        <f>ROUND($E$21*$F$22,0)</f>
        <v>123188</v>
      </c>
      <c r="H22" s="41"/>
      <c r="I22" s="47">
        <f>ROUND($E$21*$F$22,0)</f>
        <v>123188</v>
      </c>
      <c r="J22" s="41"/>
      <c r="Q22" s="475"/>
    </row>
    <row r="23" spans="1:17">
      <c r="A23" s="41">
        <v>13</v>
      </c>
      <c r="B23" s="41"/>
      <c r="C23" s="41"/>
      <c r="D23" s="47"/>
      <c r="E23" s="47"/>
      <c r="F23" s="46"/>
      <c r="G23" s="47"/>
      <c r="H23" s="41"/>
      <c r="I23" s="47"/>
      <c r="J23" s="41"/>
      <c r="Q23" s="475"/>
    </row>
    <row r="24" spans="1:17">
      <c r="A24" s="41">
        <v>14</v>
      </c>
      <c r="B24" s="41" t="s">
        <v>548</v>
      </c>
      <c r="C24" s="41"/>
      <c r="D24" s="47"/>
      <c r="E24" s="48">
        <f>+SUM(E21:E23)</f>
        <v>30000</v>
      </c>
      <c r="F24" s="46"/>
      <c r="G24" s="48">
        <f>+SUM(G21:G23)</f>
        <v>123188</v>
      </c>
      <c r="H24" s="47"/>
      <c r="I24" s="48">
        <f t="shared" ref="I24" si="0">+SUM(I21:I23)</f>
        <v>123188</v>
      </c>
      <c r="J24" s="41"/>
    </row>
    <row r="25" spans="1:17" ht="15">
      <c r="A25" s="41">
        <v>15</v>
      </c>
      <c r="B25" s="61"/>
      <c r="C25" s="41"/>
      <c r="D25" s="41"/>
      <c r="E25" s="41"/>
      <c r="F25" s="41"/>
      <c r="G25" s="41"/>
      <c r="H25" s="41"/>
      <c r="I25" s="41"/>
      <c r="J25" s="41"/>
    </row>
    <row r="26" spans="1:17" ht="15">
      <c r="A26" s="41">
        <v>16</v>
      </c>
      <c r="B26" s="56" t="s">
        <v>134</v>
      </c>
      <c r="C26" s="41"/>
      <c r="D26" s="41"/>
      <c r="E26" s="41"/>
      <c r="F26" s="41"/>
      <c r="G26" s="41"/>
      <c r="H26" s="41"/>
      <c r="I26" s="41"/>
      <c r="J26" s="41"/>
    </row>
    <row r="27" spans="1:17">
      <c r="A27" s="41">
        <v>17</v>
      </c>
      <c r="B27" s="41" t="s">
        <v>133</v>
      </c>
      <c r="C27" s="41"/>
      <c r="D27" s="41"/>
      <c r="E27" s="41"/>
      <c r="F27" s="41"/>
      <c r="G27" s="41"/>
      <c r="H27" s="41"/>
      <c r="I27" s="41"/>
      <c r="J27" s="41"/>
    </row>
    <row r="28" spans="1:17">
      <c r="A28" s="41">
        <v>18</v>
      </c>
      <c r="B28" s="41" t="s">
        <v>129</v>
      </c>
      <c r="C28" s="52" t="s">
        <v>132</v>
      </c>
      <c r="D28" s="60">
        <v>61</v>
      </c>
      <c r="E28" s="322">
        <v>34968</v>
      </c>
      <c r="F28" s="323">
        <v>1.7225999999999999</v>
      </c>
      <c r="G28" s="47">
        <f>ROUND($E$28*$F$28,0)</f>
        <v>60236</v>
      </c>
      <c r="H28" s="41"/>
      <c r="I28" s="47">
        <f>ROUND($E$28*$F$28,0)</f>
        <v>60236</v>
      </c>
      <c r="J28" s="41"/>
    </row>
    <row r="29" spans="1:17">
      <c r="A29" s="41">
        <v>19</v>
      </c>
      <c r="B29" s="41" t="s">
        <v>128</v>
      </c>
      <c r="C29" s="52" t="s">
        <v>131</v>
      </c>
      <c r="D29" s="60">
        <v>61</v>
      </c>
      <c r="E29" s="322">
        <v>4916148</v>
      </c>
      <c r="F29" s="323">
        <v>1.7500000000000002E-2</v>
      </c>
      <c r="G29" s="47">
        <f>ROUND($E$29*$F$29,0)</f>
        <v>86033</v>
      </c>
      <c r="H29" s="41"/>
      <c r="I29" s="47">
        <f>ROUND($E$29*$F$29,0)</f>
        <v>86033</v>
      </c>
      <c r="J29" s="41"/>
    </row>
    <row r="30" spans="1:17">
      <c r="A30" s="41">
        <v>20</v>
      </c>
      <c r="B30" s="41" t="s">
        <v>130</v>
      </c>
      <c r="C30" s="41"/>
      <c r="D30" s="41"/>
      <c r="E30" s="322"/>
      <c r="F30" s="324"/>
      <c r="G30" s="47"/>
      <c r="H30" s="41"/>
      <c r="I30" s="47"/>
      <c r="J30" s="41"/>
    </row>
    <row r="31" spans="1:17">
      <c r="A31" s="41">
        <v>21</v>
      </c>
      <c r="B31" s="41" t="s">
        <v>129</v>
      </c>
      <c r="C31" s="41"/>
      <c r="D31" s="60">
        <v>61</v>
      </c>
      <c r="E31" s="322">
        <v>237408</v>
      </c>
      <c r="F31" s="323">
        <v>1.2655000000000001</v>
      </c>
      <c r="G31" s="47">
        <f>ROUND($E$31*$F$31,0)</f>
        <v>300440</v>
      </c>
      <c r="H31" s="41"/>
      <c r="I31" s="47">
        <f>ROUND($E$31*$F$31,0)</f>
        <v>300440</v>
      </c>
      <c r="J31" s="41"/>
    </row>
    <row r="32" spans="1:17">
      <c r="A32" s="41">
        <v>22</v>
      </c>
      <c r="B32" s="53" t="s">
        <v>128</v>
      </c>
      <c r="C32" s="41"/>
      <c r="D32" s="60">
        <v>61</v>
      </c>
      <c r="E32" s="420">
        <v>10846308</v>
      </c>
      <c r="F32" s="323">
        <v>1.7299999999999999E-2</v>
      </c>
      <c r="G32" s="69">
        <f>ROUND($E$32*$F$32,0)</f>
        <v>187641</v>
      </c>
      <c r="H32" s="41"/>
      <c r="I32" s="69">
        <f>ROUND($E$32*$F$32,0)</f>
        <v>187641</v>
      </c>
      <c r="J32" s="41"/>
    </row>
    <row r="33" spans="1:10">
      <c r="A33" s="41">
        <v>23</v>
      </c>
      <c r="B33" s="41" t="s">
        <v>127</v>
      </c>
      <c r="C33" s="41"/>
      <c r="D33" s="41"/>
      <c r="E33" s="47">
        <f>SUM(E28:E32)</f>
        <v>16034832</v>
      </c>
      <c r="F33" s="41"/>
      <c r="G33" s="47">
        <f>SUM(G28:G32)</f>
        <v>634350</v>
      </c>
      <c r="H33" s="41"/>
      <c r="I33" s="47">
        <f>SUM(I28:I32)</f>
        <v>634350</v>
      </c>
      <c r="J33" s="41"/>
    </row>
    <row r="34" spans="1:10">
      <c r="A34" s="41">
        <v>24</v>
      </c>
      <c r="J34" s="41"/>
    </row>
    <row r="35" spans="1:10" ht="15" thickBot="1">
      <c r="A35" s="41">
        <v>25</v>
      </c>
      <c r="B35" s="41" t="s">
        <v>126</v>
      </c>
      <c r="C35" s="41"/>
      <c r="D35" s="41"/>
      <c r="E35" s="47">
        <f>SUM(E18,E24,E33)</f>
        <v>16353832</v>
      </c>
      <c r="F35" s="41"/>
      <c r="G35" s="44">
        <f>G18+G24+G33</f>
        <v>3247299</v>
      </c>
      <c r="H35" s="41"/>
      <c r="I35" s="44">
        <f>I18+I24+I33</f>
        <v>3247299</v>
      </c>
      <c r="J35" s="41"/>
    </row>
    <row r="36" spans="1:10" ht="15.75" thickTop="1">
      <c r="A36" s="41"/>
      <c r="B36" s="61"/>
      <c r="C36" s="41"/>
      <c r="D36" s="41"/>
      <c r="E36" s="41"/>
      <c r="F36" s="41"/>
      <c r="G36" s="41"/>
      <c r="H36" s="41"/>
      <c r="I36" s="41"/>
      <c r="J36" s="41"/>
    </row>
    <row r="37" spans="1:10" ht="15">
      <c r="A37" s="41"/>
      <c r="B37" s="61"/>
      <c r="C37" s="41"/>
      <c r="D37" s="41"/>
      <c r="E37" s="41"/>
      <c r="F37" s="41"/>
      <c r="G37" s="41"/>
      <c r="H37" s="41"/>
      <c r="I37" s="41"/>
      <c r="J37" s="41"/>
    </row>
    <row r="38" spans="1:10" ht="15">
      <c r="A38" s="41"/>
      <c r="B38" s="61"/>
      <c r="C38" s="41"/>
      <c r="D38" s="41"/>
      <c r="E38" s="41"/>
      <c r="F38" s="41"/>
      <c r="G38" s="41"/>
      <c r="H38" s="41"/>
      <c r="I38" s="47"/>
      <c r="J38" s="41"/>
    </row>
    <row r="39" spans="1:10" ht="15">
      <c r="A39" s="41"/>
      <c r="B39" s="61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41"/>
      <c r="B40" s="61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41"/>
      <c r="B41" s="61"/>
      <c r="C41" s="41"/>
      <c r="D41" s="41"/>
      <c r="E41" s="41"/>
      <c r="F41" s="41"/>
      <c r="G41" s="41"/>
      <c r="H41" s="41"/>
      <c r="I41" s="41"/>
      <c r="J41" s="41"/>
    </row>
    <row r="42" spans="1:10" ht="15">
      <c r="A42" s="41"/>
      <c r="B42" s="61"/>
      <c r="C42" s="41"/>
      <c r="D42" s="41"/>
      <c r="E42" s="41"/>
      <c r="F42" s="41"/>
      <c r="G42" s="41"/>
      <c r="H42" s="41"/>
      <c r="I42" s="41"/>
      <c r="J42" s="41"/>
    </row>
    <row r="43" spans="1:10" ht="15">
      <c r="A43" s="41"/>
      <c r="B43" s="61"/>
      <c r="C43" s="41"/>
      <c r="D43" s="41"/>
      <c r="E43" s="41"/>
      <c r="F43" s="41"/>
      <c r="G43" s="41"/>
      <c r="H43" s="41"/>
      <c r="I43" s="41"/>
      <c r="J43" s="41"/>
    </row>
    <row r="44" spans="1:10" ht="15">
      <c r="A44" s="41"/>
      <c r="B44" s="61"/>
      <c r="C44" s="41"/>
      <c r="D44" s="41"/>
      <c r="E44" s="41"/>
      <c r="F44" s="41"/>
      <c r="G44" s="41"/>
      <c r="H44" s="41"/>
      <c r="I44" s="41"/>
      <c r="J44" s="41"/>
    </row>
    <row r="45" spans="1:10" ht="15">
      <c r="A45" s="41"/>
      <c r="B45" s="61"/>
      <c r="C45" s="41"/>
      <c r="D45" s="41"/>
      <c r="E45" s="41"/>
      <c r="F45" s="41"/>
      <c r="G45" s="41"/>
      <c r="H45" s="41"/>
      <c r="I45" s="41"/>
      <c r="J45" s="41"/>
    </row>
    <row r="46" spans="1:10" ht="15">
      <c r="A46" s="41"/>
      <c r="B46" s="61"/>
      <c r="C46" s="41"/>
      <c r="D46" s="41"/>
      <c r="E46" s="41"/>
      <c r="F46" s="41"/>
      <c r="G46" s="41"/>
      <c r="H46" s="41"/>
      <c r="I46" s="41"/>
      <c r="J46" s="41"/>
    </row>
    <row r="47" spans="1:10" ht="15">
      <c r="A47" s="41"/>
      <c r="B47" s="61"/>
      <c r="C47" s="41"/>
      <c r="D47" s="41"/>
      <c r="E47" s="41"/>
      <c r="F47" s="41"/>
      <c r="G47" s="41"/>
      <c r="H47" s="41"/>
      <c r="I47" s="41"/>
      <c r="J47" s="41"/>
    </row>
    <row r="48" spans="1:10" ht="15">
      <c r="A48" s="41"/>
      <c r="B48" s="61"/>
      <c r="C48" s="41"/>
      <c r="D48" s="41"/>
      <c r="E48" s="41"/>
      <c r="F48" s="41"/>
      <c r="G48" s="41"/>
      <c r="H48" s="41"/>
      <c r="I48" s="41"/>
      <c r="J48" s="41"/>
    </row>
    <row r="49" spans="1:10" ht="15">
      <c r="A49" s="41"/>
      <c r="B49" s="61"/>
      <c r="C49" s="41"/>
      <c r="D49" s="41"/>
      <c r="E49" s="41"/>
      <c r="F49" s="41"/>
      <c r="G49" s="41"/>
      <c r="H49" s="41"/>
      <c r="I49" s="41"/>
      <c r="J49" s="41"/>
    </row>
    <row r="50" spans="1:10" ht="15">
      <c r="A50" s="41"/>
      <c r="B50" s="61"/>
      <c r="C50" s="41"/>
      <c r="D50" s="41"/>
      <c r="E50" s="41"/>
      <c r="F50" s="41"/>
      <c r="G50" s="41"/>
      <c r="H50" s="41"/>
      <c r="I50" s="41"/>
      <c r="J50" s="41"/>
    </row>
    <row r="51" spans="1:10" ht="15">
      <c r="A51" s="41"/>
      <c r="B51" s="61"/>
      <c r="C51" s="41"/>
      <c r="D51" s="41"/>
      <c r="E51" s="41"/>
      <c r="F51" s="41"/>
      <c r="G51" s="41"/>
      <c r="H51" s="41"/>
      <c r="I51" s="41"/>
      <c r="J51" s="41"/>
    </row>
    <row r="52" spans="1:10" ht="15">
      <c r="A52" s="41"/>
      <c r="B52" s="61"/>
      <c r="C52" s="41"/>
      <c r="D52" s="41"/>
      <c r="E52" s="41"/>
      <c r="F52" s="41"/>
      <c r="G52" s="41"/>
      <c r="H52" s="41"/>
      <c r="I52" s="41"/>
      <c r="J52" s="41"/>
    </row>
    <row r="53" spans="1:10" ht="15">
      <c r="A53" s="41"/>
      <c r="B53" s="61"/>
      <c r="C53" s="41"/>
      <c r="D53" s="41"/>
      <c r="E53" s="41"/>
      <c r="F53" s="41"/>
      <c r="G53" s="41"/>
      <c r="H53" s="41"/>
      <c r="I53" s="41"/>
      <c r="J53" s="41"/>
    </row>
    <row r="54" spans="1:10" ht="15">
      <c r="A54" s="41"/>
      <c r="B54" s="61"/>
      <c r="C54" s="41"/>
      <c r="D54" s="41"/>
      <c r="E54" s="41"/>
      <c r="F54" s="41"/>
      <c r="G54" s="41"/>
      <c r="H54" s="41"/>
      <c r="I54" s="41"/>
      <c r="J54" s="41"/>
    </row>
    <row r="55" spans="1:10" ht="15">
      <c r="A55" s="41"/>
      <c r="B55" s="61"/>
      <c r="C55" s="41"/>
      <c r="D55" s="41"/>
      <c r="E55" s="41"/>
      <c r="F55" s="41"/>
      <c r="G55" s="41"/>
      <c r="H55" s="41"/>
      <c r="I55" s="41"/>
      <c r="J55" s="41"/>
    </row>
    <row r="56" spans="1:10" ht="15">
      <c r="A56" s="41"/>
      <c r="B56" s="61"/>
      <c r="C56" s="41"/>
      <c r="D56" s="41"/>
      <c r="E56" s="41"/>
      <c r="F56" s="41"/>
      <c r="G56" s="41"/>
      <c r="H56" s="41"/>
      <c r="I56" s="41"/>
      <c r="J56" s="41"/>
    </row>
    <row r="57" spans="1:10" ht="15">
      <c r="A57" s="41"/>
      <c r="B57" s="61"/>
      <c r="C57" s="41"/>
      <c r="D57" s="41"/>
      <c r="E57" s="41"/>
      <c r="F57" s="41"/>
      <c r="G57" s="41"/>
      <c r="H57" s="41"/>
      <c r="I57" s="41"/>
      <c r="J57" s="41"/>
    </row>
    <row r="58" spans="1:10" ht="15">
      <c r="A58" s="41"/>
      <c r="B58" s="61"/>
      <c r="C58" s="41"/>
      <c r="D58" s="41"/>
      <c r="E58" s="41"/>
      <c r="F58" s="41"/>
      <c r="G58" s="41"/>
      <c r="H58" s="41"/>
      <c r="I58" s="41"/>
      <c r="J58" s="41"/>
    </row>
    <row r="59" spans="1:10" ht="15">
      <c r="A59" s="41"/>
      <c r="B59" s="61"/>
      <c r="C59" s="41"/>
      <c r="D59" s="41"/>
      <c r="E59" s="41"/>
      <c r="F59" s="41"/>
      <c r="G59" s="41"/>
      <c r="H59" s="41"/>
      <c r="I59" s="41"/>
      <c r="J59" s="41"/>
    </row>
    <row r="60" spans="1:10" ht="15">
      <c r="A60" s="41"/>
      <c r="B60" s="61"/>
      <c r="C60" s="41"/>
      <c r="D60" s="41"/>
      <c r="E60" s="41"/>
      <c r="F60" s="41"/>
      <c r="G60" s="41"/>
      <c r="H60" s="41"/>
      <c r="I60" s="41"/>
      <c r="J60" s="41"/>
    </row>
    <row r="61" spans="1:10" ht="15">
      <c r="A61" s="41"/>
      <c r="B61" s="61"/>
      <c r="C61" s="41"/>
      <c r="D61" s="41"/>
      <c r="E61" s="41"/>
      <c r="F61" s="41"/>
      <c r="G61" s="41"/>
      <c r="H61" s="41"/>
      <c r="I61" s="41"/>
      <c r="J61" s="41"/>
    </row>
    <row r="62" spans="1:10" ht="15">
      <c r="A62" s="41"/>
      <c r="B62" s="61"/>
      <c r="C62" s="41"/>
      <c r="D62" s="41"/>
      <c r="E62" s="41"/>
      <c r="F62" s="41"/>
      <c r="G62" s="41"/>
      <c r="H62" s="41"/>
      <c r="I62" s="41"/>
      <c r="J62" s="41"/>
    </row>
    <row r="63" spans="1:10" ht="15">
      <c r="A63" s="41"/>
      <c r="B63" s="61"/>
      <c r="C63" s="41"/>
      <c r="D63" s="41"/>
      <c r="E63" s="41"/>
      <c r="F63" s="41"/>
      <c r="G63" s="41"/>
      <c r="H63" s="41"/>
      <c r="I63" s="41"/>
      <c r="J63" s="41"/>
    </row>
    <row r="64" spans="1:10" ht="15">
      <c r="A64" s="41"/>
      <c r="B64" s="61"/>
      <c r="C64" s="41"/>
      <c r="D64" s="41"/>
      <c r="E64" s="41"/>
      <c r="F64" s="41"/>
      <c r="G64" s="41"/>
      <c r="H64" s="41"/>
      <c r="I64" s="41"/>
      <c r="J64" s="41"/>
    </row>
    <row r="65" spans="1:12" ht="15">
      <c r="A65" s="41"/>
      <c r="B65" s="61"/>
      <c r="C65" s="41"/>
      <c r="D65" s="41"/>
      <c r="E65" s="41"/>
      <c r="F65" s="41"/>
      <c r="G65" s="41"/>
      <c r="H65" s="41"/>
      <c r="I65" s="41"/>
      <c r="J65" s="41"/>
    </row>
    <row r="66" spans="1:12" ht="15">
      <c r="A66" s="41"/>
      <c r="B66" s="61"/>
      <c r="C66" s="41"/>
      <c r="D66" s="41"/>
      <c r="E66" s="41"/>
      <c r="F66" s="41"/>
      <c r="G66" s="41"/>
      <c r="H66" s="41"/>
      <c r="I66" s="41"/>
      <c r="J66" s="41"/>
    </row>
    <row r="67" spans="1:12">
      <c r="A67" s="41"/>
    </row>
    <row r="68" spans="1:12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2">
      <c r="A69" s="41"/>
    </row>
    <row r="70" spans="1:12">
      <c r="A70" s="41"/>
    </row>
    <row r="71" spans="1:12">
      <c r="A71" s="41"/>
    </row>
    <row r="72" spans="1:12">
      <c r="A72" s="41"/>
    </row>
    <row r="73" spans="1:12">
      <c r="A73" s="41"/>
    </row>
    <row r="74" spans="1:12">
      <c r="A74" s="41"/>
      <c r="B74" s="41"/>
      <c r="C74" s="41"/>
      <c r="D74" s="41"/>
      <c r="E74" s="41"/>
      <c r="F74" s="41"/>
      <c r="G74" s="41"/>
      <c r="H74" s="41"/>
      <c r="I74" s="41"/>
      <c r="J74" s="41"/>
      <c r="L74" s="41"/>
    </row>
    <row r="76" spans="1:12">
      <c r="A76" s="41"/>
      <c r="L76" s="41"/>
    </row>
    <row r="80" spans="1:12">
      <c r="B80" s="41"/>
      <c r="C80" s="41"/>
      <c r="D80" s="41"/>
      <c r="E80" s="41"/>
      <c r="F80" s="41"/>
      <c r="G80" s="41"/>
      <c r="H80" s="41"/>
      <c r="I80" s="41"/>
      <c r="J80" s="41"/>
    </row>
    <row r="82" spans="1:12">
      <c r="A82" s="41"/>
      <c r="L82" s="41"/>
    </row>
    <row r="86" spans="1:12">
      <c r="B86" s="41"/>
      <c r="C86" s="41"/>
      <c r="D86" s="41"/>
      <c r="E86" s="41"/>
      <c r="F86" s="41"/>
      <c r="G86" s="41"/>
      <c r="H86" s="41"/>
      <c r="I86" s="41"/>
      <c r="J86" s="41"/>
    </row>
    <row r="88" spans="1:12">
      <c r="A88" s="41"/>
      <c r="L88" s="41"/>
    </row>
    <row r="94" spans="1:12">
      <c r="A94" s="41"/>
      <c r="L94" s="41"/>
    </row>
    <row r="110" spans="2:7">
      <c r="B110" s="41"/>
      <c r="C110" s="41"/>
      <c r="D110" s="41"/>
      <c r="E110" s="41"/>
      <c r="F110" s="41"/>
      <c r="G110" s="47"/>
    </row>
    <row r="118" spans="1:1">
      <c r="A118" s="41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topLeftCell="A9" zoomScale="80" zoomScaleNormal="80" zoomScaleSheetLayoutView="85" workbookViewId="0">
      <selection activeCell="H26" sqref="H26"/>
    </sheetView>
  </sheetViews>
  <sheetFormatPr defaultColWidth="9.85546875" defaultRowHeight="14.25"/>
  <cols>
    <col min="1" max="1" width="5.85546875" style="39" customWidth="1"/>
    <col min="2" max="2" width="16.85546875" style="39" customWidth="1"/>
    <col min="3" max="3" width="11.28515625" style="39" customWidth="1"/>
    <col min="4" max="4" width="17.85546875" style="39" bestFit="1" customWidth="1"/>
    <col min="5" max="5" width="8.42578125" style="39" bestFit="1" customWidth="1"/>
    <col min="6" max="6" width="13" style="39" bestFit="1" customWidth="1"/>
    <col min="7" max="7" width="16.140625" style="39" bestFit="1" customWidth="1"/>
    <col min="8" max="8" width="11.28515625" style="39" customWidth="1"/>
    <col min="9" max="9" width="14.140625" style="39" customWidth="1"/>
    <col min="10" max="10" width="10.140625" style="39" bestFit="1" customWidth="1"/>
    <col min="11" max="11" width="10.85546875" style="39" bestFit="1" customWidth="1"/>
    <col min="12" max="12" width="17.140625" style="39" bestFit="1" customWidth="1"/>
    <col min="13" max="13" width="9.85546875" style="39" customWidth="1"/>
    <col min="14" max="16384" width="9.85546875" style="39"/>
  </cols>
  <sheetData>
    <row r="1" spans="1:17" ht="15">
      <c r="A1" s="68" t="s">
        <v>32</v>
      </c>
      <c r="B1" s="55"/>
      <c r="C1" s="55"/>
      <c r="D1" s="55"/>
      <c r="E1" s="55"/>
      <c r="F1" s="55"/>
      <c r="G1" s="55"/>
      <c r="H1" s="55"/>
      <c r="I1" s="41" t="s">
        <v>125</v>
      </c>
    </row>
    <row r="2" spans="1:17">
      <c r="A2" s="55" t="str">
        <f>B.1!A2</f>
        <v>Expected Gas Cost (EGC) Calculation</v>
      </c>
      <c r="B2" s="55"/>
      <c r="C2" s="55"/>
      <c r="D2" s="55"/>
      <c r="E2" s="55"/>
      <c r="F2" s="55"/>
      <c r="G2" s="55"/>
      <c r="H2" s="55"/>
      <c r="I2" s="41" t="s">
        <v>206</v>
      </c>
    </row>
    <row r="3" spans="1:17">
      <c r="A3" s="67" t="s">
        <v>205</v>
      </c>
      <c r="B3" s="55"/>
      <c r="C3" s="55"/>
      <c r="D3" s="55"/>
      <c r="E3" s="55"/>
      <c r="F3" s="55"/>
      <c r="G3" s="55"/>
      <c r="H3" s="55"/>
      <c r="I3" s="41"/>
    </row>
    <row r="4" spans="1:17">
      <c r="A4" s="41"/>
      <c r="B4" s="41"/>
      <c r="C4" s="41"/>
      <c r="D4" s="41"/>
      <c r="E4" s="41"/>
      <c r="F4" s="41"/>
      <c r="G4" s="41"/>
      <c r="H4" s="66"/>
      <c r="I4" s="41"/>
    </row>
    <row r="5" spans="1:17">
      <c r="A5" s="89"/>
      <c r="B5" s="41"/>
      <c r="C5" s="41"/>
    </row>
    <row r="6" spans="1:17" ht="15">
      <c r="A6" s="61"/>
      <c r="B6" s="61"/>
      <c r="C6" s="61"/>
      <c r="D6" s="60" t="s">
        <v>27</v>
      </c>
      <c r="E6" s="60" t="s">
        <v>26</v>
      </c>
      <c r="F6" s="60" t="s">
        <v>25</v>
      </c>
      <c r="G6" s="60" t="s">
        <v>121</v>
      </c>
      <c r="H6" s="60" t="s">
        <v>120</v>
      </c>
      <c r="I6" s="71" t="s">
        <v>204</v>
      </c>
    </row>
    <row r="7" spans="1:17" ht="15">
      <c r="A7" s="64" t="s">
        <v>24</v>
      </c>
      <c r="B7" s="61"/>
      <c r="C7" s="61"/>
      <c r="D7" s="64" t="s">
        <v>0</v>
      </c>
      <c r="E7" s="61"/>
      <c r="F7" s="97"/>
      <c r="G7" s="97"/>
      <c r="H7" s="61"/>
      <c r="I7" s="61"/>
    </row>
    <row r="8" spans="1:17" ht="15">
      <c r="A8" s="63" t="s">
        <v>23</v>
      </c>
      <c r="B8" s="62" t="s">
        <v>22</v>
      </c>
      <c r="C8" s="62"/>
      <c r="D8" s="63" t="s">
        <v>117</v>
      </c>
      <c r="E8" s="62"/>
      <c r="F8" s="65" t="s">
        <v>203</v>
      </c>
      <c r="G8" s="65"/>
      <c r="H8" s="63" t="s">
        <v>115</v>
      </c>
      <c r="I8" s="63" t="s">
        <v>114</v>
      </c>
      <c r="L8" s="301"/>
    </row>
    <row r="9" spans="1:17" ht="15">
      <c r="A9" s="41"/>
      <c r="B9" s="61"/>
      <c r="C9" s="41"/>
      <c r="D9" s="41"/>
      <c r="E9" s="41"/>
      <c r="F9" s="60" t="s">
        <v>4</v>
      </c>
      <c r="G9" s="60" t="s">
        <v>113</v>
      </c>
      <c r="H9" s="60" t="s">
        <v>112</v>
      </c>
      <c r="I9" s="60" t="s">
        <v>111</v>
      </c>
      <c r="L9" s="301"/>
    </row>
    <row r="10" spans="1:17" ht="15">
      <c r="A10" s="41"/>
      <c r="B10" s="56"/>
      <c r="C10" s="41"/>
      <c r="D10" s="41"/>
      <c r="E10" s="41"/>
      <c r="F10" s="41"/>
      <c r="G10" s="88"/>
      <c r="H10" s="41"/>
      <c r="I10" s="41"/>
      <c r="L10" s="301"/>
    </row>
    <row r="11" spans="1:17">
      <c r="A11" s="41" t="s">
        <v>202</v>
      </c>
      <c r="B11" s="84" t="s">
        <v>201</v>
      </c>
      <c r="C11" s="41"/>
      <c r="D11" s="41"/>
      <c r="E11" s="47"/>
      <c r="F11" s="47"/>
      <c r="G11" s="50">
        <v>1954142.85</v>
      </c>
      <c r="H11" s="41"/>
      <c r="I11" s="41"/>
      <c r="L11" s="301"/>
    </row>
    <row r="12" spans="1:17">
      <c r="A12" s="41" t="s">
        <v>37</v>
      </c>
      <c r="B12" s="41" t="s">
        <v>193</v>
      </c>
      <c r="C12" s="41"/>
      <c r="D12" s="41"/>
      <c r="E12" s="41"/>
      <c r="F12" s="41"/>
      <c r="H12" s="494">
        <v>3.2559999999999998</v>
      </c>
      <c r="I12" s="47">
        <f>ROUND($G$11*$H$12,0)</f>
        <v>6362689</v>
      </c>
      <c r="L12" s="301"/>
      <c r="M12" s="50"/>
    </row>
    <row r="13" spans="1:17">
      <c r="A13" s="41" t="s">
        <v>200</v>
      </c>
      <c r="B13" s="41" t="s">
        <v>177</v>
      </c>
      <c r="C13" s="41"/>
      <c r="D13" s="51" t="s">
        <v>104</v>
      </c>
      <c r="E13" s="41"/>
      <c r="F13" s="41"/>
      <c r="G13" s="427"/>
      <c r="H13" s="403">
        <v>4.9000000000000002E-2</v>
      </c>
      <c r="I13" s="47">
        <f>ROUND($G$11*$H$13,0)</f>
        <v>95753</v>
      </c>
      <c r="K13" s="50"/>
      <c r="L13" s="301"/>
    </row>
    <row r="14" spans="1:17">
      <c r="A14" s="41" t="s">
        <v>199</v>
      </c>
      <c r="B14" s="41" t="s">
        <v>175</v>
      </c>
      <c r="C14" s="41"/>
      <c r="D14" s="60" t="s">
        <v>174</v>
      </c>
      <c r="E14" s="440">
        <v>1.32E-2</v>
      </c>
      <c r="F14" s="41"/>
      <c r="H14" s="85">
        <f>ROUND(H12/(1-E14)-H12,4)</f>
        <v>4.36E-2</v>
      </c>
      <c r="I14" s="77">
        <f>ROUND($G$11*$H$14,0)</f>
        <v>85201</v>
      </c>
      <c r="K14" s="50"/>
      <c r="L14" s="301"/>
      <c r="M14" s="50"/>
    </row>
    <row r="15" spans="1:17">
      <c r="A15" s="41" t="s">
        <v>198</v>
      </c>
      <c r="B15" s="41"/>
      <c r="C15" s="41"/>
      <c r="D15" s="60"/>
      <c r="E15" s="324"/>
      <c r="F15" s="41"/>
      <c r="H15" s="46">
        <f>SUM(H12:H14)</f>
        <v>3.3485999999999998</v>
      </c>
      <c r="I15" s="47">
        <f>SUM(I12:I14)</f>
        <v>6543643</v>
      </c>
      <c r="L15" s="301"/>
      <c r="Q15" s="472"/>
    </row>
    <row r="16" spans="1:17">
      <c r="A16" s="41" t="s">
        <v>197</v>
      </c>
      <c r="B16" s="41"/>
      <c r="C16" s="41"/>
      <c r="D16" s="60"/>
      <c r="E16" s="324"/>
      <c r="F16" s="41"/>
      <c r="H16" s="46"/>
      <c r="I16" s="47"/>
      <c r="L16" s="301"/>
      <c r="M16" s="50"/>
      <c r="Q16" s="472"/>
    </row>
    <row r="17" spans="1:17">
      <c r="A17" s="41" t="s">
        <v>196</v>
      </c>
      <c r="B17" s="84" t="s">
        <v>195</v>
      </c>
      <c r="C17" s="41"/>
      <c r="D17" s="60"/>
      <c r="E17" s="324"/>
      <c r="F17" s="41"/>
      <c r="G17" s="50">
        <v>1598844.1500000001</v>
      </c>
      <c r="H17" s="46"/>
      <c r="I17" s="47"/>
      <c r="K17" s="50"/>
      <c r="L17" s="301"/>
      <c r="Q17" s="472"/>
    </row>
    <row r="18" spans="1:17">
      <c r="A18" s="41" t="s">
        <v>194</v>
      </c>
      <c r="B18" s="41" t="s">
        <v>193</v>
      </c>
      <c r="C18" s="41"/>
      <c r="D18" s="60"/>
      <c r="E18" s="324"/>
      <c r="F18" s="41"/>
      <c r="H18" s="494">
        <v>3.2559999999999998</v>
      </c>
      <c r="I18" s="47">
        <f>ROUND($G$17*$H$18,0)</f>
        <v>5205837</v>
      </c>
      <c r="L18" s="301"/>
      <c r="Q18" s="472"/>
    </row>
    <row r="19" spans="1:17">
      <c r="A19" s="41" t="s">
        <v>192</v>
      </c>
      <c r="B19" s="41" t="s">
        <v>191</v>
      </c>
      <c r="C19" s="41"/>
      <c r="D19" s="91"/>
      <c r="E19" s="324"/>
      <c r="F19" s="41"/>
      <c r="H19" s="46">
        <f>I46</f>
        <v>4.3900000000000002E-2</v>
      </c>
      <c r="I19" s="47">
        <f>ROUND($G$17*$H$19,0)</f>
        <v>70189</v>
      </c>
      <c r="L19" s="301"/>
      <c r="Q19" s="472"/>
    </row>
    <row r="20" spans="1:17" ht="15">
      <c r="A20" s="41" t="s">
        <v>190</v>
      </c>
      <c r="B20" s="41" t="s">
        <v>189</v>
      </c>
      <c r="C20" s="41"/>
      <c r="D20" s="51" t="s">
        <v>100</v>
      </c>
      <c r="E20" s="468"/>
      <c r="F20" s="41"/>
      <c r="H20" s="403">
        <v>1.4E-3</v>
      </c>
      <c r="I20" s="47">
        <f>ROUND($G$17*$H$20,0)</f>
        <v>2238</v>
      </c>
      <c r="J20" s="86"/>
      <c r="L20" s="301"/>
      <c r="Q20" s="472"/>
    </row>
    <row r="21" spans="1:17">
      <c r="A21" s="41" t="s">
        <v>188</v>
      </c>
      <c r="B21" s="41" t="s">
        <v>175</v>
      </c>
      <c r="C21" s="41"/>
      <c r="D21" s="60" t="s">
        <v>174</v>
      </c>
      <c r="E21" s="487">
        <v>1.0800000000000001E-2</v>
      </c>
      <c r="F21" s="41"/>
      <c r="H21" s="85">
        <f>ROUND(H18/(1-E21)-H18,4)</f>
        <v>3.5499999999999997E-2</v>
      </c>
      <c r="I21" s="77">
        <f>ROUND($G$17*$H$21,0)</f>
        <v>56759</v>
      </c>
      <c r="L21" s="301"/>
      <c r="M21" s="50"/>
      <c r="Q21" s="472"/>
    </row>
    <row r="22" spans="1:17">
      <c r="A22" s="41" t="s">
        <v>187</v>
      </c>
      <c r="B22" s="41"/>
      <c r="C22" s="41"/>
      <c r="D22" s="60"/>
      <c r="E22" s="468"/>
      <c r="F22" s="41"/>
      <c r="H22" s="46">
        <f>SUM(H18:H21)</f>
        <v>3.3367999999999993</v>
      </c>
      <c r="I22" s="47">
        <f>SUM(I18:I21)</f>
        <v>5335023</v>
      </c>
      <c r="L22" s="301"/>
      <c r="Q22" s="472"/>
    </row>
    <row r="23" spans="1:17">
      <c r="A23" s="41" t="s">
        <v>186</v>
      </c>
      <c r="B23" s="84" t="s">
        <v>185</v>
      </c>
      <c r="C23" s="41"/>
      <c r="D23" s="60"/>
      <c r="E23" s="468"/>
      <c r="F23" s="41"/>
      <c r="H23" s="46"/>
      <c r="I23" s="41"/>
      <c r="L23" s="301"/>
      <c r="M23" s="50"/>
      <c r="Q23" s="472"/>
    </row>
    <row r="24" spans="1:17">
      <c r="A24" s="41" t="s">
        <v>184</v>
      </c>
      <c r="B24" s="41" t="s">
        <v>183</v>
      </c>
      <c r="C24" s="41"/>
      <c r="D24" s="60"/>
      <c r="E24" s="468"/>
      <c r="F24" s="41"/>
      <c r="H24" s="46"/>
      <c r="I24" s="41"/>
      <c r="L24" s="301"/>
    </row>
    <row r="25" spans="1:17">
      <c r="A25" s="41" t="s">
        <v>182</v>
      </c>
      <c r="B25" s="41" t="s">
        <v>181</v>
      </c>
      <c r="C25" s="41"/>
      <c r="D25" s="60"/>
      <c r="E25" s="468"/>
      <c r="F25" s="41"/>
      <c r="G25" s="50">
        <v>2074209</v>
      </c>
      <c r="H25" s="494">
        <v>3.3420000000000001</v>
      </c>
      <c r="I25" s="47">
        <f>ROUND($G$25*$H$25,0)</f>
        <v>6932006</v>
      </c>
      <c r="K25" s="50"/>
      <c r="L25" s="301"/>
      <c r="M25" s="50"/>
      <c r="P25" s="46"/>
    </row>
    <row r="26" spans="1:17">
      <c r="A26" s="41" t="s">
        <v>180</v>
      </c>
      <c r="B26" s="41" t="s">
        <v>179</v>
      </c>
      <c r="E26" s="468"/>
      <c r="G26" s="50">
        <v>0</v>
      </c>
      <c r="H26" s="494">
        <v>3.2559999999999998</v>
      </c>
      <c r="I26" s="50">
        <f>ROUND(G26*$H$26,4)</f>
        <v>0</v>
      </c>
      <c r="L26" s="301"/>
    </row>
    <row r="27" spans="1:17">
      <c r="A27" s="41" t="s">
        <v>178</v>
      </c>
      <c r="B27" s="41" t="s">
        <v>177</v>
      </c>
      <c r="C27" s="41"/>
      <c r="D27" s="51" t="s">
        <v>104</v>
      </c>
      <c r="E27" s="468"/>
      <c r="F27" s="41"/>
      <c r="G27" s="47"/>
      <c r="H27" s="403">
        <v>4.9000000000000002E-2</v>
      </c>
      <c r="I27" s="47">
        <f>ROUND(($G$25+$G$26)*$H$27,0)</f>
        <v>101636</v>
      </c>
      <c r="L27" s="301"/>
    </row>
    <row r="28" spans="1:17">
      <c r="A28" s="41" t="s">
        <v>176</v>
      </c>
      <c r="B28" s="41" t="s">
        <v>175</v>
      </c>
      <c r="C28" s="41"/>
      <c r="D28" s="60" t="s">
        <v>174</v>
      </c>
      <c r="E28" s="487">
        <f>E14</f>
        <v>1.32E-2</v>
      </c>
      <c r="F28" s="41"/>
      <c r="G28" s="41"/>
      <c r="H28" s="85">
        <f>ROUND(H26/(1-E28)-H26,4)</f>
        <v>4.36E-2</v>
      </c>
      <c r="I28" s="77">
        <f>ROUND(($G$25+$G$26)*$H$28,0)</f>
        <v>90436</v>
      </c>
      <c r="L28" s="301"/>
    </row>
    <row r="29" spans="1:17">
      <c r="A29" s="41" t="s">
        <v>173</v>
      </c>
      <c r="B29" s="41"/>
      <c r="C29" s="41"/>
      <c r="D29" s="41"/>
      <c r="E29" s="324"/>
      <c r="F29" s="41"/>
      <c r="G29" s="49">
        <f>G25+G26</f>
        <v>2074209</v>
      </c>
      <c r="H29" s="46">
        <f>I29/G29</f>
        <v>3.4345998884394002</v>
      </c>
      <c r="I29" s="47">
        <f>SUM(I25:I28)</f>
        <v>7124078</v>
      </c>
    </row>
    <row r="30" spans="1:17">
      <c r="A30" s="41" t="s">
        <v>172</v>
      </c>
      <c r="B30" s="41"/>
      <c r="C30" s="41"/>
      <c r="D30" s="41"/>
      <c r="E30" s="41"/>
      <c r="F30" s="41"/>
      <c r="G30" s="41"/>
      <c r="H30" s="46"/>
      <c r="I30" s="41"/>
    </row>
    <row r="31" spans="1:17">
      <c r="A31" s="41" t="s">
        <v>171</v>
      </c>
      <c r="B31" s="41"/>
      <c r="C31" s="41"/>
      <c r="D31" s="41"/>
      <c r="E31" s="41"/>
      <c r="F31" s="41"/>
      <c r="G31" s="41"/>
      <c r="H31" s="46"/>
      <c r="I31" s="41"/>
    </row>
    <row r="32" spans="1:17" ht="15" thickBot="1">
      <c r="A32" s="41" t="s">
        <v>170</v>
      </c>
      <c r="B32" s="41" t="s">
        <v>169</v>
      </c>
      <c r="C32" s="41"/>
      <c r="D32" s="41"/>
      <c r="E32" s="41"/>
      <c r="F32" s="47"/>
      <c r="G32" s="286">
        <f>G11+G17+G29</f>
        <v>5627196</v>
      </c>
      <c r="H32" s="90">
        <f>ROUND(I32/G32,4)</f>
        <v>3.3769</v>
      </c>
      <c r="I32" s="286">
        <f>I15+I22+I29</f>
        <v>19002744</v>
      </c>
      <c r="L32" s="301"/>
    </row>
    <row r="33" spans="1:12" ht="15" thickTop="1">
      <c r="A33" s="41" t="s">
        <v>135</v>
      </c>
      <c r="J33" s="41"/>
      <c r="K33" s="41"/>
      <c r="L33" s="301"/>
    </row>
    <row r="34" spans="1:12">
      <c r="A34" s="41" t="s">
        <v>168</v>
      </c>
      <c r="J34" s="41"/>
      <c r="L34" s="301"/>
    </row>
    <row r="35" spans="1:12" ht="15" thickBot="1">
      <c r="A35" s="41" t="s">
        <v>167</v>
      </c>
      <c r="B35" s="83" t="s">
        <v>166</v>
      </c>
      <c r="C35" s="83"/>
      <c r="D35" s="83"/>
      <c r="E35" s="83"/>
      <c r="F35" s="83"/>
      <c r="G35" s="287"/>
      <c r="H35" s="83"/>
      <c r="I35" s="83"/>
      <c r="J35" s="41"/>
    </row>
    <row r="36" spans="1:12">
      <c r="A36" s="41" t="s">
        <v>165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2">
      <c r="A37" s="41" t="s">
        <v>164</v>
      </c>
      <c r="B37" s="41"/>
      <c r="C37" s="41"/>
      <c r="D37" s="41"/>
      <c r="E37" s="41"/>
      <c r="F37" s="60" t="s">
        <v>163</v>
      </c>
      <c r="G37" s="41"/>
      <c r="H37" s="60" t="s">
        <v>14</v>
      </c>
      <c r="I37" s="41"/>
      <c r="J37" s="41"/>
    </row>
    <row r="38" spans="1:12">
      <c r="A38" s="41" t="s">
        <v>162</v>
      </c>
      <c r="B38" s="41"/>
      <c r="C38" s="41"/>
      <c r="D38" s="41"/>
      <c r="E38" s="41"/>
      <c r="F38" s="60" t="s">
        <v>161</v>
      </c>
      <c r="G38" s="41"/>
      <c r="H38" s="98" t="s">
        <v>160</v>
      </c>
      <c r="I38" s="60" t="s">
        <v>159</v>
      </c>
      <c r="J38" s="41"/>
    </row>
    <row r="39" spans="1:12">
      <c r="A39" s="41" t="s">
        <v>158</v>
      </c>
      <c r="B39" s="79" t="s">
        <v>157</v>
      </c>
      <c r="C39" s="82" t="s">
        <v>156</v>
      </c>
      <c r="D39" s="60"/>
      <c r="E39" s="41"/>
      <c r="F39" s="102" t="s">
        <v>113</v>
      </c>
      <c r="G39" s="102" t="s">
        <v>155</v>
      </c>
      <c r="H39" s="102" t="s">
        <v>112</v>
      </c>
      <c r="I39" s="102" t="s">
        <v>154</v>
      </c>
      <c r="J39" s="41"/>
    </row>
    <row r="40" spans="1:12">
      <c r="A40" s="41" t="s">
        <v>153</v>
      </c>
      <c r="B40" s="41" t="s">
        <v>110</v>
      </c>
      <c r="C40" s="75">
        <v>1</v>
      </c>
      <c r="D40" s="51" t="s">
        <v>100</v>
      </c>
      <c r="E40" s="41"/>
      <c r="F40" s="47">
        <f>B.1!E14</f>
        <v>12175247</v>
      </c>
      <c r="G40" s="81">
        <f>ROUND($F$40/$F$46,4)</f>
        <v>0.20480000000000001</v>
      </c>
      <c r="H40" s="488">
        <v>3.9899999999999998E-2</v>
      </c>
      <c r="I40" s="288">
        <f t="shared" ref="I40:I45" si="0">ROUND(G40*H40,4)</f>
        <v>8.2000000000000007E-3</v>
      </c>
      <c r="J40" s="41"/>
    </row>
    <row r="41" spans="1:12">
      <c r="A41" s="41" t="s">
        <v>152</v>
      </c>
      <c r="B41" s="41" t="s">
        <v>108</v>
      </c>
      <c r="C41" s="75"/>
      <c r="D41" s="51" t="s">
        <v>100</v>
      </c>
      <c r="E41" s="41"/>
      <c r="F41" s="47">
        <f>B.1!E26</f>
        <v>37430188</v>
      </c>
      <c r="G41" s="81">
        <f>ROUND($F$41/$F$46,4)</f>
        <v>0.62960000000000005</v>
      </c>
      <c r="H41" s="323">
        <v>4.4499999999999998E-2</v>
      </c>
      <c r="I41" s="288">
        <f t="shared" si="0"/>
        <v>2.8000000000000001E-2</v>
      </c>
      <c r="J41" s="41"/>
    </row>
    <row r="42" spans="1:12">
      <c r="A42" s="41" t="s">
        <v>151</v>
      </c>
      <c r="B42" s="41" t="s">
        <v>150</v>
      </c>
      <c r="C42" s="75"/>
      <c r="D42" s="51" t="s">
        <v>100</v>
      </c>
      <c r="E42" s="41"/>
      <c r="F42" s="47">
        <f>B.1!E35</f>
        <v>323400</v>
      </c>
      <c r="G42" s="81">
        <f>ROUND($F$42/$F$46,4)</f>
        <v>5.4000000000000003E-3</v>
      </c>
      <c r="H42" s="323">
        <v>4.2200000000000001E-2</v>
      </c>
      <c r="I42" s="288">
        <f t="shared" si="0"/>
        <v>2.0000000000000001E-4</v>
      </c>
      <c r="J42" s="41"/>
    </row>
    <row r="43" spans="1:12">
      <c r="A43" s="41" t="s">
        <v>149</v>
      </c>
      <c r="B43" s="41" t="s">
        <v>106</v>
      </c>
      <c r="C43" s="75"/>
      <c r="D43" s="51" t="s">
        <v>100</v>
      </c>
      <c r="E43" s="41"/>
      <c r="F43" s="47">
        <f>B.1!E47</f>
        <v>5145769</v>
      </c>
      <c r="G43" s="81">
        <f>ROUND($F$43/$F$46,4)</f>
        <v>8.6499999999999994E-2</v>
      </c>
      <c r="H43" s="323">
        <v>5.28E-2</v>
      </c>
      <c r="I43" s="288">
        <f t="shared" si="0"/>
        <v>4.5999999999999999E-3</v>
      </c>
      <c r="J43" s="41"/>
    </row>
    <row r="44" spans="1:12">
      <c r="A44" s="41" t="s">
        <v>148</v>
      </c>
      <c r="B44" s="41" t="s">
        <v>518</v>
      </c>
      <c r="C44" s="75"/>
      <c r="D44" s="51" t="s">
        <v>100</v>
      </c>
      <c r="E44" s="41"/>
      <c r="F44" s="47">
        <f>B.1!E53</f>
        <v>2555000</v>
      </c>
      <c r="G44" s="81">
        <f>ROUND($F$44/$F$46,4)</f>
        <v>4.2999999999999997E-2</v>
      </c>
      <c r="H44" s="323">
        <v>4.4600000000000001E-2</v>
      </c>
      <c r="I44" s="288">
        <f t="shared" si="0"/>
        <v>1.9E-3</v>
      </c>
      <c r="J44" s="41"/>
    </row>
    <row r="45" spans="1:12" ht="16.5">
      <c r="A45" s="41" t="s">
        <v>147</v>
      </c>
      <c r="B45" s="41" t="s">
        <v>567</v>
      </c>
      <c r="C45" s="75"/>
      <c r="D45" s="51" t="s">
        <v>100</v>
      </c>
      <c r="E45" s="41"/>
      <c r="F45" s="484">
        <f>B.1!E66</f>
        <v>1825000</v>
      </c>
      <c r="G45" s="81">
        <f>ROUND($F$45/$F$46,4)</f>
        <v>3.0700000000000002E-2</v>
      </c>
      <c r="H45" s="323">
        <v>3.1199999999999999E-2</v>
      </c>
      <c r="I45" s="290">
        <f t="shared" si="0"/>
        <v>1E-3</v>
      </c>
      <c r="J45" s="41"/>
    </row>
    <row r="46" spans="1:12" ht="15" thickBot="1">
      <c r="A46" s="41" t="s">
        <v>146</v>
      </c>
      <c r="B46" s="41" t="s">
        <v>114</v>
      </c>
      <c r="C46" s="75"/>
      <c r="D46" s="41"/>
      <c r="E46" s="41"/>
      <c r="F46" s="47">
        <f>SUM(F40:F45)</f>
        <v>59454604</v>
      </c>
      <c r="G46" s="299">
        <f>SUM(G40:G45)</f>
        <v>1</v>
      </c>
      <c r="H46" s="485"/>
      <c r="I46" s="486">
        <f>SUM(I40:I45)</f>
        <v>4.3900000000000002E-2</v>
      </c>
      <c r="J46" s="41"/>
    </row>
    <row r="47" spans="1:12" ht="15" thickTop="1">
      <c r="A47" s="41" t="s">
        <v>144</v>
      </c>
      <c r="B47" s="41"/>
      <c r="C47" s="75"/>
      <c r="D47" s="41"/>
      <c r="E47" s="41"/>
      <c r="F47" s="47"/>
      <c r="G47" s="81"/>
      <c r="H47" s="324"/>
      <c r="I47" s="80"/>
    </row>
    <row r="48" spans="1:12">
      <c r="A48" s="41" t="s">
        <v>143</v>
      </c>
      <c r="B48" s="79" t="s">
        <v>145</v>
      </c>
      <c r="C48" s="75"/>
      <c r="D48" s="41"/>
      <c r="E48" s="41"/>
      <c r="F48" s="60"/>
      <c r="G48" s="60"/>
      <c r="H48" s="325"/>
      <c r="I48" s="60"/>
    </row>
    <row r="49" spans="1:9">
      <c r="A49" s="41" t="s">
        <v>142</v>
      </c>
      <c r="B49" s="41" t="s">
        <v>139</v>
      </c>
      <c r="C49" s="75"/>
      <c r="D49" s="74">
        <v>24</v>
      </c>
      <c r="E49" s="41"/>
      <c r="F49" s="47">
        <f>B.2!E18</f>
        <v>289000</v>
      </c>
      <c r="G49" s="81">
        <f>ROUND($F$49/$F$51,4)</f>
        <v>0.90600000000000003</v>
      </c>
      <c r="H49" s="488">
        <v>1.77E-2</v>
      </c>
      <c r="I49" s="78">
        <f>G49*H49</f>
        <v>1.60362E-2</v>
      </c>
    </row>
    <row r="50" spans="1:9">
      <c r="A50" s="41" t="s">
        <v>46</v>
      </c>
      <c r="B50" s="41" t="s">
        <v>137</v>
      </c>
      <c r="C50" s="75"/>
      <c r="D50" s="74">
        <v>24</v>
      </c>
      <c r="E50" s="41"/>
      <c r="F50" s="77">
        <f>+B.2!E24</f>
        <v>30000</v>
      </c>
      <c r="G50" s="289">
        <f>ROUND($F$50/$F$51,4)</f>
        <v>9.4E-2</v>
      </c>
      <c r="H50" s="489">
        <v>1.47E-2</v>
      </c>
      <c r="I50" s="76">
        <f>G50*H50</f>
        <v>1.3817999999999999E-3</v>
      </c>
    </row>
    <row r="51" spans="1:9" ht="15" thickBot="1">
      <c r="A51" s="41" t="s">
        <v>519</v>
      </c>
      <c r="B51" s="41" t="s">
        <v>114</v>
      </c>
      <c r="C51" s="75"/>
      <c r="D51" s="74"/>
      <c r="E51" s="41"/>
      <c r="F51" s="47">
        <f>SUM(F49:F50)</f>
        <v>319000</v>
      </c>
      <c r="G51" s="73">
        <f>SUM(G49:G50)</f>
        <v>1</v>
      </c>
      <c r="H51" s="41"/>
      <c r="I51" s="72">
        <f>I49+I50</f>
        <v>1.7417999999999999E-2</v>
      </c>
    </row>
    <row r="52" spans="1:9" ht="15" thickTop="1"/>
    <row r="55" spans="1:9">
      <c r="A55" s="71"/>
    </row>
    <row r="56" spans="1:9">
      <c r="A56" s="71"/>
    </row>
    <row r="57" spans="1:9">
      <c r="A57" s="71"/>
    </row>
    <row r="58" spans="1:9">
      <c r="A58" s="71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N53"/>
  <sheetViews>
    <sheetView zoomScale="80" zoomScaleNormal="80" zoomScaleSheetLayoutView="100" workbookViewId="0">
      <selection activeCell="I12" sqref="I12"/>
    </sheetView>
  </sheetViews>
  <sheetFormatPr defaultColWidth="9.85546875" defaultRowHeight="14.25"/>
  <cols>
    <col min="1" max="1" width="5.85546875" style="39" customWidth="1"/>
    <col min="2" max="2" width="22.85546875" style="39" customWidth="1"/>
    <col min="3" max="3" width="9.85546875" style="39"/>
    <col min="4" max="4" width="4.85546875" style="39" customWidth="1"/>
    <col min="5" max="5" width="10.5703125" style="39" customWidth="1"/>
    <col min="6" max="6" width="8.7109375" style="39" bestFit="1" customWidth="1"/>
    <col min="7" max="7" width="6.140625" style="39" customWidth="1"/>
    <col min="8" max="8" width="12.42578125" style="39" customWidth="1"/>
    <col min="9" max="9" width="9.85546875" style="39"/>
    <col min="10" max="10" width="14" style="39" customWidth="1"/>
    <col min="11" max="16384" width="9.85546875" style="39"/>
  </cols>
  <sheetData>
    <row r="1" spans="1:14" ht="15">
      <c r="A1" s="68" t="s">
        <v>32</v>
      </c>
      <c r="B1" s="55"/>
      <c r="C1" s="55"/>
      <c r="D1" s="55"/>
      <c r="E1" s="55"/>
      <c r="F1" s="55"/>
      <c r="G1" s="55"/>
      <c r="H1" s="55"/>
      <c r="I1" s="98"/>
      <c r="J1" s="41" t="s">
        <v>125</v>
      </c>
    </row>
    <row r="2" spans="1:14">
      <c r="A2" s="55" t="str">
        <f>B.1!A2</f>
        <v>Expected Gas Cost (EGC) Calculation</v>
      </c>
      <c r="B2" s="55"/>
      <c r="C2" s="55"/>
      <c r="D2" s="55"/>
      <c r="E2" s="55"/>
      <c r="F2" s="55"/>
      <c r="G2" s="55"/>
      <c r="H2" s="55"/>
      <c r="I2" s="98"/>
      <c r="J2" s="41" t="s">
        <v>219</v>
      </c>
    </row>
    <row r="3" spans="1:14">
      <c r="A3" s="67" t="s">
        <v>218</v>
      </c>
      <c r="B3" s="55"/>
      <c r="C3" s="55"/>
      <c r="D3" s="55"/>
      <c r="E3" s="55"/>
      <c r="F3" s="55"/>
      <c r="G3" s="55"/>
      <c r="H3" s="55"/>
      <c r="I3" s="98"/>
      <c r="J3" s="41"/>
    </row>
    <row r="4" spans="1:14">
      <c r="A4" s="41"/>
      <c r="B4" s="41"/>
      <c r="C4" s="41"/>
      <c r="D4" s="41"/>
      <c r="E4" s="41"/>
      <c r="F4" s="41"/>
      <c r="G4" s="41"/>
      <c r="H4" s="41"/>
      <c r="I4" s="66"/>
      <c r="J4" s="41"/>
    </row>
    <row r="5" spans="1:14">
      <c r="A5" s="89"/>
      <c r="B5" s="41"/>
      <c r="C5" s="41"/>
      <c r="D5" s="41"/>
      <c r="E5" s="60" t="s">
        <v>27</v>
      </c>
      <c r="F5" s="60" t="s">
        <v>26</v>
      </c>
      <c r="G5" s="60" t="s">
        <v>25</v>
      </c>
      <c r="H5" s="60" t="s">
        <v>121</v>
      </c>
      <c r="I5" s="60" t="s">
        <v>120</v>
      </c>
      <c r="J5" s="71" t="s">
        <v>204</v>
      </c>
    </row>
    <row r="6" spans="1:14" ht="1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4" ht="15">
      <c r="A7" s="64" t="s">
        <v>24</v>
      </c>
      <c r="B7" s="61"/>
      <c r="C7" s="61"/>
      <c r="D7" s="61"/>
      <c r="E7" s="64" t="s">
        <v>0</v>
      </c>
      <c r="F7" s="61"/>
      <c r="G7" s="97"/>
      <c r="H7" s="97"/>
      <c r="I7" s="61"/>
      <c r="J7" s="61"/>
    </row>
    <row r="8" spans="1:14" ht="15">
      <c r="A8" s="63" t="s">
        <v>23</v>
      </c>
      <c r="B8" s="62" t="s">
        <v>22</v>
      </c>
      <c r="C8" s="62"/>
      <c r="D8" s="62"/>
      <c r="E8" s="63" t="s">
        <v>117</v>
      </c>
      <c r="F8" s="62"/>
      <c r="G8" s="65" t="s">
        <v>203</v>
      </c>
      <c r="H8" s="65"/>
      <c r="I8" s="63" t="s">
        <v>115</v>
      </c>
      <c r="J8" s="63" t="s">
        <v>114</v>
      </c>
    </row>
    <row r="9" spans="1:14" ht="15">
      <c r="A9" s="41"/>
      <c r="B9" s="61"/>
      <c r="C9" s="41"/>
      <c r="D9" s="41"/>
      <c r="E9" s="41"/>
      <c r="F9" s="41"/>
      <c r="G9" s="60" t="s">
        <v>4</v>
      </c>
      <c r="H9" s="60" t="s">
        <v>113</v>
      </c>
      <c r="I9" s="60" t="s">
        <v>112</v>
      </c>
      <c r="J9" s="60" t="s">
        <v>111</v>
      </c>
    </row>
    <row r="10" spans="1:14" ht="15">
      <c r="A10" s="41"/>
      <c r="B10" s="56"/>
      <c r="C10" s="41"/>
      <c r="D10" s="41"/>
      <c r="E10" s="41"/>
      <c r="F10" s="41"/>
      <c r="G10" s="41"/>
      <c r="H10" s="88"/>
      <c r="I10" s="88"/>
      <c r="J10" s="41"/>
    </row>
    <row r="11" spans="1:14">
      <c r="A11" s="41">
        <v>1</v>
      </c>
      <c r="B11" s="84" t="s">
        <v>217</v>
      </c>
      <c r="C11" s="41"/>
      <c r="D11" s="41"/>
      <c r="E11" s="47"/>
      <c r="F11" s="41"/>
      <c r="G11" s="47"/>
      <c r="H11" s="50">
        <v>459252</v>
      </c>
      <c r="I11" s="58"/>
      <c r="J11" s="41"/>
    </row>
    <row r="12" spans="1:14">
      <c r="A12" s="41">
        <v>2</v>
      </c>
      <c r="B12" s="41" t="s">
        <v>193</v>
      </c>
      <c r="C12" s="41"/>
      <c r="D12" s="41"/>
      <c r="E12" s="41"/>
      <c r="F12" s="41"/>
      <c r="G12" s="41"/>
      <c r="H12" s="41"/>
      <c r="I12" s="46">
        <v>3.2559999999999998</v>
      </c>
      <c r="J12" s="47">
        <f>ROUND($H$11*I12,0)</f>
        <v>1495325</v>
      </c>
    </row>
    <row r="13" spans="1:14">
      <c r="A13" s="41">
        <v>3</v>
      </c>
      <c r="B13" s="41" t="s">
        <v>216</v>
      </c>
      <c r="C13" s="41"/>
      <c r="D13" s="41"/>
      <c r="E13" s="41"/>
      <c r="F13" s="41"/>
      <c r="G13" s="41"/>
      <c r="H13" s="41"/>
      <c r="I13" s="46">
        <f>B.3!I51</f>
        <v>1.7417999999999999E-2</v>
      </c>
      <c r="J13" s="47">
        <f>ROUND($H$11*I13,0)</f>
        <v>7999</v>
      </c>
    </row>
    <row r="14" spans="1:14">
      <c r="A14" s="41">
        <v>4</v>
      </c>
      <c r="B14" s="41" t="s">
        <v>189</v>
      </c>
      <c r="C14" s="41"/>
      <c r="D14" s="41"/>
      <c r="E14" s="60">
        <v>24</v>
      </c>
      <c r="F14" s="41"/>
      <c r="G14" s="41"/>
      <c r="H14" s="41"/>
      <c r="I14" s="403">
        <v>1.4E-3</v>
      </c>
      <c r="J14" s="47">
        <f>ROUND($H$11*I14,0)</f>
        <v>643</v>
      </c>
    </row>
    <row r="15" spans="1:14">
      <c r="A15" s="41">
        <v>5</v>
      </c>
      <c r="B15" s="41" t="s">
        <v>209</v>
      </c>
      <c r="C15" s="41"/>
      <c r="D15" s="41"/>
      <c r="E15" s="60">
        <v>32</v>
      </c>
      <c r="F15" s="440">
        <v>1.78E-2</v>
      </c>
      <c r="G15" s="41"/>
      <c r="H15" s="41"/>
      <c r="I15" s="85">
        <f>ROUND(I12/(1-F15)-I12,4)</f>
        <v>5.8999999999999997E-2</v>
      </c>
      <c r="J15" s="77">
        <f>ROUND($H$11*I15,0)</f>
        <v>27096</v>
      </c>
      <c r="N15" s="475"/>
    </row>
    <row r="16" spans="1:14">
      <c r="A16" s="41">
        <v>6</v>
      </c>
      <c r="B16" s="41"/>
      <c r="C16" s="41"/>
      <c r="D16" s="41"/>
      <c r="E16" s="41"/>
      <c r="F16" s="41"/>
      <c r="G16" s="41"/>
      <c r="H16" s="41"/>
      <c r="I16" s="46">
        <f>SUM(I12:I15)</f>
        <v>3.3338179999999999</v>
      </c>
      <c r="J16" s="47">
        <f>SUM(J12:J15)</f>
        <v>1531063</v>
      </c>
      <c r="N16" s="475"/>
    </row>
    <row r="17" spans="1:14">
      <c r="A17" s="41">
        <v>7</v>
      </c>
      <c r="B17" s="41"/>
      <c r="C17" s="41"/>
      <c r="D17" s="41"/>
      <c r="E17" s="41"/>
      <c r="F17" s="41"/>
      <c r="G17" s="41"/>
      <c r="H17" s="41"/>
      <c r="I17" s="46"/>
      <c r="J17" s="41"/>
      <c r="N17" s="475"/>
    </row>
    <row r="18" spans="1:14">
      <c r="A18" s="41">
        <v>8</v>
      </c>
      <c r="B18" s="84" t="s">
        <v>215</v>
      </c>
      <c r="C18" s="41"/>
      <c r="D18" s="41"/>
      <c r="E18" s="41"/>
      <c r="F18" s="41"/>
      <c r="G18" s="47"/>
      <c r="H18" s="322">
        <v>0</v>
      </c>
      <c r="I18" s="46"/>
      <c r="J18" s="41"/>
      <c r="N18" s="475"/>
    </row>
    <row r="19" spans="1:14">
      <c r="A19" s="41">
        <v>9</v>
      </c>
      <c r="B19" s="41" t="s">
        <v>193</v>
      </c>
      <c r="C19" s="41"/>
      <c r="D19" s="41"/>
      <c r="E19" s="41"/>
      <c r="F19" s="41"/>
      <c r="G19" s="41"/>
      <c r="H19" s="41"/>
      <c r="I19" s="46">
        <f>I12</f>
        <v>3.2559999999999998</v>
      </c>
      <c r="J19" s="47">
        <f>ROUND($H$18*I19,0)</f>
        <v>0</v>
      </c>
      <c r="N19" s="475"/>
    </row>
    <row r="20" spans="1:14">
      <c r="A20" s="41">
        <v>10</v>
      </c>
      <c r="B20" s="41" t="s">
        <v>214</v>
      </c>
      <c r="C20" s="41"/>
      <c r="D20" s="41"/>
      <c r="E20" s="60">
        <v>26</v>
      </c>
      <c r="F20" s="41"/>
      <c r="G20" s="41"/>
      <c r="H20" s="41"/>
      <c r="I20" s="403">
        <v>0.73680000000000001</v>
      </c>
      <c r="J20" s="47">
        <f>ROUND($H$18*I20,0)</f>
        <v>0</v>
      </c>
      <c r="N20" s="475"/>
    </row>
    <row r="21" spans="1:14">
      <c r="A21" s="41">
        <v>11</v>
      </c>
      <c r="B21" s="41" t="s">
        <v>189</v>
      </c>
      <c r="C21" s="41"/>
      <c r="D21" s="41"/>
      <c r="E21" s="91">
        <v>24</v>
      </c>
      <c r="F21" s="41"/>
      <c r="G21" s="41"/>
      <c r="H21" s="41"/>
      <c r="I21" s="46">
        <f>I14</f>
        <v>1.4E-3</v>
      </c>
      <c r="J21" s="47">
        <f>ROUND($H$18*I21,0)</f>
        <v>0</v>
      </c>
      <c r="N21" s="475"/>
    </row>
    <row r="22" spans="1:14">
      <c r="A22" s="41">
        <v>12</v>
      </c>
      <c r="B22" s="41" t="s">
        <v>209</v>
      </c>
      <c r="C22" s="41"/>
      <c r="D22" s="41"/>
      <c r="E22" s="60">
        <v>32</v>
      </c>
      <c r="F22" s="441">
        <f>F15</f>
        <v>1.78E-2</v>
      </c>
      <c r="G22" s="41"/>
      <c r="H22" s="41"/>
      <c r="I22" s="85">
        <f>ROUND(I19/(1-F22)-I19,4)</f>
        <v>5.8999999999999997E-2</v>
      </c>
      <c r="J22" s="77">
        <f>ROUND($H$18*I22,0)</f>
        <v>0</v>
      </c>
      <c r="N22" s="475"/>
    </row>
    <row r="23" spans="1:14">
      <c r="A23" s="41">
        <v>13</v>
      </c>
      <c r="B23" s="41"/>
      <c r="C23" s="41"/>
      <c r="D23" s="41"/>
      <c r="E23" s="41"/>
      <c r="F23" s="41"/>
      <c r="G23" s="41"/>
      <c r="H23" s="41"/>
      <c r="I23" s="46">
        <f>SUM(I19:I22)</f>
        <v>4.0531999999999995</v>
      </c>
      <c r="J23" s="47">
        <f>SUM(J19:J22)</f>
        <v>0</v>
      </c>
      <c r="N23" s="475"/>
    </row>
    <row r="24" spans="1:14">
      <c r="A24" s="41">
        <v>14</v>
      </c>
      <c r="B24" s="41"/>
      <c r="C24" s="41"/>
      <c r="D24" s="41"/>
      <c r="E24" s="41"/>
      <c r="F24" s="41"/>
      <c r="G24" s="41"/>
      <c r="H24" s="41"/>
      <c r="I24" s="46"/>
      <c r="J24" s="41"/>
    </row>
    <row r="25" spans="1:14">
      <c r="A25" s="41">
        <v>15</v>
      </c>
      <c r="B25" s="84" t="s">
        <v>134</v>
      </c>
      <c r="C25" s="41"/>
      <c r="D25" s="41"/>
      <c r="E25" s="41"/>
      <c r="F25" s="41"/>
      <c r="G25" s="41"/>
      <c r="H25" s="41"/>
      <c r="I25" s="46"/>
      <c r="J25" s="41"/>
    </row>
    <row r="26" spans="1:14">
      <c r="A26" s="41">
        <v>16</v>
      </c>
      <c r="B26" s="41" t="s">
        <v>213</v>
      </c>
      <c r="C26" s="41"/>
      <c r="D26" s="41"/>
      <c r="E26" s="41"/>
      <c r="F26" s="41"/>
      <c r="G26" s="41"/>
      <c r="H26" s="50">
        <v>722440</v>
      </c>
      <c r="I26" s="46">
        <v>3.343</v>
      </c>
      <c r="J26" s="87">
        <f>H26*I26</f>
        <v>2415116.92</v>
      </c>
    </row>
    <row r="27" spans="1:14">
      <c r="A27" s="41">
        <v>17</v>
      </c>
      <c r="B27" s="41" t="s">
        <v>212</v>
      </c>
      <c r="C27" s="41"/>
      <c r="D27" s="41"/>
      <c r="E27" s="41"/>
      <c r="F27" s="41"/>
      <c r="G27" s="41"/>
      <c r="H27" s="50">
        <v>0</v>
      </c>
      <c r="I27" s="46">
        <v>3.2749999999999999</v>
      </c>
      <c r="J27" s="47">
        <f>H27*I27</f>
        <v>0</v>
      </c>
    </row>
    <row r="28" spans="1:14">
      <c r="A28" s="41">
        <v>18</v>
      </c>
      <c r="B28" s="55" t="s">
        <v>211</v>
      </c>
      <c r="C28" s="41"/>
      <c r="D28" s="41"/>
      <c r="E28" s="60">
        <v>61</v>
      </c>
      <c r="F28" s="41"/>
      <c r="G28" s="41"/>
      <c r="H28" s="41"/>
      <c r="I28" s="403">
        <v>8.6999999999999994E-3</v>
      </c>
      <c r="J28" s="47">
        <f>ROUND(H26*I28,0)</f>
        <v>6285</v>
      </c>
    </row>
    <row r="29" spans="1:14">
      <c r="A29" s="41">
        <v>19</v>
      </c>
      <c r="B29" s="41" t="s">
        <v>210</v>
      </c>
      <c r="C29" s="41"/>
      <c r="D29" s="41"/>
      <c r="E29" s="60">
        <v>61</v>
      </c>
      <c r="F29" s="41"/>
      <c r="G29" s="41"/>
      <c r="H29" s="41"/>
      <c r="I29" s="403">
        <v>8.6999999999999994E-3</v>
      </c>
      <c r="J29" s="47">
        <f>ROUND($H$27*I29,0)</f>
        <v>0</v>
      </c>
    </row>
    <row r="30" spans="1:14">
      <c r="A30" s="41">
        <v>20</v>
      </c>
      <c r="B30" s="41" t="s">
        <v>209</v>
      </c>
      <c r="C30" s="41"/>
      <c r="D30" s="41"/>
      <c r="E30" s="60">
        <v>61</v>
      </c>
      <c r="F30" s="440">
        <v>1.29E-2</v>
      </c>
      <c r="G30" s="41"/>
      <c r="H30" s="111"/>
      <c r="I30" s="85">
        <f>ROUND(I29/(1-F30)-I29,4)</f>
        <v>1E-4</v>
      </c>
      <c r="J30" s="69">
        <f>ROUND(SUM($H$26:$H$27)*I30,0)</f>
        <v>72</v>
      </c>
    </row>
    <row r="31" spans="1:14">
      <c r="A31" s="41">
        <v>21</v>
      </c>
      <c r="B31" s="41" t="s">
        <v>208</v>
      </c>
      <c r="C31" s="41"/>
      <c r="D31" s="41"/>
      <c r="E31" s="60"/>
      <c r="F31" s="41"/>
      <c r="G31" s="41"/>
      <c r="H31" s="47">
        <f>H26+H27</f>
        <v>722440</v>
      </c>
      <c r="I31" s="46">
        <f>J31/H31</f>
        <v>3.3517993466585461</v>
      </c>
      <c r="J31" s="47">
        <f>SUM(J26:J30)</f>
        <v>2421473.92</v>
      </c>
    </row>
    <row r="32" spans="1:14">
      <c r="A32" s="41">
        <v>22</v>
      </c>
      <c r="B32" s="41"/>
      <c r="C32" s="41"/>
      <c r="D32" s="41"/>
      <c r="E32" s="60"/>
      <c r="F32" s="41"/>
      <c r="G32" s="41"/>
      <c r="H32" s="41"/>
      <c r="I32" s="46"/>
      <c r="J32" s="41"/>
    </row>
    <row r="33" spans="1:10">
      <c r="A33" s="41">
        <v>23</v>
      </c>
      <c r="B33" s="41"/>
      <c r="C33" s="41"/>
      <c r="D33" s="41"/>
      <c r="E33" s="41"/>
      <c r="F33" s="41"/>
      <c r="G33" s="41"/>
      <c r="H33" s="41"/>
      <c r="I33" s="46"/>
      <c r="J33" s="41"/>
    </row>
    <row r="34" spans="1:10">
      <c r="A34" s="41">
        <v>24</v>
      </c>
      <c r="B34" s="41"/>
      <c r="C34" s="41"/>
      <c r="D34" s="41"/>
      <c r="E34" s="41"/>
      <c r="F34" s="41"/>
      <c r="G34" s="41"/>
      <c r="H34" s="41"/>
      <c r="I34" s="46"/>
      <c r="J34" s="41"/>
    </row>
    <row r="35" spans="1:10" ht="15" thickBot="1">
      <c r="A35" s="41">
        <v>25</v>
      </c>
      <c r="B35" s="41" t="s">
        <v>207</v>
      </c>
      <c r="C35" s="41"/>
      <c r="D35" s="41"/>
      <c r="E35" s="41"/>
      <c r="F35" s="41"/>
      <c r="G35" s="41"/>
      <c r="H35" s="44">
        <f>SUM(H11:H30)</f>
        <v>1181692</v>
      </c>
      <c r="I35" s="90">
        <f>ROUND(J35/H35,4)</f>
        <v>3.3448000000000002</v>
      </c>
      <c r="J35" s="44">
        <f>J16+J23+J31</f>
        <v>3952536.92</v>
      </c>
    </row>
    <row r="36" spans="1:10" ht="15" thickTop="1">
      <c r="A36" s="41"/>
    </row>
    <row r="37" spans="1:10">
      <c r="A37" s="41"/>
      <c r="H37" s="50"/>
      <c r="J37" s="50"/>
    </row>
    <row r="38" spans="1:10">
      <c r="A38" s="41"/>
    </row>
    <row r="39" spans="1:10">
      <c r="A39" s="41"/>
    </row>
    <row r="40" spans="1:10">
      <c r="A40" s="41"/>
    </row>
    <row r="41" spans="1:10">
      <c r="A41" s="41"/>
    </row>
    <row r="42" spans="1:10">
      <c r="A42" s="41"/>
    </row>
    <row r="43" spans="1:10">
      <c r="A43" s="41"/>
    </row>
    <row r="44" spans="1:10">
      <c r="A44" s="41"/>
    </row>
    <row r="45" spans="1:10">
      <c r="A45" s="41"/>
    </row>
    <row r="46" spans="1:10">
      <c r="A46" s="41"/>
    </row>
    <row r="47" spans="1:10">
      <c r="A47" s="41"/>
    </row>
    <row r="48" spans="1:10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K58"/>
  <sheetViews>
    <sheetView zoomScale="80" zoomScaleNormal="80" zoomScaleSheetLayoutView="115" workbookViewId="0">
      <pane xSplit="4" ySplit="8" topLeftCell="E9" activePane="bottomRight" state="frozen"/>
      <selection activeCell="L49" sqref="L49"/>
      <selection pane="topRight" activeCell="L49" sqref="L49"/>
      <selection pane="bottomLeft" activeCell="L49" sqref="L49"/>
      <selection pane="bottomRight" activeCell="I13" sqref="I13"/>
    </sheetView>
  </sheetViews>
  <sheetFormatPr defaultColWidth="9.28515625" defaultRowHeight="14.25"/>
  <cols>
    <col min="1" max="3" width="9.28515625" style="39" customWidth="1"/>
    <col min="4" max="4" width="9.85546875" style="39" customWidth="1"/>
    <col min="5" max="5" width="10.7109375" style="39" customWidth="1"/>
    <col min="6" max="6" width="9.140625" style="39" customWidth="1"/>
    <col min="7" max="7" width="9.28515625" style="39" customWidth="1"/>
    <col min="8" max="8" width="10" style="39" bestFit="1" customWidth="1"/>
    <col min="9" max="9" width="10.7109375" style="39" bestFit="1" customWidth="1"/>
    <col min="10" max="10" width="14.42578125" style="39" customWidth="1"/>
    <col min="11" max="16384" width="9.28515625" style="39"/>
  </cols>
  <sheetData>
    <row r="1" spans="1:11" ht="15">
      <c r="A1" s="68" t="s">
        <v>32</v>
      </c>
      <c r="B1" s="55"/>
      <c r="C1" s="55"/>
      <c r="D1" s="55"/>
      <c r="E1" s="55"/>
      <c r="F1" s="55"/>
      <c r="G1" s="55"/>
      <c r="H1" s="55"/>
      <c r="I1" s="98"/>
      <c r="J1" s="41" t="s">
        <v>125</v>
      </c>
    </row>
    <row r="2" spans="1:11">
      <c r="A2" s="55" t="s">
        <v>124</v>
      </c>
      <c r="B2" s="55"/>
      <c r="C2" s="55"/>
      <c r="D2" s="55"/>
      <c r="E2" s="55"/>
      <c r="F2" s="55"/>
      <c r="G2" s="55"/>
      <c r="H2" s="55"/>
      <c r="I2" s="98"/>
      <c r="J2" s="41" t="s">
        <v>228</v>
      </c>
    </row>
    <row r="3" spans="1:11">
      <c r="A3" s="67" t="s">
        <v>227</v>
      </c>
      <c r="B3" s="55"/>
      <c r="C3" s="55"/>
      <c r="D3" s="55"/>
      <c r="E3" s="55"/>
      <c r="F3" s="55"/>
      <c r="G3" s="55"/>
      <c r="H3" s="55"/>
      <c r="I3" s="98"/>
      <c r="J3" s="41"/>
    </row>
    <row r="4" spans="1:11">
      <c r="A4" s="41"/>
      <c r="B4" s="41"/>
      <c r="C4" s="41"/>
      <c r="D4" s="41"/>
      <c r="E4" s="41"/>
      <c r="F4" s="41"/>
      <c r="G4" s="41"/>
      <c r="H4" s="41"/>
      <c r="I4" s="66"/>
      <c r="J4" s="41"/>
    </row>
    <row r="5" spans="1:11">
      <c r="A5" s="41" t="s">
        <v>14</v>
      </c>
      <c r="B5" s="41"/>
      <c r="C5" s="41"/>
      <c r="D5" s="41"/>
      <c r="E5" s="60" t="s">
        <v>27</v>
      </c>
      <c r="F5" s="60" t="s">
        <v>26</v>
      </c>
      <c r="G5" s="60" t="s">
        <v>25</v>
      </c>
      <c r="H5" s="60" t="s">
        <v>121</v>
      </c>
      <c r="I5" s="60" t="s">
        <v>120</v>
      </c>
      <c r="J5" s="71" t="s">
        <v>204</v>
      </c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1" ht="15">
      <c r="A7" s="64" t="s">
        <v>24</v>
      </c>
      <c r="B7" s="61"/>
      <c r="C7" s="61"/>
      <c r="D7" s="61"/>
      <c r="E7" s="64" t="s">
        <v>0</v>
      </c>
      <c r="F7" s="64"/>
      <c r="G7" s="97"/>
      <c r="H7" s="97"/>
      <c r="I7" s="61"/>
      <c r="J7" s="61"/>
    </row>
    <row r="8" spans="1:11" ht="15">
      <c r="A8" s="63" t="s">
        <v>23</v>
      </c>
      <c r="B8" s="62" t="s">
        <v>22</v>
      </c>
      <c r="C8" s="62"/>
      <c r="D8" s="62"/>
      <c r="E8" s="63" t="s">
        <v>117</v>
      </c>
      <c r="F8" s="63"/>
      <c r="G8" s="65" t="s">
        <v>203</v>
      </c>
      <c r="H8" s="65"/>
      <c r="I8" s="63" t="s">
        <v>115</v>
      </c>
      <c r="J8" s="63" t="s">
        <v>114</v>
      </c>
    </row>
    <row r="9" spans="1:11" ht="15">
      <c r="A9" s="41"/>
      <c r="B9" s="61"/>
      <c r="C9" s="41"/>
      <c r="D9" s="41"/>
      <c r="E9" s="41"/>
      <c r="F9" s="60"/>
      <c r="G9" s="60" t="s">
        <v>4</v>
      </c>
      <c r="H9" s="60" t="s">
        <v>113</v>
      </c>
      <c r="I9" s="60" t="s">
        <v>112</v>
      </c>
      <c r="J9" s="60" t="s">
        <v>111</v>
      </c>
    </row>
    <row r="10" spans="1:11" ht="15">
      <c r="A10" s="41"/>
      <c r="B10" s="61"/>
      <c r="C10" s="41"/>
      <c r="D10" s="41"/>
      <c r="E10" s="41"/>
      <c r="F10" s="41"/>
      <c r="G10" s="60"/>
      <c r="H10" s="60"/>
      <c r="I10" s="60"/>
      <c r="J10" s="60"/>
    </row>
    <row r="11" spans="1:11">
      <c r="A11" s="41">
        <v>1</v>
      </c>
      <c r="B11" s="84" t="s">
        <v>226</v>
      </c>
      <c r="C11" s="41"/>
      <c r="D11" s="41"/>
      <c r="E11" s="47"/>
      <c r="F11" s="41"/>
      <c r="G11" s="41"/>
      <c r="H11" s="88"/>
      <c r="I11" s="88"/>
      <c r="J11" s="41"/>
    </row>
    <row r="12" spans="1:11">
      <c r="A12" s="41">
        <v>2</v>
      </c>
      <c r="B12" s="41" t="s">
        <v>225</v>
      </c>
      <c r="C12" s="41"/>
      <c r="D12" s="41"/>
      <c r="E12" s="41"/>
      <c r="F12" s="41"/>
      <c r="G12" s="47"/>
      <c r="H12" s="436">
        <v>245000</v>
      </c>
      <c r="I12" s="58"/>
      <c r="J12" s="41"/>
    </row>
    <row r="13" spans="1:11">
      <c r="A13" s="41">
        <v>3</v>
      </c>
      <c r="B13" s="41" t="s">
        <v>193</v>
      </c>
      <c r="C13" s="41"/>
      <c r="D13" s="41"/>
      <c r="E13" s="41"/>
      <c r="F13" s="41"/>
      <c r="G13" s="41"/>
      <c r="H13" s="41"/>
      <c r="I13" s="96">
        <v>3.2559999999999998</v>
      </c>
      <c r="J13" s="47">
        <f>ROUND($H$12*I13,0)</f>
        <v>797720</v>
      </c>
    </row>
    <row r="14" spans="1:11">
      <c r="A14" s="41">
        <v>4</v>
      </c>
      <c r="B14" s="41" t="s">
        <v>224</v>
      </c>
      <c r="C14" s="41"/>
      <c r="D14" s="41"/>
      <c r="E14" s="60">
        <v>13</v>
      </c>
      <c r="F14" s="41"/>
      <c r="G14" s="41"/>
      <c r="H14" s="41"/>
      <c r="I14" s="442">
        <v>1.2999999999999999E-2</v>
      </c>
      <c r="J14" s="47">
        <f>ROUND($H$12*I14,0)</f>
        <v>3185</v>
      </c>
    </row>
    <row r="15" spans="1:11">
      <c r="A15" s="41">
        <v>5</v>
      </c>
      <c r="B15" s="41" t="s">
        <v>189</v>
      </c>
      <c r="E15" s="60">
        <v>13</v>
      </c>
      <c r="I15" s="442">
        <v>1.4E-3</v>
      </c>
      <c r="J15" s="47">
        <f>ROUND($H$12*I15,0)</f>
        <v>343</v>
      </c>
      <c r="K15" s="475"/>
    </row>
    <row r="16" spans="1:11">
      <c r="A16" s="41">
        <v>6</v>
      </c>
      <c r="B16" s="41" t="s">
        <v>209</v>
      </c>
      <c r="C16" s="41"/>
      <c r="D16" s="41"/>
      <c r="E16" s="60">
        <v>13</v>
      </c>
      <c r="F16" s="443">
        <v>8.8999999999999999E-3</v>
      </c>
      <c r="G16" s="41"/>
      <c r="H16" s="41"/>
      <c r="I16" s="46">
        <f>ROUND(I13/(1-(F16-0.001))-I13,4)</f>
        <v>2.5899999999999999E-2</v>
      </c>
      <c r="J16" s="47">
        <f>ROUND($H$12*I16,0)</f>
        <v>6346</v>
      </c>
      <c r="K16" s="475"/>
    </row>
    <row r="17" spans="1:11" ht="15" thickBot="1">
      <c r="A17" s="41">
        <v>7</v>
      </c>
      <c r="B17" s="41"/>
      <c r="C17" s="41"/>
      <c r="D17" s="41"/>
      <c r="E17" s="41"/>
      <c r="F17" s="41"/>
      <c r="G17" s="41"/>
      <c r="H17" s="41"/>
      <c r="I17" s="90">
        <f>SUM(I13:I16)</f>
        <v>3.2962999999999996</v>
      </c>
      <c r="J17" s="44">
        <f>SUM(J13:J16)</f>
        <v>807594</v>
      </c>
      <c r="K17" s="475"/>
    </row>
    <row r="18" spans="1:11" ht="15.75" thickTop="1">
      <c r="A18" s="41">
        <v>8</v>
      </c>
      <c r="B18" s="61"/>
      <c r="C18" s="41"/>
      <c r="D18" s="41"/>
      <c r="E18" s="41"/>
      <c r="F18" s="81"/>
      <c r="G18" s="60"/>
      <c r="H18" s="60"/>
      <c r="I18" s="60"/>
      <c r="J18" s="60"/>
      <c r="K18" s="475"/>
    </row>
    <row r="19" spans="1:11" ht="15">
      <c r="A19" s="41">
        <v>9</v>
      </c>
      <c r="B19" s="61"/>
      <c r="C19" s="41"/>
      <c r="D19" s="41"/>
      <c r="E19" s="41"/>
      <c r="F19" s="81"/>
      <c r="G19" s="60"/>
      <c r="H19" s="60"/>
      <c r="I19" s="60"/>
      <c r="J19" s="60"/>
      <c r="K19" s="475"/>
    </row>
    <row r="20" spans="1:11" ht="15">
      <c r="A20" s="41"/>
      <c r="B20" s="61"/>
      <c r="C20" s="41"/>
      <c r="D20" s="41"/>
      <c r="E20" s="41"/>
      <c r="F20" s="41"/>
      <c r="G20" s="60"/>
      <c r="H20" s="60"/>
      <c r="I20" s="60"/>
      <c r="J20" s="60"/>
      <c r="K20" s="475"/>
    </row>
    <row r="21" spans="1:11">
      <c r="A21" s="41" t="s">
        <v>119</v>
      </c>
      <c r="B21" s="41"/>
      <c r="C21" s="41"/>
      <c r="D21" s="41"/>
      <c r="E21" s="41"/>
      <c r="F21" s="41"/>
      <c r="G21" s="60"/>
      <c r="H21" s="60"/>
      <c r="I21" s="60"/>
      <c r="J21" s="60"/>
      <c r="K21" s="475"/>
    </row>
    <row r="22" spans="1:11" ht="15">
      <c r="A22" s="64"/>
      <c r="B22" s="61"/>
      <c r="C22" s="61"/>
      <c r="D22" s="61"/>
      <c r="E22" s="61"/>
      <c r="F22" s="61"/>
      <c r="G22" s="61"/>
      <c r="H22" s="61"/>
      <c r="I22" s="61"/>
      <c r="J22" s="61"/>
      <c r="K22" s="475"/>
    </row>
    <row r="23" spans="1:11" ht="15">
      <c r="A23" s="61"/>
      <c r="B23" s="41"/>
      <c r="C23" s="41"/>
      <c r="D23" s="41"/>
      <c r="E23" s="60" t="s">
        <v>27</v>
      </c>
      <c r="F23" s="60" t="s">
        <v>26</v>
      </c>
      <c r="G23" s="60" t="s">
        <v>25</v>
      </c>
      <c r="H23" s="60" t="s">
        <v>121</v>
      </c>
      <c r="I23" s="60" t="s">
        <v>120</v>
      </c>
      <c r="K23" s="475"/>
    </row>
    <row r="24" spans="1:11" ht="15">
      <c r="A24" s="61"/>
      <c r="B24" s="61"/>
      <c r="C24" s="61"/>
      <c r="D24" s="61"/>
      <c r="E24" s="61"/>
      <c r="F24" s="61"/>
      <c r="G24" s="65" t="s">
        <v>119</v>
      </c>
      <c r="H24" s="65"/>
      <c r="I24" s="65"/>
    </row>
    <row r="25" spans="1:11" ht="15">
      <c r="A25" s="64" t="s">
        <v>24</v>
      </c>
      <c r="B25" s="61"/>
      <c r="C25" s="61"/>
      <c r="D25" s="64"/>
      <c r="E25" s="64" t="s">
        <v>0</v>
      </c>
      <c r="F25" s="64" t="s">
        <v>118</v>
      </c>
      <c r="G25" s="61"/>
      <c r="H25" s="61"/>
      <c r="I25" s="61"/>
    </row>
    <row r="26" spans="1:11" ht="15">
      <c r="A26" s="63" t="s">
        <v>23</v>
      </c>
      <c r="B26" s="62" t="s">
        <v>22</v>
      </c>
      <c r="C26" s="62"/>
      <c r="D26" s="63"/>
      <c r="E26" s="63" t="s">
        <v>117</v>
      </c>
      <c r="F26" s="63" t="s">
        <v>116</v>
      </c>
      <c r="G26" s="63" t="s">
        <v>115</v>
      </c>
      <c r="H26" s="63" t="s">
        <v>114</v>
      </c>
      <c r="I26" s="63" t="s">
        <v>13</v>
      </c>
    </row>
    <row r="27" spans="1:11" ht="15">
      <c r="A27" s="41"/>
      <c r="B27" s="61"/>
      <c r="C27" s="41"/>
      <c r="D27" s="41"/>
      <c r="E27" s="60"/>
      <c r="F27" s="60" t="s">
        <v>113</v>
      </c>
      <c r="G27" s="60" t="s">
        <v>112</v>
      </c>
      <c r="H27" s="60" t="s">
        <v>111</v>
      </c>
      <c r="I27" s="60" t="s">
        <v>111</v>
      </c>
    </row>
    <row r="28" spans="1:11" ht="15">
      <c r="A28" s="41"/>
      <c r="B28" s="61" t="s">
        <v>223</v>
      </c>
      <c r="C28" s="41"/>
      <c r="D28" s="41"/>
      <c r="E28" s="60"/>
      <c r="F28" s="60"/>
      <c r="G28" s="60"/>
      <c r="H28" s="60"/>
      <c r="I28" s="60"/>
    </row>
    <row r="29" spans="1:11">
      <c r="A29" s="41">
        <v>10</v>
      </c>
      <c r="B29" s="41" t="s">
        <v>136</v>
      </c>
      <c r="C29" s="41"/>
      <c r="D29" s="53" t="s">
        <v>222</v>
      </c>
      <c r="E29" s="41"/>
      <c r="F29" s="483">
        <v>38750</v>
      </c>
      <c r="G29" s="47"/>
      <c r="H29" s="47"/>
      <c r="I29" s="58"/>
    </row>
    <row r="30" spans="1:11">
      <c r="A30" s="41">
        <v>11</v>
      </c>
      <c r="B30" s="41" t="s">
        <v>221</v>
      </c>
      <c r="C30" s="41"/>
      <c r="D30" s="41"/>
      <c r="E30" s="41"/>
      <c r="F30" s="96"/>
      <c r="G30" s="442">
        <v>5.3754</v>
      </c>
      <c r="H30" s="95">
        <f>ROUND(F$29*G30,0)</f>
        <v>208297</v>
      </c>
      <c r="I30" s="87">
        <f>H30</f>
        <v>208297</v>
      </c>
    </row>
    <row r="31" spans="1:11">
      <c r="A31" s="41">
        <v>12</v>
      </c>
      <c r="B31" s="41"/>
      <c r="C31" s="41"/>
      <c r="D31" s="41"/>
      <c r="E31" s="60"/>
      <c r="F31" s="94"/>
      <c r="G31" s="41"/>
      <c r="H31" s="41"/>
      <c r="I31" s="46"/>
      <c r="J31" s="60"/>
    </row>
    <row r="32" spans="1:11" ht="15" thickBot="1">
      <c r="A32" s="41">
        <v>13</v>
      </c>
      <c r="B32" s="41" t="s">
        <v>220</v>
      </c>
      <c r="C32" s="41"/>
      <c r="D32" s="41"/>
      <c r="E32" s="41"/>
      <c r="F32" s="41"/>
      <c r="G32" s="41"/>
      <c r="H32" s="92">
        <f>SUM(H30:H30)</f>
        <v>208297</v>
      </c>
      <c r="I32" s="92">
        <f>SUM(I30:I30)</f>
        <v>208297</v>
      </c>
      <c r="J32" s="41"/>
    </row>
    <row r="33" spans="1:10" ht="15" thickTop="1">
      <c r="A33" s="41"/>
      <c r="B33" s="41"/>
      <c r="C33" s="41"/>
      <c r="D33" s="41"/>
      <c r="E33" s="41"/>
      <c r="F33" s="41"/>
      <c r="G33" s="41"/>
      <c r="H33" s="41"/>
      <c r="I33" s="46"/>
      <c r="J33" s="47"/>
    </row>
    <row r="34" spans="1:10">
      <c r="A34" s="41"/>
      <c r="B34" s="41"/>
      <c r="C34" s="41"/>
      <c r="D34" s="41"/>
      <c r="E34" s="60"/>
      <c r="F34" s="41"/>
      <c r="G34" s="41"/>
      <c r="H34" s="41"/>
      <c r="I34" s="46"/>
      <c r="J34" s="47"/>
    </row>
    <row r="35" spans="1:10">
      <c r="A35" s="41"/>
      <c r="B35" s="41"/>
      <c r="C35" s="41"/>
      <c r="D35" s="41"/>
      <c r="E35" s="60"/>
      <c r="F35" s="41"/>
      <c r="G35" s="41"/>
      <c r="H35" s="41"/>
      <c r="I35" s="46"/>
      <c r="J35" s="47"/>
    </row>
    <row r="36" spans="1:10">
      <c r="A36" s="41"/>
      <c r="B36" s="41"/>
      <c r="C36" s="41"/>
      <c r="D36" s="41"/>
      <c r="E36" s="60"/>
      <c r="F36" s="41"/>
      <c r="G36" s="41"/>
      <c r="H36" s="41"/>
      <c r="I36" s="46"/>
      <c r="J36" s="47"/>
    </row>
    <row r="37" spans="1:10">
      <c r="A37" s="41"/>
      <c r="B37" s="41"/>
      <c r="C37" s="41"/>
      <c r="D37" s="41"/>
      <c r="E37" s="60"/>
      <c r="F37" s="41"/>
      <c r="G37" s="41"/>
      <c r="H37" s="41"/>
      <c r="I37" s="46"/>
      <c r="J37" s="47"/>
    </row>
    <row r="38" spans="1:10">
      <c r="A38" s="41"/>
      <c r="B38" s="41"/>
      <c r="C38" s="41"/>
      <c r="D38" s="41"/>
      <c r="E38" s="60"/>
      <c r="F38" s="41"/>
      <c r="G38" s="41"/>
      <c r="H38" s="41"/>
      <c r="I38" s="46"/>
      <c r="J38" s="47"/>
    </row>
    <row r="39" spans="1:10">
      <c r="A39" s="41"/>
      <c r="B39" s="41"/>
      <c r="C39" s="41"/>
      <c r="D39" s="41"/>
      <c r="E39" s="60"/>
      <c r="F39" s="81"/>
      <c r="G39" s="41"/>
      <c r="H39" s="41"/>
      <c r="I39" s="46"/>
      <c r="J39" s="47"/>
    </row>
    <row r="40" spans="1:10">
      <c r="A40" s="41"/>
      <c r="B40" s="41"/>
      <c r="C40" s="41"/>
      <c r="D40" s="41"/>
      <c r="E40" s="41"/>
      <c r="F40" s="41"/>
      <c r="G40" s="41"/>
      <c r="H40" s="41"/>
      <c r="I40" s="46"/>
      <c r="J40" s="47"/>
    </row>
    <row r="41" spans="1:10">
      <c r="A41" s="41"/>
      <c r="B41" s="41"/>
      <c r="C41" s="41"/>
      <c r="D41" s="41"/>
      <c r="E41" s="41"/>
      <c r="F41" s="41"/>
      <c r="G41" s="41"/>
      <c r="H41" s="41"/>
      <c r="I41" s="46"/>
      <c r="J41" s="41"/>
    </row>
    <row r="42" spans="1:10">
      <c r="A42" s="41"/>
      <c r="B42" s="41"/>
      <c r="C42" s="41"/>
      <c r="D42" s="41"/>
      <c r="E42" s="41"/>
      <c r="F42" s="41"/>
      <c r="G42" s="41"/>
      <c r="H42" s="41"/>
      <c r="I42" s="46"/>
      <c r="J42" s="41"/>
    </row>
    <row r="43" spans="1:10">
      <c r="A43" s="41"/>
      <c r="B43" s="84"/>
      <c r="C43" s="41"/>
      <c r="D43" s="41"/>
      <c r="E43" s="41"/>
      <c r="F43" s="41"/>
      <c r="G43" s="41"/>
      <c r="H43" s="41"/>
      <c r="I43" s="46"/>
      <c r="J43" s="41"/>
    </row>
    <row r="44" spans="1:10">
      <c r="A44" s="41"/>
      <c r="B44" s="41"/>
      <c r="C44" s="41"/>
      <c r="D44" s="41"/>
      <c r="E44" s="41"/>
      <c r="F44" s="41"/>
      <c r="G44" s="41"/>
      <c r="H44" s="47"/>
      <c r="I44" s="46"/>
      <c r="J44" s="41"/>
    </row>
    <row r="45" spans="1:10">
      <c r="B45" s="41"/>
      <c r="C45" s="41"/>
      <c r="D45" s="41"/>
      <c r="E45" s="41"/>
      <c r="F45" s="41"/>
      <c r="G45" s="41"/>
      <c r="H45" s="41"/>
      <c r="I45" s="46"/>
      <c r="J45" s="47"/>
    </row>
    <row r="46" spans="1:10">
      <c r="B46" s="41"/>
      <c r="C46" s="41"/>
      <c r="D46" s="41"/>
      <c r="E46" s="60"/>
      <c r="F46" s="41"/>
      <c r="G46" s="41"/>
      <c r="H46" s="41"/>
      <c r="I46" s="46"/>
      <c r="J46" s="47"/>
    </row>
    <row r="47" spans="1:10">
      <c r="B47" s="41"/>
      <c r="C47" s="41"/>
      <c r="D47" s="41"/>
      <c r="E47" s="60"/>
      <c r="F47" s="81"/>
      <c r="G47" s="41"/>
      <c r="H47" s="41"/>
      <c r="I47" s="46"/>
      <c r="J47" s="47"/>
    </row>
    <row r="48" spans="1:10">
      <c r="B48" s="41"/>
      <c r="C48" s="41"/>
      <c r="D48" s="41"/>
      <c r="E48" s="60"/>
      <c r="F48" s="41"/>
      <c r="G48" s="41"/>
      <c r="H48" s="41"/>
      <c r="I48" s="46"/>
      <c r="J48" s="47"/>
    </row>
    <row r="49" spans="2:10">
      <c r="B49" s="41"/>
      <c r="C49" s="41"/>
      <c r="D49" s="41"/>
      <c r="E49" s="60"/>
      <c r="F49" s="41"/>
      <c r="G49" s="41"/>
      <c r="H49" s="41"/>
      <c r="I49" s="46"/>
      <c r="J49" s="41"/>
    </row>
    <row r="50" spans="2:10">
      <c r="B50" s="41"/>
      <c r="C50" s="41"/>
      <c r="D50" s="41"/>
      <c r="E50" s="60"/>
      <c r="F50" s="41"/>
      <c r="G50" s="41"/>
      <c r="H50" s="41"/>
      <c r="I50" s="46"/>
      <c r="J50" s="41"/>
    </row>
    <row r="51" spans="2:10">
      <c r="B51" s="41"/>
      <c r="C51" s="41"/>
      <c r="D51" s="41"/>
      <c r="E51" s="60"/>
      <c r="F51" s="41"/>
      <c r="G51" s="41"/>
      <c r="H51" s="47"/>
      <c r="I51" s="46"/>
      <c r="J51" s="41"/>
    </row>
    <row r="52" spans="2:10">
      <c r="B52" s="41"/>
      <c r="C52" s="41"/>
      <c r="D52" s="41"/>
      <c r="E52" s="60"/>
      <c r="F52" s="41"/>
      <c r="G52" s="41"/>
      <c r="H52" s="41"/>
      <c r="I52" s="46"/>
      <c r="J52" s="47"/>
    </row>
    <row r="53" spans="2:10">
      <c r="B53" s="41"/>
      <c r="C53" s="41"/>
      <c r="D53" s="41"/>
      <c r="E53" s="60"/>
      <c r="F53" s="41"/>
      <c r="G53" s="41"/>
      <c r="H53" s="41"/>
      <c r="I53" s="46"/>
      <c r="J53" s="47"/>
    </row>
    <row r="54" spans="2:10">
      <c r="B54" s="41"/>
      <c r="C54" s="41"/>
      <c r="D54" s="41"/>
      <c r="E54" s="60"/>
      <c r="F54" s="81"/>
      <c r="G54" s="41"/>
      <c r="H54" s="41"/>
      <c r="I54" s="46"/>
      <c r="J54" s="47"/>
    </row>
    <row r="55" spans="2:10">
      <c r="B55" s="41"/>
      <c r="C55" s="41"/>
      <c r="D55" s="41"/>
      <c r="E55" s="41"/>
      <c r="F55" s="41"/>
      <c r="G55" s="41"/>
      <c r="H55" s="41"/>
      <c r="I55" s="46"/>
      <c r="J55" s="47"/>
    </row>
    <row r="56" spans="2:10">
      <c r="B56" s="41"/>
      <c r="C56" s="41"/>
      <c r="D56" s="41"/>
      <c r="E56" s="41"/>
      <c r="F56" s="41"/>
      <c r="G56" s="41"/>
      <c r="H56" s="41"/>
      <c r="I56" s="46"/>
      <c r="J56" s="41"/>
    </row>
    <row r="57" spans="2:10">
      <c r="B57" s="41"/>
      <c r="C57" s="41"/>
      <c r="D57" s="41"/>
      <c r="E57" s="41"/>
      <c r="F57" s="41"/>
      <c r="G57" s="41"/>
      <c r="H57" s="41"/>
      <c r="I57" s="46"/>
      <c r="J57" s="41"/>
    </row>
    <row r="58" spans="2:10">
      <c r="B58" s="41"/>
      <c r="C58" s="41"/>
      <c r="D58" s="41"/>
      <c r="E58" s="41"/>
      <c r="F58" s="41"/>
      <c r="G58" s="41"/>
      <c r="H58" s="47"/>
      <c r="I58" s="46"/>
      <c r="J58" s="47"/>
    </row>
  </sheetData>
  <printOptions horizontalCentered="1"/>
  <pageMargins left="0.5" right="0.5" top="0.75" bottom="0.75" header="0.5" footer="0.5"/>
  <pageSetup scale="93" orientation="portrait" r:id="rId1"/>
  <headerFooter alignWithMargins="0">
    <oddFooter>&amp;L
&amp;R&amp;Z&amp;F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zoomScale="80" zoomScaleNormal="80" zoomScaleSheetLayoutView="100" workbookViewId="0">
      <pane xSplit="4" ySplit="6" topLeftCell="E7" activePane="bottomRight" state="frozen"/>
      <selection activeCell="L49" sqref="L49"/>
      <selection pane="topRight" activeCell="L49" sqref="L49"/>
      <selection pane="bottomLeft" activeCell="L49" sqref="L49"/>
      <selection pane="bottomRight" activeCell="J26" sqref="J26"/>
    </sheetView>
  </sheetViews>
  <sheetFormatPr defaultColWidth="9.85546875" defaultRowHeight="14.25"/>
  <cols>
    <col min="1" max="1" width="3.85546875" style="39" customWidth="1"/>
    <col min="2" max="2" width="1.85546875" style="39" customWidth="1"/>
    <col min="3" max="3" width="25.42578125" style="39" customWidth="1"/>
    <col min="4" max="4" width="2.85546875" style="39" customWidth="1"/>
    <col min="5" max="6" width="14.42578125" style="39" bestFit="1" customWidth="1"/>
    <col min="7" max="7" width="13" style="39" bestFit="1" customWidth="1"/>
    <col min="8" max="8" width="9.85546875" style="39" customWidth="1"/>
    <col min="9" max="9" width="14.5703125" style="39" customWidth="1"/>
    <col min="10" max="10" width="9.85546875" style="39"/>
    <col min="11" max="11" width="10.5703125" style="39" bestFit="1" customWidth="1"/>
    <col min="12" max="16384" width="9.85546875" style="39"/>
  </cols>
  <sheetData>
    <row r="1" spans="1:17" ht="15">
      <c r="A1" s="61" t="s">
        <v>32</v>
      </c>
      <c r="B1" s="98"/>
      <c r="C1" s="98"/>
      <c r="D1" s="98"/>
      <c r="E1" s="98"/>
      <c r="F1" s="98"/>
      <c r="G1" s="98"/>
      <c r="H1" s="98"/>
      <c r="I1" s="41" t="s">
        <v>125</v>
      </c>
    </row>
    <row r="2" spans="1:17">
      <c r="A2" s="39" t="str">
        <f>B.1!A2</f>
        <v>Expected Gas Cost (EGC) Calculation</v>
      </c>
      <c r="B2" s="98"/>
      <c r="C2" s="98"/>
      <c r="D2" s="98"/>
      <c r="E2" s="98"/>
      <c r="F2" s="98"/>
      <c r="G2" s="98"/>
      <c r="H2" s="98"/>
      <c r="I2" s="55" t="s">
        <v>251</v>
      </c>
    </row>
    <row r="3" spans="1:17">
      <c r="A3" s="39" t="s">
        <v>250</v>
      </c>
      <c r="B3" s="98"/>
      <c r="C3" s="98"/>
      <c r="D3" s="98"/>
      <c r="E3" s="98"/>
      <c r="F3" s="98"/>
      <c r="G3" s="98"/>
      <c r="H3" s="98"/>
      <c r="I3" s="98"/>
    </row>
    <row r="4" spans="1:17">
      <c r="A4" s="41"/>
      <c r="B4" s="41"/>
      <c r="C4" s="41"/>
      <c r="D4" s="41"/>
      <c r="E4" s="41"/>
      <c r="F4" s="41"/>
      <c r="G4" s="41"/>
      <c r="H4" s="41"/>
      <c r="I4" s="41"/>
    </row>
    <row r="5" spans="1:17">
      <c r="A5" s="60" t="s">
        <v>24</v>
      </c>
      <c r="B5" s="41"/>
      <c r="C5" s="41"/>
      <c r="D5" s="41"/>
      <c r="E5" s="41"/>
      <c r="F5" s="41"/>
      <c r="G5" s="41"/>
      <c r="H5" s="41"/>
      <c r="I5" s="41"/>
    </row>
    <row r="6" spans="1:17" ht="15">
      <c r="A6" s="102" t="s">
        <v>23</v>
      </c>
      <c r="B6" s="62"/>
      <c r="C6" s="62"/>
      <c r="D6" s="62"/>
      <c r="E6" s="60" t="s">
        <v>27</v>
      </c>
      <c r="F6" s="60" t="s">
        <v>26</v>
      </c>
      <c r="G6" s="60" t="s">
        <v>25</v>
      </c>
      <c r="H6" s="60" t="s">
        <v>121</v>
      </c>
      <c r="I6" s="60" t="s">
        <v>120</v>
      </c>
      <c r="J6" s="71"/>
    </row>
    <row r="8" spans="1:17">
      <c r="A8" s="41">
        <v>1</v>
      </c>
      <c r="B8" s="41"/>
      <c r="C8" s="84" t="s">
        <v>249</v>
      </c>
      <c r="D8" s="41"/>
      <c r="E8" s="47"/>
      <c r="F8" s="41"/>
      <c r="G8" s="41"/>
      <c r="H8" s="41"/>
      <c r="I8" s="41"/>
    </row>
    <row r="9" spans="1:17">
      <c r="A9" s="41">
        <v>2</v>
      </c>
      <c r="B9" s="41"/>
      <c r="C9" s="41" t="s">
        <v>248</v>
      </c>
      <c r="D9" s="41"/>
      <c r="E9" s="101">
        <f>B.1!I71</f>
        <v>17908002</v>
      </c>
      <c r="F9" s="41"/>
      <c r="G9" s="41"/>
      <c r="H9" s="41"/>
      <c r="I9" s="47"/>
    </row>
    <row r="10" spans="1:17">
      <c r="A10" s="41">
        <v>3</v>
      </c>
      <c r="B10" s="41"/>
      <c r="C10" s="41" t="s">
        <v>247</v>
      </c>
      <c r="D10" s="41"/>
      <c r="E10" s="47">
        <v>0</v>
      </c>
      <c r="F10" s="41"/>
      <c r="G10" s="41"/>
      <c r="H10" s="41"/>
      <c r="I10" s="47"/>
    </row>
    <row r="11" spans="1:17">
      <c r="A11" s="41">
        <v>4</v>
      </c>
      <c r="B11" s="41"/>
      <c r="C11" s="41" t="s">
        <v>246</v>
      </c>
      <c r="D11" s="41"/>
      <c r="E11" s="47">
        <f>B.2!I35</f>
        <v>3247299</v>
      </c>
      <c r="F11" s="41"/>
      <c r="G11" s="41"/>
      <c r="H11" s="41"/>
      <c r="I11" s="41"/>
    </row>
    <row r="12" spans="1:17">
      <c r="A12" s="41">
        <v>5</v>
      </c>
      <c r="B12" s="41"/>
      <c r="C12" s="41" t="s">
        <v>227</v>
      </c>
      <c r="E12" s="108">
        <f>B.5!I32</f>
        <v>208297</v>
      </c>
    </row>
    <row r="13" spans="1:17" ht="15" thickBot="1">
      <c r="A13" s="41">
        <v>6</v>
      </c>
      <c r="C13" s="41" t="s">
        <v>114</v>
      </c>
      <c r="D13" s="41"/>
      <c r="E13" s="105">
        <f>SUM(E9:E12)</f>
        <v>21363598</v>
      </c>
      <c r="F13" s="41"/>
      <c r="G13" s="41"/>
      <c r="H13" s="41"/>
      <c r="I13" s="41"/>
    </row>
    <row r="14" spans="1:17" ht="15" thickTop="1">
      <c r="A14" s="41">
        <v>7</v>
      </c>
      <c r="B14" s="41"/>
    </row>
    <row r="15" spans="1:17">
      <c r="A15" s="41">
        <v>8</v>
      </c>
      <c r="B15" s="41"/>
      <c r="C15" s="41"/>
      <c r="D15" s="41"/>
      <c r="E15" s="41"/>
      <c r="F15" s="60" t="s">
        <v>245</v>
      </c>
      <c r="G15" s="60" t="s">
        <v>244</v>
      </c>
      <c r="H15" s="103" t="s">
        <v>243</v>
      </c>
      <c r="I15" s="103"/>
      <c r="Q15" s="475"/>
    </row>
    <row r="16" spans="1:17">
      <c r="A16" s="41">
        <v>9</v>
      </c>
      <c r="B16" s="41"/>
      <c r="C16" s="84" t="s">
        <v>242</v>
      </c>
      <c r="D16" s="41"/>
      <c r="E16" s="102" t="s">
        <v>241</v>
      </c>
      <c r="F16" s="102" t="s">
        <v>13</v>
      </c>
      <c r="G16" s="102" t="s">
        <v>240</v>
      </c>
      <c r="H16" s="102" t="s">
        <v>233</v>
      </c>
      <c r="I16" s="102" t="s">
        <v>239</v>
      </c>
      <c r="Q16" s="475"/>
    </row>
    <row r="17" spans="1:17">
      <c r="A17" s="41">
        <v>10</v>
      </c>
      <c r="B17" s="41"/>
      <c r="C17" s="41" t="s">
        <v>238</v>
      </c>
      <c r="D17" s="41"/>
      <c r="E17" s="46">
        <f>B.8!F22</f>
        <v>0.14829999999999999</v>
      </c>
      <c r="F17" s="101">
        <f>ROUND($E$13*E17,0)</f>
        <v>3168222</v>
      </c>
      <c r="G17" s="47">
        <f>F35</f>
        <v>16851020.133679997</v>
      </c>
      <c r="H17" s="107">
        <f>ROUND(F17/G17,4)</f>
        <v>0.188</v>
      </c>
      <c r="I17" s="107">
        <f>H17</f>
        <v>0.188</v>
      </c>
      <c r="Q17" s="475"/>
    </row>
    <row r="18" spans="1:17">
      <c r="A18" s="41">
        <v>11</v>
      </c>
      <c r="B18" s="41"/>
      <c r="C18" s="41" t="s">
        <v>233</v>
      </c>
      <c r="D18" s="41"/>
      <c r="E18" s="46">
        <f>E19-E17</f>
        <v>0.85170000000000001</v>
      </c>
      <c r="F18" s="47">
        <f>ROUND($E$13*E18,0)</f>
        <v>18195376</v>
      </c>
      <c r="G18" s="47">
        <f>G35</f>
        <v>16571767.975719998</v>
      </c>
      <c r="H18" s="107">
        <f>ROUND(F18/G18,4)</f>
        <v>1.0980000000000001</v>
      </c>
      <c r="I18" s="106"/>
      <c r="Q18" s="475"/>
    </row>
    <row r="19" spans="1:17" ht="15" thickBot="1">
      <c r="A19" s="41">
        <v>12</v>
      </c>
      <c r="C19" s="41" t="s">
        <v>114</v>
      </c>
      <c r="D19" s="41"/>
      <c r="E19" s="90">
        <v>1</v>
      </c>
      <c r="F19" s="105">
        <f>F17+F18</f>
        <v>21363598</v>
      </c>
      <c r="G19" s="41"/>
      <c r="H19" s="104">
        <f>H17+H18</f>
        <v>1.286</v>
      </c>
      <c r="I19" s="104">
        <f>I17+I18</f>
        <v>0.188</v>
      </c>
      <c r="L19" s="433"/>
      <c r="Q19" s="475"/>
    </row>
    <row r="20" spans="1:17" ht="15" thickTop="1">
      <c r="A20" s="41">
        <v>13</v>
      </c>
      <c r="B20" s="41"/>
      <c r="Q20" s="475"/>
    </row>
    <row r="21" spans="1:17">
      <c r="A21" s="41">
        <v>14</v>
      </c>
      <c r="B21" s="41"/>
      <c r="C21" s="41"/>
      <c r="D21" s="41"/>
      <c r="E21" s="41"/>
      <c r="F21" s="98" t="s">
        <v>237</v>
      </c>
      <c r="G21" s="98"/>
      <c r="H21" s="41"/>
      <c r="I21" s="41"/>
      <c r="Q21" s="475"/>
    </row>
    <row r="22" spans="1:17">
      <c r="A22" s="41">
        <v>15</v>
      </c>
      <c r="B22" s="41"/>
      <c r="C22" s="41"/>
      <c r="D22" s="41"/>
      <c r="E22" s="60" t="s">
        <v>163</v>
      </c>
      <c r="F22" s="103" t="s">
        <v>236</v>
      </c>
      <c r="G22" s="103"/>
      <c r="H22" s="41"/>
      <c r="I22" s="41"/>
      <c r="Q22" s="475"/>
    </row>
    <row r="23" spans="1:17">
      <c r="A23" s="41">
        <v>16</v>
      </c>
      <c r="B23" s="41"/>
      <c r="C23" s="41"/>
      <c r="D23" s="41"/>
      <c r="E23" s="102" t="s">
        <v>235</v>
      </c>
      <c r="F23" s="102" t="s">
        <v>234</v>
      </c>
      <c r="G23" s="102" t="s">
        <v>233</v>
      </c>
      <c r="H23" s="41"/>
      <c r="I23" s="41"/>
      <c r="Q23" s="475"/>
    </row>
    <row r="24" spans="1:17">
      <c r="A24" s="41">
        <v>17</v>
      </c>
      <c r="B24" s="41"/>
      <c r="C24" s="84" t="s">
        <v>39</v>
      </c>
      <c r="D24" s="41"/>
      <c r="E24" s="41"/>
      <c r="F24" s="41"/>
      <c r="G24" s="41"/>
      <c r="H24" s="41"/>
      <c r="I24" s="41"/>
    </row>
    <row r="25" spans="1:17">
      <c r="A25" s="41">
        <v>18</v>
      </c>
      <c r="B25" s="41"/>
      <c r="C25" s="41" t="s">
        <v>231</v>
      </c>
      <c r="D25" s="41"/>
      <c r="E25" s="41"/>
      <c r="F25" s="41"/>
      <c r="G25" s="41"/>
      <c r="H25" s="41"/>
      <c r="I25" s="41"/>
    </row>
    <row r="26" spans="1:17">
      <c r="A26" s="41">
        <v>19</v>
      </c>
      <c r="B26" s="41"/>
      <c r="C26" s="41" t="s">
        <v>232</v>
      </c>
      <c r="D26" s="41"/>
      <c r="E26" s="322">
        <v>16571767.975719998</v>
      </c>
      <c r="F26" s="47">
        <f>E26</f>
        <v>16571767.975719998</v>
      </c>
      <c r="G26" s="47">
        <f>E26</f>
        <v>16571767.975719998</v>
      </c>
      <c r="H26" s="100">
        <f>H19</f>
        <v>1.286</v>
      </c>
      <c r="I26" s="41"/>
    </row>
    <row r="27" spans="1:17">
      <c r="A27" s="41">
        <v>20</v>
      </c>
      <c r="B27" s="41"/>
      <c r="C27" s="41"/>
      <c r="D27" s="41"/>
      <c r="E27" s="322"/>
      <c r="F27" s="47"/>
      <c r="G27" s="41"/>
      <c r="H27" s="41"/>
      <c r="I27" s="41"/>
    </row>
    <row r="28" spans="1:17">
      <c r="A28" s="41">
        <v>21</v>
      </c>
      <c r="B28" s="41"/>
      <c r="C28" s="84" t="s">
        <v>38</v>
      </c>
      <c r="D28" s="41"/>
      <c r="E28" s="324"/>
      <c r="F28" s="47"/>
      <c r="G28" s="41"/>
      <c r="H28" s="100"/>
      <c r="I28" s="41"/>
    </row>
    <row r="29" spans="1:17">
      <c r="A29" s="41">
        <v>22</v>
      </c>
      <c r="B29" s="41"/>
      <c r="C29" s="41" t="s">
        <v>231</v>
      </c>
      <c r="D29" s="41"/>
      <c r="E29" s="324"/>
      <c r="F29" s="47"/>
      <c r="G29" s="41"/>
      <c r="H29" s="100"/>
      <c r="I29" s="41"/>
    </row>
    <row r="30" spans="1:17">
      <c r="A30" s="41">
        <v>23</v>
      </c>
      <c r="B30" s="41"/>
      <c r="C30" s="41" t="s">
        <v>230</v>
      </c>
      <c r="D30" s="41"/>
      <c r="E30" s="322">
        <v>279252.15795999998</v>
      </c>
      <c r="F30" s="47">
        <f>E30</f>
        <v>279252.15795999998</v>
      </c>
      <c r="G30" s="41"/>
      <c r="H30" s="100">
        <f>H19</f>
        <v>1.286</v>
      </c>
      <c r="I30" s="100">
        <f>I19</f>
        <v>0.188</v>
      </c>
      <c r="M30" s="50"/>
    </row>
    <row r="31" spans="1:17">
      <c r="A31" s="41">
        <v>24</v>
      </c>
      <c r="B31" s="41"/>
      <c r="C31" s="41"/>
      <c r="D31" s="41"/>
      <c r="E31" s="324"/>
      <c r="F31" s="47"/>
      <c r="G31" s="41"/>
      <c r="H31" s="100"/>
      <c r="I31" s="41"/>
    </row>
    <row r="32" spans="1:17">
      <c r="A32" s="41">
        <v>25</v>
      </c>
      <c r="B32" s="41"/>
      <c r="C32" s="84" t="s">
        <v>35</v>
      </c>
      <c r="D32" s="41"/>
      <c r="E32" s="324"/>
      <c r="F32" s="47"/>
      <c r="G32" s="41"/>
      <c r="H32" s="100"/>
      <c r="I32" s="41"/>
    </row>
    <row r="33" spans="1:9">
      <c r="A33" s="41">
        <v>26</v>
      </c>
      <c r="B33" s="41"/>
      <c r="C33" s="41" t="s">
        <v>229</v>
      </c>
      <c r="D33" s="41"/>
      <c r="E33" s="322">
        <v>31922587.296000004</v>
      </c>
      <c r="F33" s="47"/>
      <c r="G33" s="41"/>
      <c r="H33" s="100"/>
      <c r="I33" s="41"/>
    </row>
    <row r="34" spans="1:9">
      <c r="A34" s="41">
        <v>27</v>
      </c>
      <c r="B34" s="41"/>
      <c r="C34" s="41"/>
      <c r="D34" s="41"/>
      <c r="E34" s="41"/>
      <c r="F34" s="47"/>
      <c r="G34" s="41"/>
      <c r="H34" s="100"/>
      <c r="I34" s="41"/>
    </row>
    <row r="35" spans="1:9" ht="15" thickBot="1">
      <c r="A35" s="41">
        <v>28</v>
      </c>
      <c r="B35" s="41"/>
      <c r="C35" s="41"/>
      <c r="D35" s="41"/>
      <c r="E35" s="44">
        <f>E26+E30+E33</f>
        <v>48773607.429680005</v>
      </c>
      <c r="F35" s="44">
        <f>F26+F30</f>
        <v>16851020.133679997</v>
      </c>
      <c r="G35" s="44">
        <f>G26</f>
        <v>16571767.975719998</v>
      </c>
      <c r="H35" s="100"/>
      <c r="I35" s="41"/>
    </row>
    <row r="36" spans="1:9" ht="15" thickTop="1">
      <c r="A36" s="41">
        <v>29</v>
      </c>
      <c r="B36" s="41"/>
      <c r="C36" s="41"/>
      <c r="D36" s="41"/>
      <c r="E36" s="41"/>
      <c r="F36" s="47"/>
      <c r="G36" s="41"/>
      <c r="H36" s="100"/>
      <c r="I36" s="41"/>
    </row>
    <row r="37" spans="1:9">
      <c r="A37" s="41">
        <v>30</v>
      </c>
      <c r="B37" s="41"/>
      <c r="C37" s="84"/>
      <c r="D37" s="41"/>
      <c r="E37" s="47"/>
      <c r="F37" s="41"/>
      <c r="G37" s="41"/>
      <c r="H37" s="100"/>
      <c r="I37" s="41"/>
    </row>
    <row r="38" spans="1:9">
      <c r="A38" s="41"/>
      <c r="B38" s="41"/>
      <c r="C38" s="41"/>
      <c r="D38" s="41"/>
      <c r="E38" s="41"/>
      <c r="F38" s="101"/>
      <c r="G38" s="41"/>
      <c r="H38" s="100"/>
      <c r="I38" s="41"/>
    </row>
    <row r="39" spans="1:9">
      <c r="A39" s="41"/>
      <c r="B39" s="41"/>
      <c r="C39" s="41"/>
      <c r="D39" s="41"/>
      <c r="E39" s="41"/>
      <c r="F39" s="47"/>
      <c r="G39" s="41"/>
      <c r="H39" s="100"/>
      <c r="I39" s="41"/>
    </row>
    <row r="40" spans="1:9">
      <c r="A40" s="41"/>
      <c r="B40" s="41"/>
      <c r="C40" s="41"/>
      <c r="D40" s="41"/>
      <c r="E40" s="41"/>
      <c r="F40" s="47"/>
      <c r="G40" s="41"/>
      <c r="H40" s="100"/>
      <c r="I40" s="41"/>
    </row>
    <row r="41" spans="1:9">
      <c r="A41" s="41"/>
      <c r="B41" s="41"/>
      <c r="C41" s="41"/>
      <c r="D41" s="41"/>
      <c r="E41" s="41"/>
      <c r="F41" s="47"/>
      <c r="G41" s="41"/>
      <c r="H41" s="41"/>
      <c r="I41" s="41"/>
    </row>
    <row r="42" spans="1:9">
      <c r="A42" s="41"/>
      <c r="C42" s="41"/>
      <c r="D42" s="41"/>
      <c r="E42" s="41"/>
      <c r="F42" s="99"/>
      <c r="G42" s="41"/>
      <c r="H42" s="41"/>
      <c r="I42" s="41"/>
    </row>
    <row r="43" spans="1:9">
      <c r="A43" s="41"/>
    </row>
    <row r="44" spans="1:9">
      <c r="A44" s="41"/>
    </row>
    <row r="45" spans="1:9">
      <c r="A45" s="41"/>
    </row>
    <row r="46" spans="1:9">
      <c r="A46" s="41"/>
      <c r="B46" s="41"/>
      <c r="C46" s="41"/>
      <c r="D46" s="41"/>
      <c r="E46" s="47"/>
      <c r="F46" s="41"/>
      <c r="G46" s="41"/>
      <c r="H46" s="41"/>
      <c r="I46" s="41"/>
    </row>
    <row r="47" spans="1:9">
      <c r="A47" s="41"/>
      <c r="B47" s="41"/>
      <c r="C47" s="41"/>
      <c r="D47" s="41"/>
      <c r="E47" s="47"/>
      <c r="F47" s="41"/>
      <c r="G47" s="41"/>
      <c r="H47" s="41"/>
      <c r="I47" s="41"/>
    </row>
    <row r="48" spans="1:9">
      <c r="A48" s="41"/>
      <c r="B48" s="41"/>
      <c r="C48" s="41"/>
      <c r="D48" s="41"/>
      <c r="E48" s="47"/>
      <c r="F48" s="41"/>
      <c r="G48" s="41"/>
      <c r="H48" s="41"/>
      <c r="I48" s="41"/>
    </row>
    <row r="49" spans="1:9">
      <c r="A49" s="41"/>
      <c r="B49" s="41"/>
      <c r="C49" s="41"/>
      <c r="D49" s="41"/>
      <c r="E49" s="47"/>
      <c r="F49" s="41"/>
      <c r="G49" s="41"/>
      <c r="H49" s="41"/>
      <c r="I49" s="41"/>
    </row>
    <row r="50" spans="1:9">
      <c r="A50" s="41"/>
    </row>
    <row r="51" spans="1:9">
      <c r="A51" s="41"/>
    </row>
    <row r="52" spans="1:9">
      <c r="A52" s="41"/>
    </row>
    <row r="53" spans="1:9">
      <c r="A53" s="41"/>
    </row>
    <row r="54" spans="1:9">
      <c r="A54" s="41"/>
    </row>
    <row r="55" spans="1:9">
      <c r="A55" s="41"/>
    </row>
    <row r="56" spans="1:9">
      <c r="A56" s="41"/>
    </row>
    <row r="57" spans="1:9">
      <c r="A57" s="41"/>
    </row>
    <row r="58" spans="1:9">
      <c r="A58" s="41"/>
    </row>
    <row r="59" spans="1:9">
      <c r="A59" s="41"/>
    </row>
    <row r="60" spans="1:9">
      <c r="A60" s="41"/>
    </row>
    <row r="61" spans="1:9">
      <c r="A61" s="41"/>
    </row>
    <row r="62" spans="1:9">
      <c r="A62" s="41"/>
    </row>
    <row r="63" spans="1:9">
      <c r="A63" s="41"/>
    </row>
    <row r="64" spans="1:9">
      <c r="A64" s="41"/>
    </row>
    <row r="65" spans="1:1">
      <c r="A65" s="41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zoomScale="80" zoomScaleNormal="80" zoomScaleSheetLayoutView="85" workbookViewId="0">
      <pane xSplit="4" ySplit="9" topLeftCell="E18" activePane="bottomRight" state="frozen"/>
      <selection activeCell="L49" sqref="L49"/>
      <selection pane="topRight" activeCell="L49" sqref="L49"/>
      <selection pane="bottomLeft" activeCell="L49" sqref="L49"/>
      <selection pane="bottomRight" activeCell="H33" sqref="H33"/>
    </sheetView>
  </sheetViews>
  <sheetFormatPr defaultColWidth="9.85546875" defaultRowHeight="14.25"/>
  <cols>
    <col min="1" max="1" width="4.85546875" style="39" customWidth="1"/>
    <col min="2" max="2" width="9.85546875" style="39"/>
    <col min="3" max="3" width="15.85546875" style="39" customWidth="1"/>
    <col min="4" max="4" width="13.85546875" style="39" customWidth="1"/>
    <col min="5" max="5" width="16.7109375" style="39" customWidth="1"/>
    <col min="6" max="6" width="13.7109375" style="39" customWidth="1"/>
    <col min="7" max="7" width="11.140625" style="39" customWidth="1"/>
    <col min="8" max="8" width="15" style="39" customWidth="1"/>
    <col min="9" max="9" width="10.140625" style="39" bestFit="1" customWidth="1"/>
    <col min="10" max="10" width="9.85546875" style="39"/>
    <col min="11" max="11" width="15.140625" style="39" bestFit="1" customWidth="1"/>
    <col min="12" max="12" width="11.7109375" style="109" bestFit="1" customWidth="1"/>
    <col min="13" max="13" width="9.85546875" style="39"/>
    <col min="14" max="14" width="12.85546875" style="39" bestFit="1" customWidth="1"/>
    <col min="15" max="16384" width="9.85546875" style="39"/>
  </cols>
  <sheetData>
    <row r="1" spans="1:17" ht="15">
      <c r="A1" s="68" t="s">
        <v>32</v>
      </c>
      <c r="B1" s="55"/>
      <c r="C1" s="55"/>
      <c r="D1" s="55"/>
      <c r="E1" s="55"/>
      <c r="F1" s="55"/>
      <c r="G1" s="98"/>
      <c r="H1" s="41" t="s">
        <v>125</v>
      </c>
    </row>
    <row r="2" spans="1:17">
      <c r="A2" s="55" t="str">
        <f>B.1!A2</f>
        <v>Expected Gas Cost (EGC) Calculation</v>
      </c>
      <c r="B2" s="55"/>
      <c r="C2" s="55"/>
      <c r="D2" s="55"/>
      <c r="E2" s="55"/>
      <c r="F2" s="55"/>
      <c r="G2" s="98"/>
      <c r="H2" s="41" t="s">
        <v>270</v>
      </c>
      <c r="K2" s="39" t="s">
        <v>560</v>
      </c>
    </row>
    <row r="3" spans="1:17">
      <c r="A3" s="67" t="s">
        <v>269</v>
      </c>
      <c r="B3" s="55"/>
      <c r="C3" s="55"/>
      <c r="D3" s="55"/>
      <c r="E3" s="55"/>
      <c r="F3" s="55"/>
      <c r="G3" s="98"/>
      <c r="H3" s="41"/>
      <c r="J3" s="39" t="s">
        <v>557</v>
      </c>
      <c r="K3" s="435">
        <v>1.0353763098572544</v>
      </c>
    </row>
    <row r="4" spans="1:17">
      <c r="A4" s="41"/>
      <c r="B4" s="41"/>
      <c r="C4" s="41"/>
      <c r="D4" s="41"/>
      <c r="E4" s="41"/>
      <c r="F4" s="41"/>
      <c r="G4" s="66"/>
      <c r="H4" s="41"/>
      <c r="J4" s="39" t="s">
        <v>558</v>
      </c>
      <c r="K4" s="435">
        <v>1.0546670121793211</v>
      </c>
    </row>
    <row r="5" spans="1:17">
      <c r="A5" s="89"/>
      <c r="B5" s="41"/>
      <c r="C5" s="41"/>
      <c r="D5" s="41"/>
      <c r="E5" s="60" t="s">
        <v>27</v>
      </c>
      <c r="F5" s="60" t="s">
        <v>26</v>
      </c>
      <c r="G5" s="60" t="s">
        <v>25</v>
      </c>
      <c r="H5" s="60" t="s">
        <v>121</v>
      </c>
      <c r="I5" s="60"/>
      <c r="J5" s="39" t="s">
        <v>559</v>
      </c>
      <c r="K5" s="435">
        <f>K3</f>
        <v>1.0353763098572544</v>
      </c>
    </row>
    <row r="6" spans="1:17" ht="15">
      <c r="A6" s="61"/>
      <c r="B6" s="61"/>
      <c r="C6" s="61"/>
      <c r="D6" s="61"/>
      <c r="E6" s="61"/>
      <c r="F6" s="61"/>
      <c r="G6" s="61"/>
      <c r="H6" s="61"/>
    </row>
    <row r="7" spans="1:17" ht="15">
      <c r="A7" s="64" t="s">
        <v>24</v>
      </c>
      <c r="B7" s="61"/>
      <c r="C7" s="61"/>
      <c r="D7" s="61"/>
      <c r="E7" s="97"/>
      <c r="F7" s="97"/>
      <c r="G7" s="61"/>
      <c r="H7" s="61"/>
    </row>
    <row r="8" spans="1:17" ht="15">
      <c r="A8" s="63" t="s">
        <v>23</v>
      </c>
      <c r="B8" s="62" t="s">
        <v>22</v>
      </c>
      <c r="C8" s="62"/>
      <c r="D8" s="62"/>
      <c r="E8" s="65" t="s">
        <v>203</v>
      </c>
      <c r="F8" s="65"/>
      <c r="G8" s="63" t="s">
        <v>115</v>
      </c>
      <c r="H8" s="63" t="s">
        <v>114</v>
      </c>
    </row>
    <row r="9" spans="1:17" ht="15">
      <c r="A9" s="41"/>
      <c r="B9" s="61"/>
      <c r="C9" s="41"/>
      <c r="D9" s="41"/>
      <c r="E9" s="60" t="s">
        <v>4</v>
      </c>
      <c r="F9" s="60" t="s">
        <v>113</v>
      </c>
      <c r="G9" s="60" t="s">
        <v>20</v>
      </c>
      <c r="H9" s="60" t="s">
        <v>111</v>
      </c>
    </row>
    <row r="10" spans="1:17" ht="15">
      <c r="A10" s="41"/>
      <c r="B10" s="56"/>
      <c r="C10" s="41"/>
      <c r="D10" s="41"/>
      <c r="E10" s="41"/>
      <c r="F10" s="88"/>
      <c r="G10" s="41"/>
      <c r="H10" s="41"/>
    </row>
    <row r="11" spans="1:17" ht="15">
      <c r="A11" s="41">
        <v>1</v>
      </c>
      <c r="B11" s="56" t="s">
        <v>268</v>
      </c>
      <c r="C11" s="41"/>
      <c r="D11" s="41"/>
      <c r="E11" s="47"/>
      <c r="F11" s="47"/>
      <c r="G11" s="41"/>
      <c r="H11" s="41"/>
    </row>
    <row r="12" spans="1:17">
      <c r="A12" s="41">
        <v>2</v>
      </c>
      <c r="B12" s="41" t="s">
        <v>267</v>
      </c>
      <c r="C12" s="41"/>
      <c r="D12" s="41"/>
      <c r="E12" s="50">
        <f>ROUND(F12/$K$3,0)</f>
        <v>1887375</v>
      </c>
      <c r="F12" s="47">
        <f>B.3!G11</f>
        <v>1954142.85</v>
      </c>
      <c r="G12" s="46">
        <f>IF(F12&lt;&gt;0,ROUND(H12/E12,4),0)</f>
        <v>3.4670999999999998</v>
      </c>
      <c r="H12" s="47">
        <f>B.3!I15</f>
        <v>6543643</v>
      </c>
    </row>
    <row r="13" spans="1:17">
      <c r="A13" s="41">
        <v>3</v>
      </c>
      <c r="B13" s="41" t="s">
        <v>226</v>
      </c>
      <c r="C13" s="41"/>
      <c r="D13" s="41"/>
      <c r="E13" s="50">
        <f t="shared" ref="E13:E14" si="0">ROUND(F13/$K$3,0)</f>
        <v>1544216</v>
      </c>
      <c r="F13" s="47">
        <f>B.3!G17</f>
        <v>1598844.1500000001</v>
      </c>
      <c r="G13" s="46">
        <f>IF(F13&lt;&gt;0,ROUND(H13/E13,4),0)</f>
        <v>3.4548000000000001</v>
      </c>
      <c r="H13" s="47">
        <f>B.3!I22</f>
        <v>5335023</v>
      </c>
      <c r="I13" s="93"/>
    </row>
    <row r="14" spans="1:17">
      <c r="A14" s="41">
        <v>4</v>
      </c>
      <c r="B14" s="41" t="s">
        <v>185</v>
      </c>
      <c r="C14" s="41"/>
      <c r="D14" s="81"/>
      <c r="E14" s="50">
        <f t="shared" si="0"/>
        <v>2003338</v>
      </c>
      <c r="F14" s="47">
        <f>B.3!G25+B.3!G26</f>
        <v>2074209</v>
      </c>
      <c r="G14" s="46">
        <f>IF(F14&lt;&gt;0,ROUND(H14/E14,4),0)</f>
        <v>3.5560999999999998</v>
      </c>
      <c r="H14" s="47">
        <f>B.3!I29</f>
        <v>7124078</v>
      </c>
      <c r="I14" s="93"/>
    </row>
    <row r="15" spans="1:17">
      <c r="A15" s="41">
        <v>5</v>
      </c>
      <c r="B15" s="41" t="s">
        <v>266</v>
      </c>
      <c r="C15" s="41"/>
      <c r="D15" s="41"/>
      <c r="E15" s="48">
        <f>SUM(E12:E14)</f>
        <v>5434929</v>
      </c>
      <c r="F15" s="48">
        <f>SUM(F12:F14)</f>
        <v>5627196</v>
      </c>
      <c r="G15" s="117">
        <f>IF(F15&lt;&gt;0,ROUND(H15/E15,4),0)</f>
        <v>3.4964</v>
      </c>
      <c r="H15" s="48">
        <f>SUM(H12:H14)</f>
        <v>19002744</v>
      </c>
      <c r="K15" s="412"/>
      <c r="L15" s="412"/>
      <c r="Q15" s="475"/>
    </row>
    <row r="16" spans="1:17">
      <c r="A16" s="41">
        <v>6</v>
      </c>
      <c r="B16" s="41"/>
      <c r="C16" s="41"/>
      <c r="D16" s="41"/>
      <c r="E16" s="41"/>
      <c r="F16" s="47"/>
      <c r="G16" s="41"/>
      <c r="H16" s="41"/>
      <c r="J16" s="40"/>
      <c r="K16" s="50"/>
      <c r="Q16" s="475"/>
    </row>
    <row r="17" spans="1:17" ht="15">
      <c r="A17" s="41">
        <v>7</v>
      </c>
      <c r="B17" s="56" t="s">
        <v>265</v>
      </c>
      <c r="C17" s="41"/>
      <c r="D17" s="41"/>
      <c r="E17" s="41"/>
      <c r="F17" s="47"/>
      <c r="G17" s="41"/>
      <c r="H17" s="47"/>
      <c r="Q17" s="475"/>
    </row>
    <row r="18" spans="1:17">
      <c r="A18" s="41">
        <v>8</v>
      </c>
      <c r="B18" s="41" t="s">
        <v>264</v>
      </c>
      <c r="C18" s="41"/>
      <c r="D18" s="41"/>
      <c r="E18" s="50">
        <f>ROUND(F18/$K$4,0)</f>
        <v>435447</v>
      </c>
      <c r="F18" s="47">
        <f>B.4!H11</f>
        <v>459252</v>
      </c>
      <c r="G18" s="46">
        <f>IF(F18&lt;&gt;0,ROUND(H18/E18,4),0)</f>
        <v>3.5160999999999998</v>
      </c>
      <c r="H18" s="47">
        <f>B.4!J16</f>
        <v>1531063</v>
      </c>
      <c r="Q18" s="475"/>
    </row>
    <row r="19" spans="1:17">
      <c r="A19" s="41">
        <v>9</v>
      </c>
      <c r="B19" s="41" t="s">
        <v>263</v>
      </c>
      <c r="C19" s="41"/>
      <c r="D19" s="41"/>
      <c r="E19" s="50">
        <f>ROUND(F19/$K$4,0)</f>
        <v>0</v>
      </c>
      <c r="F19" s="47">
        <f>B.4!H18</f>
        <v>0</v>
      </c>
      <c r="G19" s="46">
        <f>IF(F19&lt;&gt;0,ROUND(H19/E19,4),0)</f>
        <v>0</v>
      </c>
      <c r="H19" s="47">
        <f>B.4!J23</f>
        <v>0</v>
      </c>
      <c r="J19" s="50"/>
      <c r="K19" s="50"/>
      <c r="Q19" s="475"/>
    </row>
    <row r="20" spans="1:17">
      <c r="A20" s="41">
        <v>10</v>
      </c>
      <c r="B20" s="41" t="s">
        <v>134</v>
      </c>
      <c r="C20" s="41"/>
      <c r="D20" s="41"/>
      <c r="E20" s="50"/>
      <c r="F20" s="50"/>
      <c r="G20" s="46"/>
      <c r="H20" s="50"/>
      <c r="I20" s="50"/>
      <c r="Q20" s="475"/>
    </row>
    <row r="21" spans="1:17">
      <c r="A21" s="41">
        <v>11</v>
      </c>
      <c r="B21" s="54" t="s">
        <v>223</v>
      </c>
      <c r="C21" s="41"/>
      <c r="D21" s="41"/>
      <c r="E21" s="50">
        <f t="shared" ref="E21:E22" si="1">ROUND(F21/$K$4,0)</f>
        <v>0</v>
      </c>
      <c r="F21" s="50">
        <f>B.4!H27</f>
        <v>0</v>
      </c>
      <c r="G21" s="46">
        <f>IF(F21&lt;&gt;0,ROUND(H21/E21,4),0)</f>
        <v>0</v>
      </c>
      <c r="H21" s="50">
        <f>B.4!J27+B.4!J29</f>
        <v>0</v>
      </c>
      <c r="Q21" s="475"/>
    </row>
    <row r="22" spans="1:17">
      <c r="A22" s="41">
        <v>12</v>
      </c>
      <c r="B22" s="54" t="s">
        <v>181</v>
      </c>
      <c r="C22" s="41"/>
      <c r="D22" s="81"/>
      <c r="E22" s="50">
        <f t="shared" si="1"/>
        <v>684993</v>
      </c>
      <c r="F22" s="69">
        <f>B.4!H26</f>
        <v>722440</v>
      </c>
      <c r="G22" s="46">
        <f>IF(F22&lt;&gt;0,ROUND(H22/E22,4),0)</f>
        <v>3.5350000000000001</v>
      </c>
      <c r="H22" s="118">
        <f>B.4!J26+B.4!J28+B.4!J30</f>
        <v>2421473.92</v>
      </c>
      <c r="Q22" s="475"/>
    </row>
    <row r="23" spans="1:17" ht="15">
      <c r="A23" s="41">
        <v>13</v>
      </c>
      <c r="B23" s="41"/>
      <c r="C23" s="41"/>
      <c r="D23" s="41"/>
      <c r="E23" s="48">
        <f>SUM(E18:E22)</f>
        <v>1120440</v>
      </c>
      <c r="F23" s="48">
        <f>SUM(F18:F22)</f>
        <v>1181692</v>
      </c>
      <c r="G23" s="117">
        <f>IF(F23&lt;&gt;0,ROUND(H23/E23,4),0)</f>
        <v>3.5276999999999998</v>
      </c>
      <c r="H23" s="48">
        <f>SUM(H18:H22)</f>
        <v>3952536.92</v>
      </c>
      <c r="I23" s="86"/>
      <c r="L23" s="413"/>
      <c r="Q23" s="475"/>
    </row>
    <row r="24" spans="1:17" ht="15">
      <c r="A24" s="41">
        <v>14</v>
      </c>
      <c r="B24" s="56" t="s">
        <v>262</v>
      </c>
      <c r="C24" s="41"/>
      <c r="D24" s="41"/>
      <c r="E24" s="41"/>
      <c r="F24" s="47"/>
      <c r="G24" s="41"/>
      <c r="H24" s="47"/>
    </row>
    <row r="25" spans="1:17">
      <c r="A25" s="41">
        <v>15</v>
      </c>
      <c r="B25" s="41" t="s">
        <v>226</v>
      </c>
      <c r="C25" s="41"/>
      <c r="D25" s="41"/>
      <c r="E25" s="50">
        <f>ROUND(F25/K5,0)</f>
        <v>236629</v>
      </c>
      <c r="F25" s="47">
        <f>B.5!H12</f>
        <v>245000</v>
      </c>
      <c r="G25" s="46">
        <f>IF(F25&lt;&gt;0,ROUND(H25/E25,4),0)</f>
        <v>3.4129</v>
      </c>
      <c r="H25" s="47">
        <f>B.5!J17</f>
        <v>807594</v>
      </c>
    </row>
    <row r="26" spans="1:17">
      <c r="A26" s="41">
        <v>16</v>
      </c>
      <c r="G26" s="46"/>
    </row>
    <row r="27" spans="1:17" ht="15">
      <c r="A27" s="41">
        <v>17</v>
      </c>
      <c r="B27" s="56" t="s">
        <v>261</v>
      </c>
      <c r="C27" s="41"/>
      <c r="D27" s="41"/>
      <c r="F27" s="47"/>
      <c r="G27" s="46"/>
      <c r="H27" s="41"/>
    </row>
    <row r="28" spans="1:17">
      <c r="A28" s="41">
        <v>18</v>
      </c>
      <c r="B28" s="39" t="s">
        <v>259</v>
      </c>
      <c r="C28" s="41"/>
      <c r="D28" s="41"/>
      <c r="E28" s="50">
        <f>ROUND(F28/K3,0)</f>
        <v>1334039</v>
      </c>
      <c r="F28" s="495">
        <v>1381232.3353246751</v>
      </c>
      <c r="G28" s="46">
        <f>IF(F28&lt;&gt;0,ROUND(H28/E28,4),0)</f>
        <v>3.4346000000000001</v>
      </c>
      <c r="H28" s="47">
        <f>ROUND(E28*B.3!H29,0)</f>
        <v>4581890</v>
      </c>
    </row>
    <row r="29" spans="1:17">
      <c r="A29" s="41">
        <v>19</v>
      </c>
      <c r="B29" s="39" t="s">
        <v>260</v>
      </c>
      <c r="C29" s="41"/>
      <c r="D29" s="41"/>
      <c r="E29" s="50">
        <f>ROUND(F29/K3,0)</f>
        <v>0</v>
      </c>
      <c r="F29" s="420">
        <v>0</v>
      </c>
      <c r="G29" s="426">
        <f>IF(F29&lt;&gt;0,ROUND(H29/E29,4),0)</f>
        <v>0</v>
      </c>
      <c r="H29" s="69">
        <f>ROUND(E29*B.3!H29,0)</f>
        <v>0</v>
      </c>
      <c r="J29" s="93"/>
      <c r="K29" s="116"/>
    </row>
    <row r="30" spans="1:17">
      <c r="A30" s="41">
        <v>20</v>
      </c>
      <c r="B30" s="41" t="s">
        <v>258</v>
      </c>
      <c r="C30" s="41"/>
      <c r="D30" s="81"/>
      <c r="E30" s="47">
        <f>E28+E29</f>
        <v>1334039</v>
      </c>
      <c r="F30" s="47">
        <f>F28+F29</f>
        <v>1381232.3353246751</v>
      </c>
      <c r="G30" s="46">
        <f>IF(F30&lt;&gt;0,ROUND(H30/E30,4),0)</f>
        <v>3.4346000000000001</v>
      </c>
      <c r="H30" s="47">
        <f>H28+H29</f>
        <v>4581890</v>
      </c>
      <c r="K30" s="412"/>
      <c r="L30" s="412"/>
    </row>
    <row r="31" spans="1:17">
      <c r="A31" s="41">
        <v>21</v>
      </c>
      <c r="B31" s="41"/>
      <c r="C31" s="41"/>
      <c r="D31" s="81"/>
      <c r="E31" s="41"/>
      <c r="F31" s="47"/>
      <c r="G31" s="46"/>
      <c r="H31" s="47"/>
    </row>
    <row r="32" spans="1:17">
      <c r="A32" s="41">
        <v>22</v>
      </c>
      <c r="B32" s="41"/>
      <c r="C32" s="41"/>
      <c r="D32" s="81"/>
      <c r="E32" s="41"/>
      <c r="F32" s="47"/>
      <c r="G32" s="46"/>
      <c r="H32" s="47"/>
    </row>
    <row r="33" spans="1:14">
      <c r="A33" s="41">
        <v>23</v>
      </c>
      <c r="B33" s="41" t="s">
        <v>257</v>
      </c>
      <c r="C33" s="41"/>
      <c r="D33" s="81"/>
      <c r="E33" s="50">
        <f>ROUND(F33/K4,0)</f>
        <v>13465</v>
      </c>
      <c r="F33" s="50">
        <f>D.2!D24+D.2!F24+D.2!H24</f>
        <v>14201</v>
      </c>
      <c r="G33" s="46">
        <f>IF(F33&lt;&gt;0,ROUND(H33/E33,4),0)</f>
        <v>3.2559999999999998</v>
      </c>
      <c r="H33" s="496">
        <v>43842</v>
      </c>
    </row>
    <row r="34" spans="1:14">
      <c r="A34" s="41">
        <v>24</v>
      </c>
      <c r="B34" s="41"/>
      <c r="C34" s="41"/>
      <c r="D34" s="81"/>
      <c r="E34" s="41"/>
      <c r="F34" s="47"/>
      <c r="G34" s="46"/>
      <c r="H34" s="47"/>
    </row>
    <row r="35" spans="1:14">
      <c r="A35" s="41">
        <v>25</v>
      </c>
      <c r="B35" s="41"/>
      <c r="C35" s="41"/>
      <c r="D35" s="41"/>
      <c r="E35" s="41"/>
      <c r="F35" s="47"/>
      <c r="G35" s="41"/>
      <c r="H35" s="41"/>
      <c r="M35" s="50"/>
    </row>
    <row r="36" spans="1:14">
      <c r="A36" s="41">
        <v>26</v>
      </c>
      <c r="B36" s="41"/>
      <c r="C36" s="41"/>
      <c r="D36" s="41"/>
      <c r="E36" s="41"/>
      <c r="F36" s="47"/>
      <c r="G36" s="111"/>
      <c r="H36" s="41"/>
    </row>
    <row r="37" spans="1:14">
      <c r="A37" s="41">
        <v>27</v>
      </c>
      <c r="B37" s="41" t="s">
        <v>256</v>
      </c>
      <c r="C37" s="41"/>
      <c r="D37" s="41"/>
      <c r="E37" s="115">
        <f>E15+E23+E25+E30+E33</f>
        <v>8139502</v>
      </c>
      <c r="F37" s="115">
        <f>F15+F23+F25+F30+F33</f>
        <v>8449321.3353246748</v>
      </c>
      <c r="G37" s="46">
        <f>IF(F37&lt;&gt;0,ROUND(H37/E37,4),0)</f>
        <v>3.4878</v>
      </c>
      <c r="H37" s="115">
        <f>H15+H23+H25+H30+H33</f>
        <v>28388606.920000002</v>
      </c>
      <c r="K37" s="414"/>
      <c r="L37" s="415"/>
    </row>
    <row r="38" spans="1:14">
      <c r="A38" s="41">
        <v>28</v>
      </c>
      <c r="B38" s="41"/>
      <c r="C38" s="41"/>
      <c r="D38" s="41"/>
      <c r="E38" s="47"/>
      <c r="F38" s="47"/>
      <c r="G38" s="58"/>
      <c r="H38" s="47"/>
    </row>
    <row r="39" spans="1:14">
      <c r="A39" s="41">
        <v>29</v>
      </c>
      <c r="B39" s="41" t="s">
        <v>255</v>
      </c>
      <c r="C39" s="41"/>
      <c r="D39" s="440">
        <v>2.1399999999999999E-2</v>
      </c>
      <c r="E39" s="47">
        <f>ROUND(F39*$E$37/$F$37,0)</f>
        <v>174185</v>
      </c>
      <c r="F39" s="47">
        <f>ROUND(F37*D39,0)</f>
        <v>180815</v>
      </c>
      <c r="G39" s="41"/>
      <c r="H39" s="41"/>
    </row>
    <row r="40" spans="1:14">
      <c r="A40" s="41">
        <v>30</v>
      </c>
      <c r="B40" s="41"/>
      <c r="C40" s="41"/>
      <c r="D40" s="41"/>
      <c r="E40" s="41"/>
      <c r="F40" s="47"/>
      <c r="G40" s="79"/>
      <c r="H40" s="41"/>
    </row>
    <row r="41" spans="1:14">
      <c r="A41" s="41">
        <v>31</v>
      </c>
      <c r="B41" s="41" t="s">
        <v>254</v>
      </c>
      <c r="C41" s="41"/>
      <c r="D41" s="47"/>
      <c r="E41" s="114">
        <f>E37-E39</f>
        <v>7965317</v>
      </c>
      <c r="F41" s="114">
        <f>F37-F39</f>
        <v>8268506.3353246748</v>
      </c>
      <c r="G41" s="46">
        <f>IF(F41&lt;&gt;0,ROUND(H41/E41,4),0)</f>
        <v>3.5640000000000001</v>
      </c>
      <c r="H41" s="114">
        <f>SUM(H37:H40)</f>
        <v>28388606.920000002</v>
      </c>
      <c r="N41" s="113"/>
    </row>
    <row r="42" spans="1:14">
      <c r="A42" s="41">
        <v>32</v>
      </c>
      <c r="B42" s="41"/>
      <c r="C42" s="41"/>
      <c r="D42" s="41"/>
      <c r="E42" s="41"/>
      <c r="F42" s="47"/>
      <c r="G42" s="41"/>
      <c r="H42" s="41"/>
      <c r="M42" s="40"/>
    </row>
    <row r="43" spans="1:14">
      <c r="A43" s="41">
        <v>33</v>
      </c>
      <c r="B43" s="112"/>
      <c r="C43" s="98"/>
      <c r="D43" s="98"/>
      <c r="E43" s="98"/>
      <c r="F43" s="47"/>
      <c r="G43" s="41"/>
      <c r="H43" s="41"/>
    </row>
    <row r="44" spans="1:14">
      <c r="A44" s="41">
        <v>34</v>
      </c>
      <c r="B44" s="41"/>
      <c r="C44" s="52"/>
      <c r="D44" s="41"/>
      <c r="E44" s="111"/>
      <c r="F44" s="69"/>
      <c r="G44" s="111"/>
      <c r="H44" s="111"/>
    </row>
    <row r="45" spans="1:14" ht="15" thickBot="1">
      <c r="A45" s="41">
        <v>35</v>
      </c>
      <c r="B45" s="41" t="s">
        <v>253</v>
      </c>
      <c r="C45" s="41"/>
      <c r="D45" s="41"/>
      <c r="E45" s="44">
        <f>E41</f>
        <v>7965317</v>
      </c>
      <c r="F45" s="44">
        <f>F41</f>
        <v>8268506.3353246748</v>
      </c>
      <c r="G45" s="90">
        <f>ROUND(H45/E45, 4)</f>
        <v>3.5640000000000001</v>
      </c>
      <c r="H45" s="44">
        <f>H41</f>
        <v>28388606.920000002</v>
      </c>
    </row>
    <row r="46" spans="1:14" ht="15" thickTop="1">
      <c r="A46" s="41">
        <v>36</v>
      </c>
      <c r="B46" s="41"/>
      <c r="C46" s="41"/>
      <c r="D46" s="41"/>
    </row>
    <row r="47" spans="1:14">
      <c r="A47" s="41">
        <v>37</v>
      </c>
      <c r="B47" s="41"/>
      <c r="C47" s="41"/>
      <c r="D47" s="41"/>
      <c r="E47" s="50"/>
      <c r="F47" s="47"/>
      <c r="G47" s="46"/>
      <c r="H47" s="47"/>
    </row>
    <row r="48" spans="1:14">
      <c r="A48" s="41">
        <v>38</v>
      </c>
      <c r="B48" s="41" t="s">
        <v>252</v>
      </c>
      <c r="C48" s="41"/>
      <c r="D48" s="41"/>
      <c r="F48" s="47"/>
      <c r="G48" s="41"/>
      <c r="H48" s="47"/>
    </row>
    <row r="49" spans="1:8">
      <c r="A49" s="41">
        <v>39</v>
      </c>
      <c r="B49" s="41"/>
      <c r="C49" s="41"/>
      <c r="D49" s="41"/>
      <c r="F49" s="47"/>
      <c r="G49" s="107"/>
      <c r="H49" s="47"/>
    </row>
    <row r="50" spans="1:8">
      <c r="A50" s="41"/>
      <c r="B50" s="41"/>
      <c r="C50" s="41"/>
      <c r="D50" s="41"/>
      <c r="F50" s="47"/>
      <c r="G50" s="110"/>
      <c r="H50" s="47"/>
    </row>
    <row r="51" spans="1:8">
      <c r="A51" s="41"/>
      <c r="B51" s="41"/>
      <c r="C51" s="41"/>
      <c r="D51" s="41"/>
      <c r="E51" s="47"/>
      <c r="F51" s="47"/>
      <c r="G51" s="41"/>
      <c r="H51" s="47"/>
    </row>
    <row r="52" spans="1:8">
      <c r="A52" s="41"/>
      <c r="B52" s="41"/>
      <c r="C52" s="41"/>
      <c r="D52" s="41"/>
      <c r="E52" s="41"/>
      <c r="F52" s="47"/>
      <c r="G52" s="41"/>
      <c r="H52" s="41"/>
    </row>
    <row r="53" spans="1:8">
      <c r="A53" s="41"/>
      <c r="B53" s="41"/>
      <c r="C53" s="41"/>
      <c r="D53" s="41"/>
      <c r="E53" s="41"/>
      <c r="F53" s="47"/>
      <c r="G53" s="41"/>
      <c r="H53" s="41"/>
    </row>
    <row r="54" spans="1:8">
      <c r="A54" s="41"/>
      <c r="B54" s="41"/>
      <c r="C54" s="41"/>
      <c r="D54" s="41"/>
      <c r="E54" s="41"/>
      <c r="F54" s="47"/>
      <c r="G54" s="41"/>
      <c r="H54" s="41"/>
    </row>
    <row r="55" spans="1:8">
      <c r="A55" s="41"/>
      <c r="B55" s="41"/>
      <c r="C55" s="41"/>
      <c r="D55" s="41"/>
      <c r="E55" s="41"/>
      <c r="F55" s="47"/>
      <c r="G55" s="41"/>
      <c r="H55" s="41"/>
    </row>
    <row r="56" spans="1:8">
      <c r="A56" s="41"/>
    </row>
    <row r="57" spans="1:8">
      <c r="A57" s="41"/>
    </row>
    <row r="58" spans="1:8">
      <c r="A58" s="41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Vo, Christina</cp:lastModifiedBy>
  <cp:lastPrinted>2023-09-22T11:50:25Z</cp:lastPrinted>
  <dcterms:created xsi:type="dcterms:W3CDTF">2012-10-03T12:42:31Z</dcterms:created>
  <dcterms:modified xsi:type="dcterms:W3CDTF">2023-09-29T13:51:47Z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