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Magoffin County WD/"/>
    </mc:Choice>
  </mc:AlternateContent>
  <xr:revisionPtr revIDLastSave="20" documentId="8_{DF157E4C-773C-4D5D-B919-2A9428555EEE}" xr6:coauthVersionLast="47" xr6:coauthVersionMax="47" xr10:uidLastSave="{E7233098-C7A7-4C8D-9381-EB211186C087}"/>
  <bookViews>
    <workbookView xWindow="-98" yWindow="-98" windowWidth="20715" windowHeight="13155" tabRatio="641" xr2:uid="{00000000-000D-0000-FFFF-FFFF00000000}"/>
  </bookViews>
  <sheets>
    <sheet name="SAO" sheetId="6" r:id="rId1"/>
    <sheet name="Wages" sheetId="55" r:id="rId2"/>
    <sheet name="Debt Service" sheetId="50" r:id="rId3"/>
    <sheet name="Depreciation" sheetId="51" r:id="rId4"/>
    <sheet name="Rates" sheetId="2" r:id="rId5"/>
    <sheet name="Bills" sheetId="42" r:id="rId6"/>
    <sheet name="ExBA" sheetId="52" r:id="rId7"/>
    <sheet name="PrBA" sheetId="58" r:id="rId8"/>
  </sheets>
  <definedNames>
    <definedName name="AHV">#REF!</definedName>
    <definedName name="_xlnm.Print_Area" localSheetId="5">Bills!$B$1:$I$18</definedName>
    <definedName name="_xlnm.Print_Area" localSheetId="2">'Debt Service'!$A$1:$O$21</definedName>
    <definedName name="_xlnm.Print_Area" localSheetId="3">Depreciation!$A$1:$L$44</definedName>
    <definedName name="_xlnm.Print_Area" localSheetId="6">ExBA!$A$1:$K$33</definedName>
    <definedName name="_xlnm.Print_Area" localSheetId="7">PrBA!$A$1:$H$32</definedName>
    <definedName name="_xlnm.Print_Area" localSheetId="4">Rates!$B$1:$I$34</definedName>
    <definedName name="_xlnm.Print_Area" localSheetId="0">SAO!$A$1:$G$52</definedName>
    <definedName name="_xlnm.Print_Area" localSheetId="1">Wages!$A$1:$G$36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5" l="1"/>
  <c r="C15" i="55"/>
  <c r="D90" i="58"/>
  <c r="C72" i="58"/>
  <c r="D72" i="58"/>
  <c r="D65" i="58"/>
  <c r="D64" i="58"/>
  <c r="D58" i="58"/>
  <c r="D39" i="58"/>
  <c r="D38" i="58"/>
  <c r="C39" i="58"/>
  <c r="C38" i="58"/>
  <c r="D22" i="58"/>
  <c r="D23" i="58"/>
  <c r="D24" i="58"/>
  <c r="D21" i="58"/>
  <c r="C22" i="58"/>
  <c r="C23" i="58"/>
  <c r="C24" i="58"/>
  <c r="C21" i="58"/>
  <c r="E30" i="58"/>
  <c r="E29" i="58"/>
  <c r="E32" i="58"/>
  <c r="L15" i="2"/>
  <c r="L12" i="2"/>
  <c r="F38" i="51"/>
  <c r="L12" i="50"/>
  <c r="J12" i="50"/>
  <c r="H12" i="50"/>
  <c r="F12" i="50"/>
  <c r="D12" i="50"/>
  <c r="D90" i="52"/>
  <c r="D72" i="52"/>
  <c r="D58" i="52"/>
  <c r="D64" i="52"/>
  <c r="D39" i="52"/>
  <c r="D38" i="52"/>
  <c r="C39" i="52"/>
  <c r="C38" i="52"/>
  <c r="D24" i="52"/>
  <c r="D23" i="52"/>
  <c r="D22" i="52"/>
  <c r="D21" i="52"/>
  <c r="C24" i="52"/>
  <c r="C23" i="52"/>
  <c r="C22" i="52"/>
  <c r="C21" i="52"/>
  <c r="H42" i="52"/>
  <c r="F47" i="51" l="1"/>
  <c r="E15" i="42"/>
  <c r="E14" i="42"/>
  <c r="E13" i="42"/>
  <c r="E12" i="42"/>
  <c r="F10" i="42"/>
  <c r="F9" i="42"/>
  <c r="N19" i="2"/>
  <c r="O19" i="2" s="1"/>
  <c r="N38" i="2"/>
  <c r="O38" i="2" s="1"/>
  <c r="N37" i="2"/>
  <c r="O37" i="2" s="1"/>
  <c r="N33" i="2"/>
  <c r="O33" i="2" s="1"/>
  <c r="N30" i="2"/>
  <c r="O30" i="2" s="1"/>
  <c r="N27" i="2"/>
  <c r="O27" i="2" s="1"/>
  <c r="N26" i="2"/>
  <c r="O26" i="2" s="1"/>
  <c r="N25" i="2"/>
  <c r="O25" i="2" s="1"/>
  <c r="N15" i="2"/>
  <c r="O15" i="2" s="1"/>
  <c r="N14" i="2"/>
  <c r="O14" i="2" s="1"/>
  <c r="N12" i="2"/>
  <c r="O12" i="2" s="1"/>
  <c r="E11" i="42"/>
  <c r="E10" i="42"/>
  <c r="E9" i="42"/>
  <c r="E31" i="58"/>
  <c r="L14" i="2" s="1"/>
  <c r="L13" i="2"/>
  <c r="F14" i="42" s="1"/>
  <c r="E96" i="58"/>
  <c r="L38" i="2" s="1"/>
  <c r="E95" i="58"/>
  <c r="L37" i="2" s="1"/>
  <c r="E83" i="58"/>
  <c r="L33" i="2" s="1"/>
  <c r="E82" i="58"/>
  <c r="L32" i="2" s="1"/>
  <c r="N32" i="2" s="1"/>
  <c r="O32" i="2" s="1"/>
  <c r="E81" i="58"/>
  <c r="L31" i="2" s="1"/>
  <c r="N31" i="2" s="1"/>
  <c r="O31" i="2" s="1"/>
  <c r="E80" i="58"/>
  <c r="L30" i="2" s="1"/>
  <c r="E66" i="58"/>
  <c r="L27" i="2" s="1"/>
  <c r="E65" i="58"/>
  <c r="L26" i="2" s="1"/>
  <c r="E64" i="58"/>
  <c r="L25" i="2" s="1"/>
  <c r="E51" i="58"/>
  <c r="L22" i="2" s="1"/>
  <c r="N22" i="2" s="1"/>
  <c r="O22" i="2" s="1"/>
  <c r="E50" i="58"/>
  <c r="L21" i="2" s="1"/>
  <c r="N21" i="2" s="1"/>
  <c r="O21" i="2" s="1"/>
  <c r="E49" i="58"/>
  <c r="L20" i="2" s="1"/>
  <c r="N20" i="2" s="1"/>
  <c r="O20" i="2" s="1"/>
  <c r="E48" i="58"/>
  <c r="L19" i="2" s="1"/>
  <c r="E47" i="58"/>
  <c r="L18" i="2" s="1"/>
  <c r="N18" i="2" s="1"/>
  <c r="O18" i="2" s="1"/>
  <c r="B96" i="58"/>
  <c r="B95" i="58"/>
  <c r="E91" i="58"/>
  <c r="D95" i="58" s="1"/>
  <c r="D97" i="58" s="1"/>
  <c r="D91" i="58"/>
  <c r="C91" i="58"/>
  <c r="C95" i="58" s="1"/>
  <c r="F90" i="58"/>
  <c r="F91" i="58" s="1"/>
  <c r="D96" i="58" s="1"/>
  <c r="E90" i="58"/>
  <c r="G89" i="58"/>
  <c r="E89" i="58"/>
  <c r="F88" i="58"/>
  <c r="E88" i="58"/>
  <c r="B83" i="58"/>
  <c r="B80" i="58"/>
  <c r="D76" i="58"/>
  <c r="C76" i="58"/>
  <c r="C80" i="58" s="1"/>
  <c r="G75" i="58"/>
  <c r="F75" i="58"/>
  <c r="I74" i="58"/>
  <c r="E72" i="58"/>
  <c r="I72" i="58" s="1"/>
  <c r="H71" i="58"/>
  <c r="G71" i="58"/>
  <c r="F71" i="58"/>
  <c r="F73" i="58" s="1"/>
  <c r="F76" i="58" s="1"/>
  <c r="D81" i="58" s="1"/>
  <c r="E71" i="58"/>
  <c r="E73" i="58" s="1"/>
  <c r="B66" i="58"/>
  <c r="B64" i="58"/>
  <c r="C60" i="58"/>
  <c r="C64" i="58" s="1"/>
  <c r="F59" i="58"/>
  <c r="G56" i="58"/>
  <c r="F56" i="58"/>
  <c r="E56" i="58"/>
  <c r="E59" i="58" s="1"/>
  <c r="B49" i="58"/>
  <c r="D43" i="58"/>
  <c r="C43" i="58"/>
  <c r="C47" i="58" s="1"/>
  <c r="I42" i="58"/>
  <c r="H42" i="58"/>
  <c r="H41" i="58"/>
  <c r="F41" i="58"/>
  <c r="E41" i="58"/>
  <c r="F40" i="58"/>
  <c r="E38" i="58"/>
  <c r="G37" i="58"/>
  <c r="G42" i="58" s="1"/>
  <c r="F37" i="58"/>
  <c r="F42" i="58" s="1"/>
  <c r="E37" i="58"/>
  <c r="E40" i="58" s="1"/>
  <c r="B31" i="58"/>
  <c r="B30" i="58"/>
  <c r="B29" i="58"/>
  <c r="E24" i="58"/>
  <c r="D25" i="58"/>
  <c r="F23" i="58"/>
  <c r="E22" i="58"/>
  <c r="E21" i="58"/>
  <c r="C25" i="58"/>
  <c r="H20" i="58"/>
  <c r="G20" i="58"/>
  <c r="F20" i="58"/>
  <c r="E20" i="58"/>
  <c r="C43" i="52"/>
  <c r="C47" i="52" s="1"/>
  <c r="F73" i="52"/>
  <c r="C76" i="52"/>
  <c r="C80" i="52" s="1"/>
  <c r="I74" i="52"/>
  <c r="D57" i="52"/>
  <c r="E57" i="52" s="1"/>
  <c r="H57" i="52" s="1"/>
  <c r="E59" i="52"/>
  <c r="E89" i="52"/>
  <c r="G89" i="52" s="1"/>
  <c r="C60" i="52"/>
  <c r="C64" i="52" s="1"/>
  <c r="E90" i="52"/>
  <c r="H41" i="52"/>
  <c r="E21" i="52"/>
  <c r="I21" i="52" s="1"/>
  <c r="F24" i="52"/>
  <c r="F23" i="52"/>
  <c r="D43" i="52"/>
  <c r="I42" i="52"/>
  <c r="G14" i="52"/>
  <c r="G71" i="52"/>
  <c r="G75" i="52" s="1"/>
  <c r="B83" i="52"/>
  <c r="B80" i="52"/>
  <c r="D76" i="52"/>
  <c r="E72" i="52"/>
  <c r="I72" i="52" s="1"/>
  <c r="H71" i="52"/>
  <c r="F71" i="52"/>
  <c r="F75" i="52" s="1"/>
  <c r="E71" i="52"/>
  <c r="E73" i="52" s="1"/>
  <c r="B96" i="52"/>
  <c r="B95" i="52"/>
  <c r="C91" i="52"/>
  <c r="C95" i="52" s="1"/>
  <c r="F88" i="52"/>
  <c r="E88" i="52"/>
  <c r="B66" i="52"/>
  <c r="B64" i="52"/>
  <c r="G56" i="52"/>
  <c r="F56" i="52"/>
  <c r="F59" i="52" s="1"/>
  <c r="E56" i="52"/>
  <c r="B49" i="52"/>
  <c r="G37" i="52"/>
  <c r="G41" i="52" s="1"/>
  <c r="F37" i="52"/>
  <c r="F42" i="52" s="1"/>
  <c r="E37" i="52"/>
  <c r="E41" i="52" s="1"/>
  <c r="B31" i="52"/>
  <c r="B30" i="52"/>
  <c r="B29" i="52"/>
  <c r="H20" i="52"/>
  <c r="G20" i="52"/>
  <c r="G24" i="52" s="1"/>
  <c r="F20" i="52"/>
  <c r="E20" i="52"/>
  <c r="N13" i="2" l="1"/>
  <c r="O13" i="2" s="1"/>
  <c r="F12" i="42"/>
  <c r="F13" i="42"/>
  <c r="F11" i="42"/>
  <c r="F15" i="42"/>
  <c r="F96" i="58"/>
  <c r="F81" i="58"/>
  <c r="G59" i="58"/>
  <c r="G60" i="58" s="1"/>
  <c r="D66" i="58" s="1"/>
  <c r="F66" i="58" s="1"/>
  <c r="H59" i="58"/>
  <c r="F80" i="58"/>
  <c r="C84" i="58"/>
  <c r="E9" i="58" s="1"/>
  <c r="G40" i="58"/>
  <c r="G43" i="58" s="1"/>
  <c r="D49" i="58" s="1"/>
  <c r="F49" i="58" s="1"/>
  <c r="H40" i="58"/>
  <c r="H43" i="58" s="1"/>
  <c r="F58" i="58"/>
  <c r="F60" i="58" s="1"/>
  <c r="F65" i="58" s="1"/>
  <c r="F64" i="58"/>
  <c r="C67" i="58"/>
  <c r="E8" i="58" s="1"/>
  <c r="J38" i="58"/>
  <c r="E43" i="58"/>
  <c r="D47" i="58" s="1"/>
  <c r="E6" i="58"/>
  <c r="C29" i="58"/>
  <c r="I21" i="58"/>
  <c r="G73" i="58"/>
  <c r="G76" i="58" s="1"/>
  <c r="D82" i="58" s="1"/>
  <c r="F82" i="58" s="1"/>
  <c r="F22" i="58"/>
  <c r="F25" i="58" s="1"/>
  <c r="D30" i="58" s="1"/>
  <c r="F30" i="58" s="1"/>
  <c r="I22" i="58"/>
  <c r="C97" i="58"/>
  <c r="E10" i="58" s="1"/>
  <c r="F95" i="58"/>
  <c r="F97" i="58" s="1"/>
  <c r="G10" i="58" s="1"/>
  <c r="F47" i="58"/>
  <c r="C52" i="58"/>
  <c r="E7" i="58" s="1"/>
  <c r="H24" i="58"/>
  <c r="H25" i="58" s="1"/>
  <c r="D32" i="58" s="1"/>
  <c r="F32" i="58" s="1"/>
  <c r="G90" i="58"/>
  <c r="G91" i="58" s="1"/>
  <c r="F10" i="58" s="1"/>
  <c r="E23" i="58"/>
  <c r="G23" i="58" s="1"/>
  <c r="G25" i="58" s="1"/>
  <c r="D31" i="58" s="1"/>
  <c r="F31" i="58" s="1"/>
  <c r="G41" i="58"/>
  <c r="J41" i="58" s="1"/>
  <c r="F24" i="58"/>
  <c r="I41" i="58"/>
  <c r="I43" i="58" s="1"/>
  <c r="D51" i="58" s="1"/>
  <c r="F51" i="58" s="1"/>
  <c r="G24" i="58"/>
  <c r="E39" i="58"/>
  <c r="E58" i="58"/>
  <c r="D57" i="58"/>
  <c r="E42" i="58"/>
  <c r="J42" i="58" s="1"/>
  <c r="D91" i="52"/>
  <c r="E58" i="52"/>
  <c r="E75" i="52" s="1"/>
  <c r="E76" i="52" s="1"/>
  <c r="D80" i="52" s="1"/>
  <c r="E23" i="52"/>
  <c r="E22" i="52"/>
  <c r="E24" i="52"/>
  <c r="C25" i="52"/>
  <c r="C29" i="52" s="1"/>
  <c r="C33" i="52" s="1"/>
  <c r="G42" i="52"/>
  <c r="E38" i="52"/>
  <c r="J38" i="52" s="1"/>
  <c r="D25" i="52"/>
  <c r="E42" i="52"/>
  <c r="E39" i="52"/>
  <c r="E40" i="52"/>
  <c r="F41" i="52"/>
  <c r="F40" i="52"/>
  <c r="C84" i="52"/>
  <c r="E9" i="52" s="1"/>
  <c r="F80" i="52"/>
  <c r="D60" i="52"/>
  <c r="C52" i="52"/>
  <c r="E7" i="52" s="1"/>
  <c r="F47" i="52"/>
  <c r="F64" i="52"/>
  <c r="C67" i="52"/>
  <c r="E8" i="52" s="1"/>
  <c r="C97" i="52"/>
  <c r="E10" i="52" s="1"/>
  <c r="F95" i="52"/>
  <c r="E11" i="58" l="1"/>
  <c r="E25" i="58"/>
  <c r="D29" i="58" s="1"/>
  <c r="G40" i="52"/>
  <c r="H40" i="52" s="1"/>
  <c r="H43" i="52" s="1"/>
  <c r="F67" i="58"/>
  <c r="G8" i="58" s="1"/>
  <c r="E57" i="58"/>
  <c r="D60" i="58"/>
  <c r="I24" i="58"/>
  <c r="E75" i="58"/>
  <c r="H58" i="58"/>
  <c r="I23" i="58"/>
  <c r="I25" i="58" s="1"/>
  <c r="F6" i="58" s="1"/>
  <c r="I73" i="58"/>
  <c r="D33" i="58"/>
  <c r="F29" i="58"/>
  <c r="F33" i="58" s="1"/>
  <c r="G6" i="58" s="1"/>
  <c r="C33" i="58"/>
  <c r="F39" i="58"/>
  <c r="F43" i="58" s="1"/>
  <c r="D48" i="58" s="1"/>
  <c r="F48" i="58" s="1"/>
  <c r="F52" i="58" s="1"/>
  <c r="G7" i="58" s="1"/>
  <c r="J40" i="58"/>
  <c r="H75" i="52"/>
  <c r="H76" i="52" s="1"/>
  <c r="D83" i="52" s="1"/>
  <c r="F83" i="52" s="1"/>
  <c r="F58" i="52"/>
  <c r="F60" i="52" s="1"/>
  <c r="E60" i="52"/>
  <c r="E6" i="52"/>
  <c r="E11" i="52" s="1"/>
  <c r="F29" i="52"/>
  <c r="F76" i="52"/>
  <c r="D81" i="52" s="1"/>
  <c r="F81" i="52" s="1"/>
  <c r="G73" i="52"/>
  <c r="G76" i="52" s="1"/>
  <c r="D82" i="52" s="1"/>
  <c r="F82" i="52" s="1"/>
  <c r="I73" i="52"/>
  <c r="G59" i="52"/>
  <c r="G60" i="52" s="1"/>
  <c r="D66" i="52" s="1"/>
  <c r="F66" i="52" s="1"/>
  <c r="J39" i="58" l="1"/>
  <c r="J43" i="58" s="1"/>
  <c r="F7" i="58" s="1"/>
  <c r="D52" i="58"/>
  <c r="D65" i="52"/>
  <c r="F65" i="52" s="1"/>
  <c r="F67" i="52" s="1"/>
  <c r="G8" i="52" s="1"/>
  <c r="H75" i="58"/>
  <c r="H76" i="58" s="1"/>
  <c r="D83" i="58" s="1"/>
  <c r="F83" i="58" s="1"/>
  <c r="F84" i="58" s="1"/>
  <c r="G9" i="58" s="1"/>
  <c r="G11" i="58" s="1"/>
  <c r="G13" i="58" s="1"/>
  <c r="E76" i="58"/>
  <c r="D80" i="58" s="1"/>
  <c r="D84" i="58" s="1"/>
  <c r="E60" i="58"/>
  <c r="D67" i="58" s="1"/>
  <c r="H57" i="58"/>
  <c r="H60" i="58" s="1"/>
  <c r="F8" i="58" s="1"/>
  <c r="I75" i="52"/>
  <c r="I76" i="52" s="1"/>
  <c r="F9" i="52" s="1"/>
  <c r="H58" i="52"/>
  <c r="F84" i="52"/>
  <c r="G9" i="52" s="1"/>
  <c r="D84" i="52"/>
  <c r="D67" i="52"/>
  <c r="H59" i="52"/>
  <c r="H60" i="52" l="1"/>
  <c r="F8" i="52" s="1"/>
  <c r="I75" i="58"/>
  <c r="I76" i="58" s="1"/>
  <c r="F9" i="58" s="1"/>
  <c r="F11" i="58" s="1"/>
  <c r="G22" i="6" l="1"/>
  <c r="G11" i="55"/>
  <c r="F12" i="55"/>
  <c r="F13" i="55"/>
  <c r="E13" i="55"/>
  <c r="E12" i="55"/>
  <c r="B15" i="55"/>
  <c r="F11" i="55"/>
  <c r="E11" i="55"/>
  <c r="F17" i="6"/>
  <c r="B49" i="55"/>
  <c r="F7" i="55"/>
  <c r="F8" i="55"/>
  <c r="F9" i="55"/>
  <c r="F10" i="55"/>
  <c r="E7" i="55"/>
  <c r="E8" i="55"/>
  <c r="E9" i="55"/>
  <c r="E10" i="55"/>
  <c r="E5" i="55"/>
  <c r="G17" i="6"/>
  <c r="G21" i="6"/>
  <c r="G23" i="6"/>
  <c r="G25" i="6"/>
  <c r="G26" i="6"/>
  <c r="G27" i="6"/>
  <c r="G28" i="6"/>
  <c r="G29" i="6"/>
  <c r="G30" i="6"/>
  <c r="G31" i="6"/>
  <c r="G24" i="6"/>
  <c r="G13" i="55" l="1"/>
  <c r="G12" i="55"/>
  <c r="G10" i="55"/>
  <c r="G9" i="55"/>
  <c r="G7" i="55"/>
  <c r="G8" i="55"/>
  <c r="B38" i="55" l="1"/>
  <c r="B40" i="55" s="1"/>
  <c r="E6" i="55"/>
  <c r="E15" i="55" s="1"/>
  <c r="F6" i="55"/>
  <c r="G9" i="6"/>
  <c r="G23" i="55" l="1"/>
  <c r="G6" i="55"/>
  <c r="F41" i="51"/>
  <c r="J19" i="51"/>
  <c r="J18" i="51"/>
  <c r="J23" i="51"/>
  <c r="K23" i="51" s="1"/>
  <c r="K19" i="51" l="1"/>
  <c r="K18" i="51"/>
  <c r="F5" i="55"/>
  <c r="F15" i="55" s="1"/>
  <c r="G5" i="55" l="1"/>
  <c r="G15" i="55" s="1"/>
  <c r="G17" i="55" l="1"/>
  <c r="G22" i="55" s="1"/>
  <c r="H41" i="5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J27" i="51"/>
  <c r="K27" i="51" s="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K14" i="50"/>
  <c r="I14" i="50"/>
  <c r="G14" i="50"/>
  <c r="E14" i="50"/>
  <c r="C14" i="50"/>
  <c r="M12" i="50"/>
  <c r="L14" i="50"/>
  <c r="J14" i="50"/>
  <c r="H14" i="50"/>
  <c r="F14" i="50"/>
  <c r="D14" i="50"/>
  <c r="G24" i="55" l="1"/>
  <c r="E16" i="6" s="1"/>
  <c r="G16" i="6" s="1"/>
  <c r="G32" i="55"/>
  <c r="G34" i="55" s="1"/>
  <c r="G36" i="55" s="1"/>
  <c r="E18" i="6" s="1"/>
  <c r="G20" i="6" s="1"/>
  <c r="G26" i="55"/>
  <c r="G28" i="55" s="1"/>
  <c r="G30" i="55" s="1"/>
  <c r="E35" i="6" s="1"/>
  <c r="G35" i="6" s="1"/>
  <c r="K41" i="51"/>
  <c r="J41" i="51"/>
  <c r="F46" i="51" s="1"/>
  <c r="F48" i="51" s="1"/>
  <c r="P14" i="50"/>
  <c r="M14" i="50"/>
  <c r="M17" i="50" s="1"/>
  <c r="G42" i="6" s="1"/>
  <c r="G32" i="6" l="1"/>
  <c r="E34" i="6"/>
  <c r="G34" i="6" s="1"/>
  <c r="M19" i="50"/>
  <c r="G43" i="6" s="1"/>
  <c r="P19" i="50" l="1"/>
  <c r="G10" i="6" l="1"/>
  <c r="G8" i="6" l="1"/>
  <c r="D11" i="6"/>
  <c r="D32" i="6"/>
  <c r="G45" i="6" l="1"/>
  <c r="D36" i="6"/>
  <c r="G36" i="6" l="1"/>
  <c r="D38" i="6"/>
  <c r="G41" i="6" l="1"/>
  <c r="G44" i="6" s="1"/>
  <c r="G48" i="6" l="1"/>
  <c r="G14" i="58" s="1"/>
  <c r="G15" i="58" s="1"/>
  <c r="E25" i="52"/>
  <c r="D29" i="52" s="1"/>
  <c r="F22" i="52"/>
  <c r="H24" i="52" s="1"/>
  <c r="H25" i="52" l="1"/>
  <c r="D32" i="52" s="1"/>
  <c r="F32" i="52" s="1"/>
  <c r="I22" i="52"/>
  <c r="I24" i="52" l="1"/>
  <c r="G23" i="52"/>
  <c r="I23" i="52" s="1"/>
  <c r="F25" i="52"/>
  <c r="D30" i="52" s="1"/>
  <c r="I41" i="52"/>
  <c r="I43" i="52" s="1"/>
  <c r="D51" i="52" s="1"/>
  <c r="F51" i="52" s="1"/>
  <c r="G43" i="52"/>
  <c r="D49" i="52" s="1"/>
  <c r="F49" i="52" s="1"/>
  <c r="J40" i="52" l="1"/>
  <c r="I25" i="52"/>
  <c r="F6" i="52" s="1"/>
  <c r="J42" i="52"/>
  <c r="J41" i="52"/>
  <c r="F30" i="52"/>
  <c r="G25" i="52"/>
  <c r="D31" i="52" s="1"/>
  <c r="F31" i="52" s="1"/>
  <c r="D33" i="52" l="1"/>
  <c r="F33" i="52"/>
  <c r="G6" i="52" l="1"/>
  <c r="E91" i="52" l="1"/>
  <c r="D95" i="52" s="1"/>
  <c r="F90" i="52"/>
  <c r="G90" i="52" s="1"/>
  <c r="G91" i="52" s="1"/>
  <c r="F10" i="52" s="1"/>
  <c r="F91" i="52" l="1"/>
  <c r="D96" i="52" s="1"/>
  <c r="F96" i="52" s="1"/>
  <c r="F97" i="52" s="1"/>
  <c r="G10" i="52" s="1"/>
  <c r="D97" i="52" l="1"/>
  <c r="E43" i="52"/>
  <c r="D47" i="52" s="1"/>
  <c r="F39" i="52"/>
  <c r="J39" i="52" s="1"/>
  <c r="J43" i="52" s="1"/>
  <c r="F7" i="52" s="1"/>
  <c r="F11" i="52" s="1"/>
  <c r="F43" i="52" l="1"/>
  <c r="D48" i="52" s="1"/>
  <c r="F48" i="52" s="1"/>
  <c r="F52" i="52" s="1"/>
  <c r="G7" i="52" s="1"/>
  <c r="G11" i="52" l="1"/>
  <c r="G13" i="52" s="1"/>
  <c r="G15" i="52" s="1"/>
  <c r="D52" i="52"/>
  <c r="K15" i="52" l="1"/>
  <c r="E6" i="6"/>
  <c r="G6" i="6" s="1"/>
  <c r="G49" i="6" l="1"/>
  <c r="G50" i="6" s="1"/>
  <c r="G52" i="6" s="1"/>
  <c r="G11" i="6"/>
  <c r="G38" i="6" s="1"/>
  <c r="G14" i="42" l="1"/>
  <c r="H14" i="42" s="1"/>
  <c r="G12" i="42"/>
  <c r="H12" i="42" s="1"/>
  <c r="G11" i="42"/>
  <c r="H11" i="42" s="1"/>
  <c r="G10" i="42"/>
  <c r="H10" i="42" s="1"/>
  <c r="G15" i="42"/>
  <c r="H15" i="42" s="1"/>
  <c r="G9" i="42"/>
  <c r="H9" i="42" s="1"/>
  <c r="G13" i="42"/>
  <c r="H13" i="42" s="1"/>
</calcChain>
</file>

<file path=xl/sharedStrings.xml><?xml version="1.0" encoding="utf-8"?>
<sst xmlns="http://schemas.openxmlformats.org/spreadsheetml/2006/main" count="600" uniqueCount="226">
  <si>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</si>
  <si>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</si>
  <si>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</si>
  <si>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</si>
  <si>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</si>
  <si>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</si>
  <si>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</si>
  <si>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</si>
  <si>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</si>
  <si>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</si>
  <si>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</si>
  <si>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</si>
  <si>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Total</t>
  </si>
  <si>
    <t>Gallons</t>
  </si>
  <si>
    <t>Operating Revenues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</si>
  <si>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</si>
  <si>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</si>
  <si>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</si>
  <si>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</si>
  <si>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</si>
  <si>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</si>
  <si>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</si>
  <si>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</si>
  <si>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</si>
  <si>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Existing</t>
  </si>
  <si>
    <t>Change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</si>
  <si>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</si>
  <si>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</si>
  <si>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</si>
  <si>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</si>
  <si>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</si>
  <si>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</si>
  <si>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</si>
  <si>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</si>
  <si>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</si>
  <si>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</si>
  <si>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</si>
  <si>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</si>
  <si>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</si>
  <si>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</si>
  <si>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</si>
  <si>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</si>
  <si>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</si>
  <si>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</si>
  <si>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</si>
  <si>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</si>
  <si>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</si>
  <si>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</si>
  <si>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SUMMARY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</si>
  <si>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</si>
  <si>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</si>
  <si>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</si>
  <si>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</si>
  <si>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</si>
  <si>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</si>
  <si>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</si>
  <si>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</si>
  <si>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</si>
  <si>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</si>
  <si>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</si>
  <si>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</si>
  <si>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</si>
  <si>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</si>
  <si>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</si>
  <si>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</si>
  <si>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</si>
  <si>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</si>
  <si>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</si>
  <si>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</si>
  <si>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</si>
  <si>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</si>
  <si>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</si>
  <si>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</si>
  <si>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</si>
  <si>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</si>
  <si>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</si>
  <si>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</si>
  <si>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</si>
  <si>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</si>
  <si>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</si>
  <si>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</si>
  <si>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</si>
  <si>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</si>
  <si>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</si>
  <si>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</si>
  <si>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</si>
  <si>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</si>
  <si>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</si>
  <si>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</si>
  <si>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</si>
  <si>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</si>
  <si>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</si>
  <si>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</si>
  <si>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</si>
  <si>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</si>
  <si>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</si>
  <si>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</si>
  <si>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</si>
  <si>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Table B</t>
  </si>
  <si>
    <t>CY 2022 - 2026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</si>
  <si>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</si>
  <si>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</si>
  <si>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</si>
  <si>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</si>
  <si>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</si>
  <si>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</si>
  <si>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</si>
  <si>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</si>
  <si>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</si>
  <si>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</si>
  <si>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</si>
  <si>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</si>
  <si>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</si>
  <si>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Asset</t>
  </si>
  <si>
    <t>Structures &amp; Improvements</t>
  </si>
  <si>
    <t>Communication &amp; Computer Eqmt.</t>
  </si>
  <si>
    <t>Office Furniture &amp; Equipment</t>
  </si>
  <si>
    <t>Tools, Shop, &amp; Garage Equipment</t>
  </si>
  <si>
    <t>Tank Repairs &amp; Painting</t>
  </si>
  <si>
    <t>Telemetry</t>
  </si>
  <si>
    <t>Pumping Equipment</t>
  </si>
  <si>
    <t>Hydrants</t>
  </si>
  <si>
    <t>Transmission &amp; Distribution Mains</t>
  </si>
  <si>
    <t>Pump Equipment</t>
  </si>
  <si>
    <t>Tank Fence</t>
  </si>
  <si>
    <t>Services</t>
  </si>
  <si>
    <t>Reservoirs &amp; Tanks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</si>
  <si>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</si>
  <si>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</si>
  <si>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</si>
  <si>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</si>
  <si>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</si>
  <si>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NEXT</t>
  </si>
  <si>
    <t>Total Gross Wages</t>
  </si>
  <si>
    <t>Gross Wages for Full Time Employees CERS Eligible</t>
  </si>
  <si>
    <t>D</t>
  </si>
  <si>
    <t>LESS ADJUSTMENTS</t>
  </si>
  <si>
    <t>FROM PSC ANNUAL REPORT</t>
  </si>
  <si>
    <t>DIFFERENCE</t>
  </si>
  <si>
    <t>ADJUSTMENT TO SAO BILLED RETAIL REVENUES</t>
  </si>
  <si>
    <t>Source of Supply Plant</t>
  </si>
  <si>
    <t>Collecting &amp; Impounding Reservoirs</t>
  </si>
  <si>
    <t>Supply Mains</t>
  </si>
  <si>
    <t>Allowed Depreciation</t>
  </si>
  <si>
    <t>Less: Reported Depreciation</t>
  </si>
  <si>
    <t>Adjustment to Allowed Depreciation</t>
  </si>
  <si>
    <t>``</t>
  </si>
  <si>
    <t>TABLE D</t>
  </si>
  <si>
    <t>CURRENT AND PROPOSED BILLS</t>
  </si>
  <si>
    <t>Employee 1</t>
  </si>
  <si>
    <t>Employee 2</t>
  </si>
  <si>
    <t>Reported Salaries and Wages</t>
  </si>
  <si>
    <t>Corrected Test Year Salaries</t>
  </si>
  <si>
    <t>Less: Corrected Test Year Salaries</t>
  </si>
  <si>
    <t>NET METERED WATER SALES</t>
  </si>
  <si>
    <t>LESS REVENUE REQUIREMENT</t>
  </si>
  <si>
    <t>B</t>
  </si>
  <si>
    <t>C</t>
  </si>
  <si>
    <t>Pension contribution previously reported as salaries</t>
  </si>
  <si>
    <t>From Trial Balance</t>
  </si>
  <si>
    <t>TOTAL WATER SALES</t>
  </si>
  <si>
    <t>Magoffin County Water District</t>
  </si>
  <si>
    <t>Advertising</t>
  </si>
  <si>
    <t>Vault</t>
  </si>
  <si>
    <t>Excavator</t>
  </si>
  <si>
    <t>Telemetry Equipment</t>
  </si>
  <si>
    <t>Tank Improvements</t>
  </si>
  <si>
    <t>Employee 3</t>
  </si>
  <si>
    <t>Employee 4</t>
  </si>
  <si>
    <t>Employee 5</t>
  </si>
  <si>
    <t>Employee 6</t>
  </si>
  <si>
    <t>Less: Commissioner Salaries</t>
  </si>
  <si>
    <t>(A)</t>
  </si>
  <si>
    <t>(B)</t>
  </si>
  <si>
    <t>(C)</t>
  </si>
  <si>
    <t>Employee 7</t>
  </si>
  <si>
    <t>Employee 8</t>
  </si>
  <si>
    <t>Employee 9</t>
  </si>
  <si>
    <t>Less: Test Year Payroll Taxes</t>
  </si>
  <si>
    <t>(D)</t>
  </si>
  <si>
    <t>(E)</t>
  </si>
  <si>
    <t>(F)</t>
  </si>
  <si>
    <t>(G)</t>
  </si>
  <si>
    <t>Billing Analysis Adjustment</t>
  </si>
  <si>
    <t>Reclassify Commissioner Salaries</t>
  </si>
  <si>
    <t>Pro forma Salary Increase</t>
  </si>
  <si>
    <t>Adjustment to CERS expense based on Salary Increases</t>
  </si>
  <si>
    <t>Employee Health Insurance Premium Increase</t>
  </si>
  <si>
    <t>Pro Forma Depreciation Expense based on NARUC Ranges</t>
  </si>
  <si>
    <t>Payroll Tax Expense Adjustment due to Salary Increases</t>
  </si>
  <si>
    <t>KRWFC</t>
  </si>
  <si>
    <t xml:space="preserve">     5/8" X 3/4" Meters</t>
  </si>
  <si>
    <t xml:space="preserve">     3/4" Meters</t>
  </si>
  <si>
    <t xml:space="preserve">     2" Meters</t>
  </si>
  <si>
    <t>5/8" x 3/4" METERS</t>
  </si>
  <si>
    <t xml:space="preserve">     REVENUE BY RATE INCREMENT</t>
  </si>
  <si>
    <t>3/4" METERS</t>
  </si>
  <si>
    <t>2" METERS</t>
  </si>
  <si>
    <t>1" RESIDENTIAL METERS</t>
  </si>
  <si>
    <t>1" COMMERCIAL METERS</t>
  </si>
  <si>
    <t xml:space="preserve">     1" Residential Meters</t>
  </si>
  <si>
    <t>1" Commercial Meters</t>
  </si>
  <si>
    <t xml:space="preserve">     1" Commercial Meters</t>
  </si>
  <si>
    <t>TABLE C</t>
  </si>
  <si>
    <t>CURRENT AND PROPOSED MONTHLY RATES</t>
  </si>
  <si>
    <t>CURRENT RATE SCHEDULE</t>
  </si>
  <si>
    <t>PROPOSED RATE SCHEDULE</t>
  </si>
  <si>
    <t>PERCENT</t>
  </si>
  <si>
    <t>5/8" x 3/4" Meters</t>
  </si>
  <si>
    <t>First</t>
  </si>
  <si>
    <t>gallons</t>
  </si>
  <si>
    <t>Minimum Bill</t>
  </si>
  <si>
    <t>Next</t>
  </si>
  <si>
    <t>per 1,000 gallons</t>
  </si>
  <si>
    <t>Over</t>
  </si>
  <si>
    <t>2" Meters</t>
  </si>
  <si>
    <t>1" Residential Meters</t>
  </si>
  <si>
    <t>3/4" Commercial Meters</t>
  </si>
  <si>
    <t>DEBT SERVICE SCHEDULE</t>
  </si>
  <si>
    <t>Nonutility Income</t>
  </si>
  <si>
    <t>Interest Income</t>
  </si>
  <si>
    <t>CY 2027</t>
  </si>
  <si>
    <t>G</t>
  </si>
  <si>
    <t>PROPOSED BILLING ANALYSIS WITH 2022 USAGE &amp; PROPOSED RATES</t>
  </si>
  <si>
    <t>CURRENT BILLING ANALYSIS WITH 2022 USAGE &amp; EXISTING RATES</t>
  </si>
  <si>
    <t>Non-cash Pension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</si>
</sst>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* #,##0.0000_);_(* \(#,##0.0000\);_(* &quot;-&quot;??_);_(@_)"/>
  </numFmts>
  <fonts count="21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58">
    <xf numFmtId="0" fontId="0" fillId="0" borderId="0" xfId="0"/>
    <xf numFmtId="0" fontId="3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0" fillId="0" borderId="6" xfId="0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43" fontId="3" fillId="0" borderId="0" xfId="1" applyFont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165" fontId="3" fillId="0" borderId="0" xfId="5" applyNumberFormat="1" applyFont="1"/>
    <xf numFmtId="3" fontId="3" fillId="0" borderId="0" xfId="0" applyNumberFormat="1" applyFont="1" applyAlignment="1">
      <alignment horizontal="right"/>
    </xf>
    <xf numFmtId="165" fontId="3" fillId="0" borderId="7" xfId="5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1" xfId="5" applyNumberFormat="1" applyFont="1" applyBorder="1"/>
    <xf numFmtId="165" fontId="3" fillId="0" borderId="0" xfId="5" applyNumberFormat="1" applyFont="1" applyBorder="1"/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5" fontId="9" fillId="0" borderId="0" xfId="1" applyNumberFormat="1" applyFont="1"/>
    <xf numFmtId="167" fontId="8" fillId="0" borderId="0" xfId="5" applyNumberFormat="1" applyFont="1" applyBorder="1" applyAlignment="1">
      <alignment horizontal="center"/>
    </xf>
    <xf numFmtId="43" fontId="3" fillId="0" borderId="7" xfId="1" applyFont="1" applyBorder="1"/>
    <xf numFmtId="165" fontId="3" fillId="0" borderId="1" xfId="0" applyNumberFormat="1" applyFont="1" applyBorder="1"/>
    <xf numFmtId="164" fontId="3" fillId="0" borderId="0" xfId="6" applyNumberFormat="1" applyFont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/>
    </xf>
    <xf numFmtId="43" fontId="3" fillId="0" borderId="8" xfId="1" quotePrefix="1" applyFont="1" applyBorder="1" applyAlignment="1">
      <alignment horizontal="center"/>
    </xf>
    <xf numFmtId="43" fontId="3" fillId="0" borderId="1" xfId="1" applyFont="1" applyBorder="1"/>
    <xf numFmtId="43" fontId="3" fillId="0" borderId="5" xfId="1" applyFont="1" applyBorder="1"/>
    <xf numFmtId="166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8" xfId="1" quotePrefix="1" applyFont="1" applyFill="1" applyBorder="1" applyAlignment="1">
      <alignment horizontal="center"/>
    </xf>
    <xf numFmtId="43" fontId="3" fillId="2" borderId="0" xfId="1" applyFont="1" applyFill="1" applyBorder="1"/>
    <xf numFmtId="166" fontId="3" fillId="2" borderId="8" xfId="3" applyNumberFormat="1" applyFont="1" applyFill="1" applyBorder="1"/>
    <xf numFmtId="165" fontId="13" fillId="0" borderId="0" xfId="1" applyNumberFormat="1" applyFont="1"/>
    <xf numFmtId="44" fontId="3" fillId="0" borderId="0" xfId="2" applyFont="1" applyBorder="1"/>
    <xf numFmtId="165" fontId="3" fillId="0" borderId="0" xfId="5" quotePrefix="1" applyNumberFormat="1" applyFont="1"/>
    <xf numFmtId="0" fontId="3" fillId="0" borderId="7" xfId="0" applyFont="1" applyBorder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Continuous" vertical="center"/>
    </xf>
    <xf numFmtId="165" fontId="8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center"/>
    </xf>
    <xf numFmtId="165" fontId="10" fillId="0" borderId="0" xfId="1" quotePrefix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0" fontId="3" fillId="0" borderId="0" xfId="3" applyNumberFormat="1" applyFont="1" applyAlignment="1">
      <alignment vertical="center"/>
    </xf>
    <xf numFmtId="165" fontId="3" fillId="0" borderId="6" xfId="5" applyNumberFormat="1" applyFont="1" applyBorder="1"/>
    <xf numFmtId="165" fontId="3" fillId="0" borderId="0" xfId="5" applyNumberFormat="1" applyFont="1" applyBorder="1" applyAlignment="1">
      <alignment horizontal="center"/>
    </xf>
    <xf numFmtId="10" fontId="3" fillId="0" borderId="0" xfId="3" applyNumberFormat="1" applyFont="1" applyBorder="1"/>
    <xf numFmtId="10" fontId="3" fillId="2" borderId="0" xfId="3" applyNumberFormat="1" applyFont="1" applyFill="1" applyBorder="1"/>
    <xf numFmtId="165" fontId="3" fillId="0" borderId="8" xfId="5" applyNumberFormat="1" applyFont="1" applyBorder="1"/>
    <xf numFmtId="165" fontId="7" fillId="0" borderId="7" xfId="5" applyNumberFormat="1" applyFont="1" applyBorder="1" applyAlignment="1">
      <alignment horizontal="center"/>
    </xf>
    <xf numFmtId="165" fontId="3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3" fillId="0" borderId="3" xfId="5" applyNumberFormat="1" applyFont="1" applyBorder="1"/>
    <xf numFmtId="165" fontId="3" fillId="0" borderId="2" xfId="5" applyNumberFormat="1" applyFont="1" applyBorder="1"/>
    <xf numFmtId="165" fontId="3" fillId="0" borderId="4" xfId="5" applyNumberFormat="1" applyFont="1" applyBorder="1"/>
    <xf numFmtId="165" fontId="4" fillId="0" borderId="7" xfId="5" applyNumberFormat="1" applyFont="1" applyBorder="1" applyAlignment="1">
      <alignment horizontal="centerContinuous"/>
    </xf>
    <xf numFmtId="165" fontId="7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3" fontId="11" fillId="0" borderId="7" xfId="0" applyNumberFormat="1" applyFont="1" applyBorder="1" applyAlignment="1">
      <alignment horizontal="centerContinuous" vertical="center"/>
    </xf>
    <xf numFmtId="165" fontId="18" fillId="0" borderId="7" xfId="5" applyNumberFormat="1" applyFont="1" applyBorder="1" applyAlignment="1">
      <alignment horizontal="centerContinuous"/>
    </xf>
    <xf numFmtId="165" fontId="3" fillId="0" borderId="0" xfId="5" applyNumberFormat="1" applyFont="1" applyAlignment="1">
      <alignment horizontal="centerContinuous"/>
    </xf>
    <xf numFmtId="165" fontId="3" fillId="0" borderId="7" xfId="5" applyNumberFormat="1" applyFont="1" applyBorder="1" applyAlignment="1">
      <alignment horizontal="centerContinuous"/>
    </xf>
    <xf numFmtId="165" fontId="3" fillId="0" borderId="9" xfId="5" applyNumberFormat="1" applyFont="1" applyBorder="1" applyAlignment="1">
      <alignment horizontal="left"/>
    </xf>
    <xf numFmtId="165" fontId="3" fillId="0" borderId="3" xfId="5" applyNumberFormat="1" applyFont="1" applyBorder="1" applyAlignment="1">
      <alignment horizontal="left"/>
    </xf>
    <xf numFmtId="165" fontId="3" fillId="0" borderId="2" xfId="5" applyNumberFormat="1" applyFont="1" applyBorder="1" applyAlignment="1">
      <alignment horizontal="left"/>
    </xf>
    <xf numFmtId="165" fontId="3" fillId="0" borderId="4" xfId="5" applyNumberFormat="1" applyFont="1" applyBorder="1" applyAlignment="1">
      <alignment horizontal="left"/>
    </xf>
    <xf numFmtId="165" fontId="3" fillId="0" borderId="10" xfId="5" applyNumberFormat="1" applyFont="1" applyBorder="1"/>
    <xf numFmtId="165" fontId="10" fillId="0" borderId="0" xfId="5" applyNumberFormat="1" applyFont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0" xfId="5" applyNumberFormat="1" applyFont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3" fillId="0" borderId="10" xfId="5" applyNumberFormat="1" applyFont="1" applyBorder="1" applyAlignment="1">
      <alignment horizontal="left"/>
    </xf>
    <xf numFmtId="165" fontId="3" fillId="0" borderId="7" xfId="5" applyNumberFormat="1" applyFont="1" applyBorder="1" applyAlignment="1">
      <alignment horizontal="center"/>
    </xf>
    <xf numFmtId="165" fontId="3" fillId="0" borderId="0" xfId="5" applyNumberFormat="1" applyFont="1" applyAlignment="1">
      <alignment horizontal="center"/>
    </xf>
    <xf numFmtId="165" fontId="3" fillId="0" borderId="8" xfId="5" applyNumberFormat="1" applyFont="1" applyBorder="1" applyAlignment="1">
      <alignment horizontal="center"/>
    </xf>
    <xf numFmtId="165" fontId="3" fillId="0" borderId="0" xfId="5" quotePrefix="1" applyNumberFormat="1" applyFont="1" applyBorder="1" applyAlignment="1">
      <alignment horizontal="center"/>
    </xf>
    <xf numFmtId="165" fontId="3" fillId="0" borderId="10" xfId="5" quotePrefix="1" applyNumberFormat="1" applyFont="1" applyBorder="1" applyAlignment="1">
      <alignment horizontal="center"/>
    </xf>
    <xf numFmtId="165" fontId="3" fillId="0" borderId="7" xfId="5" quotePrefix="1" applyNumberFormat="1" applyFont="1" applyBorder="1" applyAlignment="1">
      <alignment horizontal="left"/>
    </xf>
    <xf numFmtId="165" fontId="3" fillId="0" borderId="0" xfId="5" quotePrefix="1" applyNumberFormat="1" applyFont="1" applyAlignment="1">
      <alignment horizontal="left"/>
    </xf>
    <xf numFmtId="165" fontId="3" fillId="0" borderId="8" xfId="5" quotePrefix="1" applyNumberFormat="1" applyFont="1" applyBorder="1" applyAlignment="1">
      <alignment horizontal="left"/>
    </xf>
    <xf numFmtId="165" fontId="7" fillId="0" borderId="7" xfId="5" quotePrefix="1" applyNumberFormat="1" applyFont="1" applyBorder="1" applyAlignment="1">
      <alignment horizontal="left"/>
    </xf>
    <xf numFmtId="165" fontId="7" fillId="0" borderId="0" xfId="5" quotePrefix="1" applyNumberFormat="1" applyFont="1" applyAlignment="1">
      <alignment horizontal="left"/>
    </xf>
    <xf numFmtId="165" fontId="7" fillId="0" borderId="8" xfId="5" quotePrefix="1" applyNumberFormat="1" applyFont="1" applyBorder="1" applyAlignment="1">
      <alignment horizontal="left"/>
    </xf>
    <xf numFmtId="164" fontId="7" fillId="0" borderId="0" xfId="6" quotePrefix="1" applyNumberFormat="1" applyFont="1" applyBorder="1" applyAlignment="1">
      <alignment horizontal="left"/>
    </xf>
    <xf numFmtId="165" fontId="7" fillId="0" borderId="11" xfId="5" applyNumberFormat="1" applyFont="1" applyBorder="1" applyAlignment="1">
      <alignment horizontal="right"/>
    </xf>
    <xf numFmtId="165" fontId="7" fillId="0" borderId="5" xfId="5" applyNumberFormat="1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165" fontId="7" fillId="0" borderId="6" xfId="5" applyNumberFormat="1" applyFont="1" applyBorder="1" applyAlignment="1">
      <alignment horizontal="right"/>
    </xf>
    <xf numFmtId="165" fontId="7" fillId="0" borderId="8" xfId="5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65" fontId="7" fillId="0" borderId="2" xfId="5" applyNumberFormat="1" applyFont="1" applyBorder="1" applyAlignment="1">
      <alignment horizontal="right"/>
    </xf>
    <xf numFmtId="165" fontId="7" fillId="0" borderId="7" xfId="5" applyNumberFormat="1" applyFont="1" applyBorder="1"/>
    <xf numFmtId="164" fontId="7" fillId="0" borderId="0" xfId="6" applyNumberFormat="1" applyFont="1"/>
    <xf numFmtId="165" fontId="7" fillId="0" borderId="0" xfId="5" applyNumberFormat="1" applyFont="1"/>
    <xf numFmtId="165" fontId="7" fillId="0" borderId="0" xfId="5" applyNumberFormat="1" applyFont="1" applyBorder="1"/>
    <xf numFmtId="164" fontId="7" fillId="0" borderId="0" xfId="6" applyNumberFormat="1" applyFont="1" applyBorder="1"/>
    <xf numFmtId="165" fontId="3" fillId="0" borderId="5" xfId="5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3" fillId="0" borderId="2" xfId="0" applyNumberFormat="1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3" fillId="0" borderId="1" xfId="0" applyNumberFormat="1" applyFont="1" applyBorder="1"/>
    <xf numFmtId="44" fontId="10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7" fontId="3" fillId="0" borderId="0" xfId="5" applyNumberFormat="1" applyFont="1" applyAlignment="1"/>
    <xf numFmtId="167" fontId="3" fillId="0" borderId="2" xfId="5" applyNumberFormat="1" applyFont="1" applyBorder="1"/>
    <xf numFmtId="167" fontId="3" fillId="0" borderId="0" xfId="5" applyNumberFormat="1" applyFont="1" applyBorder="1" applyAlignment="1"/>
    <xf numFmtId="167" fontId="3" fillId="0" borderId="0" xfId="5" applyNumberFormat="1" applyFont="1" applyBorder="1" applyAlignment="1">
      <alignment horizontal="center"/>
    </xf>
    <xf numFmtId="170" fontId="3" fillId="0" borderId="0" xfId="0" applyNumberFormat="1" applyFont="1"/>
    <xf numFmtId="169" fontId="7" fillId="0" borderId="0" xfId="0" applyNumberFormat="1" applyFont="1"/>
    <xf numFmtId="167" fontId="3" fillId="0" borderId="0" xfId="5" quotePrefix="1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3" fillId="0" borderId="0" xfId="0" applyFont="1" applyAlignment="1">
      <alignment horizontal="center" vertical="top"/>
    </xf>
    <xf numFmtId="43" fontId="3" fillId="0" borderId="0" xfId="1" applyFont="1" applyAlignment="1">
      <alignment horizontal="right"/>
    </xf>
    <xf numFmtId="10" fontId="3" fillId="0" borderId="1" xfId="3" applyNumberFormat="1" applyFont="1" applyBorder="1"/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center"/>
    </xf>
    <xf numFmtId="165" fontId="3" fillId="0" borderId="0" xfId="1" applyNumberFormat="1" applyFont="1" applyBorder="1" applyAlignment="1"/>
    <xf numFmtId="164" fontId="3" fillId="0" borderId="0" xfId="6" applyNumberFormat="1" applyFont="1" applyBorder="1"/>
    <xf numFmtId="164" fontId="3" fillId="0" borderId="0" xfId="0" applyNumberFormat="1" applyFont="1"/>
    <xf numFmtId="164" fontId="0" fillId="0" borderId="0" xfId="0" applyNumberFormat="1" applyAlignment="1">
      <alignment vertical="top"/>
    </xf>
    <xf numFmtId="10" fontId="0" fillId="0" borderId="0" xfId="3" applyNumberFormat="1" applyFont="1" applyBorder="1" applyAlignment="1">
      <alignment vertical="top"/>
    </xf>
    <xf numFmtId="164" fontId="3" fillId="0" borderId="0" xfId="2" applyNumberFormat="1" applyFont="1" applyBorder="1" applyAlignment="1"/>
    <xf numFmtId="3" fontId="3" fillId="0" borderId="0" xfId="0" applyNumberFormat="1" applyFont="1" applyAlignment="1">
      <alignment horizontal="left"/>
    </xf>
    <xf numFmtId="37" fontId="3" fillId="0" borderId="0" xfId="0" applyNumberFormat="1" applyFont="1"/>
    <xf numFmtId="0" fontId="7" fillId="0" borderId="0" xfId="0" applyFont="1" applyAlignment="1">
      <alignment horizontal="left"/>
    </xf>
    <xf numFmtId="165" fontId="3" fillId="0" borderId="0" xfId="5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44" fontId="3" fillId="0" borderId="0" xfId="0" applyNumberFormat="1" applyFont="1"/>
    <xf numFmtId="3" fontId="3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7" fillId="0" borderId="0" xfId="0" applyNumberFormat="1" applyFont="1" applyAlignment="1">
      <alignment horizontal="right"/>
    </xf>
    <xf numFmtId="167" fontId="3" fillId="0" borderId="1" xfId="5" applyNumberFormat="1" applyFont="1" applyBorder="1" applyAlignment="1">
      <alignment horizontal="right"/>
    </xf>
    <xf numFmtId="167" fontId="3" fillId="0" borderId="0" xfId="5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3" fillId="0" borderId="0" xfId="5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3" fillId="0" borderId="1" xfId="2" applyNumberFormat="1" applyFont="1" applyBorder="1" applyAlignment="1"/>
    <xf numFmtId="164" fontId="3" fillId="0" borderId="0" xfId="5" applyNumberFormat="1" applyFont="1" applyFill="1" applyBorder="1" applyAlignment="1">
      <alignment horizontal="right"/>
    </xf>
    <xf numFmtId="164" fontId="3" fillId="0" borderId="1" xfId="0" applyNumberFormat="1" applyFont="1" applyBorder="1"/>
    <xf numFmtId="164" fontId="3" fillId="0" borderId="0" xfId="2" applyNumberFormat="1" applyFont="1" applyFill="1" applyBorder="1" applyAlignment="1"/>
    <xf numFmtId="10" fontId="3" fillId="0" borderId="0" xfId="3" applyNumberFormat="1" applyFont="1" applyFill="1" applyBorder="1" applyAlignment="1">
      <alignment vertical="top"/>
    </xf>
    <xf numFmtId="10" fontId="3" fillId="0" borderId="0" xfId="3" applyNumberFormat="1" applyFont="1"/>
    <xf numFmtId="165" fontId="3" fillId="0" borderId="7" xfId="5" applyNumberFormat="1" applyFont="1" applyFill="1" applyBorder="1" applyAlignment="1">
      <alignment horizontal="center"/>
    </xf>
    <xf numFmtId="165" fontId="3" fillId="0" borderId="8" xfId="5" applyNumberFormat="1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2" borderId="7" xfId="1" applyFont="1" applyFill="1" applyBorder="1"/>
    <xf numFmtId="164" fontId="3" fillId="0" borderId="1" xfId="6" applyNumberFormat="1" applyFont="1" applyBorder="1"/>
    <xf numFmtId="165" fontId="3" fillId="0" borderId="1" xfId="1" applyNumberFormat="1" applyFont="1" applyBorder="1" applyAlignment="1"/>
    <xf numFmtId="165" fontId="3" fillId="0" borderId="1" xfId="1" applyNumberFormat="1" applyFont="1" applyBorder="1" applyAlignment="1">
      <alignment vertical="center"/>
    </xf>
    <xf numFmtId="165" fontId="3" fillId="0" borderId="12" xfId="1" applyNumberFormat="1" applyFont="1" applyBorder="1" applyAlignment="1">
      <alignment vertical="center"/>
    </xf>
    <xf numFmtId="0" fontId="19" fillId="0" borderId="0" xfId="0" applyFont="1"/>
    <xf numFmtId="0" fontId="3" fillId="0" borderId="1" xfId="0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" fontId="3" fillId="0" borderId="0" xfId="5" applyNumberFormat="1" applyFont="1" applyFill="1"/>
    <xf numFmtId="165" fontId="3" fillId="0" borderId="0" xfId="5" applyNumberFormat="1" applyFont="1" applyFill="1"/>
    <xf numFmtId="37" fontId="3" fillId="0" borderId="1" xfId="0" applyNumberFormat="1" applyFont="1" applyBorder="1"/>
    <xf numFmtId="3" fontId="3" fillId="0" borderId="1" xfId="5" applyNumberFormat="1" applyFont="1" applyFill="1" applyBorder="1"/>
    <xf numFmtId="165" fontId="3" fillId="0" borderId="1" xfId="5" applyNumberFormat="1" applyFont="1" applyFill="1" applyBorder="1"/>
    <xf numFmtId="44" fontId="3" fillId="0" borderId="0" xfId="6" applyFont="1"/>
    <xf numFmtId="0" fontId="3" fillId="0" borderId="1" xfId="0" applyFont="1" applyBorder="1"/>
    <xf numFmtId="44" fontId="3" fillId="0" borderId="1" xfId="6" applyFont="1" applyBorder="1"/>
    <xf numFmtId="166" fontId="3" fillId="0" borderId="0" xfId="7" applyNumberFormat="1" applyFont="1"/>
    <xf numFmtId="0" fontId="3" fillId="0" borderId="0" xfId="0" quotePrefix="1" applyFont="1" applyAlignment="1">
      <alignment horizontal="center"/>
    </xf>
    <xf numFmtId="171" fontId="0" fillId="0" borderId="0" xfId="1" applyNumberFormat="1" applyFont="1" applyAlignment="1">
      <alignment vertical="top"/>
    </xf>
    <xf numFmtId="0" fontId="18" fillId="0" borderId="0" xfId="0" applyFont="1"/>
    <xf numFmtId="0" fontId="3" fillId="0" borderId="6" xfId="0" applyFont="1" applyBorder="1"/>
    <xf numFmtId="0" fontId="3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165" fontId="3" fillId="0" borderId="0" xfId="5" applyNumberFormat="1" applyFont="1" applyBorder="1" applyAlignment="1"/>
    <xf numFmtId="44" fontId="3" fillId="0" borderId="0" xfId="6" applyFont="1" applyBorder="1" applyAlignment="1"/>
    <xf numFmtId="44" fontId="3" fillId="0" borderId="7" xfId="0" applyNumberFormat="1" applyFont="1" applyBorder="1"/>
    <xf numFmtId="10" fontId="3" fillId="0" borderId="8" xfId="7" applyNumberFormat="1" applyFont="1" applyBorder="1" applyAlignment="1">
      <alignment horizontal="center"/>
    </xf>
    <xf numFmtId="44" fontId="18" fillId="0" borderId="0" xfId="0" applyNumberFormat="1" applyFont="1"/>
    <xf numFmtId="43" fontId="3" fillId="0" borderId="0" xfId="5" applyFont="1" applyBorder="1" applyAlignment="1"/>
    <xf numFmtId="43" fontId="18" fillId="0" borderId="0" xfId="5" applyFont="1" applyAlignment="1"/>
    <xf numFmtId="43" fontId="3" fillId="0" borderId="0" xfId="6" applyNumberFormat="1" applyFont="1" applyBorder="1" applyAlignment="1"/>
    <xf numFmtId="165" fontId="3" fillId="0" borderId="1" xfId="5" applyNumberFormat="1" applyFont="1" applyBorder="1" applyAlignment="1"/>
    <xf numFmtId="165" fontId="18" fillId="0" borderId="0" xfId="5" applyNumberFormat="1" applyFont="1" applyAlignment="1"/>
    <xf numFmtId="165" fontId="3" fillId="0" borderId="0" xfId="5" applyNumberFormat="1" applyFont="1" applyAlignment="1"/>
    <xf numFmtId="166" fontId="3" fillId="0" borderId="0" xfId="7" applyNumberFormat="1" applyFont="1" applyAlignment="1"/>
    <xf numFmtId="43" fontId="3" fillId="0" borderId="0" xfId="5" applyFont="1" applyAlignment="1"/>
    <xf numFmtId="43" fontId="3" fillId="0" borderId="0" xfId="1" applyFont="1" applyBorder="1" applyAlignment="1"/>
    <xf numFmtId="165" fontId="4" fillId="0" borderId="0" xfId="1" applyNumberFormat="1" applyFont="1" applyAlignment="1">
      <alignment horizontal="center" vertical="center"/>
    </xf>
    <xf numFmtId="165" fontId="10" fillId="0" borderId="7" xfId="5" applyNumberFormat="1" applyFont="1" applyBorder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7" fontId="8" fillId="0" borderId="0" xfId="5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65" fontId="11" fillId="0" borderId="0" xfId="5" applyNumberFormat="1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showGridLines="0" tabSelected="1" topLeftCell="A10" workbookViewId="0">
      <selection activeCell="I20" sqref="I20"/>
    </sheetView>
  </sheetViews>
  <sheetFormatPr defaultColWidth="8.777343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11" width="11.33203125" style="7" customWidth="1"/>
    <col min="12" max="12" width="10.88671875" style="7" customWidth="1"/>
    <col min="13" max="16384" width="8.77734375" style="7"/>
  </cols>
  <sheetData>
    <row r="1" spans="1:12" ht="18" x14ac:dyDescent="0.45">
      <c r="A1" s="233" t="s">
        <v>27</v>
      </c>
      <c r="B1" s="233"/>
      <c r="C1" s="233"/>
      <c r="D1" s="233"/>
      <c r="E1" s="233"/>
      <c r="F1" s="233"/>
      <c r="G1" s="233"/>
      <c r="H1" s="52"/>
      <c r="I1" s="52"/>
      <c r="J1" s="52"/>
      <c r="K1" s="52"/>
    </row>
    <row r="2" spans="1:12" ht="15.75" x14ac:dyDescent="0.45">
      <c r="A2" s="53" t="s">
        <v>161</v>
      </c>
      <c r="B2" s="51"/>
      <c r="C2" s="51"/>
      <c r="D2" s="51"/>
      <c r="E2" s="51"/>
      <c r="F2" s="51"/>
      <c r="G2" s="51"/>
      <c r="H2" s="52"/>
      <c r="I2" s="52"/>
      <c r="J2" s="52"/>
      <c r="K2" s="52"/>
      <c r="L2" s="52"/>
    </row>
    <row r="3" spans="1:12" x14ac:dyDescent="0.45">
      <c r="A3" s="47"/>
      <c r="B3" s="51"/>
      <c r="C3" s="51"/>
      <c r="D3" s="51"/>
      <c r="E3" s="51"/>
      <c r="F3" s="51"/>
      <c r="G3" s="51"/>
      <c r="H3" s="52"/>
      <c r="I3" s="52"/>
      <c r="J3" s="52"/>
      <c r="K3" s="52"/>
    </row>
    <row r="4" spans="1:12" ht="16.5" x14ac:dyDescent="0.45">
      <c r="A4" s="52"/>
      <c r="B4" s="52"/>
      <c r="C4" s="52"/>
      <c r="D4" s="54" t="s">
        <v>28</v>
      </c>
      <c r="E4" s="54" t="s">
        <v>29</v>
      </c>
      <c r="F4" s="54" t="s">
        <v>30</v>
      </c>
      <c r="G4" s="54" t="s">
        <v>31</v>
      </c>
      <c r="H4" s="52"/>
      <c r="I4" s="67" t="s">
        <v>37</v>
      </c>
      <c r="J4" s="52"/>
      <c r="K4" s="52"/>
    </row>
    <row r="5" spans="1:12" x14ac:dyDescent="0.45">
      <c r="A5" s="55" t="s">
        <v>14</v>
      </c>
      <c r="B5" s="52"/>
      <c r="C5" s="52"/>
      <c r="D5" s="52"/>
      <c r="F5" s="52"/>
      <c r="G5" s="52"/>
      <c r="H5" s="52"/>
      <c r="J5" s="52"/>
      <c r="K5" s="52"/>
    </row>
    <row r="6" spans="1:12" x14ac:dyDescent="0.45">
      <c r="A6" s="52"/>
      <c r="B6" s="52" t="s">
        <v>39</v>
      </c>
      <c r="C6" s="52"/>
      <c r="D6" s="52">
        <v>1501319</v>
      </c>
      <c r="E6" s="52">
        <f>ExBA!G15</f>
        <v>38948.489999999991</v>
      </c>
      <c r="F6" s="56" t="s">
        <v>172</v>
      </c>
      <c r="G6" s="52">
        <f>D6+E6</f>
        <v>1540267.49</v>
      </c>
      <c r="H6" s="57"/>
      <c r="I6" s="52" t="s">
        <v>183</v>
      </c>
      <c r="J6" s="52"/>
      <c r="K6" s="52"/>
    </row>
    <row r="7" spans="1:12" x14ac:dyDescent="0.45">
      <c r="A7" s="52"/>
      <c r="B7" s="52" t="s">
        <v>15</v>
      </c>
      <c r="C7" s="52"/>
      <c r="D7" s="52"/>
      <c r="E7" s="52"/>
      <c r="F7" s="56"/>
      <c r="G7" s="52"/>
      <c r="H7" s="59"/>
      <c r="I7" s="52"/>
      <c r="J7" s="52"/>
      <c r="K7" s="52"/>
    </row>
    <row r="8" spans="1:12" x14ac:dyDescent="0.45">
      <c r="A8" s="52"/>
      <c r="B8" s="52"/>
      <c r="C8" s="52" t="s">
        <v>38</v>
      </c>
      <c r="D8" s="52"/>
      <c r="E8" s="52"/>
      <c r="F8" s="56"/>
      <c r="G8" s="52">
        <f>D8+E8</f>
        <v>0</v>
      </c>
      <c r="H8" s="57"/>
      <c r="I8" s="52"/>
      <c r="J8" s="52"/>
      <c r="K8" s="52"/>
    </row>
    <row r="9" spans="1:12" x14ac:dyDescent="0.45">
      <c r="A9" s="52"/>
      <c r="C9" s="52" t="s">
        <v>16</v>
      </c>
      <c r="D9" s="52"/>
      <c r="E9" s="52"/>
      <c r="F9" s="56"/>
      <c r="G9" s="52">
        <f>D9+E9</f>
        <v>0</v>
      </c>
      <c r="H9" s="57"/>
      <c r="J9" s="52"/>
      <c r="K9" s="52"/>
    </row>
    <row r="10" spans="1:12" ht="16.5" x14ac:dyDescent="0.45">
      <c r="A10" s="52"/>
      <c r="C10" s="52" t="s">
        <v>57</v>
      </c>
      <c r="D10" s="76">
        <v>40149</v>
      </c>
      <c r="E10" s="52"/>
      <c r="F10" s="56"/>
      <c r="G10" s="76">
        <f>D10+E10</f>
        <v>40149</v>
      </c>
      <c r="H10" s="58"/>
      <c r="I10" s="52"/>
      <c r="J10" s="52"/>
      <c r="K10" s="52"/>
    </row>
    <row r="11" spans="1:12" x14ac:dyDescent="0.45">
      <c r="A11" s="60" t="s">
        <v>17</v>
      </c>
      <c r="B11" s="52"/>
      <c r="C11" s="52"/>
      <c r="D11" s="52">
        <f>SUM(D6:D10)</f>
        <v>1541468</v>
      </c>
      <c r="E11" s="52"/>
      <c r="F11" s="56"/>
      <c r="G11" s="52">
        <f>SUM(G6:G10)</f>
        <v>1580416.49</v>
      </c>
      <c r="H11" s="59"/>
      <c r="J11" s="52"/>
      <c r="K11" s="52"/>
    </row>
    <row r="12" spans="1:12" x14ac:dyDescent="0.45">
      <c r="A12" s="52"/>
      <c r="B12" s="52"/>
      <c r="C12" s="52"/>
      <c r="D12" s="52"/>
      <c r="E12" s="52"/>
      <c r="F12" s="56"/>
      <c r="G12" s="52"/>
      <c r="H12" s="59"/>
      <c r="I12" s="52"/>
      <c r="J12" s="52"/>
      <c r="K12" s="52"/>
    </row>
    <row r="13" spans="1:12" x14ac:dyDescent="0.45">
      <c r="A13" s="55" t="s">
        <v>18</v>
      </c>
      <c r="B13" s="52"/>
      <c r="C13" s="52"/>
      <c r="D13" s="52"/>
      <c r="E13" s="52"/>
      <c r="F13" s="56"/>
      <c r="G13" s="52"/>
      <c r="H13" s="59"/>
      <c r="I13" s="52"/>
      <c r="J13" s="52"/>
      <c r="K13" s="52"/>
    </row>
    <row r="14" spans="1:12" x14ac:dyDescent="0.45">
      <c r="A14" s="52"/>
      <c r="B14" s="52" t="s">
        <v>32</v>
      </c>
      <c r="C14" s="52"/>
      <c r="D14" s="52"/>
      <c r="E14" s="52"/>
      <c r="F14" s="56"/>
      <c r="G14" s="52"/>
      <c r="H14" s="59"/>
      <c r="I14" s="52"/>
      <c r="J14" s="52"/>
      <c r="K14" s="52"/>
    </row>
    <row r="15" spans="1:12" x14ac:dyDescent="0.45">
      <c r="A15" s="52"/>
      <c r="B15" s="52"/>
      <c r="C15" s="52" t="s">
        <v>2</v>
      </c>
      <c r="D15" s="52">
        <v>371021</v>
      </c>
      <c r="E15" s="167">
        <v>-7800</v>
      </c>
      <c r="F15" s="61" t="s">
        <v>173</v>
      </c>
      <c r="H15" s="57"/>
      <c r="I15" s="52" t="s">
        <v>184</v>
      </c>
      <c r="J15" s="52"/>
      <c r="K15" s="52"/>
    </row>
    <row r="16" spans="1:12" x14ac:dyDescent="0.45">
      <c r="A16" s="52"/>
      <c r="B16" s="52"/>
      <c r="C16" s="52"/>
      <c r="D16" s="52"/>
      <c r="E16" s="167">
        <f>Wages!G24</f>
        <v>22948.398999999976</v>
      </c>
      <c r="F16" s="61" t="s">
        <v>174</v>
      </c>
      <c r="G16" s="52">
        <f>SUM(D15:E16)</f>
        <v>386169.39899999998</v>
      </c>
      <c r="H16" s="57"/>
      <c r="I16" s="52" t="s">
        <v>185</v>
      </c>
      <c r="J16" s="52"/>
      <c r="K16" s="52"/>
    </row>
    <row r="17" spans="1:11" x14ac:dyDescent="0.45">
      <c r="A17" s="52"/>
      <c r="B17" s="52"/>
      <c r="C17" s="52" t="s">
        <v>3</v>
      </c>
      <c r="D17" s="52"/>
      <c r="E17" s="167">
        <v>7800</v>
      </c>
      <c r="F17" s="56" t="str">
        <f>F15</f>
        <v>(B)</v>
      </c>
      <c r="G17" s="52">
        <f t="shared" ref="G17:G31" si="0">SUM(D17:E17)</f>
        <v>7800</v>
      </c>
      <c r="H17" s="57"/>
      <c r="I17" s="7" t="s">
        <v>184</v>
      </c>
    </row>
    <row r="18" spans="1:11" x14ac:dyDescent="0.45">
      <c r="A18" s="52"/>
      <c r="B18" s="52"/>
      <c r="C18" s="52" t="s">
        <v>4</v>
      </c>
      <c r="D18" s="52">
        <v>158415</v>
      </c>
      <c r="E18" s="167">
        <f>Wages!G36</f>
        <v>2635.6530305000051</v>
      </c>
      <c r="F18" s="61" t="s">
        <v>179</v>
      </c>
      <c r="H18" s="57"/>
      <c r="I18" s="52" t="s">
        <v>186</v>
      </c>
      <c r="J18" s="52"/>
      <c r="K18" s="52"/>
    </row>
    <row r="19" spans="1:11" x14ac:dyDescent="0.45">
      <c r="A19" s="52"/>
      <c r="B19" s="52"/>
      <c r="C19" s="52"/>
      <c r="D19" s="52"/>
      <c r="E19" s="167">
        <v>-38117</v>
      </c>
      <c r="F19" s="61" t="s">
        <v>180</v>
      </c>
      <c r="H19" s="57"/>
      <c r="I19" s="52" t="s">
        <v>225</v>
      </c>
      <c r="J19" s="52"/>
      <c r="K19" s="52"/>
    </row>
    <row r="20" spans="1:11" x14ac:dyDescent="0.45">
      <c r="A20" s="52"/>
      <c r="B20" s="52"/>
      <c r="C20" s="52"/>
      <c r="D20" s="52"/>
      <c r="E20" s="167">
        <v>1125</v>
      </c>
      <c r="F20" s="61" t="s">
        <v>181</v>
      </c>
      <c r="G20" s="52">
        <f>SUM(D18:E20)</f>
        <v>124058.65303049999</v>
      </c>
      <c r="H20" s="57"/>
      <c r="I20" s="52" t="s">
        <v>187</v>
      </c>
      <c r="J20" s="52"/>
      <c r="K20" s="52"/>
    </row>
    <row r="21" spans="1:11" x14ac:dyDescent="0.45">
      <c r="A21" s="52"/>
      <c r="B21" s="52"/>
      <c r="C21" s="52" t="s">
        <v>5</v>
      </c>
      <c r="D21" s="52">
        <v>603506</v>
      </c>
      <c r="E21" s="167"/>
      <c r="F21" s="61"/>
      <c r="G21" s="52">
        <f t="shared" si="0"/>
        <v>603506</v>
      </c>
      <c r="H21" s="62"/>
    </row>
    <row r="22" spans="1:11" x14ac:dyDescent="0.45">
      <c r="A22" s="52"/>
      <c r="B22" s="52"/>
      <c r="C22" s="52" t="s">
        <v>6</v>
      </c>
      <c r="D22" s="52">
        <v>64067</v>
      </c>
      <c r="E22" s="52"/>
      <c r="F22" s="61"/>
      <c r="G22" s="52">
        <f>SUM(D22:E22)</f>
        <v>64067</v>
      </c>
      <c r="H22" s="63"/>
      <c r="J22" s="52"/>
      <c r="K22" s="52"/>
    </row>
    <row r="23" spans="1:11" x14ac:dyDescent="0.45">
      <c r="A23" s="52"/>
      <c r="B23" s="52"/>
      <c r="C23" s="52" t="s">
        <v>7</v>
      </c>
      <c r="D23" s="52">
        <v>128813</v>
      </c>
      <c r="E23" s="52"/>
      <c r="F23" s="61"/>
      <c r="G23" s="52">
        <f t="shared" si="0"/>
        <v>128813</v>
      </c>
      <c r="H23" s="57"/>
      <c r="I23" s="52"/>
      <c r="J23" s="52"/>
      <c r="K23" s="52"/>
    </row>
    <row r="24" spans="1:11" x14ac:dyDescent="0.45">
      <c r="A24" s="52"/>
      <c r="B24" s="52"/>
      <c r="C24" s="52" t="s">
        <v>8</v>
      </c>
      <c r="D24" s="52">
        <v>5400</v>
      </c>
      <c r="E24" s="52"/>
      <c r="F24" s="61"/>
      <c r="G24" s="52">
        <f t="shared" si="0"/>
        <v>5400</v>
      </c>
      <c r="H24" s="57"/>
      <c r="I24" s="52"/>
      <c r="J24" s="52"/>
      <c r="K24" s="52"/>
    </row>
    <row r="25" spans="1:11" x14ac:dyDescent="0.45">
      <c r="A25" s="52"/>
      <c r="B25" s="52"/>
      <c r="C25" s="52" t="s">
        <v>58</v>
      </c>
      <c r="D25" s="52">
        <v>14300</v>
      </c>
      <c r="E25" s="52"/>
      <c r="F25" s="61"/>
      <c r="G25" s="52">
        <f t="shared" si="0"/>
        <v>14300</v>
      </c>
      <c r="H25" s="57"/>
      <c r="I25" s="52"/>
      <c r="J25" s="52"/>
      <c r="K25" s="52"/>
    </row>
    <row r="26" spans="1:11" x14ac:dyDescent="0.45">
      <c r="A26" s="52"/>
      <c r="B26" s="52"/>
      <c r="C26" s="52" t="s">
        <v>10</v>
      </c>
      <c r="D26" s="52">
        <v>34286</v>
      </c>
      <c r="E26" s="52"/>
      <c r="F26" s="61"/>
      <c r="G26" s="52">
        <f t="shared" si="0"/>
        <v>34286</v>
      </c>
      <c r="H26" s="59"/>
      <c r="I26" s="52"/>
      <c r="J26" s="52"/>
      <c r="K26" s="52"/>
    </row>
    <row r="27" spans="1:11" x14ac:dyDescent="0.45">
      <c r="A27" s="52"/>
      <c r="B27" s="52"/>
      <c r="C27" s="52" t="s">
        <v>33</v>
      </c>
      <c r="D27" s="52"/>
      <c r="E27" s="52"/>
      <c r="F27" s="61"/>
      <c r="G27" s="52">
        <f t="shared" si="0"/>
        <v>0</v>
      </c>
      <c r="H27" s="59"/>
      <c r="I27" s="52"/>
      <c r="J27" s="52"/>
      <c r="K27" s="52"/>
    </row>
    <row r="28" spans="1:11" x14ac:dyDescent="0.45">
      <c r="A28" s="52"/>
      <c r="B28" s="52"/>
      <c r="C28" s="52" t="s">
        <v>59</v>
      </c>
      <c r="D28" s="52">
        <v>29950</v>
      </c>
      <c r="E28" s="52"/>
      <c r="F28" s="61"/>
      <c r="G28" s="52">
        <f t="shared" si="0"/>
        <v>29950</v>
      </c>
      <c r="H28" s="59"/>
      <c r="I28" s="52"/>
      <c r="J28" s="52"/>
      <c r="K28" s="52"/>
    </row>
    <row r="29" spans="1:11" x14ac:dyDescent="0.45">
      <c r="A29" s="52"/>
      <c r="B29" s="52"/>
      <c r="C29" s="52" t="s">
        <v>162</v>
      </c>
      <c r="D29" s="52"/>
      <c r="E29" s="52"/>
      <c r="F29" s="61"/>
      <c r="G29" s="52">
        <f t="shared" si="0"/>
        <v>0</v>
      </c>
      <c r="H29" s="59"/>
      <c r="I29" s="52"/>
      <c r="J29" s="52"/>
      <c r="K29" s="52"/>
    </row>
    <row r="30" spans="1:11" x14ac:dyDescent="0.45">
      <c r="A30" s="52"/>
      <c r="B30" s="52"/>
      <c r="C30" s="52" t="s">
        <v>60</v>
      </c>
      <c r="D30" s="52">
        <v>1693</v>
      </c>
      <c r="E30" s="52"/>
      <c r="F30" s="56"/>
      <c r="G30" s="52">
        <f t="shared" si="0"/>
        <v>1693</v>
      </c>
      <c r="H30" s="59"/>
      <c r="I30" s="52"/>
      <c r="J30" s="52"/>
      <c r="K30" s="52"/>
    </row>
    <row r="31" spans="1:11" x14ac:dyDescent="0.45">
      <c r="A31" s="52"/>
      <c r="B31" s="52"/>
      <c r="C31" s="52" t="s">
        <v>9</v>
      </c>
      <c r="D31" s="196">
        <v>73007</v>
      </c>
      <c r="E31" s="75"/>
      <c r="F31" s="61"/>
      <c r="G31" s="196">
        <f t="shared" si="0"/>
        <v>73007</v>
      </c>
      <c r="H31" s="59"/>
      <c r="I31" s="52"/>
      <c r="J31" s="52"/>
      <c r="K31" s="52"/>
    </row>
    <row r="32" spans="1:11" x14ac:dyDescent="0.45">
      <c r="A32" s="52"/>
      <c r="B32" s="52" t="s">
        <v>34</v>
      </c>
      <c r="C32" s="52"/>
      <c r="D32" s="52">
        <f>SUM(D15:D31)</f>
        <v>1484458</v>
      </c>
      <c r="E32" s="52"/>
      <c r="F32" s="56"/>
      <c r="G32" s="52">
        <f>SUM(G15:G31)</f>
        <v>1473050.0520305</v>
      </c>
      <c r="H32" s="59"/>
      <c r="I32" s="52"/>
      <c r="J32" s="52"/>
      <c r="K32" s="52"/>
    </row>
    <row r="33" spans="1:11" ht="4.1500000000000004" customHeight="1" x14ac:dyDescent="0.45">
      <c r="A33" s="52"/>
      <c r="B33" s="52"/>
      <c r="C33" s="52"/>
      <c r="D33" s="52"/>
      <c r="E33" s="52"/>
      <c r="F33" s="56"/>
      <c r="G33" s="52"/>
      <c r="H33" s="59"/>
      <c r="I33" s="52"/>
      <c r="J33" s="52"/>
      <c r="K33" s="52"/>
    </row>
    <row r="34" spans="1:11" x14ac:dyDescent="0.45">
      <c r="A34" s="52"/>
      <c r="B34" s="52" t="s">
        <v>19</v>
      </c>
      <c r="C34" s="52"/>
      <c r="D34" s="52">
        <v>325898</v>
      </c>
      <c r="E34" s="52">
        <f>Depreciation!K41</f>
        <v>-51062.927936507927</v>
      </c>
      <c r="F34" s="56" t="s">
        <v>182</v>
      </c>
      <c r="G34" s="52">
        <f>D34+E34</f>
        <v>274835.07206349209</v>
      </c>
      <c r="H34" s="59"/>
      <c r="I34" s="52" t="s">
        <v>188</v>
      </c>
      <c r="J34" s="52"/>
    </row>
    <row r="35" spans="1:11" x14ac:dyDescent="0.45">
      <c r="A35" s="52"/>
      <c r="B35" s="52" t="s">
        <v>1</v>
      </c>
      <c r="C35" s="52"/>
      <c r="D35" s="196">
        <v>75965</v>
      </c>
      <c r="E35" s="75">
        <f>Wages!G30</f>
        <v>460.95902349999596</v>
      </c>
      <c r="F35" s="77" t="s">
        <v>174</v>
      </c>
      <c r="G35" s="196">
        <f>D35+E35</f>
        <v>76425.959023499992</v>
      </c>
      <c r="H35" s="59"/>
      <c r="I35" s="52" t="s">
        <v>189</v>
      </c>
      <c r="J35" s="52"/>
    </row>
    <row r="36" spans="1:11" x14ac:dyDescent="0.45">
      <c r="A36" s="60" t="s">
        <v>0</v>
      </c>
      <c r="B36" s="52"/>
      <c r="C36" s="52"/>
      <c r="D36" s="196">
        <f>SUM(D32:D35)</f>
        <v>1886321</v>
      </c>
      <c r="E36" s="75"/>
      <c r="F36" s="77"/>
      <c r="G36" s="197">
        <f>SUM(G32:G35)</f>
        <v>1824311.0831174923</v>
      </c>
      <c r="H36" s="59"/>
      <c r="I36" s="52"/>
      <c r="J36" s="52"/>
      <c r="K36" s="52"/>
    </row>
    <row r="37" spans="1:11" ht="4.1500000000000004" customHeight="1" x14ac:dyDescent="0.45">
      <c r="A37" s="60"/>
      <c r="B37" s="52"/>
      <c r="C37" s="52"/>
      <c r="D37" s="78"/>
      <c r="E37" s="52"/>
      <c r="F37" s="56"/>
      <c r="G37" s="52"/>
      <c r="H37" s="52"/>
      <c r="I37" s="52"/>
      <c r="J37" s="52"/>
      <c r="K37" s="52"/>
    </row>
    <row r="38" spans="1:11" x14ac:dyDescent="0.45">
      <c r="A38" s="60" t="s">
        <v>35</v>
      </c>
      <c r="B38" s="52"/>
      <c r="C38" s="52"/>
      <c r="D38" s="52">
        <f>D11-D36</f>
        <v>-344853</v>
      </c>
      <c r="E38" s="52"/>
      <c r="F38" s="56"/>
      <c r="G38" s="52">
        <f>G11-G36</f>
        <v>-243894.59311749227</v>
      </c>
      <c r="H38" s="52"/>
      <c r="I38" s="52"/>
      <c r="K38" s="52"/>
    </row>
    <row r="39" spans="1:11" x14ac:dyDescent="0.45">
      <c r="A39" s="52"/>
      <c r="B39" s="52"/>
      <c r="C39" s="52"/>
      <c r="D39" s="52"/>
      <c r="E39" s="52"/>
      <c r="F39" s="56"/>
      <c r="G39" s="52"/>
      <c r="H39" s="52"/>
      <c r="I39" s="52"/>
      <c r="J39" s="52"/>
      <c r="K39" s="52"/>
    </row>
    <row r="40" spans="1:11" ht="18" x14ac:dyDescent="0.45">
      <c r="A40" s="233" t="s">
        <v>20</v>
      </c>
      <c r="B40" s="233"/>
      <c r="C40" s="233"/>
      <c r="D40" s="233"/>
      <c r="E40" s="233"/>
      <c r="F40" s="233"/>
      <c r="G40" s="233"/>
      <c r="H40" s="52"/>
      <c r="I40" s="64"/>
      <c r="J40" s="65"/>
      <c r="K40" s="52"/>
    </row>
    <row r="41" spans="1:11" x14ac:dyDescent="0.45">
      <c r="A41" s="60" t="s">
        <v>36</v>
      </c>
      <c r="B41" s="52"/>
      <c r="C41" s="52"/>
      <c r="D41" s="66"/>
      <c r="E41" s="52"/>
      <c r="F41" s="61"/>
      <c r="G41" s="7">
        <f>G36</f>
        <v>1824311.0831174923</v>
      </c>
      <c r="H41" s="52"/>
      <c r="J41" s="52"/>
      <c r="K41" s="52"/>
    </row>
    <row r="42" spans="1:11" x14ac:dyDescent="0.45">
      <c r="A42" s="52" t="s">
        <v>21</v>
      </c>
      <c r="B42" s="52"/>
      <c r="C42" s="52" t="s">
        <v>96</v>
      </c>
      <c r="D42" s="66"/>
      <c r="E42" s="52"/>
      <c r="F42" s="61"/>
      <c r="G42" s="7">
        <f>'Debt Service'!M17</f>
        <v>115312.51000000001</v>
      </c>
      <c r="H42" s="52"/>
      <c r="J42" s="52"/>
      <c r="K42" s="52"/>
    </row>
    <row r="43" spans="1:11" x14ac:dyDescent="0.45">
      <c r="A43" s="52"/>
      <c r="B43" s="52"/>
      <c r="C43" s="52" t="s">
        <v>97</v>
      </c>
      <c r="D43" s="66"/>
      <c r="E43" s="52"/>
      <c r="F43" s="61"/>
      <c r="G43" s="7">
        <f>'Debt Service'!M19</f>
        <v>23062.502000000004</v>
      </c>
      <c r="H43" s="52"/>
      <c r="J43" s="52"/>
      <c r="K43" s="52"/>
    </row>
    <row r="44" spans="1:11" x14ac:dyDescent="0.45">
      <c r="A44" s="60" t="s">
        <v>63</v>
      </c>
      <c r="B44" s="52"/>
      <c r="C44" s="52"/>
      <c r="D44" s="66"/>
      <c r="E44" s="52"/>
      <c r="F44" s="61"/>
      <c r="G44" s="7">
        <f>G41+G42+G43</f>
        <v>1962686.0951174924</v>
      </c>
      <c r="H44" s="52"/>
      <c r="J44" s="52"/>
      <c r="K44" s="52"/>
    </row>
    <row r="45" spans="1:11" x14ac:dyDescent="0.45">
      <c r="A45" s="52" t="s">
        <v>22</v>
      </c>
      <c r="B45" s="52"/>
      <c r="C45" s="52" t="s">
        <v>23</v>
      </c>
      <c r="D45" s="66"/>
      <c r="E45" s="52"/>
      <c r="F45" s="61"/>
      <c r="G45" s="6">
        <f>SUM(G8:G10)</f>
        <v>40149</v>
      </c>
      <c r="H45" s="52"/>
      <c r="J45" s="52"/>
      <c r="K45" s="52"/>
    </row>
    <row r="46" spans="1:11" x14ac:dyDescent="0.45">
      <c r="A46" s="60"/>
      <c r="B46" s="52"/>
      <c r="C46" s="52" t="s">
        <v>219</v>
      </c>
      <c r="D46" s="66"/>
      <c r="E46" s="52"/>
      <c r="F46" s="61"/>
      <c r="G46" s="7">
        <v>20000</v>
      </c>
      <c r="H46" s="52"/>
      <c r="J46" s="52"/>
      <c r="K46" s="52"/>
    </row>
    <row r="47" spans="1:11" x14ac:dyDescent="0.45">
      <c r="C47" s="7" t="s">
        <v>220</v>
      </c>
      <c r="G47" s="5">
        <v>930</v>
      </c>
      <c r="H47" s="52"/>
      <c r="J47" s="52"/>
      <c r="K47" s="52"/>
    </row>
    <row r="48" spans="1:11" x14ac:dyDescent="0.45">
      <c r="A48" s="60" t="s">
        <v>61</v>
      </c>
      <c r="B48" s="52"/>
      <c r="C48" s="52"/>
      <c r="D48" s="66"/>
      <c r="E48" s="52"/>
      <c r="F48" s="61"/>
      <c r="G48" s="7">
        <f>G44-G45-G46-G47</f>
        <v>1901607.0951174924</v>
      </c>
      <c r="H48" s="52"/>
      <c r="J48" s="52"/>
      <c r="K48" s="52"/>
    </row>
    <row r="49" spans="1:11" ht="16.5" x14ac:dyDescent="0.75">
      <c r="A49" s="52" t="s">
        <v>22</v>
      </c>
      <c r="B49" s="52"/>
      <c r="C49" s="52" t="s">
        <v>62</v>
      </c>
      <c r="D49" s="66"/>
      <c r="E49" s="52"/>
      <c r="F49" s="61"/>
      <c r="G49" s="27">
        <f>G6</f>
        <v>1540267.49</v>
      </c>
      <c r="H49" s="52"/>
      <c r="I49" s="32"/>
      <c r="J49" s="52"/>
      <c r="K49" s="52"/>
    </row>
    <row r="50" spans="1:11" x14ac:dyDescent="0.45">
      <c r="A50" s="60" t="s">
        <v>64</v>
      </c>
      <c r="B50" s="52"/>
      <c r="C50" s="52"/>
      <c r="D50" s="66"/>
      <c r="E50" s="52"/>
      <c r="F50" s="61"/>
      <c r="G50" s="52">
        <f>G48-G49</f>
        <v>361339.60511749238</v>
      </c>
      <c r="H50" s="52"/>
      <c r="I50" s="52"/>
      <c r="J50" s="52"/>
      <c r="K50" s="52"/>
    </row>
    <row r="51" spans="1:11" ht="4.1500000000000004" customHeight="1" x14ac:dyDescent="0.45">
      <c r="A51" s="52"/>
      <c r="B51" s="52"/>
      <c r="C51" s="52"/>
      <c r="D51" s="66"/>
      <c r="E51" s="52"/>
      <c r="F51" s="61"/>
      <c r="G51" s="52"/>
      <c r="H51" s="52"/>
      <c r="I51" s="52"/>
      <c r="J51" s="52"/>
      <c r="K51" s="52"/>
    </row>
    <row r="52" spans="1:11" x14ac:dyDescent="0.45">
      <c r="A52" s="60" t="s">
        <v>65</v>
      </c>
      <c r="B52" s="52"/>
      <c r="C52" s="52"/>
      <c r="D52" s="66"/>
      <c r="E52" s="52"/>
      <c r="F52" s="61"/>
      <c r="G52" s="68">
        <f>IF(G50&lt;0,0,G50/G49)</f>
        <v>0.23459535922393088</v>
      </c>
      <c r="H52" s="52"/>
      <c r="I52" s="52"/>
      <c r="J52" s="52"/>
      <c r="K52" s="52"/>
    </row>
    <row r="55" spans="1:11" x14ac:dyDescent="0.45">
      <c r="A55" s="60"/>
      <c r="B55" s="52"/>
      <c r="C55" s="52"/>
      <c r="D55" s="66"/>
      <c r="E55" s="52"/>
      <c r="F55" s="61"/>
      <c r="G55" s="52"/>
    </row>
    <row r="56" spans="1:11" x14ac:dyDescent="0.45">
      <c r="A56" s="52"/>
      <c r="B56" s="52"/>
      <c r="C56" s="52"/>
      <c r="D56" s="66"/>
      <c r="E56" s="52"/>
      <c r="F56" s="61"/>
      <c r="G56" s="52"/>
    </row>
    <row r="57" spans="1:11" x14ac:dyDescent="0.45">
      <c r="A57" s="60"/>
      <c r="B57" s="52"/>
      <c r="C57" s="52"/>
      <c r="D57" s="66"/>
      <c r="E57" s="52"/>
      <c r="F57" s="61"/>
      <c r="G57" s="52"/>
    </row>
  </sheetData>
  <mergeCells count="2">
    <mergeCell ref="A40:G40"/>
    <mergeCell ref="A1:G1"/>
  </mergeCells>
  <printOptions horizontalCentered="1"/>
  <pageMargins left="0.45" right="0.25" top="0.5" bottom="0.5" header="0.3" footer="0.3"/>
  <pageSetup scale="95" orientation="portrait" horizontalDpi="4294967293" r:id="rId1"/>
  <rowBreaks count="2" manualBreakCount="2">
    <brk id="38" max="16383" man="1"/>
    <brk id="39" max="16383" man="1"/>
  </rowBreaks>
  <ignoredErrors>
    <ignoredError sqref="G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H49"/>
  <sheetViews>
    <sheetView topLeftCell="A16" workbookViewId="0">
      <selection activeCell="G36" sqref="G36"/>
    </sheetView>
  </sheetViews>
  <sheetFormatPr defaultColWidth="8.88671875" defaultRowHeight="14.25" x14ac:dyDescent="0.45"/>
  <cols>
    <col min="1" max="1" width="20.5546875" style="1" customWidth="1"/>
    <col min="2" max="7" width="12.5546875" style="15" customWidth="1"/>
    <col min="8" max="8" width="8.88671875" style="22"/>
    <col min="9" max="16384" width="8.88671875" style="1"/>
  </cols>
  <sheetData>
    <row r="1" spans="1:7" x14ac:dyDescent="0.45">
      <c r="A1" s="1" t="s">
        <v>74</v>
      </c>
    </row>
    <row r="2" spans="1:7" x14ac:dyDescent="0.45">
      <c r="B2" s="153"/>
      <c r="C2" s="153"/>
      <c r="D2" s="153"/>
      <c r="E2" s="153"/>
      <c r="F2" s="153"/>
      <c r="G2" s="153" t="s">
        <v>12</v>
      </c>
    </row>
    <row r="3" spans="1:7" x14ac:dyDescent="0.45">
      <c r="B3" s="153" t="s">
        <v>75</v>
      </c>
      <c r="C3" s="153" t="s">
        <v>75</v>
      </c>
      <c r="D3" s="153" t="s">
        <v>76</v>
      </c>
      <c r="E3" s="153" t="s">
        <v>75</v>
      </c>
      <c r="F3" s="153" t="s">
        <v>75</v>
      </c>
      <c r="G3" s="153" t="s">
        <v>75</v>
      </c>
    </row>
    <row r="4" spans="1:7" x14ac:dyDescent="0.45">
      <c r="A4" s="1" t="s">
        <v>77</v>
      </c>
      <c r="B4" s="153" t="s">
        <v>78</v>
      </c>
      <c r="C4" s="153" t="s">
        <v>79</v>
      </c>
      <c r="D4" s="153" t="s">
        <v>80</v>
      </c>
      <c r="E4" s="153" t="s">
        <v>81</v>
      </c>
      <c r="F4" s="153" t="s">
        <v>82</v>
      </c>
      <c r="G4" s="153" t="s">
        <v>83</v>
      </c>
    </row>
    <row r="5" spans="1:7" x14ac:dyDescent="0.45">
      <c r="A5" s="1" t="s">
        <v>149</v>
      </c>
      <c r="B5" s="15">
        <v>2080</v>
      </c>
      <c r="C5" s="15">
        <v>98</v>
      </c>
      <c r="D5" s="15">
        <v>31.35</v>
      </c>
      <c r="E5" s="15">
        <f>B5*D5</f>
        <v>65208</v>
      </c>
      <c r="F5" s="15">
        <f>C5*D5*1.5</f>
        <v>4608.4500000000007</v>
      </c>
      <c r="G5" s="15">
        <f>E5+F5</f>
        <v>69816.45</v>
      </c>
    </row>
    <row r="6" spans="1:7" x14ac:dyDescent="0.45">
      <c r="A6" s="1" t="s">
        <v>150</v>
      </c>
      <c r="B6" s="15">
        <v>2080</v>
      </c>
      <c r="C6" s="15">
        <v>202.5</v>
      </c>
      <c r="D6" s="15">
        <v>14.16</v>
      </c>
      <c r="E6" s="15">
        <f t="shared" ref="E6:E10" si="0">B6*D6</f>
        <v>29452.799999999999</v>
      </c>
      <c r="F6" s="15">
        <f t="shared" ref="F6:F10" si="1">C6*D6*1.5</f>
        <v>4301.1000000000004</v>
      </c>
      <c r="G6" s="15">
        <f t="shared" ref="G6:G13" si="2">E6+F6</f>
        <v>33753.9</v>
      </c>
    </row>
    <row r="7" spans="1:7" x14ac:dyDescent="0.45">
      <c r="A7" s="1" t="s">
        <v>167</v>
      </c>
      <c r="B7" s="15">
        <v>1984</v>
      </c>
      <c r="C7" s="15">
        <v>165.63</v>
      </c>
      <c r="D7" s="15">
        <v>14.16</v>
      </c>
      <c r="E7" s="15">
        <f t="shared" si="0"/>
        <v>28093.439999999999</v>
      </c>
      <c r="F7" s="15">
        <f t="shared" si="1"/>
        <v>3517.9812000000002</v>
      </c>
      <c r="G7" s="15">
        <f t="shared" si="2"/>
        <v>31611.421199999997</v>
      </c>
    </row>
    <row r="8" spans="1:7" x14ac:dyDescent="0.45">
      <c r="A8" s="1" t="s">
        <v>168</v>
      </c>
      <c r="B8" s="15">
        <v>2080</v>
      </c>
      <c r="C8" s="15">
        <v>0</v>
      </c>
      <c r="D8" s="15">
        <v>18.440000000000001</v>
      </c>
      <c r="E8" s="15">
        <f t="shared" si="0"/>
        <v>38355.200000000004</v>
      </c>
      <c r="F8" s="15">
        <f t="shared" si="1"/>
        <v>0</v>
      </c>
      <c r="G8" s="15">
        <f t="shared" si="2"/>
        <v>38355.200000000004</v>
      </c>
    </row>
    <row r="9" spans="1:7" x14ac:dyDescent="0.45">
      <c r="A9" s="1" t="s">
        <v>169</v>
      </c>
      <c r="B9" s="15">
        <v>2024</v>
      </c>
      <c r="C9" s="15">
        <v>190</v>
      </c>
      <c r="D9" s="15">
        <v>14.88</v>
      </c>
      <c r="E9" s="15">
        <f t="shared" si="0"/>
        <v>30117.120000000003</v>
      </c>
      <c r="F9" s="15">
        <f t="shared" si="1"/>
        <v>4240.8</v>
      </c>
      <c r="G9" s="15">
        <f t="shared" si="2"/>
        <v>34357.920000000006</v>
      </c>
    </row>
    <row r="10" spans="1:7" x14ac:dyDescent="0.45">
      <c r="A10" s="1" t="s">
        <v>170</v>
      </c>
      <c r="B10" s="15">
        <v>2080</v>
      </c>
      <c r="C10" s="15">
        <v>261.33</v>
      </c>
      <c r="D10" s="15">
        <v>25.44</v>
      </c>
      <c r="E10" s="15">
        <f t="shared" si="0"/>
        <v>52915.200000000004</v>
      </c>
      <c r="F10" s="15">
        <f t="shared" si="1"/>
        <v>9972.3528000000006</v>
      </c>
      <c r="G10" s="15">
        <f t="shared" si="2"/>
        <v>62887.552800000005</v>
      </c>
    </row>
    <row r="11" spans="1:7" x14ac:dyDescent="0.45">
      <c r="A11" s="1" t="s">
        <v>175</v>
      </c>
      <c r="B11" s="15">
        <v>2080</v>
      </c>
      <c r="C11" s="15">
        <v>149</v>
      </c>
      <c r="D11" s="15">
        <v>20.329999999999998</v>
      </c>
      <c r="E11" s="15">
        <f>B11*D11</f>
        <v>42286.399999999994</v>
      </c>
      <c r="F11" s="15">
        <f>C11*D11*1.5</f>
        <v>4543.7549999999992</v>
      </c>
      <c r="G11" s="15">
        <f>E11+F11</f>
        <v>46830.154999999992</v>
      </c>
    </row>
    <row r="12" spans="1:7" x14ac:dyDescent="0.45">
      <c r="A12" s="1" t="s">
        <v>176</v>
      </c>
      <c r="B12" s="15">
        <v>2080</v>
      </c>
      <c r="C12" s="15">
        <v>0</v>
      </c>
      <c r="D12" s="15">
        <v>16.29</v>
      </c>
      <c r="E12" s="15">
        <f>B12*D12</f>
        <v>33883.199999999997</v>
      </c>
      <c r="F12" s="15">
        <f>C12*D12*1.5</f>
        <v>0</v>
      </c>
      <c r="G12" s="15">
        <f t="shared" si="2"/>
        <v>33883.199999999997</v>
      </c>
    </row>
    <row r="13" spans="1:7" x14ac:dyDescent="0.45">
      <c r="A13" s="1" t="s">
        <v>177</v>
      </c>
      <c r="B13" s="15">
        <v>2080</v>
      </c>
      <c r="C13" s="15">
        <v>0</v>
      </c>
      <c r="D13" s="15">
        <v>16.670000000000002</v>
      </c>
      <c r="E13" s="15">
        <f>B13*D13</f>
        <v>34673.600000000006</v>
      </c>
      <c r="F13" s="15">
        <f t="shared" ref="F13" si="3">C13*D13*1.5</f>
        <v>0</v>
      </c>
      <c r="G13" s="15">
        <f t="shared" si="2"/>
        <v>34673.600000000006</v>
      </c>
    </row>
    <row r="15" spans="1:7" x14ac:dyDescent="0.45">
      <c r="B15" s="15">
        <f>SUM(B5:B13)</f>
        <v>18568</v>
      </c>
      <c r="C15" s="15">
        <f>SUM(C5:C13)</f>
        <v>1066.46</v>
      </c>
      <c r="E15" s="15">
        <f>SUM(E5:E13)</f>
        <v>354984.96000000008</v>
      </c>
      <c r="F15" s="15">
        <f>SUM(F5:F13)</f>
        <v>31184.438999999998</v>
      </c>
      <c r="G15" s="15">
        <f>SUM(G5:G13)</f>
        <v>386169.39899999998</v>
      </c>
    </row>
    <row r="17" spans="1:8" x14ac:dyDescent="0.45">
      <c r="A17" s="1" t="s">
        <v>133</v>
      </c>
      <c r="G17" s="15">
        <f>G15</f>
        <v>386169.39899999998</v>
      </c>
    </row>
    <row r="19" spans="1:8" x14ac:dyDescent="0.45">
      <c r="A19" s="1" t="s">
        <v>134</v>
      </c>
      <c r="G19" s="15">
        <v>0</v>
      </c>
    </row>
    <row r="21" spans="1:8" x14ac:dyDescent="0.45">
      <c r="G21" s="153" t="s">
        <v>29</v>
      </c>
    </row>
    <row r="22" spans="1:8" x14ac:dyDescent="0.45">
      <c r="D22" s="15" t="s">
        <v>84</v>
      </c>
      <c r="G22" s="7">
        <f>G17</f>
        <v>386169.39899999998</v>
      </c>
    </row>
    <row r="23" spans="1:8" x14ac:dyDescent="0.45">
      <c r="D23" s="15" t="s">
        <v>153</v>
      </c>
      <c r="G23" s="5">
        <f>-B40</f>
        <v>-363221</v>
      </c>
    </row>
    <row r="24" spans="1:8" x14ac:dyDescent="0.45">
      <c r="D24" s="15" t="s">
        <v>85</v>
      </c>
      <c r="G24" s="7">
        <f>G22+G23</f>
        <v>22948.398999999976</v>
      </c>
      <c r="H24" s="21" t="s">
        <v>157</v>
      </c>
    </row>
    <row r="25" spans="1:8" x14ac:dyDescent="0.45">
      <c r="G25" s="15" t="s">
        <v>86</v>
      </c>
    </row>
    <row r="26" spans="1:8" x14ac:dyDescent="0.45">
      <c r="D26" s="15" t="s">
        <v>87</v>
      </c>
      <c r="G26" s="7">
        <f>G17</f>
        <v>386169.39899999998</v>
      </c>
    </row>
    <row r="27" spans="1:8" x14ac:dyDescent="0.45">
      <c r="D27" s="15" t="s">
        <v>88</v>
      </c>
      <c r="G27" s="154">
        <v>7.6499999999999999E-2</v>
      </c>
    </row>
    <row r="28" spans="1:8" x14ac:dyDescent="0.45">
      <c r="D28" s="15" t="s">
        <v>89</v>
      </c>
      <c r="G28" s="7">
        <f>G26*G27</f>
        <v>29541.959023499996</v>
      </c>
    </row>
    <row r="29" spans="1:8" x14ac:dyDescent="0.45">
      <c r="D29" s="15" t="s">
        <v>178</v>
      </c>
      <c r="G29" s="5">
        <v>-29081</v>
      </c>
    </row>
    <row r="30" spans="1:8" x14ac:dyDescent="0.45">
      <c r="D30" s="15" t="s">
        <v>90</v>
      </c>
      <c r="G30" s="7">
        <f>G28+G29</f>
        <v>460.95902349999596</v>
      </c>
      <c r="H30" s="21" t="s">
        <v>157</v>
      </c>
    </row>
    <row r="32" spans="1:8" x14ac:dyDescent="0.45">
      <c r="D32" s="15" t="s">
        <v>91</v>
      </c>
      <c r="G32" s="15">
        <f>G22</f>
        <v>386169.39899999998</v>
      </c>
    </row>
    <row r="33" spans="1:8" x14ac:dyDescent="0.45">
      <c r="D33" s="15" t="s">
        <v>92</v>
      </c>
      <c r="G33" s="154">
        <v>0.26950000000000002</v>
      </c>
    </row>
    <row r="34" spans="1:8" x14ac:dyDescent="0.45">
      <c r="D34" s="15" t="s">
        <v>93</v>
      </c>
      <c r="G34" s="15">
        <f>G32*G33</f>
        <v>104072.65303050001</v>
      </c>
    </row>
    <row r="35" spans="1:8" x14ac:dyDescent="0.45">
      <c r="D35" s="15" t="s">
        <v>94</v>
      </c>
      <c r="G35" s="40">
        <f>-84200-17237</f>
        <v>-101437</v>
      </c>
    </row>
    <row r="36" spans="1:8" x14ac:dyDescent="0.45">
      <c r="D36" s="15" t="s">
        <v>95</v>
      </c>
      <c r="G36" s="7">
        <f>G34+G35</f>
        <v>2635.6530305000051</v>
      </c>
      <c r="H36" s="21" t="s">
        <v>135</v>
      </c>
    </row>
    <row r="38" spans="1:8" x14ac:dyDescent="0.45">
      <c r="A38" s="1" t="s">
        <v>151</v>
      </c>
      <c r="B38" s="15">
        <f>SAO!D15</f>
        <v>371021</v>
      </c>
      <c r="D38" s="15" t="s">
        <v>159</v>
      </c>
    </row>
    <row r="39" spans="1:8" x14ac:dyDescent="0.45">
      <c r="A39" s="1" t="s">
        <v>171</v>
      </c>
      <c r="B39" s="40">
        <v>-7800</v>
      </c>
      <c r="C39" s="192" t="s">
        <v>156</v>
      </c>
      <c r="D39" s="15" t="s">
        <v>158</v>
      </c>
    </row>
    <row r="40" spans="1:8" x14ac:dyDescent="0.45">
      <c r="A40" s="1" t="s">
        <v>152</v>
      </c>
      <c r="B40" s="15">
        <f>B38+B39</f>
        <v>363221</v>
      </c>
    </row>
    <row r="44" spans="1:8" x14ac:dyDescent="0.45">
      <c r="B44" s="15">
        <v>1200</v>
      </c>
    </row>
    <row r="45" spans="1:8" x14ac:dyDescent="0.45">
      <c r="B45" s="15">
        <v>2400</v>
      </c>
    </row>
    <row r="46" spans="1:8" x14ac:dyDescent="0.45">
      <c r="B46" s="15">
        <v>1200</v>
      </c>
    </row>
    <row r="47" spans="1:8" x14ac:dyDescent="0.45">
      <c r="B47" s="15">
        <v>1200</v>
      </c>
    </row>
    <row r="48" spans="1:8" x14ac:dyDescent="0.45">
      <c r="B48" s="40">
        <v>1800</v>
      </c>
    </row>
    <row r="49" spans="2:2" x14ac:dyDescent="0.45">
      <c r="B49" s="15">
        <f>SUM(B44:B48)</f>
        <v>7800</v>
      </c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0"/>
  <sheetViews>
    <sheetView showGridLines="0" workbookViewId="0">
      <selection activeCell="B2" sqref="B2:N20"/>
    </sheetView>
  </sheetViews>
  <sheetFormatPr defaultRowHeight="15" x14ac:dyDescent="0.4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ht="15.4" x14ac:dyDescent="0.4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8"/>
      <c r="P2" s="18"/>
    </row>
    <row r="3" spans="2:16" ht="18" x14ac:dyDescent="0.55000000000000004">
      <c r="B3" s="82" t="s">
        <v>98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3"/>
      <c r="O3" s="18"/>
      <c r="P3" s="18"/>
    </row>
    <row r="4" spans="2:16" ht="18" x14ac:dyDescent="0.55000000000000004">
      <c r="B4" s="84" t="s">
        <v>218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73"/>
      <c r="O4" s="18"/>
      <c r="P4" s="18"/>
    </row>
    <row r="5" spans="2:16" ht="15.75" x14ac:dyDescent="0.45">
      <c r="B5" s="86" t="s">
        <v>161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73"/>
      <c r="O5" s="18"/>
      <c r="P5" s="18"/>
    </row>
    <row r="6" spans="2:16" ht="15.75" x14ac:dyDescent="0.5">
      <c r="B6" s="87" t="s">
        <v>99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73"/>
      <c r="O6" s="18"/>
      <c r="P6" s="18"/>
    </row>
    <row r="7" spans="2:16" ht="15.4" x14ac:dyDescent="0.45">
      <c r="B7" s="89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73"/>
      <c r="O7" s="18"/>
      <c r="P7" s="18"/>
    </row>
    <row r="8" spans="2:16" ht="15.4" x14ac:dyDescent="0.45">
      <c r="B8" s="90"/>
      <c r="C8" s="91"/>
      <c r="D8" s="92"/>
      <c r="E8" s="91"/>
      <c r="F8" s="93"/>
      <c r="G8" s="91"/>
      <c r="H8" s="93"/>
      <c r="I8" s="91"/>
      <c r="J8" s="93"/>
      <c r="K8" s="91"/>
      <c r="L8" s="93"/>
      <c r="M8" s="92"/>
      <c r="N8" s="81"/>
      <c r="O8" s="18"/>
      <c r="P8" s="18"/>
    </row>
    <row r="9" spans="2:16" ht="16.5" x14ac:dyDescent="0.45">
      <c r="B9" s="94"/>
      <c r="C9" s="234" t="s">
        <v>100</v>
      </c>
      <c r="D9" s="235"/>
      <c r="E9" s="234" t="s">
        <v>101</v>
      </c>
      <c r="F9" s="235"/>
      <c r="G9" s="234" t="s">
        <v>102</v>
      </c>
      <c r="H9" s="235"/>
      <c r="I9" s="234" t="s">
        <v>103</v>
      </c>
      <c r="J9" s="235"/>
      <c r="K9" s="234" t="s">
        <v>221</v>
      </c>
      <c r="L9" s="235"/>
      <c r="M9" s="18"/>
      <c r="N9" s="73"/>
      <c r="O9" s="18"/>
      <c r="P9" s="18"/>
    </row>
    <row r="10" spans="2:16" ht="16.5" x14ac:dyDescent="0.45">
      <c r="B10" s="94"/>
      <c r="C10" s="95"/>
      <c r="D10" s="96" t="s">
        <v>104</v>
      </c>
      <c r="E10" s="97"/>
      <c r="F10" s="96" t="s">
        <v>104</v>
      </c>
      <c r="G10" s="97"/>
      <c r="H10" s="96" t="s">
        <v>104</v>
      </c>
      <c r="I10" s="97"/>
      <c r="J10" s="96" t="s">
        <v>104</v>
      </c>
      <c r="K10" s="97"/>
      <c r="L10" s="96" t="s">
        <v>104</v>
      </c>
      <c r="M10" s="18"/>
      <c r="N10" s="73"/>
      <c r="O10" s="18"/>
      <c r="P10" s="18"/>
    </row>
    <row r="11" spans="2:16" ht="16.5" x14ac:dyDescent="0.45">
      <c r="B11" s="94"/>
      <c r="C11" s="95" t="s">
        <v>105</v>
      </c>
      <c r="D11" s="98" t="s">
        <v>106</v>
      </c>
      <c r="E11" s="95" t="s">
        <v>105</v>
      </c>
      <c r="F11" s="98" t="s">
        <v>106</v>
      </c>
      <c r="G11" s="95" t="s">
        <v>105</v>
      </c>
      <c r="H11" s="98" t="s">
        <v>106</v>
      </c>
      <c r="I11" s="95" t="s">
        <v>105</v>
      </c>
      <c r="J11" s="98" t="s">
        <v>106</v>
      </c>
      <c r="K11" s="95" t="s">
        <v>105</v>
      </c>
      <c r="L11" s="98" t="s">
        <v>106</v>
      </c>
      <c r="M11" s="99" t="s">
        <v>71</v>
      </c>
      <c r="N11" s="73"/>
      <c r="O11" s="18"/>
      <c r="P11" s="18"/>
    </row>
    <row r="12" spans="2:16" ht="15.4" x14ac:dyDescent="0.45">
      <c r="B12" s="100" t="s">
        <v>190</v>
      </c>
      <c r="C12" s="101">
        <v>75000</v>
      </c>
      <c r="D12" s="102">
        <f>20140.63+18921.88+450</f>
        <v>39512.51</v>
      </c>
      <c r="E12" s="101">
        <v>80000</v>
      </c>
      <c r="F12" s="103">
        <f>18921.88+17621.88+450</f>
        <v>36993.760000000002</v>
      </c>
      <c r="G12" s="101">
        <v>80000</v>
      </c>
      <c r="H12" s="103">
        <f>17621.88+16321.88+450</f>
        <v>34393.760000000002</v>
      </c>
      <c r="I12" s="101">
        <v>85000</v>
      </c>
      <c r="J12" s="103">
        <f>16321.88+14940.63+450</f>
        <v>31712.51</v>
      </c>
      <c r="K12" s="190">
        <v>85000</v>
      </c>
      <c r="L12" s="191">
        <f>14940.63+13559.38+450</f>
        <v>28950.01</v>
      </c>
      <c r="M12" s="104">
        <f t="shared" ref="M12" si="0">SUM(C12:L12)</f>
        <v>576562.55000000005</v>
      </c>
      <c r="N12" s="73"/>
      <c r="O12" s="18"/>
      <c r="P12" s="18"/>
    </row>
    <row r="13" spans="2:16" ht="15.4" x14ac:dyDescent="0.45">
      <c r="B13" s="105"/>
      <c r="C13" s="106"/>
      <c r="D13" s="107"/>
      <c r="E13" s="106"/>
      <c r="F13" s="107"/>
      <c r="G13" s="106"/>
      <c r="H13" s="107"/>
      <c r="I13" s="106"/>
      <c r="J13" s="107"/>
      <c r="K13" s="106"/>
      <c r="L13" s="108"/>
      <c r="M13" s="104"/>
      <c r="N13" s="73"/>
      <c r="O13" s="18"/>
      <c r="P13" s="18"/>
    </row>
    <row r="14" spans="2:16" ht="15.4" x14ac:dyDescent="0.45">
      <c r="B14" s="74" t="s">
        <v>71</v>
      </c>
      <c r="C14" s="109">
        <f t="shared" ref="C14:M14" si="1">SUM(C12:C13)</f>
        <v>75000</v>
      </c>
      <c r="D14" s="110">
        <f t="shared" si="1"/>
        <v>39512.51</v>
      </c>
      <c r="E14" s="109">
        <f t="shared" si="1"/>
        <v>80000</v>
      </c>
      <c r="F14" s="111">
        <f t="shared" si="1"/>
        <v>36993.760000000002</v>
      </c>
      <c r="G14" s="109">
        <f t="shared" si="1"/>
        <v>80000</v>
      </c>
      <c r="H14" s="111">
        <f t="shared" si="1"/>
        <v>34393.760000000002</v>
      </c>
      <c r="I14" s="109">
        <f t="shared" si="1"/>
        <v>85000</v>
      </c>
      <c r="J14" s="111">
        <f t="shared" si="1"/>
        <v>31712.51</v>
      </c>
      <c r="K14" s="109">
        <f t="shared" si="1"/>
        <v>85000</v>
      </c>
      <c r="L14" s="111">
        <f t="shared" si="1"/>
        <v>28950.01</v>
      </c>
      <c r="M14" s="112">
        <f t="shared" si="1"/>
        <v>576562.55000000005</v>
      </c>
      <c r="N14" s="73"/>
      <c r="O14" s="18"/>
      <c r="P14" s="18">
        <f>SUM(C14:L14)</f>
        <v>576562.55000000005</v>
      </c>
    </row>
    <row r="15" spans="2:16" ht="15.4" x14ac:dyDescent="0.45">
      <c r="B15" s="113"/>
      <c r="C15" s="114"/>
      <c r="D15" s="115"/>
      <c r="E15" s="114"/>
      <c r="F15" s="116"/>
      <c r="G15" s="114"/>
      <c r="H15" s="116"/>
      <c r="I15" s="114"/>
      <c r="J15" s="117"/>
      <c r="K15" s="114"/>
      <c r="L15" s="116"/>
      <c r="M15" s="115"/>
      <c r="N15" s="69"/>
      <c r="O15" s="18"/>
      <c r="P15" s="18"/>
    </row>
    <row r="16" spans="2:16" ht="15.4" x14ac:dyDescent="0.45">
      <c r="B16" s="118"/>
      <c r="C16" s="119"/>
      <c r="D16" s="119"/>
      <c r="E16" s="119"/>
      <c r="F16" s="119"/>
      <c r="G16" s="119"/>
      <c r="H16" s="119"/>
      <c r="I16" s="119"/>
      <c r="J16" s="120"/>
      <c r="K16" s="120"/>
      <c r="L16" s="120"/>
      <c r="M16" s="119"/>
      <c r="N16" s="73"/>
      <c r="O16" s="18"/>
      <c r="P16" s="18"/>
    </row>
    <row r="17" spans="2:16" ht="15.4" x14ac:dyDescent="0.45">
      <c r="B17" s="121"/>
      <c r="C17" s="122"/>
      <c r="D17" s="123"/>
      <c r="E17" s="122"/>
      <c r="F17" s="122"/>
      <c r="G17" s="122"/>
      <c r="H17" s="122"/>
      <c r="I17" s="123" t="s">
        <v>107</v>
      </c>
      <c r="J17" s="18"/>
      <c r="K17" s="124"/>
      <c r="L17" s="125"/>
      <c r="M17" s="122">
        <f>M14/5</f>
        <v>115312.51000000001</v>
      </c>
      <c r="N17" s="73"/>
      <c r="O17" s="18"/>
      <c r="P17" s="18"/>
    </row>
    <row r="18" spans="2:16" ht="15.4" x14ac:dyDescent="0.45">
      <c r="B18" s="20"/>
      <c r="C18" s="123"/>
      <c r="D18" s="18"/>
      <c r="E18" s="123"/>
      <c r="F18" s="123"/>
      <c r="G18" s="123"/>
      <c r="H18" s="123"/>
      <c r="I18" s="123"/>
      <c r="J18" s="18"/>
      <c r="K18" s="24"/>
      <c r="L18" s="124"/>
      <c r="M18" s="31"/>
      <c r="N18" s="73"/>
      <c r="O18" s="18"/>
      <c r="P18" s="18"/>
    </row>
    <row r="19" spans="2:16" ht="15.4" x14ac:dyDescent="0.45">
      <c r="B19" s="121"/>
      <c r="C19" s="123"/>
      <c r="D19" s="123"/>
      <c r="E19" s="123"/>
      <c r="F19" s="123"/>
      <c r="G19" s="123"/>
      <c r="H19" s="123"/>
      <c r="I19" s="123" t="s">
        <v>108</v>
      </c>
      <c r="J19" s="18"/>
      <c r="K19" s="124"/>
      <c r="L19" s="123"/>
      <c r="M19" s="122">
        <f>M17*0.2</f>
        <v>23062.502000000004</v>
      </c>
      <c r="N19" s="73"/>
      <c r="O19" s="18"/>
      <c r="P19" s="18">
        <f>M19+M17</f>
        <v>138375.01200000002</v>
      </c>
    </row>
    <row r="20" spans="2:16" ht="15.4" x14ac:dyDescent="0.45">
      <c r="B20" s="126"/>
      <c r="C20" s="127"/>
      <c r="D20" s="127"/>
      <c r="E20" s="127"/>
      <c r="F20" s="127" t="s">
        <v>146</v>
      </c>
      <c r="G20" s="127"/>
      <c r="H20" s="127"/>
      <c r="I20" s="127"/>
      <c r="J20" s="127"/>
      <c r="K20" s="127"/>
      <c r="L20" s="127"/>
      <c r="M20" s="127"/>
      <c r="N20" s="69"/>
      <c r="O20" s="18"/>
      <c r="P20" s="18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48"/>
  <sheetViews>
    <sheetView showGridLines="0" workbookViewId="0">
      <selection activeCell="B2" sqref="B2:L42"/>
    </sheetView>
  </sheetViews>
  <sheetFormatPr defaultRowHeight="15.4" x14ac:dyDescent="0.4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76" customWidth="1"/>
    <col min="7" max="7" width="6.109375" style="1" customWidth="1"/>
    <col min="8" max="8" width="9.33203125" style="172" customWidth="1"/>
    <col min="9" max="9" width="6.109375" customWidth="1"/>
    <col min="10" max="10" width="9.33203125" style="172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38"/>
      <c r="H1" s="19"/>
      <c r="I1" s="138"/>
      <c r="J1" s="19"/>
      <c r="K1" s="3"/>
      <c r="L1" s="3"/>
      <c r="M1" s="3"/>
    </row>
    <row r="2" spans="1:13" x14ac:dyDescent="0.45">
      <c r="A2" s="1"/>
      <c r="B2" s="128"/>
      <c r="C2" s="130"/>
      <c r="D2" s="130"/>
      <c r="E2" s="130"/>
      <c r="F2" s="177"/>
      <c r="G2" s="139"/>
      <c r="H2" s="169"/>
      <c r="I2" s="139"/>
      <c r="J2" s="169"/>
      <c r="K2" s="130"/>
      <c r="L2" s="145"/>
      <c r="M2" s="148"/>
    </row>
    <row r="3" spans="1:13" ht="18" x14ac:dyDescent="0.55000000000000004">
      <c r="A3" s="1"/>
      <c r="B3" s="50"/>
      <c r="C3" s="236" t="s">
        <v>26</v>
      </c>
      <c r="D3" s="236"/>
      <c r="E3" s="236"/>
      <c r="F3" s="236"/>
      <c r="G3" s="236"/>
      <c r="H3" s="236"/>
      <c r="I3" s="236"/>
      <c r="J3" s="236"/>
      <c r="K3" s="236"/>
      <c r="L3" s="146"/>
      <c r="M3" s="148"/>
    </row>
    <row r="4" spans="1:13" ht="18" x14ac:dyDescent="0.55000000000000004">
      <c r="A4" s="1"/>
      <c r="B4" s="50"/>
      <c r="C4" s="237" t="s">
        <v>40</v>
      </c>
      <c r="D4" s="237"/>
      <c r="E4" s="237"/>
      <c r="F4" s="237"/>
      <c r="G4" s="237"/>
      <c r="H4" s="237"/>
      <c r="I4" s="237"/>
      <c r="J4" s="237"/>
      <c r="K4" s="237"/>
      <c r="L4" s="146"/>
      <c r="M4" s="148"/>
    </row>
    <row r="5" spans="1:13" ht="15.75" x14ac:dyDescent="0.45">
      <c r="A5" s="1"/>
      <c r="B5" s="50"/>
      <c r="C5" s="238" t="s">
        <v>161</v>
      </c>
      <c r="D5" s="238"/>
      <c r="E5" s="238"/>
      <c r="F5" s="238"/>
      <c r="G5" s="238"/>
      <c r="H5" s="238"/>
      <c r="I5" s="238"/>
      <c r="J5" s="238"/>
      <c r="K5" s="238"/>
      <c r="L5" s="146"/>
      <c r="M5" s="148"/>
    </row>
    <row r="6" spans="1:13" x14ac:dyDescent="0.45">
      <c r="A6" s="1"/>
      <c r="B6" s="50"/>
      <c r="C6" s="3"/>
      <c r="D6" s="3"/>
      <c r="E6" s="3"/>
      <c r="G6" s="140"/>
      <c r="H6" s="19"/>
      <c r="I6" s="140"/>
      <c r="J6" s="19"/>
      <c r="K6" s="132" t="s">
        <v>41</v>
      </c>
      <c r="L6" s="146"/>
      <c r="M6" s="148"/>
    </row>
    <row r="7" spans="1:13" x14ac:dyDescent="0.45">
      <c r="A7" s="1"/>
      <c r="B7" s="50"/>
      <c r="C7" s="131"/>
      <c r="D7" s="131"/>
      <c r="E7" s="131" t="s">
        <v>42</v>
      </c>
      <c r="F7" s="178" t="s">
        <v>43</v>
      </c>
      <c r="G7" s="239" t="s">
        <v>130</v>
      </c>
      <c r="H7" s="239"/>
      <c r="I7" s="239" t="s">
        <v>31</v>
      </c>
      <c r="J7" s="239"/>
      <c r="K7" s="132" t="s">
        <v>44</v>
      </c>
      <c r="L7" s="146"/>
      <c r="M7" s="148"/>
    </row>
    <row r="8" spans="1:13" ht="17.649999999999999" x14ac:dyDescent="0.75">
      <c r="A8" s="1"/>
      <c r="B8" s="50"/>
      <c r="C8" s="132"/>
      <c r="D8" s="136" t="s">
        <v>113</v>
      </c>
      <c r="E8" s="132" t="s">
        <v>45</v>
      </c>
      <c r="F8" s="179" t="s">
        <v>129</v>
      </c>
      <c r="G8" s="28" t="s">
        <v>46</v>
      </c>
      <c r="H8" s="132" t="s">
        <v>47</v>
      </c>
      <c r="I8" s="28" t="s">
        <v>46</v>
      </c>
      <c r="J8" s="132" t="s">
        <v>47</v>
      </c>
      <c r="K8" s="132" t="s">
        <v>37</v>
      </c>
      <c r="L8" s="146"/>
      <c r="M8" s="148"/>
    </row>
    <row r="9" spans="1:13" x14ac:dyDescent="0.45">
      <c r="A9" s="1"/>
      <c r="B9" s="50"/>
      <c r="C9" s="133" t="s">
        <v>109</v>
      </c>
      <c r="D9" s="3"/>
      <c r="E9" s="137"/>
      <c r="G9" s="140"/>
      <c r="H9" s="171"/>
      <c r="I9" s="140"/>
      <c r="J9" s="171"/>
      <c r="K9" s="2"/>
      <c r="L9" s="146"/>
      <c r="M9" s="148"/>
    </row>
    <row r="10" spans="1:13" x14ac:dyDescent="0.45">
      <c r="A10" s="1"/>
      <c r="B10" s="50"/>
      <c r="C10" s="133"/>
      <c r="D10" s="3" t="s">
        <v>114</v>
      </c>
      <c r="E10" s="137"/>
      <c r="F10" s="185"/>
      <c r="G10" s="70"/>
      <c r="H10" s="166"/>
      <c r="I10" s="140">
        <v>37.5</v>
      </c>
      <c r="J10" s="166">
        <f>F10/I10</f>
        <v>0</v>
      </c>
      <c r="K10" s="24">
        <f>J10-H10</f>
        <v>0</v>
      </c>
      <c r="L10" s="146"/>
      <c r="M10" s="148"/>
    </row>
    <row r="11" spans="1:13" x14ac:dyDescent="0.45">
      <c r="A11" s="1"/>
      <c r="B11" s="50"/>
      <c r="C11" s="133"/>
      <c r="D11" s="3" t="s">
        <v>115</v>
      </c>
      <c r="E11" s="137"/>
      <c r="F11" s="181"/>
      <c r="G11" s="70"/>
      <c r="H11" s="166"/>
      <c r="I11" s="140">
        <v>10</v>
      </c>
      <c r="J11" s="166">
        <f>F11/I11</f>
        <v>0</v>
      </c>
      <c r="K11" s="24">
        <f>J11-H11</f>
        <v>0</v>
      </c>
      <c r="L11" s="146"/>
      <c r="M11" s="148"/>
    </row>
    <row r="12" spans="1:13" x14ac:dyDescent="0.45">
      <c r="A12" s="1"/>
      <c r="B12" s="50"/>
      <c r="C12" s="3"/>
      <c r="D12" s="3" t="s">
        <v>116</v>
      </c>
      <c r="E12" s="137" t="s">
        <v>131</v>
      </c>
      <c r="F12" s="181">
        <v>35245</v>
      </c>
      <c r="G12" s="70">
        <v>10</v>
      </c>
      <c r="H12" s="166">
        <v>3525</v>
      </c>
      <c r="I12" s="140">
        <v>22.5</v>
      </c>
      <c r="J12" s="166">
        <f>F12/I12</f>
        <v>1566.4444444444443</v>
      </c>
      <c r="K12" s="24">
        <f>J12-H12</f>
        <v>-1958.5555555555557</v>
      </c>
      <c r="L12" s="146"/>
      <c r="M12" s="148"/>
    </row>
    <row r="13" spans="1:13" x14ac:dyDescent="0.45">
      <c r="A13" s="1"/>
      <c r="B13" s="50"/>
      <c r="C13" s="3"/>
      <c r="D13" s="3" t="s">
        <v>165</v>
      </c>
      <c r="E13" s="137" t="s">
        <v>131</v>
      </c>
      <c r="F13" s="181">
        <v>77039</v>
      </c>
      <c r="G13" s="70">
        <v>10</v>
      </c>
      <c r="H13" s="166">
        <v>7704</v>
      </c>
      <c r="I13" s="140">
        <v>10</v>
      </c>
      <c r="J13" s="166">
        <f t="shared" ref="J13:J15" si="0">F13/I13</f>
        <v>7703.9</v>
      </c>
      <c r="K13" s="6">
        <f t="shared" ref="K13:K15" si="1">J13-H13</f>
        <v>-0.1000000000003638</v>
      </c>
      <c r="L13" s="146"/>
      <c r="M13" s="148"/>
    </row>
    <row r="14" spans="1:13" x14ac:dyDescent="0.45">
      <c r="A14" s="1"/>
      <c r="B14" s="50"/>
      <c r="C14" s="3"/>
      <c r="D14" s="3" t="s">
        <v>117</v>
      </c>
      <c r="E14" s="137"/>
      <c r="F14" s="181"/>
      <c r="G14" s="70"/>
      <c r="H14" s="166"/>
      <c r="I14" s="140">
        <v>17.5</v>
      </c>
      <c r="J14" s="166">
        <f t="shared" si="0"/>
        <v>0</v>
      </c>
      <c r="K14" s="24">
        <f t="shared" si="1"/>
        <v>0</v>
      </c>
      <c r="L14" s="146"/>
      <c r="M14" s="148"/>
    </row>
    <row r="15" spans="1:13" x14ac:dyDescent="0.45">
      <c r="A15" s="1"/>
      <c r="B15" s="50"/>
      <c r="C15" s="3"/>
      <c r="D15" s="3" t="s">
        <v>118</v>
      </c>
      <c r="E15" s="137"/>
      <c r="F15" s="181"/>
      <c r="G15" s="70"/>
      <c r="H15" s="166"/>
      <c r="I15" s="140">
        <v>15</v>
      </c>
      <c r="J15" s="166">
        <f t="shared" si="0"/>
        <v>0</v>
      </c>
      <c r="K15" s="24">
        <f t="shared" si="1"/>
        <v>0</v>
      </c>
      <c r="L15" s="146"/>
      <c r="M15" s="148"/>
    </row>
    <row r="16" spans="1:13" x14ac:dyDescent="0.45">
      <c r="A16" s="1"/>
      <c r="B16" s="50"/>
      <c r="C16" s="3"/>
      <c r="D16" s="3"/>
      <c r="E16" s="137"/>
      <c r="F16" s="181"/>
      <c r="G16" s="70"/>
      <c r="H16" s="166"/>
      <c r="I16" s="140"/>
      <c r="J16" s="166"/>
      <c r="K16" s="24"/>
      <c r="L16" s="146"/>
      <c r="M16" s="148"/>
    </row>
    <row r="17" spans="1:13" x14ac:dyDescent="0.45">
      <c r="A17" s="1"/>
      <c r="B17" s="50"/>
      <c r="C17" s="133" t="s">
        <v>140</v>
      </c>
      <c r="D17" s="3"/>
      <c r="E17" s="137"/>
      <c r="F17" s="181"/>
      <c r="G17" s="70"/>
      <c r="H17" s="166"/>
      <c r="I17" s="140"/>
      <c r="J17" s="166"/>
      <c r="K17" s="24"/>
      <c r="L17" s="146"/>
      <c r="M17" s="148"/>
    </row>
    <row r="18" spans="1:13" x14ac:dyDescent="0.45">
      <c r="A18" s="1"/>
      <c r="B18" s="50"/>
      <c r="C18" s="3"/>
      <c r="D18" s="3" t="s">
        <v>141</v>
      </c>
      <c r="E18" s="137"/>
      <c r="F18" s="181"/>
      <c r="G18" s="70"/>
      <c r="H18" s="166"/>
      <c r="I18" s="140">
        <v>62.5</v>
      </c>
      <c r="J18" s="166">
        <f t="shared" ref="J18:J19" si="2">F18/I18</f>
        <v>0</v>
      </c>
      <c r="K18" s="24">
        <f t="shared" ref="K18:K19" si="3">J18-H18</f>
        <v>0</v>
      </c>
      <c r="L18" s="146"/>
      <c r="M18" s="148"/>
    </row>
    <row r="19" spans="1:13" x14ac:dyDescent="0.45">
      <c r="A19" s="1"/>
      <c r="B19" s="50"/>
      <c r="C19" s="3"/>
      <c r="D19" s="3" t="s">
        <v>142</v>
      </c>
      <c r="E19" s="137"/>
      <c r="F19" s="181"/>
      <c r="G19" s="70"/>
      <c r="H19" s="166"/>
      <c r="I19" s="140">
        <v>62.5</v>
      </c>
      <c r="J19" s="166">
        <f t="shared" si="2"/>
        <v>0</v>
      </c>
      <c r="K19" s="24">
        <f t="shared" si="3"/>
        <v>0</v>
      </c>
      <c r="L19" s="146"/>
      <c r="M19" s="148"/>
    </row>
    <row r="20" spans="1:13" x14ac:dyDescent="0.45">
      <c r="A20" s="1"/>
      <c r="B20" s="50"/>
      <c r="C20" s="132"/>
      <c r="D20" s="132"/>
      <c r="E20" s="132"/>
      <c r="F20" s="180"/>
      <c r="G20" s="28"/>
      <c r="H20" s="170"/>
      <c r="I20" s="28"/>
      <c r="J20" s="170"/>
      <c r="K20" s="132"/>
      <c r="L20" s="146"/>
      <c r="M20" s="148"/>
    </row>
    <row r="21" spans="1:13" x14ac:dyDescent="0.45">
      <c r="A21" s="1"/>
      <c r="B21" s="50"/>
      <c r="C21" s="133" t="s">
        <v>110</v>
      </c>
      <c r="D21" s="3"/>
      <c r="E21" s="137"/>
      <c r="G21" s="141"/>
      <c r="H21" s="171"/>
      <c r="I21" s="141"/>
      <c r="J21" s="171"/>
      <c r="K21" s="2"/>
      <c r="L21" s="146"/>
      <c r="M21" s="148"/>
    </row>
    <row r="22" spans="1:13" x14ac:dyDescent="0.45">
      <c r="A22" s="1"/>
      <c r="B22" s="50"/>
      <c r="C22" s="133"/>
      <c r="D22" s="3" t="s">
        <v>114</v>
      </c>
      <c r="E22" s="137"/>
      <c r="F22" s="181"/>
      <c r="G22" s="70"/>
      <c r="H22" s="166"/>
      <c r="I22" s="140">
        <v>37.5</v>
      </c>
      <c r="J22" s="166">
        <f>F22/I22</f>
        <v>0</v>
      </c>
      <c r="K22" s="24">
        <f>J22-H22</f>
        <v>0</v>
      </c>
      <c r="L22" s="146"/>
      <c r="M22" s="148"/>
    </row>
    <row r="23" spans="1:13" x14ac:dyDescent="0.45">
      <c r="A23" s="1"/>
      <c r="B23" s="50"/>
      <c r="C23" s="3"/>
      <c r="D23" s="3" t="s">
        <v>119</v>
      </c>
      <c r="E23" s="137"/>
      <c r="G23" s="141"/>
      <c r="H23" s="166"/>
      <c r="I23" s="140">
        <v>10</v>
      </c>
      <c r="J23" s="171">
        <f>F23/I23</f>
        <v>0</v>
      </c>
      <c r="K23" s="24">
        <f>J23-H23</f>
        <v>0</v>
      </c>
      <c r="L23" s="146"/>
      <c r="M23" s="148"/>
    </row>
    <row r="24" spans="1:13" x14ac:dyDescent="0.45">
      <c r="A24" s="1"/>
      <c r="B24" s="50"/>
      <c r="C24" s="3"/>
      <c r="D24" s="3" t="s">
        <v>120</v>
      </c>
      <c r="E24" s="137">
        <v>43796</v>
      </c>
      <c r="F24" s="176">
        <v>179478</v>
      </c>
      <c r="G24" s="141">
        <v>10</v>
      </c>
      <c r="H24" s="166">
        <v>17948</v>
      </c>
      <c r="I24" s="140">
        <v>10</v>
      </c>
      <c r="J24" s="171">
        <f>F24/I24</f>
        <v>17947.8</v>
      </c>
      <c r="K24" s="24">
        <f>J24-H24</f>
        <v>-0.2000000000007276</v>
      </c>
      <c r="L24" s="146"/>
      <c r="M24" s="148"/>
    </row>
    <row r="25" spans="1:13" x14ac:dyDescent="0.45">
      <c r="A25" s="1"/>
      <c r="B25" s="50"/>
      <c r="C25" s="132"/>
      <c r="D25" s="132"/>
      <c r="E25" s="132"/>
      <c r="G25" s="141"/>
      <c r="H25" s="171"/>
      <c r="I25" s="141"/>
      <c r="J25" s="171"/>
      <c r="K25" s="2"/>
      <c r="L25" s="146"/>
      <c r="M25" s="148"/>
    </row>
    <row r="26" spans="1:13" x14ac:dyDescent="0.45">
      <c r="A26" s="1"/>
      <c r="B26" s="50"/>
      <c r="C26" s="133" t="s">
        <v>111</v>
      </c>
      <c r="D26" s="3"/>
      <c r="E26" s="137"/>
      <c r="G26" s="140"/>
      <c r="H26" s="171"/>
      <c r="I26" s="140"/>
      <c r="J26" s="171"/>
      <c r="K26" s="2"/>
      <c r="L26" s="146"/>
      <c r="M26" s="148"/>
    </row>
    <row r="27" spans="1:13" x14ac:dyDescent="0.45">
      <c r="A27" s="1"/>
      <c r="B27" s="50"/>
      <c r="C27" s="133"/>
      <c r="D27" s="3" t="s">
        <v>121</v>
      </c>
      <c r="E27" s="137"/>
      <c r="F27" s="181"/>
      <c r="G27" s="70"/>
      <c r="H27" s="166"/>
      <c r="I27" s="140">
        <v>50</v>
      </c>
      <c r="J27" s="166">
        <f>H27</f>
        <v>0</v>
      </c>
      <c r="K27" s="24">
        <f>J27-H27</f>
        <v>0</v>
      </c>
      <c r="L27" s="146"/>
      <c r="M27" s="148"/>
    </row>
    <row r="28" spans="1:13" x14ac:dyDescent="0.45">
      <c r="A28" s="1"/>
      <c r="B28" s="50"/>
      <c r="C28" s="133"/>
      <c r="D28" s="3" t="s">
        <v>122</v>
      </c>
      <c r="E28" s="137" t="s">
        <v>131</v>
      </c>
      <c r="F28" s="185">
        <v>13515405</v>
      </c>
      <c r="G28" s="70">
        <v>50</v>
      </c>
      <c r="H28" s="166">
        <v>270308</v>
      </c>
      <c r="I28" s="140">
        <v>62.5</v>
      </c>
      <c r="J28" s="166">
        <f t="shared" ref="J28:J35" si="4">F28/I28</f>
        <v>216246.48</v>
      </c>
      <c r="K28" s="24">
        <f t="shared" ref="K28:K35" si="5">J28-H28</f>
        <v>-54061.51999999999</v>
      </c>
      <c r="L28" s="146"/>
      <c r="M28" s="148"/>
    </row>
    <row r="29" spans="1:13" x14ac:dyDescent="0.45">
      <c r="A29" s="1"/>
      <c r="B29" s="50"/>
      <c r="C29" s="133"/>
      <c r="D29" s="3" t="s">
        <v>163</v>
      </c>
      <c r="E29" s="137" t="s">
        <v>131</v>
      </c>
      <c r="F29" s="185">
        <v>28610</v>
      </c>
      <c r="G29" s="70">
        <v>50</v>
      </c>
      <c r="H29" s="166">
        <v>572</v>
      </c>
      <c r="I29" s="140">
        <v>50</v>
      </c>
      <c r="J29" s="166">
        <f t="shared" si="4"/>
        <v>572.20000000000005</v>
      </c>
      <c r="K29" s="24">
        <f t="shared" si="5"/>
        <v>0.20000000000004547</v>
      </c>
      <c r="L29" s="146"/>
      <c r="M29" s="148"/>
    </row>
    <row r="30" spans="1:13" x14ac:dyDescent="0.45">
      <c r="A30" s="1"/>
      <c r="B30" s="50"/>
      <c r="C30" s="133"/>
      <c r="D30" s="3" t="s">
        <v>164</v>
      </c>
      <c r="E30" s="137">
        <v>42648</v>
      </c>
      <c r="F30" s="181">
        <v>54300</v>
      </c>
      <c r="G30" s="70">
        <v>10</v>
      </c>
      <c r="H30" s="166">
        <v>5430</v>
      </c>
      <c r="I30" s="140">
        <v>10</v>
      </c>
      <c r="J30" s="166">
        <f t="shared" si="4"/>
        <v>5430</v>
      </c>
      <c r="K30" s="24">
        <f t="shared" si="5"/>
        <v>0</v>
      </c>
      <c r="L30" s="146"/>
      <c r="M30" s="148"/>
    </row>
    <row r="31" spans="1:13" x14ac:dyDescent="0.45">
      <c r="A31" s="1"/>
      <c r="B31" s="50"/>
      <c r="C31" s="133"/>
      <c r="D31" s="3" t="s">
        <v>123</v>
      </c>
      <c r="E31" s="137"/>
      <c r="F31" s="181"/>
      <c r="G31" s="70"/>
      <c r="H31" s="166"/>
      <c r="I31" s="140">
        <v>20</v>
      </c>
      <c r="J31" s="166">
        <f t="shared" si="4"/>
        <v>0</v>
      </c>
      <c r="K31" s="24">
        <f t="shared" si="5"/>
        <v>0</v>
      </c>
      <c r="L31" s="146"/>
      <c r="M31" s="148"/>
    </row>
    <row r="32" spans="1:13" x14ac:dyDescent="0.45">
      <c r="A32" s="1"/>
      <c r="B32" s="50"/>
      <c r="C32" s="133"/>
      <c r="D32" s="3" t="s">
        <v>124</v>
      </c>
      <c r="E32" s="137"/>
      <c r="F32" s="181"/>
      <c r="G32" s="70"/>
      <c r="H32" s="166"/>
      <c r="I32" s="140">
        <v>37.5</v>
      </c>
      <c r="J32" s="166">
        <f t="shared" si="4"/>
        <v>0</v>
      </c>
      <c r="K32" s="24">
        <f t="shared" si="5"/>
        <v>0</v>
      </c>
      <c r="L32" s="146"/>
      <c r="M32" s="148"/>
    </row>
    <row r="33" spans="1:14" x14ac:dyDescent="0.45">
      <c r="A33" s="1"/>
      <c r="B33" s="50"/>
      <c r="C33" s="133"/>
      <c r="D33" s="3" t="s">
        <v>125</v>
      </c>
      <c r="E33" s="137"/>
      <c r="F33" s="181"/>
      <c r="G33" s="70"/>
      <c r="H33" s="166"/>
      <c r="I33" s="140">
        <v>40</v>
      </c>
      <c r="J33" s="166">
        <f t="shared" si="4"/>
        <v>0</v>
      </c>
      <c r="K33" s="24">
        <f t="shared" si="5"/>
        <v>0</v>
      </c>
      <c r="L33" s="146"/>
      <c r="M33" s="148"/>
    </row>
    <row r="34" spans="1:14" x14ac:dyDescent="0.45">
      <c r="A34" s="1"/>
      <c r="B34" s="50"/>
      <c r="C34" s="133"/>
      <c r="D34" s="3" t="s">
        <v>126</v>
      </c>
      <c r="E34" s="137"/>
      <c r="F34" s="185"/>
      <c r="G34" s="70"/>
      <c r="H34" s="166"/>
      <c r="I34" s="140">
        <v>45</v>
      </c>
      <c r="J34" s="166">
        <f t="shared" si="4"/>
        <v>0</v>
      </c>
      <c r="K34" s="24">
        <f t="shared" si="5"/>
        <v>0</v>
      </c>
      <c r="L34" s="146"/>
      <c r="M34" s="148"/>
    </row>
    <row r="35" spans="1:14" x14ac:dyDescent="0.45">
      <c r="A35" s="1"/>
      <c r="B35" s="50"/>
      <c r="C35" s="133"/>
      <c r="D35" s="3" t="s">
        <v>166</v>
      </c>
      <c r="E35" s="137">
        <v>43009</v>
      </c>
      <c r="F35" s="181">
        <v>205973</v>
      </c>
      <c r="G35" s="70">
        <v>50</v>
      </c>
      <c r="H35" s="166">
        <v>4120</v>
      </c>
      <c r="I35" s="140">
        <v>15</v>
      </c>
      <c r="J35" s="166">
        <f t="shared" si="4"/>
        <v>13731.533333333333</v>
      </c>
      <c r="K35" s="24">
        <f t="shared" si="5"/>
        <v>9611.5333333333328</v>
      </c>
      <c r="L35" s="146"/>
      <c r="M35" s="148"/>
    </row>
    <row r="36" spans="1:14" x14ac:dyDescent="0.45">
      <c r="A36" s="1"/>
      <c r="B36" s="50"/>
      <c r="C36" s="133"/>
      <c r="E36" s="137"/>
      <c r="G36" s="141"/>
      <c r="H36" s="171"/>
      <c r="I36" s="141"/>
      <c r="J36" s="171"/>
      <c r="K36" s="24"/>
      <c r="L36" s="146"/>
      <c r="M36" s="148"/>
    </row>
    <row r="37" spans="1:14" x14ac:dyDescent="0.45">
      <c r="A37" s="1"/>
      <c r="B37" s="50"/>
      <c r="C37" s="133" t="s">
        <v>112</v>
      </c>
      <c r="E37" s="137"/>
      <c r="G37" s="140"/>
      <c r="H37" s="171"/>
      <c r="I37" s="144"/>
      <c r="J37" s="171"/>
      <c r="K37" s="2"/>
      <c r="L37" s="146"/>
      <c r="M37" s="148"/>
    </row>
    <row r="38" spans="1:14" x14ac:dyDescent="0.45">
      <c r="A38" s="1"/>
      <c r="B38" s="50"/>
      <c r="C38" s="3"/>
      <c r="D38" s="1" t="s">
        <v>127</v>
      </c>
      <c r="E38" s="137" t="s">
        <v>131</v>
      </c>
      <c r="F38" s="176">
        <f>27781+24505+29171</f>
        <v>81457</v>
      </c>
      <c r="G38" s="140">
        <v>5</v>
      </c>
      <c r="H38" s="171">
        <v>16291</v>
      </c>
      <c r="I38" s="144">
        <v>7</v>
      </c>
      <c r="J38" s="171">
        <f>F38/I38</f>
        <v>11636.714285714286</v>
      </c>
      <c r="K38" s="2">
        <f>J38-H38</f>
        <v>-4654.2857142857138</v>
      </c>
      <c r="L38" s="146"/>
      <c r="M38" s="148"/>
    </row>
    <row r="39" spans="1:14" x14ac:dyDescent="0.45">
      <c r="A39" s="1"/>
      <c r="B39" s="50"/>
      <c r="C39" s="132"/>
      <c r="D39" s="132"/>
      <c r="E39" s="132"/>
      <c r="G39" s="141"/>
      <c r="H39" s="171"/>
      <c r="I39" s="141"/>
      <c r="J39" s="171"/>
      <c r="K39" s="2"/>
      <c r="L39" s="146"/>
      <c r="M39" s="148"/>
    </row>
    <row r="40" spans="1:14" x14ac:dyDescent="0.45">
      <c r="A40" s="1"/>
      <c r="B40" s="50"/>
      <c r="C40" s="3"/>
      <c r="D40" s="3"/>
      <c r="E40" s="3"/>
      <c r="G40" s="2"/>
      <c r="H40" s="166"/>
      <c r="I40" s="2"/>
      <c r="J40" s="175"/>
      <c r="K40" s="2"/>
      <c r="L40" s="146"/>
      <c r="M40" s="148"/>
    </row>
    <row r="41" spans="1:14" x14ac:dyDescent="0.45">
      <c r="A41" s="1"/>
      <c r="B41" s="50"/>
      <c r="C41" s="134" t="s">
        <v>71</v>
      </c>
      <c r="F41" s="173">
        <f>SUM(F10:F40)</f>
        <v>14177507</v>
      </c>
      <c r="G41" s="142"/>
      <c r="H41" s="173">
        <f>SUM(H10:H40)</f>
        <v>325898</v>
      </c>
      <c r="I41" s="143"/>
      <c r="J41" s="173">
        <f>SUM(J10:J40)</f>
        <v>274835.07206349209</v>
      </c>
      <c r="K41" s="143">
        <f>SUM(K10:K40)</f>
        <v>-51062.927936507927</v>
      </c>
      <c r="L41" s="146"/>
      <c r="M41" s="148"/>
      <c r="N41" s="21"/>
    </row>
    <row r="42" spans="1:14" x14ac:dyDescent="0.45">
      <c r="A42" s="1"/>
      <c r="B42" s="129"/>
      <c r="C42" s="135"/>
      <c r="D42" s="135"/>
      <c r="E42" s="135"/>
      <c r="F42" s="182"/>
      <c r="G42" s="135"/>
      <c r="H42" s="174"/>
      <c r="I42" s="135"/>
      <c r="J42" s="174"/>
      <c r="K42" s="135"/>
      <c r="L42" s="147"/>
      <c r="M42" s="149"/>
    </row>
    <row r="43" spans="1:14" x14ac:dyDescent="0.45">
      <c r="A43" s="1"/>
      <c r="B43" s="1"/>
      <c r="C43" s="3"/>
      <c r="D43" s="3"/>
      <c r="E43" s="3"/>
      <c r="G43" s="3"/>
      <c r="H43" s="175"/>
      <c r="I43" s="3"/>
      <c r="J43" s="175"/>
      <c r="K43" s="3"/>
      <c r="L43" s="3"/>
      <c r="M43" s="3"/>
    </row>
    <row r="44" spans="1:14" x14ac:dyDescent="0.45">
      <c r="D44" s="3" t="s">
        <v>128</v>
      </c>
    </row>
    <row r="46" spans="1:14" x14ac:dyDescent="0.45">
      <c r="D46" s="1" t="s">
        <v>143</v>
      </c>
      <c r="F46" s="176">
        <f>J41</f>
        <v>274835.07206349209</v>
      </c>
    </row>
    <row r="47" spans="1:14" ht="17.649999999999999" x14ac:dyDescent="0.75">
      <c r="D47" s="1" t="s">
        <v>144</v>
      </c>
      <c r="F47" s="183">
        <f>SAO!D34</f>
        <v>325898</v>
      </c>
    </row>
    <row r="48" spans="1:14" x14ac:dyDescent="0.45">
      <c r="D48" s="1" t="s">
        <v>145</v>
      </c>
      <c r="F48" s="176">
        <f>F46-F47</f>
        <v>-51062.927936507913</v>
      </c>
      <c r="G48" s="21" t="s">
        <v>222</v>
      </c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45"/>
  <sheetViews>
    <sheetView showGridLines="0" workbookViewId="0">
      <selection activeCell="B2" sqref="B2:O39"/>
    </sheetView>
  </sheetViews>
  <sheetFormatPr defaultColWidth="8.88671875" defaultRowHeight="15.75" outlineLevelRow="1" x14ac:dyDescent="0.5"/>
  <cols>
    <col min="1" max="1" width="2.109375" style="212" customWidth="1"/>
    <col min="2" max="2" width="1.109375" style="212" customWidth="1"/>
    <col min="3" max="3" width="4.77734375" style="212" customWidth="1"/>
    <col min="4" max="4" width="6.77734375" style="212" customWidth="1"/>
    <col min="5" max="5" width="6.33203125" style="212" customWidth="1"/>
    <col min="6" max="6" width="7.33203125" style="212" customWidth="1"/>
    <col min="7" max="7" width="13.33203125" style="212" customWidth="1"/>
    <col min="8" max="8" width="1.21875" style="212" customWidth="1"/>
    <col min="9" max="9" width="4.77734375" style="212" customWidth="1"/>
    <col min="10" max="10" width="7" style="212" customWidth="1"/>
    <col min="11" max="11" width="6.33203125" style="212" customWidth="1"/>
    <col min="12" max="12" width="7.33203125" style="212" customWidth="1"/>
    <col min="13" max="13" width="13.33203125" style="212" customWidth="1"/>
    <col min="14" max="14" width="8.5546875" style="212" bestFit="1" customWidth="1"/>
    <col min="15" max="15" width="6.5546875" style="212" bestFit="1" customWidth="1"/>
    <col min="16" max="16" width="2.6640625" style="212" customWidth="1"/>
    <col min="17" max="207" width="9.6640625" style="212" customWidth="1"/>
    <col min="208" max="16384" width="8.88671875" style="212"/>
  </cols>
  <sheetData>
    <row r="2" spans="2:18" ht="18" customHeight="1" x14ac:dyDescent="0.55000000000000004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</row>
    <row r="3" spans="2:18" ht="18" hidden="1" customHeight="1" x14ac:dyDescent="0.55000000000000004">
      <c r="B3" s="50"/>
      <c r="C3" s="243" t="s">
        <v>203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</row>
    <row r="4" spans="2:18" ht="18" hidden="1" x14ac:dyDescent="0.55000000000000004">
      <c r="B4" s="50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5"/>
    </row>
    <row r="5" spans="2:18" ht="18" customHeight="1" x14ac:dyDescent="0.55000000000000004">
      <c r="B5" s="50"/>
      <c r="C5" s="243" t="s">
        <v>204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4"/>
      <c r="O5" s="245"/>
    </row>
    <row r="6" spans="2:18" ht="17.25" customHeight="1" x14ac:dyDescent="0.55000000000000004">
      <c r="B6" s="50"/>
      <c r="C6" s="243" t="s">
        <v>161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/>
      <c r="O6" s="245"/>
      <c r="P6" s="34"/>
      <c r="Q6" s="34"/>
      <c r="R6" s="34"/>
    </row>
    <row r="7" spans="2:18" x14ac:dyDescent="0.5">
      <c r="B7" s="129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3"/>
    </row>
    <row r="8" spans="2:18" ht="6" customHeight="1" x14ac:dyDescent="0.5">
      <c r="B8" s="50"/>
      <c r="C8" s="1"/>
      <c r="D8" s="1"/>
      <c r="E8" s="1"/>
      <c r="F8" s="1"/>
      <c r="G8" s="214"/>
      <c r="H8" s="50"/>
      <c r="I8" s="1"/>
      <c r="J8" s="1"/>
      <c r="K8" s="1"/>
      <c r="L8" s="1"/>
      <c r="M8" s="214"/>
      <c r="N8" s="50"/>
      <c r="O8" s="214"/>
    </row>
    <row r="9" spans="2:18" ht="30.4" customHeight="1" x14ac:dyDescent="0.5">
      <c r="B9" s="50"/>
      <c r="C9" s="246" t="s">
        <v>205</v>
      </c>
      <c r="D9" s="246"/>
      <c r="E9" s="246"/>
      <c r="F9" s="246"/>
      <c r="G9" s="247"/>
      <c r="H9" s="1"/>
      <c r="I9" s="246" t="s">
        <v>206</v>
      </c>
      <c r="J9" s="246"/>
      <c r="K9" s="246"/>
      <c r="L9" s="246"/>
      <c r="M9" s="247"/>
      <c r="N9" s="216" t="s">
        <v>138</v>
      </c>
      <c r="O9" s="215" t="s">
        <v>207</v>
      </c>
    </row>
    <row r="10" spans="2:18" x14ac:dyDescent="0.5">
      <c r="B10" s="50"/>
      <c r="C10" s="1"/>
      <c r="D10" s="1"/>
      <c r="E10" s="1"/>
      <c r="F10" s="1"/>
      <c r="G10" s="214"/>
      <c r="H10" s="1"/>
      <c r="I10" s="1"/>
      <c r="J10" s="1"/>
      <c r="K10" s="1"/>
      <c r="L10" s="1"/>
      <c r="M10" s="214"/>
      <c r="N10" s="50"/>
      <c r="O10" s="214"/>
    </row>
    <row r="11" spans="2:18" x14ac:dyDescent="0.5">
      <c r="B11" s="50"/>
      <c r="C11" s="217" t="s">
        <v>208</v>
      </c>
      <c r="D11" s="1"/>
      <c r="E11" s="1"/>
      <c r="F11" s="1"/>
      <c r="G11" s="214"/>
      <c r="H11" s="1"/>
      <c r="I11" s="217" t="s">
        <v>208</v>
      </c>
      <c r="J11" s="1"/>
      <c r="K11" s="1"/>
      <c r="L11" s="1"/>
      <c r="M11" s="214"/>
      <c r="N11" s="50"/>
      <c r="O11" s="214"/>
    </row>
    <row r="12" spans="2:18" outlineLevel="1" x14ac:dyDescent="0.5">
      <c r="B12" s="50"/>
      <c r="C12" s="22" t="s">
        <v>209</v>
      </c>
      <c r="D12" s="219">
        <v>2000</v>
      </c>
      <c r="E12" s="1" t="s">
        <v>210</v>
      </c>
      <c r="F12" s="220">
        <v>19.05</v>
      </c>
      <c r="G12" s="214" t="s">
        <v>211</v>
      </c>
      <c r="H12" s="1"/>
      <c r="I12" s="22" t="s">
        <v>209</v>
      </c>
      <c r="J12" s="219">
        <v>2000</v>
      </c>
      <c r="K12" s="1" t="s">
        <v>210</v>
      </c>
      <c r="L12" s="220">
        <f>PrBA!E29</f>
        <v>23.863934999999998</v>
      </c>
      <c r="M12" s="214" t="s">
        <v>211</v>
      </c>
      <c r="N12" s="221">
        <f>L12-F12</f>
        <v>4.8139349999999972</v>
      </c>
      <c r="O12" s="222">
        <f>N12/F12</f>
        <v>0.25269999999999987</v>
      </c>
      <c r="R12" s="223"/>
    </row>
    <row r="13" spans="2:18" outlineLevel="1" x14ac:dyDescent="0.5">
      <c r="B13" s="50"/>
      <c r="C13" s="22" t="s">
        <v>212</v>
      </c>
      <c r="D13" s="219">
        <v>3000</v>
      </c>
      <c r="E13" s="1" t="s">
        <v>210</v>
      </c>
      <c r="F13" s="224">
        <v>8.5299999999999994</v>
      </c>
      <c r="G13" s="214" t="s">
        <v>213</v>
      </c>
      <c r="H13" s="1"/>
      <c r="I13" s="22" t="s">
        <v>212</v>
      </c>
      <c r="J13" s="219">
        <v>3000</v>
      </c>
      <c r="K13" s="1" t="s">
        <v>210</v>
      </c>
      <c r="L13" s="232">
        <f>PrBA!E30</f>
        <v>10.685530999999999</v>
      </c>
      <c r="M13" s="214" t="s">
        <v>213</v>
      </c>
      <c r="N13" s="221">
        <f t="shared" ref="N13:N15" si="0">L13-F13</f>
        <v>2.1555309999999999</v>
      </c>
      <c r="O13" s="222">
        <f t="shared" ref="O13:O15" si="1">N13/F13</f>
        <v>0.25269999999999998</v>
      </c>
      <c r="R13" s="225"/>
    </row>
    <row r="14" spans="2:18" outlineLevel="1" x14ac:dyDescent="0.5">
      <c r="B14" s="50"/>
      <c r="C14" s="22" t="s">
        <v>212</v>
      </c>
      <c r="D14" s="219">
        <v>5000</v>
      </c>
      <c r="E14" s="1" t="s">
        <v>210</v>
      </c>
      <c r="F14" s="224">
        <v>7.92</v>
      </c>
      <c r="G14" s="214" t="s">
        <v>213</v>
      </c>
      <c r="H14" s="1"/>
      <c r="I14" s="22" t="s">
        <v>212</v>
      </c>
      <c r="J14" s="219">
        <v>5000</v>
      </c>
      <c r="K14" s="1" t="s">
        <v>210</v>
      </c>
      <c r="L14" s="232">
        <f>PrBA!E31</f>
        <v>9.9213839999999998</v>
      </c>
      <c r="M14" s="214" t="s">
        <v>213</v>
      </c>
      <c r="N14" s="221">
        <f t="shared" si="0"/>
        <v>2.0013839999999998</v>
      </c>
      <c r="O14" s="222">
        <f t="shared" si="1"/>
        <v>0.25269999999999998</v>
      </c>
      <c r="R14" s="225"/>
    </row>
    <row r="15" spans="2:18" ht="13.5" customHeight="1" outlineLevel="1" x14ac:dyDescent="0.5">
      <c r="B15" s="50"/>
      <c r="C15" s="22" t="s">
        <v>214</v>
      </c>
      <c r="D15" s="219">
        <v>10000</v>
      </c>
      <c r="E15" s="1" t="s">
        <v>210</v>
      </c>
      <c r="F15" s="224">
        <v>7.3</v>
      </c>
      <c r="G15" s="214" t="s">
        <v>213</v>
      </c>
      <c r="H15" s="1"/>
      <c r="I15" s="22" t="s">
        <v>214</v>
      </c>
      <c r="J15" s="219">
        <v>10000</v>
      </c>
      <c r="K15" s="1" t="s">
        <v>210</v>
      </c>
      <c r="L15" s="232">
        <f>PrBA!E32</f>
        <v>9.1447099999999999</v>
      </c>
      <c r="M15" s="214" t="s">
        <v>213</v>
      </c>
      <c r="N15" s="221">
        <f t="shared" si="0"/>
        <v>1.8447100000000001</v>
      </c>
      <c r="O15" s="222">
        <f t="shared" si="1"/>
        <v>0.25270000000000004</v>
      </c>
      <c r="R15" s="225"/>
    </row>
    <row r="16" spans="2:18" ht="15" customHeight="1" outlineLevel="1" x14ac:dyDescent="0.5">
      <c r="B16" s="50"/>
      <c r="C16" s="219"/>
      <c r="D16" s="1"/>
      <c r="E16" s="1"/>
      <c r="F16" s="1"/>
      <c r="G16" s="214"/>
      <c r="H16" s="1"/>
      <c r="I16" s="219"/>
      <c r="J16" s="1"/>
      <c r="K16" s="1"/>
      <c r="L16" s="1"/>
      <c r="M16" s="214"/>
      <c r="N16" s="50"/>
      <c r="O16" s="214"/>
    </row>
    <row r="17" spans="2:18" ht="15" customHeight="1" outlineLevel="1" x14ac:dyDescent="0.5">
      <c r="B17" s="50"/>
      <c r="C17" s="217" t="s">
        <v>217</v>
      </c>
      <c r="D17" s="1"/>
      <c r="E17" s="1"/>
      <c r="F17" s="1"/>
      <c r="G17" s="214"/>
      <c r="H17" s="1"/>
      <c r="I17" s="217" t="s">
        <v>217</v>
      </c>
      <c r="J17" s="1"/>
      <c r="K17" s="1"/>
      <c r="L17" s="1"/>
      <c r="M17" s="214"/>
      <c r="N17" s="50"/>
      <c r="O17" s="214"/>
    </row>
    <row r="18" spans="2:18" ht="15" customHeight="1" outlineLevel="1" x14ac:dyDescent="0.5">
      <c r="B18" s="50"/>
      <c r="C18" s="22" t="s">
        <v>209</v>
      </c>
      <c r="D18" s="219">
        <v>3000</v>
      </c>
      <c r="E18" s="1" t="s">
        <v>210</v>
      </c>
      <c r="F18" s="220">
        <v>33.96</v>
      </c>
      <c r="G18" s="214" t="s">
        <v>211</v>
      </c>
      <c r="H18" s="1"/>
      <c r="I18" s="22" t="s">
        <v>209</v>
      </c>
      <c r="J18" s="219">
        <v>3000</v>
      </c>
      <c r="K18" s="1" t="s">
        <v>210</v>
      </c>
      <c r="L18" s="220">
        <f>PrBA!E47</f>
        <v>42.541691999999998</v>
      </c>
      <c r="M18" s="214" t="s">
        <v>211</v>
      </c>
      <c r="N18" s="221">
        <f>L18-F18</f>
        <v>8.5816919999999968</v>
      </c>
      <c r="O18" s="222">
        <f>N18/F18</f>
        <v>0.25269999999999992</v>
      </c>
    </row>
    <row r="19" spans="2:18" ht="15" customHeight="1" outlineLevel="1" x14ac:dyDescent="0.5">
      <c r="B19" s="50"/>
      <c r="C19" s="22" t="s">
        <v>212</v>
      </c>
      <c r="D19" s="219">
        <v>2000</v>
      </c>
      <c r="E19" s="1" t="s">
        <v>210</v>
      </c>
      <c r="F19" s="224">
        <v>10.89</v>
      </c>
      <c r="G19" s="214" t="s">
        <v>213</v>
      </c>
      <c r="H19" s="1"/>
      <c r="I19" s="22" t="s">
        <v>212</v>
      </c>
      <c r="J19" s="219">
        <v>2000</v>
      </c>
      <c r="K19" s="1" t="s">
        <v>210</v>
      </c>
      <c r="L19" s="232">
        <f>PrBA!E48</f>
        <v>13.641902999999999</v>
      </c>
      <c r="M19" s="214" t="s">
        <v>213</v>
      </c>
      <c r="N19" s="221">
        <f t="shared" ref="N19:N22" si="2">L19-F19</f>
        <v>2.7519029999999987</v>
      </c>
      <c r="O19" s="222">
        <f t="shared" ref="O19:O22" si="3">N19/F19</f>
        <v>0.25269999999999987</v>
      </c>
    </row>
    <row r="20" spans="2:18" ht="15" customHeight="1" outlineLevel="1" x14ac:dyDescent="0.5">
      <c r="B20" s="50"/>
      <c r="C20" s="22" t="s">
        <v>212</v>
      </c>
      <c r="D20" s="219">
        <v>5000</v>
      </c>
      <c r="E20" s="1" t="s">
        <v>210</v>
      </c>
      <c r="F20" s="224">
        <v>10.08</v>
      </c>
      <c r="G20" s="214" t="s">
        <v>213</v>
      </c>
      <c r="H20" s="1"/>
      <c r="I20" s="22" t="s">
        <v>212</v>
      </c>
      <c r="J20" s="219">
        <v>5000</v>
      </c>
      <c r="K20" s="1" t="s">
        <v>210</v>
      </c>
      <c r="L20" s="232">
        <f>PrBA!E49</f>
        <v>12.627215999999999</v>
      </c>
      <c r="M20" s="214" t="s">
        <v>213</v>
      </c>
      <c r="N20" s="221">
        <f t="shared" si="2"/>
        <v>2.5472159999999988</v>
      </c>
      <c r="O20" s="222">
        <f t="shared" si="3"/>
        <v>0.25269999999999987</v>
      </c>
    </row>
    <row r="21" spans="2:18" ht="15" customHeight="1" outlineLevel="1" x14ac:dyDescent="0.5">
      <c r="B21" s="50"/>
      <c r="C21" s="22" t="s">
        <v>212</v>
      </c>
      <c r="D21" s="219">
        <v>5000</v>
      </c>
      <c r="E21" s="1" t="s">
        <v>210</v>
      </c>
      <c r="F21" s="224">
        <v>9.2799999999999994</v>
      </c>
      <c r="G21" s="214" t="s">
        <v>213</v>
      </c>
      <c r="H21" s="1"/>
      <c r="I21" s="22" t="s">
        <v>212</v>
      </c>
      <c r="J21" s="219">
        <v>5000</v>
      </c>
      <c r="K21" s="1" t="s">
        <v>210</v>
      </c>
      <c r="L21" s="232">
        <f>PrBA!E50</f>
        <v>11.625055999999999</v>
      </c>
      <c r="M21" s="214" t="s">
        <v>213</v>
      </c>
      <c r="N21" s="221">
        <f t="shared" si="2"/>
        <v>2.3450559999999996</v>
      </c>
      <c r="O21" s="222">
        <f t="shared" si="3"/>
        <v>0.25269999999999998</v>
      </c>
    </row>
    <row r="22" spans="2:18" ht="15" customHeight="1" outlineLevel="1" x14ac:dyDescent="0.5">
      <c r="B22" s="50"/>
      <c r="C22" s="22" t="s">
        <v>214</v>
      </c>
      <c r="D22" s="219">
        <v>15000</v>
      </c>
      <c r="E22" s="1" t="s">
        <v>210</v>
      </c>
      <c r="F22" s="224">
        <v>8.91</v>
      </c>
      <c r="G22" s="214" t="s">
        <v>213</v>
      </c>
      <c r="H22" s="1"/>
      <c r="I22" s="22" t="s">
        <v>214</v>
      </c>
      <c r="J22" s="219">
        <v>15000</v>
      </c>
      <c r="K22" s="1" t="s">
        <v>210</v>
      </c>
      <c r="L22" s="232">
        <f>PrBA!E51</f>
        <v>11.161557</v>
      </c>
      <c r="M22" s="214" t="s">
        <v>213</v>
      </c>
      <c r="N22" s="221">
        <f t="shared" si="2"/>
        <v>2.251557</v>
      </c>
      <c r="O22" s="222">
        <f t="shared" si="3"/>
        <v>0.25269999999999998</v>
      </c>
    </row>
    <row r="23" spans="2:18" ht="15" customHeight="1" outlineLevel="1" x14ac:dyDescent="0.5">
      <c r="B23" s="50"/>
      <c r="C23" s="219"/>
      <c r="D23" s="1"/>
      <c r="E23" s="1"/>
      <c r="F23" s="1"/>
      <c r="G23" s="214"/>
      <c r="H23" s="1"/>
      <c r="I23" s="219"/>
      <c r="J23" s="1"/>
      <c r="K23" s="1"/>
      <c r="L23" s="1"/>
      <c r="M23" s="214"/>
      <c r="N23" s="50"/>
      <c r="O23" s="214"/>
    </row>
    <row r="24" spans="2:18" ht="15" customHeight="1" outlineLevel="1" x14ac:dyDescent="0.5">
      <c r="B24" s="50"/>
      <c r="C24" s="217" t="s">
        <v>216</v>
      </c>
      <c r="D24" s="1"/>
      <c r="E24" s="1"/>
      <c r="F24" s="1"/>
      <c r="G24" s="214"/>
      <c r="H24" s="1"/>
      <c r="I24" s="217" t="s">
        <v>216</v>
      </c>
      <c r="J24" s="1"/>
      <c r="K24" s="1"/>
      <c r="L24" s="1"/>
      <c r="M24" s="214"/>
      <c r="N24" s="50"/>
      <c r="O24" s="214"/>
    </row>
    <row r="25" spans="2:18" x14ac:dyDescent="0.5">
      <c r="B25" s="50"/>
      <c r="C25" s="22" t="s">
        <v>209</v>
      </c>
      <c r="D25" s="219">
        <v>5000</v>
      </c>
      <c r="E25" s="1" t="s">
        <v>210</v>
      </c>
      <c r="F25" s="220">
        <v>44.64</v>
      </c>
      <c r="G25" s="214" t="s">
        <v>211</v>
      </c>
      <c r="H25" s="1"/>
      <c r="I25" s="22" t="s">
        <v>209</v>
      </c>
      <c r="J25" s="219">
        <v>5000</v>
      </c>
      <c r="K25" s="1" t="s">
        <v>210</v>
      </c>
      <c r="L25" s="220">
        <f>PrBA!E64</f>
        <v>55.920527999999997</v>
      </c>
      <c r="M25" s="214" t="s">
        <v>211</v>
      </c>
      <c r="N25" s="221">
        <f t="shared" ref="N25:N27" si="4">L25-F25</f>
        <v>11.280527999999997</v>
      </c>
      <c r="O25" s="222">
        <f t="shared" ref="O25:O27" si="5">N25/F25</f>
        <v>0.25269999999999992</v>
      </c>
      <c r="R25" s="225"/>
    </row>
    <row r="26" spans="2:18" x14ac:dyDescent="0.5">
      <c r="B26" s="50"/>
      <c r="C26" s="22" t="s">
        <v>212</v>
      </c>
      <c r="D26" s="219">
        <v>5000</v>
      </c>
      <c r="E26" s="1" t="s">
        <v>210</v>
      </c>
      <c r="F26" s="226">
        <v>7.92</v>
      </c>
      <c r="G26" s="214" t="s">
        <v>213</v>
      </c>
      <c r="H26" s="1"/>
      <c r="I26" s="22" t="s">
        <v>212</v>
      </c>
      <c r="J26" s="219">
        <v>5000</v>
      </c>
      <c r="K26" s="1" t="s">
        <v>210</v>
      </c>
      <c r="L26" s="232">
        <f>PrBA!E65</f>
        <v>9.9213839999999998</v>
      </c>
      <c r="M26" s="214" t="s">
        <v>213</v>
      </c>
      <c r="N26" s="221">
        <f t="shared" si="4"/>
        <v>2.0013839999999998</v>
      </c>
      <c r="O26" s="222">
        <f t="shared" si="5"/>
        <v>0.25269999999999998</v>
      </c>
      <c r="R26" s="225"/>
    </row>
    <row r="27" spans="2:18" x14ac:dyDescent="0.5">
      <c r="B27" s="50"/>
      <c r="C27" s="22" t="s">
        <v>214</v>
      </c>
      <c r="D27" s="219">
        <v>10000</v>
      </c>
      <c r="E27" s="1" t="s">
        <v>210</v>
      </c>
      <c r="F27" s="224">
        <v>7.3</v>
      </c>
      <c r="G27" s="214" t="s">
        <v>213</v>
      </c>
      <c r="H27" s="1"/>
      <c r="I27" s="22" t="s">
        <v>214</v>
      </c>
      <c r="J27" s="219">
        <v>10000</v>
      </c>
      <c r="K27" s="1" t="s">
        <v>210</v>
      </c>
      <c r="L27" s="232">
        <f>PrBA!E66</f>
        <v>9.1447099999999999</v>
      </c>
      <c r="M27" s="214" t="s">
        <v>213</v>
      </c>
      <c r="N27" s="221">
        <f t="shared" si="4"/>
        <v>1.8447100000000001</v>
      </c>
      <c r="O27" s="222">
        <f t="shared" si="5"/>
        <v>0.25270000000000004</v>
      </c>
      <c r="R27" s="225"/>
    </row>
    <row r="28" spans="2:18" x14ac:dyDescent="0.5">
      <c r="B28" s="50"/>
      <c r="C28" s="219"/>
      <c r="D28" s="1"/>
      <c r="E28" s="1"/>
      <c r="F28" s="1"/>
      <c r="G28" s="214"/>
      <c r="H28" s="1"/>
      <c r="I28" s="219"/>
      <c r="J28" s="1"/>
      <c r="K28" s="1"/>
      <c r="L28" s="1"/>
      <c r="M28" s="214"/>
      <c r="N28" s="50"/>
      <c r="O28" s="214"/>
    </row>
    <row r="29" spans="2:18" x14ac:dyDescent="0.5">
      <c r="B29" s="50"/>
      <c r="C29" s="217" t="s">
        <v>201</v>
      </c>
      <c r="D29" s="1"/>
      <c r="E29" s="1"/>
      <c r="F29" s="1"/>
      <c r="G29" s="214"/>
      <c r="H29" s="1"/>
      <c r="I29" s="217" t="s">
        <v>201</v>
      </c>
      <c r="J29" s="1"/>
      <c r="K29" s="1"/>
      <c r="L29" s="1"/>
      <c r="M29" s="214"/>
      <c r="N29" s="50"/>
      <c r="O29" s="214"/>
    </row>
    <row r="30" spans="2:18" x14ac:dyDescent="0.5">
      <c r="B30" s="50"/>
      <c r="C30" s="22" t="s">
        <v>209</v>
      </c>
      <c r="D30" s="219">
        <v>5000</v>
      </c>
      <c r="E30" s="1" t="s">
        <v>210</v>
      </c>
      <c r="F30" s="220">
        <v>55.74</v>
      </c>
      <c r="G30" s="214" t="s">
        <v>211</v>
      </c>
      <c r="H30" s="1"/>
      <c r="I30" s="22" t="s">
        <v>209</v>
      </c>
      <c r="J30" s="219">
        <v>5000</v>
      </c>
      <c r="K30" s="1" t="s">
        <v>210</v>
      </c>
      <c r="L30" s="220">
        <f>PrBA!E80</f>
        <v>69.825497999999996</v>
      </c>
      <c r="M30" s="214" t="s">
        <v>211</v>
      </c>
      <c r="N30" s="221">
        <f t="shared" ref="N30:N33" si="6">L30-F30</f>
        <v>14.085497999999994</v>
      </c>
      <c r="O30" s="222">
        <f t="shared" ref="O30:O33" si="7">N30/F30</f>
        <v>0.25269999999999987</v>
      </c>
    </row>
    <row r="31" spans="2:18" x14ac:dyDescent="0.5">
      <c r="B31" s="50"/>
      <c r="C31" s="22" t="s">
        <v>212</v>
      </c>
      <c r="D31" s="219">
        <v>5000</v>
      </c>
      <c r="E31" s="1" t="s">
        <v>210</v>
      </c>
      <c r="F31" s="220">
        <v>10.08</v>
      </c>
      <c r="G31" s="214"/>
      <c r="H31" s="1"/>
      <c r="I31" s="22" t="s">
        <v>212</v>
      </c>
      <c r="J31" s="219">
        <v>5000</v>
      </c>
      <c r="K31" s="1" t="s">
        <v>210</v>
      </c>
      <c r="L31" s="232">
        <f>PrBA!E81</f>
        <v>12.627215999999999</v>
      </c>
      <c r="M31" s="214" t="s">
        <v>213</v>
      </c>
      <c r="N31" s="221">
        <f t="shared" ref="N31:N32" si="8">L31-F31</f>
        <v>2.5472159999999988</v>
      </c>
      <c r="O31" s="222">
        <f t="shared" ref="O31:O32" si="9">N31/F31</f>
        <v>0.25269999999999987</v>
      </c>
    </row>
    <row r="32" spans="2:18" x14ac:dyDescent="0.5">
      <c r="B32" s="50"/>
      <c r="C32" s="22" t="s">
        <v>212</v>
      </c>
      <c r="D32" s="219">
        <v>5000</v>
      </c>
      <c r="E32" s="1" t="s">
        <v>210</v>
      </c>
      <c r="F32" s="220">
        <v>9.2799999999999994</v>
      </c>
      <c r="G32" s="214"/>
      <c r="H32" s="1"/>
      <c r="I32" s="22" t="s">
        <v>212</v>
      </c>
      <c r="J32" s="219">
        <v>5000</v>
      </c>
      <c r="K32" s="1" t="s">
        <v>210</v>
      </c>
      <c r="L32" s="232">
        <f>PrBA!E82</f>
        <v>11.625055999999999</v>
      </c>
      <c r="M32" s="214" t="s">
        <v>213</v>
      </c>
      <c r="N32" s="221">
        <f t="shared" si="8"/>
        <v>2.3450559999999996</v>
      </c>
      <c r="O32" s="222">
        <f t="shared" si="9"/>
        <v>0.25269999999999998</v>
      </c>
    </row>
    <row r="33" spans="2:21" x14ac:dyDescent="0.5">
      <c r="B33" s="50"/>
      <c r="C33" s="22" t="s">
        <v>214</v>
      </c>
      <c r="D33" s="219">
        <v>15000</v>
      </c>
      <c r="E33" s="1" t="s">
        <v>210</v>
      </c>
      <c r="F33" s="224">
        <v>8.91</v>
      </c>
      <c r="G33" s="214" t="s">
        <v>213</v>
      </c>
      <c r="H33" s="1"/>
      <c r="I33" s="22" t="s">
        <v>214</v>
      </c>
      <c r="J33" s="219">
        <v>15000</v>
      </c>
      <c r="K33" s="1" t="s">
        <v>210</v>
      </c>
      <c r="L33" s="232">
        <f>PrBA!E83</f>
        <v>11.161557</v>
      </c>
      <c r="M33" s="214" t="s">
        <v>213</v>
      </c>
      <c r="N33" s="221">
        <f t="shared" si="6"/>
        <v>2.251557</v>
      </c>
      <c r="O33" s="222">
        <f t="shared" si="7"/>
        <v>0.25269999999999998</v>
      </c>
    </row>
    <row r="34" spans="2:21" x14ac:dyDescent="0.5">
      <c r="B34" s="50"/>
      <c r="C34" s="219"/>
      <c r="D34" s="1"/>
      <c r="E34" s="1"/>
      <c r="F34" s="1"/>
      <c r="G34" s="214"/>
      <c r="H34" s="1"/>
      <c r="I34" s="219"/>
      <c r="J34" s="1"/>
      <c r="K34" s="1"/>
      <c r="L34" s="1"/>
      <c r="M34" s="214"/>
      <c r="N34" s="50"/>
      <c r="O34" s="214"/>
    </row>
    <row r="35" spans="2:21" x14ac:dyDescent="0.5">
      <c r="B35" s="50"/>
      <c r="C35" s="219"/>
      <c r="D35" s="1"/>
      <c r="E35" s="1"/>
      <c r="F35" s="1"/>
      <c r="G35" s="214"/>
      <c r="H35" s="1"/>
      <c r="I35" s="219"/>
      <c r="J35" s="1"/>
      <c r="K35" s="1"/>
      <c r="L35" s="1"/>
      <c r="M35" s="214"/>
      <c r="N35" s="50"/>
      <c r="O35" s="214"/>
    </row>
    <row r="36" spans="2:21" x14ac:dyDescent="0.5">
      <c r="B36" s="50"/>
      <c r="C36" s="217" t="s">
        <v>215</v>
      </c>
      <c r="D36" s="1"/>
      <c r="E36" s="1"/>
      <c r="F36" s="1"/>
      <c r="G36" s="214"/>
      <c r="H36" s="1"/>
      <c r="I36" s="217" t="s">
        <v>215</v>
      </c>
      <c r="J36" s="1"/>
      <c r="K36" s="1"/>
      <c r="L36" s="1"/>
      <c r="M36" s="214"/>
      <c r="N36" s="50"/>
      <c r="O36" s="214"/>
    </row>
    <row r="37" spans="2:21" x14ac:dyDescent="0.5">
      <c r="B37" s="50"/>
      <c r="C37" s="22" t="s">
        <v>209</v>
      </c>
      <c r="D37" s="219">
        <v>15000</v>
      </c>
      <c r="E37" s="1" t="s">
        <v>210</v>
      </c>
      <c r="F37" s="220">
        <v>152.54</v>
      </c>
      <c r="G37" s="214" t="s">
        <v>211</v>
      </c>
      <c r="H37" s="1"/>
      <c r="I37" s="22" t="s">
        <v>209</v>
      </c>
      <c r="J37" s="219">
        <v>15000</v>
      </c>
      <c r="K37" s="1" t="s">
        <v>210</v>
      </c>
      <c r="L37" s="220">
        <f>PrBA!E95</f>
        <v>191.08685799999998</v>
      </c>
      <c r="M37" s="214" t="s">
        <v>211</v>
      </c>
      <c r="N37" s="221">
        <f t="shared" ref="N37:N38" si="10">L37-F37</f>
        <v>38.546857999999986</v>
      </c>
      <c r="O37" s="222">
        <f t="shared" ref="O37:O38" si="11">N37/F37</f>
        <v>0.25269999999999992</v>
      </c>
      <c r="P37" s="223"/>
      <c r="R37" s="223"/>
    </row>
    <row r="38" spans="2:21" x14ac:dyDescent="0.5">
      <c r="B38" s="50"/>
      <c r="C38" s="22" t="s">
        <v>214</v>
      </c>
      <c r="D38" s="219">
        <v>15000</v>
      </c>
      <c r="E38" s="1" t="s">
        <v>210</v>
      </c>
      <c r="F38" s="224">
        <v>8.91</v>
      </c>
      <c r="G38" s="214" t="s">
        <v>213</v>
      </c>
      <c r="H38" s="1"/>
      <c r="I38" s="22" t="s">
        <v>214</v>
      </c>
      <c r="J38" s="219">
        <v>15000</v>
      </c>
      <c r="K38" s="1" t="s">
        <v>210</v>
      </c>
      <c r="L38" s="232">
        <f>PrBA!E96</f>
        <v>11.161557</v>
      </c>
      <c r="M38" s="214" t="s">
        <v>213</v>
      </c>
      <c r="N38" s="221">
        <f t="shared" si="10"/>
        <v>2.251557</v>
      </c>
      <c r="O38" s="222">
        <f t="shared" si="11"/>
        <v>0.25269999999999998</v>
      </c>
      <c r="R38" s="225"/>
    </row>
    <row r="39" spans="2:21" x14ac:dyDescent="0.5">
      <c r="B39" s="129"/>
      <c r="C39" s="227"/>
      <c r="D39" s="207"/>
      <c r="E39" s="207"/>
      <c r="F39" s="207"/>
      <c r="G39" s="213"/>
      <c r="H39" s="207"/>
      <c r="I39" s="207"/>
      <c r="J39" s="207"/>
      <c r="K39" s="207"/>
      <c r="L39" s="207"/>
      <c r="M39" s="213"/>
      <c r="N39" s="129"/>
      <c r="O39" s="213"/>
    </row>
    <row r="40" spans="2:21" x14ac:dyDescent="0.5">
      <c r="C40" s="228"/>
    </row>
    <row r="41" spans="2:21" x14ac:dyDescent="0.5">
      <c r="C41" s="228"/>
      <c r="Q41" s="1"/>
      <c r="R41" s="1"/>
      <c r="S41" s="218"/>
      <c r="T41" s="218"/>
      <c r="U41" s="218"/>
    </row>
    <row r="42" spans="2:21" x14ac:dyDescent="0.5">
      <c r="C42" s="228"/>
      <c r="Q42" s="229"/>
      <c r="R42" s="1"/>
      <c r="S42" s="168"/>
      <c r="T42" s="168"/>
      <c r="U42" s="230"/>
    </row>
    <row r="43" spans="2:21" x14ac:dyDescent="0.5">
      <c r="C43" s="228"/>
      <c r="Q43" s="229"/>
      <c r="R43" s="1"/>
      <c r="S43" s="231"/>
      <c r="T43" s="231"/>
      <c r="U43" s="230"/>
    </row>
    <row r="44" spans="2:21" x14ac:dyDescent="0.5">
      <c r="C44" s="228"/>
      <c r="Q44" s="229"/>
      <c r="R44" s="1"/>
      <c r="S44" s="231"/>
      <c r="T44" s="231"/>
      <c r="U44" s="230"/>
    </row>
    <row r="45" spans="2:21" x14ac:dyDescent="0.5">
      <c r="P45" s="228"/>
      <c r="Q45" s="229"/>
      <c r="R45" s="1"/>
      <c r="S45" s="231"/>
      <c r="T45" s="231"/>
      <c r="U45" s="230"/>
    </row>
  </sheetData>
  <mergeCells count="7">
    <mergeCell ref="B2:O2"/>
    <mergeCell ref="C6:O6"/>
    <mergeCell ref="C9:G9"/>
    <mergeCell ref="I9:M9"/>
    <mergeCell ref="C3:O3"/>
    <mergeCell ref="C4:O4"/>
    <mergeCell ref="C5:O5"/>
  </mergeCells>
  <printOptions horizontalCentered="1"/>
  <pageMargins left="0.55000000000000004" right="0.55000000000000004" top="1.6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8"/>
  <sheetViews>
    <sheetView showGridLines="0" workbookViewId="0">
      <selection activeCell="G56" sqref="G56"/>
    </sheetView>
  </sheetViews>
  <sheetFormatPr defaultColWidth="8.88671875" defaultRowHeight="14.25" x14ac:dyDescent="0.45"/>
  <cols>
    <col min="1" max="1" width="9" style="7" customWidth="1"/>
    <col min="2" max="2" width="1.77734375" style="7" customWidth="1"/>
    <col min="3" max="8" width="9.77734375" style="7" customWidth="1"/>
    <col min="9" max="9" width="1.77734375" style="7" customWidth="1"/>
    <col min="10" max="16384" width="8.88671875" style="7"/>
  </cols>
  <sheetData>
    <row r="1" spans="2:11" x14ac:dyDescent="0.45">
      <c r="B1" s="8"/>
      <c r="C1" s="9"/>
      <c r="D1" s="9"/>
      <c r="E1" s="9"/>
      <c r="F1" s="9"/>
      <c r="G1" s="9"/>
      <c r="H1" s="9"/>
      <c r="I1" s="10"/>
    </row>
    <row r="2" spans="2:11" ht="18" x14ac:dyDescent="0.55000000000000004">
      <c r="B2" s="11"/>
      <c r="C2" s="253" t="s">
        <v>147</v>
      </c>
      <c r="D2" s="253"/>
      <c r="E2" s="253"/>
      <c r="F2" s="253"/>
      <c r="G2" s="253"/>
      <c r="H2" s="253"/>
      <c r="I2" s="254"/>
    </row>
    <row r="3" spans="2:11" ht="18" x14ac:dyDescent="0.55000000000000004">
      <c r="B3" s="11"/>
      <c r="C3" s="250" t="s">
        <v>148</v>
      </c>
      <c r="D3" s="250"/>
      <c r="E3" s="250"/>
      <c r="F3" s="250"/>
      <c r="G3" s="250"/>
      <c r="H3" s="250"/>
      <c r="I3" s="251"/>
    </row>
    <row r="4" spans="2:11" ht="15.75" x14ac:dyDescent="0.45">
      <c r="B4" s="11"/>
      <c r="C4" s="238" t="s">
        <v>161</v>
      </c>
      <c r="D4" s="238"/>
      <c r="E4" s="238"/>
      <c r="F4" s="238"/>
      <c r="G4" s="238"/>
      <c r="H4" s="238"/>
      <c r="I4" s="252"/>
    </row>
    <row r="5" spans="2:11" x14ac:dyDescent="0.45">
      <c r="B5" s="13"/>
      <c r="C5" s="5"/>
      <c r="D5" s="5"/>
      <c r="E5" s="5"/>
      <c r="F5" s="5"/>
      <c r="G5" s="5"/>
      <c r="H5" s="5"/>
      <c r="I5" s="14"/>
    </row>
    <row r="6" spans="2:11" ht="6" customHeight="1" x14ac:dyDescent="0.45">
      <c r="B6" s="11"/>
      <c r="C6" s="6"/>
      <c r="D6" s="12"/>
      <c r="E6" s="35"/>
      <c r="F6" s="36"/>
      <c r="G6" s="36"/>
      <c r="H6" s="36"/>
      <c r="I6" s="37"/>
      <c r="J6" s="34"/>
      <c r="K6" s="34"/>
    </row>
    <row r="7" spans="2:11" ht="16.5" x14ac:dyDescent="0.75">
      <c r="B7" s="11"/>
      <c r="C7" s="16" t="s">
        <v>13</v>
      </c>
      <c r="D7" s="33" t="s">
        <v>66</v>
      </c>
      <c r="E7" s="38" t="s">
        <v>24</v>
      </c>
      <c r="F7" s="16" t="s">
        <v>11</v>
      </c>
      <c r="G7" s="16"/>
      <c r="H7" s="16"/>
      <c r="I7" s="33"/>
    </row>
    <row r="8" spans="2:11" ht="16.5" x14ac:dyDescent="0.75">
      <c r="B8" s="11"/>
      <c r="C8" s="16" t="s">
        <v>72</v>
      </c>
      <c r="D8" s="33" t="s">
        <v>69</v>
      </c>
      <c r="E8" s="38" t="s">
        <v>67</v>
      </c>
      <c r="F8" s="16" t="s">
        <v>67</v>
      </c>
      <c r="G8" s="16" t="s">
        <v>25</v>
      </c>
      <c r="H8" s="16" t="s">
        <v>68</v>
      </c>
      <c r="I8" s="33"/>
    </row>
    <row r="9" spans="2:11" x14ac:dyDescent="0.45">
      <c r="B9" s="11"/>
      <c r="C9" s="17">
        <v>0</v>
      </c>
      <c r="D9" s="39" t="s">
        <v>70</v>
      </c>
      <c r="E9" s="29">
        <f>ExBA!E29</f>
        <v>19.05</v>
      </c>
      <c r="F9" s="17">
        <f>Rates!L12</f>
        <v>23.863934999999998</v>
      </c>
      <c r="G9" s="48">
        <f>F9-E9</f>
        <v>4.8139349999999972</v>
      </c>
      <c r="H9" s="71">
        <f>G9/E9</f>
        <v>0.25269999999999987</v>
      </c>
      <c r="I9" s="42"/>
    </row>
    <row r="10" spans="2:11" x14ac:dyDescent="0.45">
      <c r="B10" s="11"/>
      <c r="C10" s="6">
        <v>2000</v>
      </c>
      <c r="D10" s="39" t="s">
        <v>70</v>
      </c>
      <c r="E10" s="29">
        <f>ExBA!E29</f>
        <v>19.05</v>
      </c>
      <c r="F10" s="29">
        <f>Rates!L12</f>
        <v>23.863934999999998</v>
      </c>
      <c r="G10" s="17">
        <f t="shared" ref="G10:G15" si="0">F10-E10</f>
        <v>4.8139349999999972</v>
      </c>
      <c r="H10" s="71">
        <f t="shared" ref="H10:H15" si="1">G10/E10</f>
        <v>0.25269999999999987</v>
      </c>
      <c r="I10" s="42"/>
    </row>
    <row r="11" spans="2:11" x14ac:dyDescent="0.45">
      <c r="B11" s="11"/>
      <c r="C11" s="43">
        <v>4000</v>
      </c>
      <c r="D11" s="44" t="s">
        <v>70</v>
      </c>
      <c r="E11" s="193">
        <f>ExBA!E29+ExBA!E30+ExBA!E30</f>
        <v>36.11</v>
      </c>
      <c r="F11" s="193">
        <f>Rates!L12+Rates!L13+Rates!L13</f>
        <v>45.234996999999993</v>
      </c>
      <c r="G11" s="45">
        <f t="shared" si="0"/>
        <v>9.1249969999999934</v>
      </c>
      <c r="H11" s="72">
        <f t="shared" si="1"/>
        <v>0.25269999999999981</v>
      </c>
      <c r="I11" s="46"/>
    </row>
    <row r="12" spans="2:11" x14ac:dyDescent="0.45">
      <c r="B12" s="11"/>
      <c r="C12" s="6">
        <v>6000</v>
      </c>
      <c r="D12" s="39" t="s">
        <v>70</v>
      </c>
      <c r="E12" s="29">
        <f>Rates!F12+Rates!F13+Rates!F13+Rates!F13+Rates!F14</f>
        <v>52.56</v>
      </c>
      <c r="F12" s="29">
        <f>Rates!L12+Rates!L13+Rates!L13+Rates!L13+Rates!L14</f>
        <v>65.841911999999994</v>
      </c>
      <c r="G12" s="17">
        <f t="shared" si="0"/>
        <v>13.281911999999991</v>
      </c>
      <c r="H12" s="71">
        <f t="shared" si="1"/>
        <v>0.25269999999999981</v>
      </c>
      <c r="I12" s="42"/>
    </row>
    <row r="13" spans="2:11" x14ac:dyDescent="0.45">
      <c r="B13" s="11"/>
      <c r="C13" s="6">
        <v>8000</v>
      </c>
      <c r="D13" s="39" t="s">
        <v>70</v>
      </c>
      <c r="E13" s="29">
        <f>Rates!F12+Rates!F13+Rates!F13+Rates!F13+Rates!F14+Rates!F14+Rates!F14</f>
        <v>68.400000000000006</v>
      </c>
      <c r="F13" s="29">
        <f>Rates!L12+Rates!L13+Rates!L13+Rates!L13+Rates!L14+Rates!L14+Rates!L14</f>
        <v>85.68468</v>
      </c>
      <c r="G13" s="17">
        <f t="shared" si="0"/>
        <v>17.284679999999994</v>
      </c>
      <c r="H13" s="71">
        <f t="shared" si="1"/>
        <v>0.25269999999999992</v>
      </c>
      <c r="I13" s="42"/>
    </row>
    <row r="14" spans="2:11" x14ac:dyDescent="0.45">
      <c r="B14" s="11"/>
      <c r="C14" s="6">
        <v>10000</v>
      </c>
      <c r="D14" s="39" t="s">
        <v>70</v>
      </c>
      <c r="E14" s="29">
        <f>Rates!F12+Rates!F13+Rates!F13+Rates!F13+Rates!F14+Rates!F14+Rates!F14+Rates!F14+Rates!F14</f>
        <v>84.240000000000009</v>
      </c>
      <c r="F14" s="29">
        <f>Rates!L12+Rates!L13+Rates!L13+Rates!L13+Rates!L14+Rates!L14+Rates!L14+Rates!L14+Rates!L14</f>
        <v>105.52744800000001</v>
      </c>
      <c r="G14" s="17">
        <f t="shared" si="0"/>
        <v>21.287447999999998</v>
      </c>
      <c r="H14" s="71">
        <f t="shared" si="1"/>
        <v>0.25269999999999992</v>
      </c>
      <c r="I14" s="42"/>
    </row>
    <row r="15" spans="2:11" x14ac:dyDescent="0.45">
      <c r="B15" s="11"/>
      <c r="C15" s="6">
        <v>15000</v>
      </c>
      <c r="D15" s="39" t="s">
        <v>70</v>
      </c>
      <c r="E15" s="29">
        <f>Rates!F12+Rates!F13+Rates!F13+Rates!F13+Rates!F14+Rates!F14+Rates!F14+Rates!F14+Rates!F14+Rates!F15+Rates!F15+Rates!F15+Rates!F15+Rates!F15</f>
        <v>120.74</v>
      </c>
      <c r="F15" s="29">
        <f>Rates!L12+Rates!L13+Rates!L13+Rates!L13+Rates!L14+Rates!L14+Rates!L14+Rates!L14+Rates!L14+Rates!L15+Rates!L15+Rates!L15+Rates!L15+Rates!L15</f>
        <v>151.25099800000001</v>
      </c>
      <c r="G15" s="17">
        <f t="shared" si="0"/>
        <v>30.510998000000015</v>
      </c>
      <c r="H15" s="71">
        <f t="shared" si="1"/>
        <v>0.25270000000000015</v>
      </c>
      <c r="I15" s="42"/>
    </row>
    <row r="16" spans="2:11" ht="6" customHeight="1" x14ac:dyDescent="0.45">
      <c r="B16" s="13"/>
      <c r="C16" s="5"/>
      <c r="D16" s="4"/>
      <c r="E16" s="41"/>
      <c r="F16" s="40"/>
      <c r="G16" s="40"/>
      <c r="H16" s="5"/>
      <c r="I16" s="14"/>
    </row>
    <row r="18" spans="4:4" x14ac:dyDescent="0.45">
      <c r="D18" s="49" t="s">
        <v>73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N98"/>
  <sheetViews>
    <sheetView showGridLines="0" topLeftCell="A50" workbookViewId="0">
      <selection activeCell="B76" sqref="B76"/>
    </sheetView>
  </sheetViews>
  <sheetFormatPr defaultColWidth="8.88671875" defaultRowHeight="15" x14ac:dyDescent="0.4"/>
  <cols>
    <col min="1" max="1" width="7.77734375" style="150" customWidth="1"/>
    <col min="2" max="2" width="8.21875" style="150" customWidth="1"/>
    <col min="3" max="8" width="12.5546875" style="150" customWidth="1"/>
    <col min="9" max="12" width="10.44140625" style="150" customWidth="1"/>
    <col min="13" max="13" width="13.109375" style="150" customWidth="1"/>
    <col min="14" max="16384" width="8.88671875" style="150"/>
  </cols>
  <sheetData>
    <row r="1" spans="1:14" ht="21" x14ac:dyDescent="0.65">
      <c r="A1" s="255" t="s">
        <v>224</v>
      </c>
      <c r="B1" s="255"/>
      <c r="C1" s="255"/>
      <c r="D1" s="255"/>
      <c r="E1" s="255"/>
      <c r="F1" s="255"/>
      <c r="G1" s="255"/>
    </row>
    <row r="2" spans="1:14" ht="18" x14ac:dyDescent="0.4">
      <c r="A2" s="256" t="s">
        <v>161</v>
      </c>
      <c r="B2" s="256"/>
      <c r="C2" s="256"/>
      <c r="D2" s="256"/>
      <c r="E2" s="256"/>
      <c r="F2" s="256"/>
      <c r="G2" s="256"/>
    </row>
    <row r="3" spans="1:14" x14ac:dyDescent="0.45">
      <c r="A3" s="25"/>
      <c r="B3" s="26"/>
      <c r="C3" s="26"/>
      <c r="D3" s="26"/>
      <c r="E3" s="26"/>
      <c r="F3" s="26"/>
      <c r="G3" s="26"/>
    </row>
    <row r="4" spans="1:14" ht="15.75" x14ac:dyDescent="0.45">
      <c r="A4" s="1"/>
      <c r="C4" s="257" t="s">
        <v>48</v>
      </c>
      <c r="D4" s="257"/>
      <c r="E4" s="257"/>
      <c r="F4" s="257"/>
      <c r="G4" s="1"/>
    </row>
    <row r="5" spans="1:14" x14ac:dyDescent="0.45">
      <c r="A5" s="1"/>
      <c r="B5" s="1"/>
      <c r="C5" s="155"/>
      <c r="D5" s="155"/>
      <c r="E5" s="156" t="s">
        <v>52</v>
      </c>
      <c r="F5" s="156" t="s">
        <v>53</v>
      </c>
      <c r="G5" s="21" t="s">
        <v>56</v>
      </c>
      <c r="H5" s="21"/>
      <c r="I5" s="152"/>
    </row>
    <row r="6" spans="1:14" x14ac:dyDescent="0.45">
      <c r="A6" s="1"/>
      <c r="B6" s="1"/>
      <c r="C6" s="1" t="s">
        <v>191</v>
      </c>
      <c r="D6" s="1"/>
      <c r="E6" s="2">
        <f>C25</f>
        <v>42050</v>
      </c>
      <c r="F6" s="157">
        <f>I25</f>
        <v>152925100</v>
      </c>
      <c r="G6" s="158">
        <f>F33</f>
        <v>1502290.679</v>
      </c>
      <c r="H6" s="159"/>
      <c r="I6" s="160"/>
      <c r="J6" s="161"/>
      <c r="L6" s="151"/>
      <c r="M6" s="151"/>
      <c r="N6" s="151"/>
    </row>
    <row r="7" spans="1:14" x14ac:dyDescent="0.45">
      <c r="A7" s="1"/>
      <c r="B7" s="1"/>
      <c r="C7" s="1" t="s">
        <v>192</v>
      </c>
      <c r="D7" s="1"/>
      <c r="E7" s="2">
        <f>C52</f>
        <v>490</v>
      </c>
      <c r="F7" s="157">
        <f>J43</f>
        <v>1887700</v>
      </c>
      <c r="G7" s="158">
        <f>F52</f>
        <v>17490.909</v>
      </c>
      <c r="H7" s="159"/>
      <c r="I7" s="160"/>
      <c r="J7" s="161"/>
      <c r="L7" s="151"/>
      <c r="M7" s="151"/>
      <c r="N7" s="151"/>
    </row>
    <row r="8" spans="1:14" x14ac:dyDescent="0.45">
      <c r="A8" s="1"/>
      <c r="B8" s="1"/>
      <c r="C8" s="1" t="s">
        <v>200</v>
      </c>
      <c r="D8" s="1"/>
      <c r="E8" s="2">
        <f>C67</f>
        <v>48</v>
      </c>
      <c r="F8" s="157">
        <f>H60</f>
        <v>341500</v>
      </c>
      <c r="G8" s="158">
        <f>F67</f>
        <v>2946.6000000000004</v>
      </c>
      <c r="H8" s="159"/>
      <c r="I8" s="160"/>
      <c r="J8" s="161"/>
      <c r="L8" s="151"/>
      <c r="M8" s="151"/>
      <c r="N8" s="151"/>
    </row>
    <row r="9" spans="1:14" x14ac:dyDescent="0.45">
      <c r="A9" s="1"/>
      <c r="B9" s="1"/>
      <c r="C9" s="1" t="s">
        <v>202</v>
      </c>
      <c r="D9" s="1"/>
      <c r="E9" s="2">
        <f>C84</f>
        <v>72</v>
      </c>
      <c r="F9" s="157">
        <f>I76</f>
        <v>327700</v>
      </c>
      <c r="G9" s="158">
        <f>F84</f>
        <v>4013.28</v>
      </c>
      <c r="H9" s="159"/>
      <c r="I9" s="160"/>
      <c r="J9" s="161"/>
      <c r="L9" s="151"/>
      <c r="M9" s="151"/>
      <c r="N9" s="151"/>
    </row>
    <row r="10" spans="1:14" x14ac:dyDescent="0.45">
      <c r="A10" s="1"/>
      <c r="B10" s="1"/>
      <c r="C10" s="1" t="s">
        <v>193</v>
      </c>
      <c r="D10" s="1"/>
      <c r="E10" s="30">
        <f>C97</f>
        <v>60</v>
      </c>
      <c r="F10" s="195">
        <f>G91</f>
        <v>2310200</v>
      </c>
      <c r="G10" s="194">
        <f>F97</f>
        <v>13698.281999999999</v>
      </c>
      <c r="H10" s="159"/>
      <c r="I10" s="160"/>
      <c r="J10" s="161"/>
      <c r="L10" s="151"/>
      <c r="M10" s="151"/>
      <c r="N10" s="151"/>
    </row>
    <row r="11" spans="1:14" x14ac:dyDescent="0.45">
      <c r="A11" s="1"/>
      <c r="B11" s="1"/>
      <c r="C11" s="1" t="s">
        <v>160</v>
      </c>
      <c r="D11" s="1"/>
      <c r="E11" s="2">
        <f>SUM(E6:E10)</f>
        <v>42720</v>
      </c>
      <c r="F11" s="157">
        <f>SUM(F6:F10)</f>
        <v>157792200</v>
      </c>
      <c r="G11" s="158">
        <f>SUM(G6:G10)</f>
        <v>1540439.75</v>
      </c>
      <c r="H11" s="159"/>
      <c r="I11" s="160"/>
      <c r="J11" s="161"/>
      <c r="L11" s="151"/>
      <c r="M11" s="151"/>
      <c r="N11" s="151"/>
    </row>
    <row r="12" spans="1:14" ht="15.75" customHeight="1" x14ac:dyDescent="0.45">
      <c r="A12" s="1"/>
      <c r="B12" s="1"/>
      <c r="C12" s="155" t="s">
        <v>136</v>
      </c>
      <c r="D12" s="155"/>
      <c r="E12" s="157"/>
      <c r="F12" s="157"/>
      <c r="G12" s="184">
        <v>-172.26</v>
      </c>
      <c r="H12" s="1"/>
      <c r="L12" s="151"/>
      <c r="M12" s="151"/>
      <c r="N12" s="151"/>
    </row>
    <row r="13" spans="1:14" x14ac:dyDescent="0.45">
      <c r="A13" s="1"/>
      <c r="B13" s="1"/>
      <c r="C13" s="163" t="s">
        <v>154</v>
      </c>
      <c r="D13" s="163"/>
      <c r="E13" s="157"/>
      <c r="F13" s="157"/>
      <c r="G13" s="162">
        <f>G11+G12</f>
        <v>1540267.49</v>
      </c>
      <c r="H13" s="1"/>
    </row>
    <row r="14" spans="1:14" x14ac:dyDescent="0.45">
      <c r="A14" s="1"/>
      <c r="B14" s="1"/>
      <c r="C14" s="163" t="s">
        <v>137</v>
      </c>
      <c r="D14" s="163"/>
      <c r="E14" s="157"/>
      <c r="F14" s="157"/>
      <c r="G14" s="186">
        <f>SAO!D6</f>
        <v>1501319</v>
      </c>
      <c r="H14" s="1"/>
    </row>
    <row r="15" spans="1:14" x14ac:dyDescent="0.45">
      <c r="A15" s="1"/>
      <c r="B15" s="1"/>
      <c r="C15" s="163" t="s">
        <v>138</v>
      </c>
      <c r="D15" s="163"/>
      <c r="E15" s="157"/>
      <c r="F15" s="157"/>
      <c r="G15" s="187">
        <f>G13-G14</f>
        <v>38948.489999999991</v>
      </c>
      <c r="H15" s="1" t="s">
        <v>139</v>
      </c>
      <c r="K15" s="188">
        <f>G15/G14</f>
        <v>2.5942847589353089E-2</v>
      </c>
    </row>
    <row r="16" spans="1:14" x14ac:dyDescent="0.45">
      <c r="A16" s="1"/>
      <c r="B16" s="1"/>
      <c r="C16" s="163"/>
      <c r="D16" s="157"/>
      <c r="E16" s="157"/>
      <c r="F16" s="162"/>
      <c r="G16" s="1"/>
    </row>
    <row r="17" spans="1:13" x14ac:dyDescent="0.45">
      <c r="A17" s="1"/>
      <c r="B17" s="1"/>
      <c r="C17" s="19"/>
      <c r="D17" s="158"/>
      <c r="E17" s="1"/>
      <c r="F17" s="1"/>
      <c r="G17" s="1"/>
    </row>
    <row r="18" spans="1:13" ht="15.75" x14ac:dyDescent="0.5">
      <c r="A18" s="198" t="s">
        <v>194</v>
      </c>
      <c r="B18" s="1"/>
      <c r="C18" s="1"/>
      <c r="D18" s="18"/>
      <c r="E18" s="1"/>
      <c r="F18" s="1"/>
      <c r="G18" s="1"/>
      <c r="H18" s="1"/>
      <c r="I18" s="1"/>
      <c r="J18" s="1"/>
      <c r="K18" s="1"/>
      <c r="L18" s="18"/>
      <c r="M18" s="1"/>
    </row>
    <row r="19" spans="1:13" ht="15.4" x14ac:dyDescent="0.45">
      <c r="A19" s="1"/>
      <c r="B19" s="1"/>
      <c r="C19" s="1"/>
      <c r="D19" s="18"/>
      <c r="E19" s="21" t="s">
        <v>49</v>
      </c>
      <c r="F19" s="21" t="s">
        <v>132</v>
      </c>
      <c r="G19" s="21" t="s">
        <v>132</v>
      </c>
      <c r="H19" s="21" t="s">
        <v>50</v>
      </c>
      <c r="I19" s="1"/>
      <c r="J19" s="1"/>
      <c r="K19"/>
      <c r="L19"/>
    </row>
    <row r="20" spans="1:13" ht="15.4" x14ac:dyDescent="0.45">
      <c r="A20" s="1"/>
      <c r="B20" s="199" t="s">
        <v>51</v>
      </c>
      <c r="C20" s="200" t="s">
        <v>52</v>
      </c>
      <c r="D20" s="127" t="s">
        <v>53</v>
      </c>
      <c r="E20" s="200">
        <f>B21</f>
        <v>2000</v>
      </c>
      <c r="F20" s="200">
        <f>B22</f>
        <v>3000</v>
      </c>
      <c r="G20" s="200">
        <f>B23</f>
        <v>5000</v>
      </c>
      <c r="H20" s="200">
        <f>B24</f>
        <v>10000</v>
      </c>
      <c r="I20" s="199" t="s">
        <v>54</v>
      </c>
      <c r="J20" s="1"/>
      <c r="K20"/>
      <c r="L20"/>
    </row>
    <row r="21" spans="1:13" ht="15.4" x14ac:dyDescent="0.45">
      <c r="A21" s="22" t="s">
        <v>49</v>
      </c>
      <c r="B21" s="164">
        <v>2000</v>
      </c>
      <c r="C21" s="201">
        <f>13757+3249</f>
        <v>17006</v>
      </c>
      <c r="D21" s="202">
        <f>13286200+2718700</f>
        <v>16004900</v>
      </c>
      <c r="E21" s="202">
        <f>D21</f>
        <v>16004900</v>
      </c>
      <c r="F21" s="202">
        <v>0</v>
      </c>
      <c r="G21" s="202">
        <v>0</v>
      </c>
      <c r="H21" s="202">
        <v>0</v>
      </c>
      <c r="I21" s="202">
        <f>SUM(E21:H21)</f>
        <v>16004900</v>
      </c>
      <c r="J21" s="1"/>
      <c r="K21"/>
      <c r="L21"/>
    </row>
    <row r="22" spans="1:13" ht="15.4" x14ac:dyDescent="0.45">
      <c r="A22" s="22" t="s">
        <v>132</v>
      </c>
      <c r="B22" s="164">
        <v>3000</v>
      </c>
      <c r="C22" s="201">
        <f>6369+1412+1116+4685+3091+702</f>
        <v>17375</v>
      </c>
      <c r="D22" s="202">
        <f>16113300+3575700+3906100+16496500+3167200+13955500</f>
        <v>57214300</v>
      </c>
      <c r="E22" s="202">
        <f>C22*$E$20</f>
        <v>34750000</v>
      </c>
      <c r="F22" s="202">
        <f>D22-E22</f>
        <v>22464300</v>
      </c>
      <c r="G22" s="202">
        <v>0</v>
      </c>
      <c r="H22" s="202">
        <v>0</v>
      </c>
      <c r="I22" s="202">
        <f>SUM(E22:H22)</f>
        <v>57214300</v>
      </c>
      <c r="J22" s="1"/>
      <c r="K22"/>
      <c r="L22"/>
    </row>
    <row r="23" spans="1:13" ht="15.4" x14ac:dyDescent="0.45">
      <c r="A23" s="22" t="s">
        <v>132</v>
      </c>
      <c r="B23" s="164">
        <v>5000</v>
      </c>
      <c r="C23" s="201">
        <f>989+5078</f>
        <v>6067</v>
      </c>
      <c r="D23" s="202">
        <f>6536900+34229100</f>
        <v>40766000</v>
      </c>
      <c r="E23" s="202">
        <f t="shared" ref="E23:E24" si="0">C23*$E$20</f>
        <v>12134000</v>
      </c>
      <c r="F23" s="202">
        <f>C23*F20</f>
        <v>18201000</v>
      </c>
      <c r="G23" s="202">
        <f>D23-(F23+E23)</f>
        <v>10431000</v>
      </c>
      <c r="H23" s="202">
        <v>0</v>
      </c>
      <c r="I23" s="202">
        <f>SUM(E23:H23)</f>
        <v>40766000</v>
      </c>
      <c r="J23" s="1"/>
      <c r="K23"/>
      <c r="L23"/>
    </row>
    <row r="24" spans="1:13" ht="15.4" x14ac:dyDescent="0.45">
      <c r="A24" s="22" t="s">
        <v>50</v>
      </c>
      <c r="B24" s="203">
        <v>10000</v>
      </c>
      <c r="C24" s="204">
        <f>221+1381</f>
        <v>1602</v>
      </c>
      <c r="D24" s="205">
        <f>14728600+24211300</f>
        <v>38939900</v>
      </c>
      <c r="E24" s="205">
        <f t="shared" si="0"/>
        <v>3204000</v>
      </c>
      <c r="F24" s="205">
        <f>C24*F20</f>
        <v>4806000</v>
      </c>
      <c r="G24" s="205">
        <f>C24*G20</f>
        <v>8010000</v>
      </c>
      <c r="H24" s="205">
        <f>D24-E24-F24-G24</f>
        <v>22919900</v>
      </c>
      <c r="I24" s="205">
        <f>SUM(E24:H24)</f>
        <v>38939900</v>
      </c>
      <c r="J24" s="1"/>
      <c r="K24"/>
      <c r="L24"/>
    </row>
    <row r="25" spans="1:13" ht="15.4" x14ac:dyDescent="0.45">
      <c r="A25" s="22"/>
      <c r="B25" s="164" t="s">
        <v>54</v>
      </c>
      <c r="C25" s="24">
        <f t="shared" ref="C25:I25" si="1">SUM(C21:C24)</f>
        <v>42050</v>
      </c>
      <c r="D25" s="24">
        <f t="shared" si="1"/>
        <v>152925100</v>
      </c>
      <c r="E25" s="24">
        <f t="shared" si="1"/>
        <v>66092900</v>
      </c>
      <c r="F25" s="24">
        <f t="shared" si="1"/>
        <v>45471300</v>
      </c>
      <c r="G25" s="24">
        <f t="shared" si="1"/>
        <v>18441000</v>
      </c>
      <c r="H25" s="24">
        <f t="shared" si="1"/>
        <v>22919900</v>
      </c>
      <c r="I25" s="24">
        <f t="shared" si="1"/>
        <v>152925100</v>
      </c>
      <c r="J25" s="18"/>
      <c r="K25"/>
      <c r="L25"/>
    </row>
    <row r="26" spans="1:13" x14ac:dyDescent="0.45">
      <c r="A26" s="22"/>
      <c r="B26" s="164"/>
      <c r="C26" s="1"/>
      <c r="D26" s="18"/>
      <c r="E26" s="164"/>
      <c r="F26" s="164"/>
      <c r="G26" s="164"/>
      <c r="H26" s="164"/>
      <c r="I26" s="164"/>
      <c r="J26" s="1"/>
      <c r="K26" s="1"/>
      <c r="L26" s="18"/>
      <c r="M26" s="1"/>
    </row>
    <row r="27" spans="1:13" x14ac:dyDescent="0.45">
      <c r="A27" s="165" t="s">
        <v>195</v>
      </c>
      <c r="B27" s="165"/>
      <c r="C27" s="1"/>
      <c r="D27" s="18"/>
      <c r="E27" s="164"/>
      <c r="F27" s="164"/>
      <c r="G27" s="164"/>
      <c r="H27" s="164"/>
      <c r="I27" s="164"/>
      <c r="J27" s="1"/>
      <c r="K27" s="1"/>
      <c r="L27" s="18"/>
      <c r="M27" s="1"/>
    </row>
    <row r="28" spans="1:13" x14ac:dyDescent="0.45">
      <c r="A28" s="22"/>
      <c r="B28" s="199"/>
      <c r="C28" s="200" t="s">
        <v>52</v>
      </c>
      <c r="D28" s="127" t="s">
        <v>53</v>
      </c>
      <c r="E28" s="200" t="s">
        <v>55</v>
      </c>
      <c r="F28" s="200" t="s">
        <v>56</v>
      </c>
      <c r="G28" s="164"/>
      <c r="H28" s="164"/>
      <c r="I28" s="164"/>
      <c r="J28" s="1"/>
      <c r="K28" s="1"/>
      <c r="L28" s="18"/>
      <c r="M28" s="1"/>
    </row>
    <row r="29" spans="1:13" x14ac:dyDescent="0.45">
      <c r="A29" s="22" t="s">
        <v>49</v>
      </c>
      <c r="B29" s="164">
        <f>B21</f>
        <v>2000</v>
      </c>
      <c r="C29" s="18">
        <f>C25</f>
        <v>42050</v>
      </c>
      <c r="D29" s="202">
        <f>E25</f>
        <v>66092900</v>
      </c>
      <c r="E29" s="206">
        <v>19.05</v>
      </c>
      <c r="F29" s="31">
        <f>E29*C29</f>
        <v>801052.5</v>
      </c>
      <c r="G29" s="164"/>
      <c r="H29" s="1"/>
      <c r="I29" s="1"/>
      <c r="J29" s="1"/>
      <c r="K29" s="1"/>
      <c r="L29" s="18"/>
      <c r="M29" s="1"/>
    </row>
    <row r="30" spans="1:13" x14ac:dyDescent="0.45">
      <c r="A30" s="22" t="s">
        <v>132</v>
      </c>
      <c r="B30" s="164">
        <f>B22</f>
        <v>3000</v>
      </c>
      <c r="C30" s="1"/>
      <c r="D30" s="202">
        <f>F25</f>
        <v>45471300</v>
      </c>
      <c r="E30" s="206">
        <v>8.5299999999999994</v>
      </c>
      <c r="F30" s="18">
        <f>E30*(D30/1000)</f>
        <v>387870.18900000001</v>
      </c>
      <c r="G30" s="164"/>
      <c r="H30" s="1"/>
      <c r="I30" s="1"/>
      <c r="J30" s="1"/>
      <c r="K30" s="1"/>
      <c r="L30" s="18"/>
      <c r="M30" s="1"/>
    </row>
    <row r="31" spans="1:13" x14ac:dyDescent="0.45">
      <c r="A31" s="22" t="s">
        <v>132</v>
      </c>
      <c r="B31" s="164">
        <f>B23</f>
        <v>5000</v>
      </c>
      <c r="C31" s="1"/>
      <c r="D31" s="202">
        <f>G25</f>
        <v>18441000</v>
      </c>
      <c r="E31" s="206">
        <v>7.92</v>
      </c>
      <c r="F31" s="18">
        <f>E31*(D31/1000)</f>
        <v>146052.72</v>
      </c>
      <c r="G31" s="164"/>
      <c r="H31" s="1"/>
      <c r="I31" s="1"/>
      <c r="J31" s="1"/>
      <c r="K31" s="1"/>
      <c r="L31" s="18"/>
      <c r="M31" s="1"/>
    </row>
    <row r="32" spans="1:13" x14ac:dyDescent="0.45">
      <c r="A32" s="22" t="s">
        <v>50</v>
      </c>
      <c r="B32" s="203">
        <v>10000</v>
      </c>
      <c r="C32" s="207"/>
      <c r="D32" s="205">
        <f>H25</f>
        <v>22919900</v>
      </c>
      <c r="E32" s="208">
        <v>7.3</v>
      </c>
      <c r="F32" s="23">
        <f>E32*(D32/1000)</f>
        <v>167315.27000000002</v>
      </c>
      <c r="G32" s="164"/>
      <c r="H32" s="1"/>
      <c r="I32" s="1"/>
      <c r="J32" s="1"/>
      <c r="K32" s="1"/>
      <c r="L32" s="18"/>
      <c r="M32" s="1"/>
    </row>
    <row r="33" spans="1:13" x14ac:dyDescent="0.45">
      <c r="A33" s="22"/>
      <c r="B33" s="164" t="s">
        <v>54</v>
      </c>
      <c r="C33" s="18">
        <f>SUM(C29:C32)</f>
        <v>42050</v>
      </c>
      <c r="D33" s="24">
        <f>SUM(D29:D32)</f>
        <v>152925100</v>
      </c>
      <c r="E33" s="1"/>
      <c r="F33" s="31">
        <f>SUM(F29:F32)</f>
        <v>1502290.679</v>
      </c>
      <c r="G33" s="31"/>
      <c r="H33" s="164"/>
      <c r="I33" s="209"/>
      <c r="J33" s="1"/>
      <c r="K33" s="1"/>
      <c r="L33" s="18"/>
      <c r="M33" s="1"/>
    </row>
    <row r="34" spans="1:13" x14ac:dyDescent="0.45">
      <c r="A34" s="22"/>
      <c r="B34" s="164"/>
      <c r="C34" s="18"/>
      <c r="D34" s="24"/>
      <c r="E34" s="1"/>
      <c r="F34" s="31"/>
      <c r="G34" s="164"/>
      <c r="H34" s="164"/>
      <c r="I34" s="164"/>
      <c r="J34" s="1"/>
      <c r="K34" s="1"/>
      <c r="L34" s="18"/>
      <c r="M34" s="1"/>
    </row>
    <row r="35" spans="1:13" ht="15.75" x14ac:dyDescent="0.5">
      <c r="A35" s="198" t="s">
        <v>196</v>
      </c>
      <c r="B35" s="1"/>
      <c r="C35" s="1"/>
      <c r="D35" s="18"/>
      <c r="E35" s="1"/>
      <c r="F35" s="1"/>
      <c r="G35" s="1"/>
      <c r="H35" s="1"/>
      <c r="I35" s="1"/>
      <c r="J35" s="1"/>
      <c r="K35" s="1"/>
      <c r="L35" s="18"/>
      <c r="M35" s="1"/>
    </row>
    <row r="36" spans="1:13" x14ac:dyDescent="0.45">
      <c r="A36" s="1"/>
      <c r="B36" s="1"/>
      <c r="C36" s="1"/>
      <c r="D36" s="18"/>
      <c r="E36" s="21" t="s">
        <v>49</v>
      </c>
      <c r="F36" s="21" t="s">
        <v>132</v>
      </c>
      <c r="G36" s="21" t="s">
        <v>132</v>
      </c>
      <c r="H36" s="21" t="s">
        <v>132</v>
      </c>
      <c r="I36" s="21" t="s">
        <v>50</v>
      </c>
      <c r="J36" s="1"/>
      <c r="K36" s="18"/>
      <c r="L36" s="1"/>
    </row>
    <row r="37" spans="1:13" x14ac:dyDescent="0.45">
      <c r="A37" s="1"/>
      <c r="B37" s="199" t="s">
        <v>51</v>
      </c>
      <c r="C37" s="200" t="s">
        <v>52</v>
      </c>
      <c r="D37" s="127" t="s">
        <v>53</v>
      </c>
      <c r="E37" s="200">
        <f>B38</f>
        <v>3000</v>
      </c>
      <c r="F37" s="200">
        <f>B39</f>
        <v>2000</v>
      </c>
      <c r="G37" s="200">
        <f>B40</f>
        <v>5000</v>
      </c>
      <c r="H37" s="200">
        <v>5000</v>
      </c>
      <c r="I37" s="200">
        <v>15000</v>
      </c>
      <c r="J37" s="199" t="s">
        <v>54</v>
      </c>
      <c r="K37" s="18"/>
      <c r="L37" s="1"/>
    </row>
    <row r="38" spans="1:13" x14ac:dyDescent="0.45">
      <c r="A38" s="22" t="s">
        <v>49</v>
      </c>
      <c r="B38" s="164">
        <v>3000</v>
      </c>
      <c r="C38" s="201">
        <f>159+12</f>
        <v>171</v>
      </c>
      <c r="D38" s="202">
        <f>851300+1300</f>
        <v>852600</v>
      </c>
      <c r="E38" s="202">
        <f>D38</f>
        <v>852600</v>
      </c>
      <c r="F38" s="202">
        <v>0</v>
      </c>
      <c r="G38" s="202">
        <v>0</v>
      </c>
      <c r="H38" s="202">
        <v>0</v>
      </c>
      <c r="I38" s="202">
        <v>0</v>
      </c>
      <c r="J38" s="202">
        <f>SUM(E38:I38)</f>
        <v>852600</v>
      </c>
      <c r="K38" s="18"/>
      <c r="L38" s="1"/>
    </row>
    <row r="39" spans="1:13" x14ac:dyDescent="0.45">
      <c r="A39" s="22" t="s">
        <v>132</v>
      </c>
      <c r="B39" s="164">
        <v>2000</v>
      </c>
      <c r="C39" s="201">
        <f>307+12</f>
        <v>319</v>
      </c>
      <c r="D39" s="202">
        <f>881600+153500</f>
        <v>1035100</v>
      </c>
      <c r="E39" s="202">
        <f>C39*E37</f>
        <v>957000</v>
      </c>
      <c r="F39" s="202">
        <f>D39-E39</f>
        <v>78100</v>
      </c>
      <c r="G39" s="202">
        <v>0</v>
      </c>
      <c r="H39" s="202">
        <v>0</v>
      </c>
      <c r="I39" s="202">
        <v>0</v>
      </c>
      <c r="J39" s="202">
        <f>SUM(E39:I39)</f>
        <v>1035100</v>
      </c>
      <c r="K39" s="18"/>
      <c r="L39" s="1"/>
    </row>
    <row r="40" spans="1:13" x14ac:dyDescent="0.45">
      <c r="A40" s="22" t="s">
        <v>132</v>
      </c>
      <c r="B40" s="164">
        <v>5000</v>
      </c>
      <c r="C40" s="201"/>
      <c r="D40" s="202"/>
      <c r="E40" s="202">
        <f>C40*E37</f>
        <v>0</v>
      </c>
      <c r="F40" s="202">
        <f>C40*F37</f>
        <v>0</v>
      </c>
      <c r="G40" s="202">
        <f>D40-E40-F40</f>
        <v>0</v>
      </c>
      <c r="H40" s="202">
        <f>E40-F40-G40</f>
        <v>0</v>
      </c>
      <c r="I40" s="202">
        <v>0</v>
      </c>
      <c r="J40" s="202">
        <f>SUM(E40:I40)</f>
        <v>0</v>
      </c>
      <c r="K40" s="18"/>
      <c r="L40" s="1"/>
    </row>
    <row r="41" spans="1:13" x14ac:dyDescent="0.45">
      <c r="A41" s="22" t="s">
        <v>132</v>
      </c>
      <c r="B41" s="164">
        <v>5000</v>
      </c>
      <c r="C41" s="201"/>
      <c r="D41" s="202"/>
      <c r="E41" s="202">
        <f>C41*E37</f>
        <v>0</v>
      </c>
      <c r="F41" s="202">
        <f>C41*F37</f>
        <v>0</v>
      </c>
      <c r="G41" s="202">
        <f>C41*G37</f>
        <v>0</v>
      </c>
      <c r="H41" s="202">
        <f>D41*H37</f>
        <v>0</v>
      </c>
      <c r="I41" s="2">
        <f>D41-E41-F41-G41</f>
        <v>0</v>
      </c>
      <c r="J41" s="202">
        <f>SUM(E41:I41)</f>
        <v>0</v>
      </c>
      <c r="K41" s="18"/>
      <c r="L41" s="1"/>
    </row>
    <row r="42" spans="1:13" x14ac:dyDescent="0.45">
      <c r="A42" s="22" t="s">
        <v>50</v>
      </c>
      <c r="B42" s="203">
        <v>15000</v>
      </c>
      <c r="C42" s="204"/>
      <c r="D42" s="205"/>
      <c r="E42" s="205">
        <f>C42*E37</f>
        <v>0</v>
      </c>
      <c r="F42" s="205">
        <f>C42*F37</f>
        <v>0</v>
      </c>
      <c r="G42" s="205">
        <f>C42*G37</f>
        <v>0</v>
      </c>
      <c r="H42" s="205">
        <f>(D42*H37)/1000</f>
        <v>0</v>
      </c>
      <c r="I42" s="30">
        <f>C42*I37</f>
        <v>0</v>
      </c>
      <c r="J42" s="205">
        <f>SUM(E42:I42)</f>
        <v>0</v>
      </c>
      <c r="K42" s="18"/>
      <c r="L42" s="1"/>
    </row>
    <row r="43" spans="1:13" x14ac:dyDescent="0.45">
      <c r="A43" s="22"/>
      <c r="B43" s="164" t="s">
        <v>54</v>
      </c>
      <c r="C43" s="24">
        <f t="shared" ref="C43:G43" si="2">SUM(C38:C42)</f>
        <v>490</v>
      </c>
      <c r="D43" s="24">
        <f t="shared" si="2"/>
        <v>1887700</v>
      </c>
      <c r="E43" s="24">
        <f t="shared" si="2"/>
        <v>1809600</v>
      </c>
      <c r="F43" s="24">
        <f t="shared" si="2"/>
        <v>78100</v>
      </c>
      <c r="G43" s="24">
        <f t="shared" si="2"/>
        <v>0</v>
      </c>
      <c r="H43" s="24">
        <f t="shared" ref="H43" si="3">SUM(H38:H42)</f>
        <v>0</v>
      </c>
      <c r="I43" s="24">
        <f>SUM(I38:I42)</f>
        <v>0</v>
      </c>
      <c r="J43" s="24">
        <f>SUM(J38:J42)</f>
        <v>1887700</v>
      </c>
      <c r="K43" s="18"/>
      <c r="L43" s="1"/>
    </row>
    <row r="44" spans="1:13" x14ac:dyDescent="0.45">
      <c r="A44" s="22"/>
      <c r="B44" s="164"/>
      <c r="C44" s="1"/>
      <c r="D44" s="18"/>
      <c r="E44" s="164"/>
      <c r="F44" s="164"/>
      <c r="G44" s="164"/>
      <c r="H44" s="164"/>
      <c r="I44" s="164"/>
      <c r="J44" s="1"/>
      <c r="K44" s="1"/>
      <c r="L44" s="18"/>
      <c r="M44" s="1"/>
    </row>
    <row r="45" spans="1:13" x14ac:dyDescent="0.45">
      <c r="A45" s="165" t="s">
        <v>195</v>
      </c>
      <c r="B45" s="165"/>
      <c r="C45" s="1"/>
      <c r="D45" s="18"/>
      <c r="E45" s="164"/>
      <c r="F45" s="164"/>
      <c r="G45" s="164"/>
      <c r="H45" s="164"/>
      <c r="I45" s="164"/>
      <c r="J45" s="1"/>
      <c r="K45" s="1"/>
      <c r="L45" s="18"/>
      <c r="M45" s="1"/>
    </row>
    <row r="46" spans="1:13" x14ac:dyDescent="0.45">
      <c r="A46" s="22"/>
      <c r="B46" s="199"/>
      <c r="C46" s="200" t="s">
        <v>52</v>
      </c>
      <c r="D46" s="127" t="s">
        <v>53</v>
      </c>
      <c r="E46" s="200" t="s">
        <v>55</v>
      </c>
      <c r="F46" s="200" t="s">
        <v>56</v>
      </c>
      <c r="G46" s="164"/>
      <c r="H46" s="164"/>
      <c r="I46" s="164"/>
      <c r="J46" s="1"/>
      <c r="K46" s="1"/>
      <c r="L46" s="18"/>
      <c r="M46" s="1"/>
    </row>
    <row r="47" spans="1:13" x14ac:dyDescent="0.45">
      <c r="A47" s="22" t="s">
        <v>49</v>
      </c>
      <c r="B47" s="164">
        <v>3000</v>
      </c>
      <c r="C47" s="18">
        <f>C43</f>
        <v>490</v>
      </c>
      <c r="D47" s="202">
        <f>E43</f>
        <v>1809600</v>
      </c>
      <c r="E47" s="206">
        <v>33.96</v>
      </c>
      <c r="F47" s="31">
        <f>E47*C47</f>
        <v>16640.400000000001</v>
      </c>
      <c r="G47" s="164"/>
      <c r="H47" s="1"/>
      <c r="I47" s="1"/>
      <c r="J47" s="1"/>
      <c r="K47" s="1"/>
      <c r="L47" s="18"/>
      <c r="M47" s="1"/>
    </row>
    <row r="48" spans="1:13" x14ac:dyDescent="0.45">
      <c r="A48" s="22" t="s">
        <v>132</v>
      </c>
      <c r="B48" s="164">
        <v>2000</v>
      </c>
      <c r="C48" s="1"/>
      <c r="D48" s="202">
        <f>F43</f>
        <v>78100</v>
      </c>
      <c r="E48" s="206">
        <v>10.89</v>
      </c>
      <c r="F48" s="18">
        <f>E48*(D48/1000)</f>
        <v>850.50900000000001</v>
      </c>
      <c r="G48" s="164"/>
      <c r="H48" s="1"/>
      <c r="I48" s="1"/>
      <c r="J48" s="1"/>
      <c r="K48" s="1"/>
      <c r="L48" s="18"/>
      <c r="M48" s="1"/>
    </row>
    <row r="49" spans="1:13" x14ac:dyDescent="0.45">
      <c r="A49" s="22" t="s">
        <v>132</v>
      </c>
      <c r="B49" s="164">
        <f>B40</f>
        <v>5000</v>
      </c>
      <c r="C49" s="1"/>
      <c r="D49" s="202">
        <f>G43</f>
        <v>0</v>
      </c>
      <c r="E49" s="206">
        <v>10.08</v>
      </c>
      <c r="F49" s="18">
        <f>E49*(D49/1000)</f>
        <v>0</v>
      </c>
      <c r="G49" s="164"/>
      <c r="H49" s="1"/>
      <c r="I49" s="1"/>
      <c r="J49" s="1"/>
      <c r="K49" s="1"/>
      <c r="L49" s="18"/>
      <c r="M49" s="1"/>
    </row>
    <row r="50" spans="1:13" x14ac:dyDescent="0.45">
      <c r="A50" s="22" t="s">
        <v>132</v>
      </c>
      <c r="B50" s="164">
        <v>5000</v>
      </c>
      <c r="C50" s="1"/>
      <c r="D50" s="202"/>
      <c r="E50" s="206">
        <v>9.2799999999999994</v>
      </c>
      <c r="F50" s="18"/>
      <c r="G50" s="164"/>
      <c r="H50" s="1"/>
      <c r="I50" s="1"/>
      <c r="J50" s="1"/>
      <c r="K50" s="1"/>
      <c r="L50" s="18"/>
      <c r="M50" s="1"/>
    </row>
    <row r="51" spans="1:13" x14ac:dyDescent="0.45">
      <c r="A51" s="22" t="s">
        <v>50</v>
      </c>
      <c r="B51" s="203">
        <v>15000</v>
      </c>
      <c r="C51" s="207"/>
      <c r="D51" s="205">
        <f>I43</f>
        <v>0</v>
      </c>
      <c r="E51" s="208">
        <v>8.91</v>
      </c>
      <c r="F51" s="23">
        <f t="shared" ref="F51" si="4">E51*(D51/1000)</f>
        <v>0</v>
      </c>
      <c r="G51" s="164"/>
      <c r="H51" s="1"/>
      <c r="I51" s="1"/>
      <c r="J51" s="1"/>
      <c r="K51" s="1"/>
      <c r="L51" s="18"/>
      <c r="M51" s="1"/>
    </row>
    <row r="52" spans="1:13" x14ac:dyDescent="0.45">
      <c r="A52" s="22"/>
      <c r="B52" s="164" t="s">
        <v>54</v>
      </c>
      <c r="C52" s="18">
        <f>SUM(C47:C51)</f>
        <v>490</v>
      </c>
      <c r="D52" s="24">
        <f>SUM(D47:D51)</f>
        <v>1887700</v>
      </c>
      <c r="E52" s="1"/>
      <c r="F52" s="31">
        <f>SUM(F47:F51)</f>
        <v>17490.909</v>
      </c>
      <c r="G52" s="31"/>
      <c r="H52" s="164"/>
      <c r="I52" s="209"/>
      <c r="J52" s="1"/>
      <c r="K52" s="1"/>
      <c r="L52" s="18"/>
      <c r="M52" s="1"/>
    </row>
    <row r="53" spans="1:13" x14ac:dyDescent="0.45">
      <c r="A53" s="22"/>
      <c r="B53" s="164"/>
      <c r="C53" s="18"/>
      <c r="D53" s="24"/>
      <c r="E53" s="1"/>
      <c r="F53" s="31"/>
      <c r="G53" s="164"/>
      <c r="H53" s="164"/>
      <c r="I53" s="164"/>
      <c r="J53" s="1"/>
      <c r="K53" s="1"/>
      <c r="L53" s="18"/>
      <c r="M53" s="1"/>
    </row>
    <row r="54" spans="1:13" ht="15.75" x14ac:dyDescent="0.5">
      <c r="A54" s="198" t="s">
        <v>198</v>
      </c>
      <c r="B54" s="1"/>
      <c r="C54" s="1"/>
      <c r="D54" s="18"/>
      <c r="E54" s="1"/>
      <c r="F54" s="1"/>
      <c r="G54" s="1"/>
      <c r="H54" s="1"/>
      <c r="I54" s="1"/>
      <c r="J54" s="1"/>
      <c r="K54" s="1"/>
      <c r="L54" s="18"/>
      <c r="M54" s="1"/>
    </row>
    <row r="55" spans="1:13" x14ac:dyDescent="0.45">
      <c r="A55" s="1"/>
      <c r="B55" s="1"/>
      <c r="C55" s="1"/>
      <c r="D55" s="18"/>
      <c r="E55" s="21" t="s">
        <v>49</v>
      </c>
      <c r="F55" s="21" t="s">
        <v>132</v>
      </c>
      <c r="G55" s="21" t="s">
        <v>50</v>
      </c>
      <c r="H55" s="1"/>
      <c r="I55" s="1"/>
      <c r="J55" s="1"/>
      <c r="K55" s="1"/>
      <c r="L55" s="1"/>
      <c r="M55" s="1"/>
    </row>
    <row r="56" spans="1:13" x14ac:dyDescent="0.45">
      <c r="A56" s="1"/>
      <c r="B56" s="199" t="s">
        <v>51</v>
      </c>
      <c r="C56" s="200" t="s">
        <v>52</v>
      </c>
      <c r="D56" s="127" t="s">
        <v>53</v>
      </c>
      <c r="E56" s="200">
        <f>B57</f>
        <v>5000</v>
      </c>
      <c r="F56" s="200">
        <f>B58</f>
        <v>5000</v>
      </c>
      <c r="G56" s="200">
        <f>B59</f>
        <v>10000</v>
      </c>
      <c r="H56" s="199" t="s">
        <v>54</v>
      </c>
      <c r="I56" s="1"/>
      <c r="J56" s="1"/>
      <c r="K56" s="1"/>
      <c r="L56" s="1"/>
      <c r="M56" s="1"/>
    </row>
    <row r="57" spans="1:13" x14ac:dyDescent="0.45">
      <c r="A57" s="22" t="s">
        <v>49</v>
      </c>
      <c r="B57" s="164">
        <v>5000</v>
      </c>
      <c r="C57" s="201">
        <v>12</v>
      </c>
      <c r="D57" s="202">
        <f>C57*E56</f>
        <v>60000</v>
      </c>
      <c r="E57" s="202">
        <f>D57</f>
        <v>60000</v>
      </c>
      <c r="F57" s="202">
        <v>0</v>
      </c>
      <c r="G57" s="202">
        <v>0</v>
      </c>
      <c r="H57" s="202">
        <f>SUM(E57:G57)</f>
        <v>60000</v>
      </c>
      <c r="I57" s="1"/>
      <c r="J57" s="1"/>
      <c r="K57" s="1"/>
      <c r="L57" s="1"/>
      <c r="M57" s="1"/>
    </row>
    <row r="58" spans="1:13" x14ac:dyDescent="0.45">
      <c r="A58" s="22" t="s">
        <v>132</v>
      </c>
      <c r="B58" s="164">
        <v>5000</v>
      </c>
      <c r="C58" s="201">
        <v>36</v>
      </c>
      <c r="D58" s="202">
        <f>341500-60000</f>
        <v>281500</v>
      </c>
      <c r="E58" s="202">
        <f>C58*E56</f>
        <v>180000</v>
      </c>
      <c r="F58" s="202">
        <f>D58-E58</f>
        <v>101500</v>
      </c>
      <c r="G58" s="202">
        <v>0</v>
      </c>
      <c r="H58" s="202">
        <f>SUM(E58:G58)</f>
        <v>281500</v>
      </c>
      <c r="I58" s="1"/>
      <c r="J58" s="1"/>
      <c r="K58" s="1"/>
      <c r="L58" s="1"/>
      <c r="M58" s="1"/>
    </row>
    <row r="59" spans="1:13" x14ac:dyDescent="0.45">
      <c r="A59" s="22" t="s">
        <v>50</v>
      </c>
      <c r="B59" s="203">
        <v>10000</v>
      </c>
      <c r="C59" s="204"/>
      <c r="D59" s="205"/>
      <c r="E59" s="205">
        <f>C59*E56</f>
        <v>0</v>
      </c>
      <c r="F59" s="205">
        <f>C59*F56</f>
        <v>0</v>
      </c>
      <c r="G59" s="205">
        <f>D59-E59-F59</f>
        <v>0</v>
      </c>
      <c r="H59" s="205">
        <f>SUM(E59:G59)</f>
        <v>0</v>
      </c>
      <c r="I59" s="1"/>
      <c r="J59" s="1"/>
      <c r="K59" s="1"/>
      <c r="L59" s="1"/>
      <c r="M59" s="1"/>
    </row>
    <row r="60" spans="1:13" x14ac:dyDescent="0.45">
      <c r="A60" s="22"/>
      <c r="B60" s="164"/>
      <c r="C60" s="24">
        <f t="shared" ref="C60:H60" si="5">SUM(C57:C59)</f>
        <v>48</v>
      </c>
      <c r="D60" s="24">
        <f t="shared" si="5"/>
        <v>341500</v>
      </c>
      <c r="E60" s="24">
        <f t="shared" si="5"/>
        <v>240000</v>
      </c>
      <c r="F60" s="24">
        <f t="shared" si="5"/>
        <v>101500</v>
      </c>
      <c r="G60" s="24">
        <f t="shared" si="5"/>
        <v>0</v>
      </c>
      <c r="H60" s="24">
        <f t="shared" si="5"/>
        <v>341500</v>
      </c>
      <c r="I60" s="168"/>
      <c r="J60" s="1"/>
      <c r="K60" s="18"/>
      <c r="L60" s="1"/>
      <c r="M60" s="1"/>
    </row>
    <row r="61" spans="1:13" x14ac:dyDescent="0.45">
      <c r="A61" s="22"/>
      <c r="B61" s="164"/>
      <c r="C61" s="1"/>
      <c r="D61" s="18"/>
      <c r="E61" s="164"/>
      <c r="F61" s="164"/>
      <c r="G61" s="164"/>
      <c r="H61" s="164"/>
      <c r="I61" s="164"/>
      <c r="J61" s="1"/>
      <c r="K61" s="1"/>
      <c r="L61" s="18"/>
      <c r="M61" s="1"/>
    </row>
    <row r="62" spans="1:13" x14ac:dyDescent="0.45">
      <c r="A62" s="165" t="s">
        <v>195</v>
      </c>
      <c r="B62" s="165"/>
      <c r="C62" s="1"/>
      <c r="D62" s="18"/>
      <c r="E62" s="164"/>
      <c r="F62" s="164"/>
      <c r="G62" s="164"/>
      <c r="H62" s="164"/>
      <c r="I62" s="164"/>
      <c r="J62" s="1"/>
      <c r="K62" s="1"/>
      <c r="L62" s="18"/>
      <c r="M62" s="1"/>
    </row>
    <row r="63" spans="1:13" x14ac:dyDescent="0.45">
      <c r="A63" s="22"/>
      <c r="B63" s="199"/>
      <c r="C63" s="200" t="s">
        <v>52</v>
      </c>
      <c r="D63" s="127" t="s">
        <v>53</v>
      </c>
      <c r="E63" s="200" t="s">
        <v>55</v>
      </c>
      <c r="F63" s="200" t="s">
        <v>56</v>
      </c>
      <c r="G63" s="164"/>
      <c r="H63" s="164"/>
      <c r="I63" s="164"/>
      <c r="J63" s="1"/>
      <c r="K63" s="1"/>
      <c r="L63" s="18"/>
      <c r="M63" s="1"/>
    </row>
    <row r="64" spans="1:13" x14ac:dyDescent="0.45">
      <c r="A64" s="22" t="s">
        <v>49</v>
      </c>
      <c r="B64" s="164">
        <f>B57</f>
        <v>5000</v>
      </c>
      <c r="C64" s="18">
        <f>C60</f>
        <v>48</v>
      </c>
      <c r="D64" s="202">
        <f>E60</f>
        <v>240000</v>
      </c>
      <c r="E64" s="206">
        <v>44.64</v>
      </c>
      <c r="F64" s="31">
        <f>E64*C64</f>
        <v>2142.7200000000003</v>
      </c>
      <c r="G64" s="164"/>
      <c r="H64" s="1"/>
      <c r="I64" s="1"/>
      <c r="J64" s="1"/>
      <c r="K64" s="1"/>
      <c r="L64" s="18"/>
      <c r="M64" s="1"/>
    </row>
    <row r="65" spans="1:13" x14ac:dyDescent="0.45">
      <c r="A65" s="22" t="s">
        <v>132</v>
      </c>
      <c r="B65" s="164">
        <v>5000</v>
      </c>
      <c r="C65" s="18"/>
      <c r="D65" s="202">
        <f>F60</f>
        <v>101500</v>
      </c>
      <c r="E65" s="206">
        <v>7.92</v>
      </c>
      <c r="F65" s="24">
        <f t="shared" ref="F65" si="6">E65*(D65/1000)</f>
        <v>803.88</v>
      </c>
      <c r="G65" s="164"/>
      <c r="H65" s="1"/>
      <c r="I65" s="1"/>
      <c r="J65" s="1"/>
      <c r="K65" s="1"/>
      <c r="L65" s="18"/>
      <c r="M65" s="1"/>
    </row>
    <row r="66" spans="1:13" x14ac:dyDescent="0.45">
      <c r="A66" s="22" t="s">
        <v>50</v>
      </c>
      <c r="B66" s="203">
        <f>B59</f>
        <v>10000</v>
      </c>
      <c r="C66" s="207"/>
      <c r="D66" s="205">
        <f>G60</f>
        <v>0</v>
      </c>
      <c r="E66" s="208">
        <v>7.3</v>
      </c>
      <c r="F66" s="23">
        <f>E66*(D66/1000)</f>
        <v>0</v>
      </c>
      <c r="G66" s="164"/>
      <c r="H66" s="1"/>
      <c r="I66" s="1"/>
      <c r="J66" s="1"/>
      <c r="K66" s="1"/>
      <c r="L66" s="18"/>
      <c r="M66" s="1"/>
    </row>
    <row r="67" spans="1:13" x14ac:dyDescent="0.45">
      <c r="A67" s="22"/>
      <c r="B67" s="164" t="s">
        <v>54</v>
      </c>
      <c r="C67" s="18">
        <f>SUM(C64:C66)</f>
        <v>48</v>
      </c>
      <c r="D67" s="24">
        <f>SUM(D64:D66)</f>
        <v>341500</v>
      </c>
      <c r="E67" s="1"/>
      <c r="F67" s="31">
        <f>SUM(F64:F66)</f>
        <v>2946.6000000000004</v>
      </c>
      <c r="G67" s="31"/>
      <c r="H67" s="164"/>
      <c r="I67" s="209"/>
      <c r="J67" s="1"/>
      <c r="K67" s="1"/>
      <c r="L67" s="18"/>
      <c r="M67" s="1"/>
    </row>
    <row r="68" spans="1:13" x14ac:dyDescent="0.45">
      <c r="A68" s="22"/>
      <c r="B68" s="164"/>
      <c r="C68" s="18"/>
      <c r="D68" s="24"/>
      <c r="E68" s="1"/>
      <c r="F68" s="31"/>
      <c r="G68" s="31"/>
      <c r="H68" s="164"/>
      <c r="I68" s="209"/>
      <c r="J68" s="1"/>
      <c r="K68" s="1"/>
      <c r="L68" s="18"/>
      <c r="M68" s="1"/>
    </row>
    <row r="69" spans="1:13" ht="15.75" x14ac:dyDescent="0.5">
      <c r="A69" s="198" t="s">
        <v>199</v>
      </c>
      <c r="B69" s="1"/>
      <c r="C69" s="1"/>
      <c r="D69" s="18"/>
      <c r="E69" s="1"/>
      <c r="F69" s="1"/>
      <c r="G69" s="1"/>
      <c r="H69" s="1"/>
      <c r="I69" s="209"/>
      <c r="J69" s="1"/>
      <c r="K69" s="1"/>
      <c r="L69" s="18"/>
      <c r="M69" s="1"/>
    </row>
    <row r="70" spans="1:13" x14ac:dyDescent="0.45">
      <c r="A70" s="1"/>
      <c r="B70" s="1"/>
      <c r="C70" s="1"/>
      <c r="D70" s="18"/>
      <c r="E70" s="21" t="s">
        <v>49</v>
      </c>
      <c r="F70" s="21" t="s">
        <v>132</v>
      </c>
      <c r="G70" s="21" t="s">
        <v>132</v>
      </c>
      <c r="H70" s="21" t="s">
        <v>50</v>
      </c>
      <c r="I70" s="1"/>
      <c r="J70" s="1"/>
      <c r="K70" s="1"/>
      <c r="L70" s="18"/>
      <c r="M70" s="1"/>
    </row>
    <row r="71" spans="1:13" x14ac:dyDescent="0.45">
      <c r="A71" s="1"/>
      <c r="B71" s="199" t="s">
        <v>51</v>
      </c>
      <c r="C71" s="200" t="s">
        <v>52</v>
      </c>
      <c r="D71" s="127" t="s">
        <v>53</v>
      </c>
      <c r="E71" s="200">
        <f>B72</f>
        <v>5000</v>
      </c>
      <c r="F71" s="200">
        <f>B73</f>
        <v>5000</v>
      </c>
      <c r="G71" s="200">
        <f>B74</f>
        <v>5000</v>
      </c>
      <c r="H71" s="200">
        <f>B75</f>
        <v>15000</v>
      </c>
      <c r="I71" s="199" t="s">
        <v>54</v>
      </c>
      <c r="J71" s="1"/>
      <c r="K71" s="1"/>
      <c r="L71" s="18"/>
      <c r="M71" s="1"/>
    </row>
    <row r="72" spans="1:13" x14ac:dyDescent="0.45">
      <c r="A72" s="22" t="s">
        <v>49</v>
      </c>
      <c r="B72" s="164">
        <v>5000</v>
      </c>
      <c r="C72" s="201">
        <v>72</v>
      </c>
      <c r="D72" s="202">
        <f>327700</f>
        <v>327700</v>
      </c>
      <c r="E72" s="202">
        <f>D72</f>
        <v>327700</v>
      </c>
      <c r="F72" s="202">
        <v>0</v>
      </c>
      <c r="G72" s="202">
        <v>0</v>
      </c>
      <c r="H72" s="202">
        <v>0</v>
      </c>
      <c r="I72" s="202">
        <f>SUM(E72:H72)</f>
        <v>327700</v>
      </c>
      <c r="J72" s="1"/>
      <c r="K72" s="1"/>
      <c r="L72" s="18"/>
      <c r="M72" s="1"/>
    </row>
    <row r="73" spans="1:13" x14ac:dyDescent="0.45">
      <c r="A73" s="22" t="s">
        <v>132</v>
      </c>
      <c r="B73" s="164">
        <v>5000</v>
      </c>
      <c r="C73" s="201"/>
      <c r="D73" s="202"/>
      <c r="E73" s="202">
        <f>C73*E71</f>
        <v>0</v>
      </c>
      <c r="F73" s="202">
        <f>C73*F71</f>
        <v>0</v>
      </c>
      <c r="G73" s="202">
        <f>E73-F73</f>
        <v>0</v>
      </c>
      <c r="H73" s="202">
        <v>0</v>
      </c>
      <c r="I73" s="202">
        <f>SUM(E73:H73)</f>
        <v>0</v>
      </c>
      <c r="J73" s="1"/>
      <c r="K73" s="1"/>
      <c r="L73" s="18"/>
      <c r="M73" s="1"/>
    </row>
    <row r="74" spans="1:13" x14ac:dyDescent="0.45">
      <c r="A74" s="22" t="s">
        <v>132</v>
      </c>
      <c r="B74" s="164">
        <v>5000</v>
      </c>
      <c r="C74" s="201"/>
      <c r="D74" s="202"/>
      <c r="E74" s="202"/>
      <c r="F74" s="202"/>
      <c r="G74" s="202"/>
      <c r="H74" s="202"/>
      <c r="I74" s="202">
        <f>SUM(E74:H74)</f>
        <v>0</v>
      </c>
      <c r="J74" s="1"/>
      <c r="K74" s="1"/>
      <c r="L74" s="18"/>
      <c r="M74" s="1"/>
    </row>
    <row r="75" spans="1:13" x14ac:dyDescent="0.45">
      <c r="A75" s="22" t="s">
        <v>50</v>
      </c>
      <c r="B75" s="203">
        <v>15000</v>
      </c>
      <c r="C75" s="204"/>
      <c r="D75" s="205"/>
      <c r="E75" s="205">
        <f>$C75*E$58</f>
        <v>0</v>
      </c>
      <c r="F75" s="205">
        <f>C75*F71</f>
        <v>0</v>
      </c>
      <c r="G75" s="205">
        <f>D75*G71</f>
        <v>0</v>
      </c>
      <c r="H75" s="205">
        <f>D75-E75-F75</f>
        <v>0</v>
      </c>
      <c r="I75" s="205">
        <f>SUM(E75:H75)</f>
        <v>0</v>
      </c>
      <c r="J75" s="1"/>
      <c r="K75" s="1"/>
      <c r="L75" s="18"/>
      <c r="M75" s="1"/>
    </row>
    <row r="76" spans="1:13" x14ac:dyDescent="0.45">
      <c r="A76" s="22"/>
      <c r="B76" s="164"/>
      <c r="C76" s="24">
        <f t="shared" ref="C76:F76" si="7">SUM(C72:C75)</f>
        <v>72</v>
      </c>
      <c r="D76" s="24">
        <f t="shared" si="7"/>
        <v>327700</v>
      </c>
      <c r="E76" s="24">
        <f t="shared" si="7"/>
        <v>327700</v>
      </c>
      <c r="F76" s="24">
        <f t="shared" si="7"/>
        <v>0</v>
      </c>
      <c r="G76" s="24">
        <f t="shared" ref="G76" si="8">SUM(G72:G75)</f>
        <v>0</v>
      </c>
      <c r="H76" s="24">
        <f>SUM(H72:H75)</f>
        <v>0</v>
      </c>
      <c r="I76" s="24">
        <f>SUM(I72:I75)</f>
        <v>327700</v>
      </c>
      <c r="J76" s="1"/>
      <c r="K76" s="1"/>
      <c r="L76" s="18"/>
      <c r="M76" s="1"/>
    </row>
    <row r="77" spans="1:13" x14ac:dyDescent="0.45">
      <c r="A77" s="22"/>
      <c r="B77" s="164"/>
      <c r="C77" s="1"/>
      <c r="D77" s="18"/>
      <c r="E77" s="164"/>
      <c r="F77" s="164"/>
      <c r="G77" s="164"/>
      <c r="H77" s="164"/>
      <c r="I77" s="209"/>
      <c r="J77" s="1"/>
      <c r="K77" s="1"/>
      <c r="L77" s="18"/>
      <c r="M77" s="1"/>
    </row>
    <row r="78" spans="1:13" x14ac:dyDescent="0.45">
      <c r="A78" s="165" t="s">
        <v>195</v>
      </c>
      <c r="B78" s="165"/>
      <c r="C78" s="1"/>
      <c r="D78" s="18"/>
      <c r="E78" s="164"/>
      <c r="F78" s="164"/>
      <c r="G78" s="164"/>
      <c r="H78" s="164"/>
      <c r="I78" s="209"/>
      <c r="J78" s="1"/>
      <c r="K78" s="1"/>
      <c r="L78" s="18"/>
      <c r="M78" s="1"/>
    </row>
    <row r="79" spans="1:13" x14ac:dyDescent="0.45">
      <c r="A79" s="22"/>
      <c r="B79" s="199"/>
      <c r="C79" s="200" t="s">
        <v>52</v>
      </c>
      <c r="D79" s="127" t="s">
        <v>53</v>
      </c>
      <c r="E79" s="200" t="s">
        <v>55</v>
      </c>
      <c r="F79" s="200" t="s">
        <v>56</v>
      </c>
      <c r="G79" s="164"/>
      <c r="H79" s="164"/>
      <c r="I79" s="209"/>
      <c r="J79" s="1"/>
      <c r="K79" s="1"/>
      <c r="L79" s="18"/>
      <c r="M79" s="1"/>
    </row>
    <row r="80" spans="1:13" x14ac:dyDescent="0.45">
      <c r="A80" s="22" t="s">
        <v>49</v>
      </c>
      <c r="B80" s="164">
        <f>B72</f>
        <v>5000</v>
      </c>
      <c r="C80" s="18">
        <f>C76</f>
        <v>72</v>
      </c>
      <c r="D80" s="202">
        <f>E76</f>
        <v>327700</v>
      </c>
      <c r="E80" s="206">
        <v>55.74</v>
      </c>
      <c r="F80" s="31">
        <f>E80*C80</f>
        <v>4013.28</v>
      </c>
      <c r="G80" s="164"/>
      <c r="H80" s="1"/>
      <c r="I80" s="209"/>
      <c r="J80" s="1"/>
      <c r="K80" s="1"/>
      <c r="L80" s="18"/>
      <c r="M80" s="1"/>
    </row>
    <row r="81" spans="1:13" x14ac:dyDescent="0.45">
      <c r="A81" s="22" t="s">
        <v>132</v>
      </c>
      <c r="B81" s="164">
        <v>5000</v>
      </c>
      <c r="C81" s="18"/>
      <c r="D81" s="202">
        <f>F76</f>
        <v>0</v>
      </c>
      <c r="E81" s="206">
        <v>10.08</v>
      </c>
      <c r="F81" s="24">
        <f t="shared" ref="F81:F82" si="9">E81*(D81/1000)</f>
        <v>0</v>
      </c>
      <c r="G81" s="164"/>
      <c r="H81" s="1"/>
      <c r="I81" s="209"/>
      <c r="J81" s="1"/>
      <c r="K81" s="1"/>
      <c r="L81" s="18"/>
      <c r="M81" s="1"/>
    </row>
    <row r="82" spans="1:13" x14ac:dyDescent="0.45">
      <c r="A82" s="22" t="s">
        <v>132</v>
      </c>
      <c r="B82" s="164">
        <v>5000</v>
      </c>
      <c r="C82" s="18"/>
      <c r="D82" s="202">
        <f>G76</f>
        <v>0</v>
      </c>
      <c r="E82" s="206">
        <v>9.2799999999999994</v>
      </c>
      <c r="F82" s="24">
        <f t="shared" si="9"/>
        <v>0</v>
      </c>
      <c r="G82" s="164"/>
      <c r="H82" s="1"/>
      <c r="I82" s="209"/>
      <c r="J82" s="1"/>
      <c r="K82" s="1"/>
      <c r="L82" s="18"/>
      <c r="M82" s="1"/>
    </row>
    <row r="83" spans="1:13" x14ac:dyDescent="0.45">
      <c r="A83" s="22" t="s">
        <v>50</v>
      </c>
      <c r="B83" s="203">
        <f>B75</f>
        <v>15000</v>
      </c>
      <c r="C83" s="207"/>
      <c r="D83" s="205">
        <f>H76</f>
        <v>0</v>
      </c>
      <c r="E83" s="208">
        <v>8.91</v>
      </c>
      <c r="F83" s="23">
        <f>E83*(D83/1000)</f>
        <v>0</v>
      </c>
      <c r="G83" s="164"/>
      <c r="H83" s="1"/>
      <c r="I83" s="209"/>
      <c r="J83" s="1"/>
      <c r="K83" s="1"/>
      <c r="L83" s="18"/>
      <c r="M83" s="1"/>
    </row>
    <row r="84" spans="1:13" x14ac:dyDescent="0.45">
      <c r="A84" s="22"/>
      <c r="B84" s="164" t="s">
        <v>54</v>
      </c>
      <c r="C84" s="18">
        <f>SUM(C80:C83)</f>
        <v>72</v>
      </c>
      <c r="D84" s="24">
        <f>SUM(D80:D83)</f>
        <v>327700</v>
      </c>
      <c r="E84" s="1"/>
      <c r="F84" s="31">
        <f>SUM(F80:F83)</f>
        <v>4013.28</v>
      </c>
      <c r="G84" s="31"/>
      <c r="H84" s="164"/>
      <c r="I84" s="209"/>
      <c r="J84" s="1"/>
      <c r="K84" s="1"/>
      <c r="L84" s="18"/>
      <c r="M84" s="1"/>
    </row>
    <row r="85" spans="1:13" x14ac:dyDescent="0.45">
      <c r="A85" s="22"/>
      <c r="B85" s="164"/>
      <c r="C85" s="18"/>
      <c r="D85" s="24"/>
      <c r="E85" s="1"/>
      <c r="F85" s="31"/>
      <c r="G85" s="31"/>
      <c r="H85" s="164"/>
      <c r="I85" s="209"/>
      <c r="J85" s="1"/>
      <c r="K85" s="1"/>
      <c r="L85" s="18"/>
      <c r="M85" s="1"/>
    </row>
    <row r="86" spans="1:13" ht="15.75" x14ac:dyDescent="0.5">
      <c r="A86" s="198" t="s">
        <v>197</v>
      </c>
      <c r="B86" s="1"/>
      <c r="C86" s="1"/>
      <c r="D86" s="18"/>
      <c r="E86" s="1"/>
      <c r="F86" s="1"/>
      <c r="G86" s="1"/>
      <c r="H86" s="1"/>
      <c r="I86" s="1"/>
      <c r="J86" s="1"/>
      <c r="K86" s="1"/>
      <c r="L86" s="18"/>
      <c r="M86" s="1"/>
    </row>
    <row r="87" spans="1:13" x14ac:dyDescent="0.45">
      <c r="A87" s="1"/>
      <c r="B87" s="1"/>
      <c r="C87" s="1"/>
      <c r="D87" s="18"/>
      <c r="E87" s="21" t="s">
        <v>49</v>
      </c>
      <c r="F87" s="21" t="s">
        <v>50</v>
      </c>
      <c r="G87" s="1"/>
      <c r="H87" s="1"/>
      <c r="I87" s="1"/>
      <c r="J87" s="1"/>
      <c r="K87" s="18"/>
      <c r="L87" s="1"/>
      <c r="M87" s="1"/>
    </row>
    <row r="88" spans="1:13" x14ac:dyDescent="0.45">
      <c r="A88" s="1"/>
      <c r="B88" s="199" t="s">
        <v>51</v>
      </c>
      <c r="C88" s="200" t="s">
        <v>52</v>
      </c>
      <c r="D88" s="127" t="s">
        <v>53</v>
      </c>
      <c r="E88" s="200">
        <f>B89</f>
        <v>15000</v>
      </c>
      <c r="F88" s="200">
        <f>B90</f>
        <v>15000</v>
      </c>
      <c r="G88" s="199" t="s">
        <v>54</v>
      </c>
      <c r="H88" s="1"/>
      <c r="I88" s="1"/>
      <c r="J88" s="1"/>
      <c r="K88" s="1"/>
      <c r="L88" s="1"/>
      <c r="M88" s="1"/>
    </row>
    <row r="89" spans="1:13" x14ac:dyDescent="0.45">
      <c r="A89" s="22" t="s">
        <v>49</v>
      </c>
      <c r="B89" s="164">
        <v>15000</v>
      </c>
      <c r="C89" s="201">
        <v>0</v>
      </c>
      <c r="D89" s="202">
        <v>900000</v>
      </c>
      <c r="E89" s="202">
        <f>D89</f>
        <v>900000</v>
      </c>
      <c r="F89" s="202">
        <v>0</v>
      </c>
      <c r="G89" s="202">
        <f>SUM(E89:F89)</f>
        <v>900000</v>
      </c>
      <c r="H89" s="1"/>
      <c r="I89" s="1"/>
      <c r="J89" s="1"/>
      <c r="K89" s="210"/>
      <c r="L89" s="1"/>
      <c r="M89" s="1"/>
    </row>
    <row r="90" spans="1:13" x14ac:dyDescent="0.45">
      <c r="A90" s="22" t="s">
        <v>50</v>
      </c>
      <c r="B90" s="203">
        <v>15000</v>
      </c>
      <c r="C90" s="204">
        <v>60</v>
      </c>
      <c r="D90" s="205">
        <f>2310200-D89</f>
        <v>1410200</v>
      </c>
      <c r="E90" s="205">
        <f>C90*E88</f>
        <v>900000</v>
      </c>
      <c r="F90" s="205">
        <f>D90-E90</f>
        <v>510200</v>
      </c>
      <c r="G90" s="205">
        <f>SUM(E90:F90)</f>
        <v>1410200</v>
      </c>
      <c r="H90" s="18"/>
      <c r="I90" s="18"/>
      <c r="J90" s="1"/>
      <c r="K90" s="21"/>
      <c r="L90" s="1"/>
      <c r="M90" s="1"/>
    </row>
    <row r="91" spans="1:13" x14ac:dyDescent="0.45">
      <c r="A91" s="22"/>
      <c r="B91" s="164"/>
      <c r="C91" s="18">
        <f>SUM(C89:C90)</f>
        <v>60</v>
      </c>
      <c r="D91" s="24">
        <f>SUM(D89:D90)</f>
        <v>2310200</v>
      </c>
      <c r="E91" s="24">
        <f>SUM(E89:E90)</f>
        <v>1800000</v>
      </c>
      <c r="F91" s="24">
        <f>SUM(F89:F90)</f>
        <v>510200</v>
      </c>
      <c r="G91" s="24">
        <f>SUM(G89:G90)</f>
        <v>2310200</v>
      </c>
      <c r="H91" s="1"/>
      <c r="I91" s="1"/>
      <c r="J91" s="1"/>
      <c r="K91" s="1"/>
      <c r="L91" s="18"/>
      <c r="M91" s="1"/>
    </row>
    <row r="92" spans="1:13" x14ac:dyDescent="0.45">
      <c r="A92" s="22"/>
      <c r="B92" s="164"/>
      <c r="C92" s="1"/>
      <c r="D92" s="18"/>
      <c r="E92" s="164"/>
      <c r="F92" s="164"/>
      <c r="G92" s="164"/>
      <c r="H92" s="164"/>
      <c r="I92" s="164"/>
      <c r="J92" s="1"/>
      <c r="K92" s="1"/>
      <c r="L92" s="18"/>
      <c r="M92" s="1"/>
    </row>
    <row r="93" spans="1:13" x14ac:dyDescent="0.45">
      <c r="A93" s="165" t="s">
        <v>195</v>
      </c>
      <c r="B93" s="165"/>
      <c r="C93" s="1"/>
      <c r="D93" s="18"/>
      <c r="E93" s="164"/>
      <c r="F93" s="164"/>
      <c r="G93" s="164"/>
      <c r="H93" s="164"/>
      <c r="I93" s="164"/>
      <c r="J93" s="1"/>
      <c r="K93" s="1"/>
      <c r="L93" s="18"/>
      <c r="M93" s="1"/>
    </row>
    <row r="94" spans="1:13" x14ac:dyDescent="0.45">
      <c r="A94" s="22"/>
      <c r="B94" s="199"/>
      <c r="C94" s="200" t="s">
        <v>52</v>
      </c>
      <c r="D94" s="127" t="s">
        <v>53</v>
      </c>
      <c r="E94" s="200" t="s">
        <v>55</v>
      </c>
      <c r="F94" s="200" t="s">
        <v>56</v>
      </c>
      <c r="G94" s="164"/>
      <c r="H94" s="164"/>
      <c r="I94" s="164"/>
      <c r="J94" s="1"/>
      <c r="K94" s="1"/>
      <c r="L94" s="18"/>
      <c r="M94" s="1"/>
    </row>
    <row r="95" spans="1:13" x14ac:dyDescent="0.45">
      <c r="A95" s="22" t="s">
        <v>49</v>
      </c>
      <c r="B95" s="164">
        <f>B89</f>
        <v>15000</v>
      </c>
      <c r="C95" s="18">
        <f>C91</f>
        <v>60</v>
      </c>
      <c r="D95" s="202">
        <f>E91</f>
        <v>1800000</v>
      </c>
      <c r="E95" s="206">
        <v>152.54</v>
      </c>
      <c r="F95" s="31">
        <f>E95*C95</f>
        <v>9152.4</v>
      </c>
      <c r="G95" s="164"/>
      <c r="H95" s="164"/>
      <c r="I95" s="164"/>
      <c r="J95" s="1"/>
      <c r="K95" s="1"/>
      <c r="L95" s="18"/>
      <c r="M95" s="1"/>
    </row>
    <row r="96" spans="1:13" x14ac:dyDescent="0.45">
      <c r="A96" s="22" t="s">
        <v>50</v>
      </c>
      <c r="B96" s="203">
        <f>B90</f>
        <v>15000</v>
      </c>
      <c r="C96" s="23"/>
      <c r="D96" s="205">
        <f>F91</f>
        <v>510200</v>
      </c>
      <c r="E96" s="208">
        <v>8.91</v>
      </c>
      <c r="F96" s="23">
        <f t="shared" ref="F96" si="10">E96*(D96/1000)</f>
        <v>4545.8819999999996</v>
      </c>
      <c r="G96" s="164"/>
      <c r="H96" s="164"/>
      <c r="I96" s="164"/>
      <c r="J96" s="1"/>
      <c r="K96" s="1"/>
      <c r="L96" s="18"/>
      <c r="M96" s="1"/>
    </row>
    <row r="97" spans="1:13" x14ac:dyDescent="0.45">
      <c r="A97" s="22"/>
      <c r="B97" s="164" t="s">
        <v>54</v>
      </c>
      <c r="C97" s="18">
        <f>SUM(C95:C96)</f>
        <v>60</v>
      </c>
      <c r="D97" s="24">
        <f>SUM(D95:D96)</f>
        <v>2310200</v>
      </c>
      <c r="E97" s="1"/>
      <c r="F97" s="31">
        <f>SUM(F95:F96)</f>
        <v>13698.281999999999</v>
      </c>
      <c r="G97" s="31"/>
      <c r="H97" s="164"/>
      <c r="I97" s="209"/>
      <c r="J97" s="1"/>
      <c r="K97" s="1"/>
      <c r="L97" s="18"/>
      <c r="M97" s="1"/>
    </row>
    <row r="98" spans="1:13" x14ac:dyDescent="0.45">
      <c r="A98" s="22"/>
      <c r="B98" s="164"/>
      <c r="C98" s="3"/>
      <c r="D98" s="24"/>
      <c r="E98" s="1"/>
      <c r="F98" s="206"/>
      <c r="G98" s="164"/>
      <c r="H98" s="164"/>
      <c r="I98" s="164"/>
      <c r="J98" s="1"/>
      <c r="K98" s="1"/>
      <c r="L98" s="18"/>
      <c r="M98" s="1"/>
    </row>
  </sheetData>
  <mergeCells count="3">
    <mergeCell ref="A1:G1"/>
    <mergeCell ref="A2:G2"/>
    <mergeCell ref="C4:F4"/>
  </mergeCells>
  <pageMargins left="0.7" right="0.7" top="0.75" bottom="0.75" header="0.3" footer="0.3"/>
  <pageSetup scale="83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N98"/>
  <sheetViews>
    <sheetView showGridLines="0" workbookViewId="0">
      <selection activeCell="B76" sqref="B76"/>
    </sheetView>
  </sheetViews>
  <sheetFormatPr defaultColWidth="8.88671875" defaultRowHeight="15" x14ac:dyDescent="0.4"/>
  <cols>
    <col min="1" max="1" width="7.77734375" style="150" customWidth="1"/>
    <col min="2" max="2" width="8.21875" style="150" customWidth="1"/>
    <col min="3" max="8" width="12.5546875" style="150" customWidth="1"/>
    <col min="9" max="12" width="10.44140625" style="150" customWidth="1"/>
    <col min="13" max="13" width="13.109375" style="150" customWidth="1"/>
    <col min="14" max="16384" width="8.88671875" style="150"/>
  </cols>
  <sheetData>
    <row r="1" spans="1:14" ht="21" x14ac:dyDescent="0.65">
      <c r="A1" s="255" t="s">
        <v>223</v>
      </c>
      <c r="B1" s="255"/>
      <c r="C1" s="255"/>
      <c r="D1" s="255"/>
      <c r="E1" s="255"/>
      <c r="F1" s="255"/>
      <c r="G1" s="255"/>
    </row>
    <row r="2" spans="1:14" ht="18" x14ac:dyDescent="0.4">
      <c r="A2" s="256" t="s">
        <v>161</v>
      </c>
      <c r="B2" s="256"/>
      <c r="C2" s="256"/>
      <c r="D2" s="256"/>
      <c r="E2" s="256"/>
      <c r="F2" s="256"/>
      <c r="G2" s="256"/>
      <c r="K2" s="211">
        <v>1.2526999999999999</v>
      </c>
    </row>
    <row r="3" spans="1:14" x14ac:dyDescent="0.45">
      <c r="A3" s="25"/>
      <c r="B3" s="26"/>
      <c r="C3" s="26"/>
      <c r="D3" s="26"/>
      <c r="E3" s="26"/>
      <c r="F3" s="26"/>
      <c r="G3" s="26"/>
    </row>
    <row r="4" spans="1:14" ht="15.75" x14ac:dyDescent="0.45">
      <c r="A4" s="1"/>
      <c r="C4" s="257" t="s">
        <v>48</v>
      </c>
      <c r="D4" s="257"/>
      <c r="E4" s="257"/>
      <c r="F4" s="257"/>
      <c r="G4" s="1"/>
    </row>
    <row r="5" spans="1:14" x14ac:dyDescent="0.45">
      <c r="A5" s="1"/>
      <c r="B5" s="1"/>
      <c r="C5" s="155"/>
      <c r="D5" s="155"/>
      <c r="E5" s="156" t="s">
        <v>52</v>
      </c>
      <c r="F5" s="156" t="s">
        <v>53</v>
      </c>
      <c r="G5" s="21" t="s">
        <v>56</v>
      </c>
      <c r="H5" s="21"/>
      <c r="I5" s="152"/>
    </row>
    <row r="6" spans="1:14" x14ac:dyDescent="0.45">
      <c r="A6" s="1"/>
      <c r="B6" s="1"/>
      <c r="C6" s="1" t="s">
        <v>191</v>
      </c>
      <c r="D6" s="1"/>
      <c r="E6" s="2">
        <f>C25</f>
        <v>42050</v>
      </c>
      <c r="F6" s="157">
        <f>I25</f>
        <v>152925100</v>
      </c>
      <c r="G6" s="158">
        <f>F33</f>
        <v>1881919.5335832997</v>
      </c>
      <c r="H6" s="159"/>
      <c r="I6" s="160"/>
      <c r="J6" s="161"/>
      <c r="L6" s="151"/>
      <c r="M6" s="151"/>
      <c r="N6" s="151"/>
    </row>
    <row r="7" spans="1:14" x14ac:dyDescent="0.45">
      <c r="A7" s="1"/>
      <c r="B7" s="1"/>
      <c r="C7" s="1" t="s">
        <v>192</v>
      </c>
      <c r="D7" s="1"/>
      <c r="E7" s="2">
        <f>C52</f>
        <v>490</v>
      </c>
      <c r="F7" s="157">
        <f>J43</f>
        <v>1887700</v>
      </c>
      <c r="G7" s="158">
        <f>F52</f>
        <v>21910.861704299998</v>
      </c>
      <c r="H7" s="159"/>
      <c r="I7" s="160"/>
      <c r="J7" s="161"/>
      <c r="L7" s="151"/>
      <c r="M7" s="151"/>
      <c r="N7" s="151"/>
    </row>
    <row r="8" spans="1:14" x14ac:dyDescent="0.45">
      <c r="A8" s="1"/>
      <c r="B8" s="1"/>
      <c r="C8" s="1" t="s">
        <v>200</v>
      </c>
      <c r="D8" s="1"/>
      <c r="E8" s="2">
        <f>C67</f>
        <v>48</v>
      </c>
      <c r="F8" s="157">
        <f>H60</f>
        <v>341500</v>
      </c>
      <c r="G8" s="158">
        <f>F67</f>
        <v>3691.2058200000001</v>
      </c>
      <c r="H8" s="159"/>
      <c r="I8" s="160"/>
      <c r="J8" s="161"/>
      <c r="L8" s="151"/>
      <c r="M8" s="151"/>
      <c r="N8" s="151"/>
    </row>
    <row r="9" spans="1:14" x14ac:dyDescent="0.45">
      <c r="A9" s="1"/>
      <c r="B9" s="1"/>
      <c r="C9" s="1" t="s">
        <v>202</v>
      </c>
      <c r="D9" s="1"/>
      <c r="E9" s="2">
        <f>C84</f>
        <v>72</v>
      </c>
      <c r="F9" s="157">
        <f>I76</f>
        <v>327700</v>
      </c>
      <c r="G9" s="158">
        <f>F84</f>
        <v>5027.4358560000001</v>
      </c>
      <c r="H9" s="159"/>
      <c r="I9" s="160"/>
      <c r="J9" s="161"/>
      <c r="L9" s="151"/>
      <c r="M9" s="151"/>
      <c r="N9" s="151"/>
    </row>
    <row r="10" spans="1:14" x14ac:dyDescent="0.45">
      <c r="A10" s="1"/>
      <c r="B10" s="1"/>
      <c r="C10" s="1" t="s">
        <v>193</v>
      </c>
      <c r="D10" s="1"/>
      <c r="E10" s="30">
        <f>C97</f>
        <v>60</v>
      </c>
      <c r="F10" s="195">
        <f>G91</f>
        <v>2310200</v>
      </c>
      <c r="G10" s="194">
        <f>F97</f>
        <v>17159.837861399999</v>
      </c>
      <c r="H10" s="159"/>
      <c r="I10" s="160"/>
      <c r="J10" s="161"/>
      <c r="L10" s="151"/>
      <c r="M10" s="151"/>
      <c r="N10" s="151"/>
    </row>
    <row r="11" spans="1:14" x14ac:dyDescent="0.45">
      <c r="A11" s="1"/>
      <c r="B11" s="1"/>
      <c r="C11" s="1" t="s">
        <v>160</v>
      </c>
      <c r="D11" s="1"/>
      <c r="E11" s="2">
        <f>SUM(E6:E10)</f>
        <v>42720</v>
      </c>
      <c r="F11" s="157">
        <f>SUM(F6:F10)</f>
        <v>157792200</v>
      </c>
      <c r="G11" s="158">
        <f>SUM(G6:G10)</f>
        <v>1929708.8748249998</v>
      </c>
      <c r="H11" s="159"/>
      <c r="I11" s="160"/>
      <c r="J11" s="161"/>
      <c r="L11" s="151"/>
      <c r="M11" s="151"/>
      <c r="N11" s="151"/>
    </row>
    <row r="12" spans="1:14" ht="15.75" customHeight="1" x14ac:dyDescent="0.45">
      <c r="A12" s="1"/>
      <c r="B12" s="1"/>
      <c r="C12" s="155" t="s">
        <v>136</v>
      </c>
      <c r="D12" s="155"/>
      <c r="E12" s="157"/>
      <c r="F12" s="157"/>
      <c r="G12" s="184">
        <v>-172</v>
      </c>
      <c r="H12" s="1"/>
      <c r="L12" s="151"/>
      <c r="M12" s="151"/>
      <c r="N12" s="151"/>
    </row>
    <row r="13" spans="1:14" x14ac:dyDescent="0.45">
      <c r="A13" s="1"/>
      <c r="B13" s="1"/>
      <c r="C13" s="163" t="s">
        <v>154</v>
      </c>
      <c r="D13" s="163"/>
      <c r="E13" s="157"/>
      <c r="F13" s="157"/>
      <c r="G13" s="162">
        <f>G11+G12</f>
        <v>1929536.8748249998</v>
      </c>
      <c r="H13" s="1"/>
    </row>
    <row r="14" spans="1:14" x14ac:dyDescent="0.45">
      <c r="A14" s="1"/>
      <c r="B14" s="1"/>
      <c r="C14" s="163" t="s">
        <v>155</v>
      </c>
      <c r="D14" s="163"/>
      <c r="E14" s="157"/>
      <c r="F14" s="157"/>
      <c r="G14" s="186">
        <f>SAO!G48</f>
        <v>1901607.0951174924</v>
      </c>
      <c r="H14" s="1"/>
    </row>
    <row r="15" spans="1:14" x14ac:dyDescent="0.45">
      <c r="A15" s="1"/>
      <c r="B15" s="1"/>
      <c r="C15" s="163" t="s">
        <v>138</v>
      </c>
      <c r="D15" s="163"/>
      <c r="E15" s="157"/>
      <c r="F15" s="157"/>
      <c r="G15" s="187">
        <f>G13-G14</f>
        <v>27929.779707507463</v>
      </c>
      <c r="H15" s="1"/>
      <c r="K15" s="188"/>
    </row>
    <row r="16" spans="1:14" x14ac:dyDescent="0.45">
      <c r="A16" s="1"/>
      <c r="B16" s="1"/>
      <c r="C16" s="163"/>
      <c r="D16" s="157"/>
      <c r="E16" s="157"/>
      <c r="F16" s="162"/>
      <c r="G16" s="159"/>
    </row>
    <row r="17" spans="1:13" x14ac:dyDescent="0.45">
      <c r="A17" s="1"/>
      <c r="B17" s="1"/>
      <c r="C17" s="19"/>
      <c r="D17" s="158"/>
      <c r="E17" s="1"/>
      <c r="F17" s="1"/>
      <c r="G17" s="1"/>
    </row>
    <row r="18" spans="1:13" ht="15.75" x14ac:dyDescent="0.5">
      <c r="A18" s="198" t="s">
        <v>194</v>
      </c>
      <c r="B18" s="1"/>
      <c r="C18" s="1"/>
      <c r="D18" s="18"/>
      <c r="E18" s="1"/>
      <c r="F18" s="1"/>
      <c r="G18" s="1"/>
      <c r="H18" s="1"/>
      <c r="I18" s="1"/>
      <c r="J18" s="1"/>
      <c r="K18" s="1"/>
      <c r="L18" s="18"/>
      <c r="M18" s="1"/>
    </row>
    <row r="19" spans="1:13" ht="15.4" x14ac:dyDescent="0.45">
      <c r="A19" s="1"/>
      <c r="B19" s="1"/>
      <c r="C19" s="1"/>
      <c r="D19" s="18"/>
      <c r="E19" s="21" t="s">
        <v>49</v>
      </c>
      <c r="F19" s="21" t="s">
        <v>132</v>
      </c>
      <c r="G19" s="21" t="s">
        <v>132</v>
      </c>
      <c r="H19" s="21" t="s">
        <v>50</v>
      </c>
      <c r="I19" s="1"/>
      <c r="J19" s="1"/>
      <c r="K19"/>
      <c r="L19"/>
    </row>
    <row r="20" spans="1:13" ht="15.4" x14ac:dyDescent="0.45">
      <c r="A20" s="1"/>
      <c r="B20" s="199" t="s">
        <v>51</v>
      </c>
      <c r="C20" s="200" t="s">
        <v>52</v>
      </c>
      <c r="D20" s="127" t="s">
        <v>53</v>
      </c>
      <c r="E20" s="200">
        <f>B21</f>
        <v>2000</v>
      </c>
      <c r="F20" s="200">
        <f>B22</f>
        <v>3000</v>
      </c>
      <c r="G20" s="200">
        <f>B23</f>
        <v>5000</v>
      </c>
      <c r="H20" s="200">
        <f>B24</f>
        <v>10000</v>
      </c>
      <c r="I20" s="199" t="s">
        <v>54</v>
      </c>
      <c r="J20" s="1"/>
      <c r="K20"/>
      <c r="L20"/>
    </row>
    <row r="21" spans="1:13" ht="15.4" x14ac:dyDescent="0.45">
      <c r="A21" s="22" t="s">
        <v>49</v>
      </c>
      <c r="B21" s="164">
        <v>2000</v>
      </c>
      <c r="C21" s="201">
        <f>ExBA!C21</f>
        <v>17006</v>
      </c>
      <c r="D21" s="202">
        <f>ExBA!D21</f>
        <v>16004900</v>
      </c>
      <c r="E21" s="202">
        <f>D21</f>
        <v>16004900</v>
      </c>
      <c r="F21" s="202">
        <v>0</v>
      </c>
      <c r="G21" s="202">
        <v>0</v>
      </c>
      <c r="H21" s="202">
        <v>0</v>
      </c>
      <c r="I21" s="202">
        <f>SUM(E21:H21)</f>
        <v>16004900</v>
      </c>
      <c r="J21" s="1"/>
      <c r="K21"/>
      <c r="L21"/>
    </row>
    <row r="22" spans="1:13" ht="15.4" x14ac:dyDescent="0.45">
      <c r="A22" s="22" t="s">
        <v>132</v>
      </c>
      <c r="B22" s="164">
        <v>3000</v>
      </c>
      <c r="C22" s="201">
        <f>ExBA!C22</f>
        <v>17375</v>
      </c>
      <c r="D22" s="202">
        <f>ExBA!D22</f>
        <v>57214300</v>
      </c>
      <c r="E22" s="202">
        <f>C22*$E$20</f>
        <v>34750000</v>
      </c>
      <c r="F22" s="202">
        <f>D22-E22</f>
        <v>22464300</v>
      </c>
      <c r="G22" s="202">
        <v>0</v>
      </c>
      <c r="H22" s="202">
        <v>0</v>
      </c>
      <c r="I22" s="202">
        <f>SUM(E22:H22)</f>
        <v>57214300</v>
      </c>
      <c r="J22" s="1"/>
      <c r="K22"/>
      <c r="L22"/>
    </row>
    <row r="23" spans="1:13" ht="15.4" x14ac:dyDescent="0.45">
      <c r="A23" s="22" t="s">
        <v>132</v>
      </c>
      <c r="B23" s="164">
        <v>5000</v>
      </c>
      <c r="C23" s="201">
        <f>ExBA!C23</f>
        <v>6067</v>
      </c>
      <c r="D23" s="202">
        <f>ExBA!D23</f>
        <v>40766000</v>
      </c>
      <c r="E23" s="202">
        <f t="shared" ref="E23:E24" si="0">C23*$E$20</f>
        <v>12134000</v>
      </c>
      <c r="F23" s="202">
        <f>C23*F20</f>
        <v>18201000</v>
      </c>
      <c r="G23" s="202">
        <f>D23-(F23+E23)</f>
        <v>10431000</v>
      </c>
      <c r="H23" s="202">
        <v>0</v>
      </c>
      <c r="I23" s="202">
        <f>SUM(E23:H23)</f>
        <v>40766000</v>
      </c>
      <c r="J23" s="1"/>
      <c r="K23"/>
      <c r="L23"/>
    </row>
    <row r="24" spans="1:13" ht="15.4" x14ac:dyDescent="0.45">
      <c r="A24" s="22" t="s">
        <v>50</v>
      </c>
      <c r="B24" s="203">
        <v>10000</v>
      </c>
      <c r="C24" s="204">
        <f>ExBA!C24</f>
        <v>1602</v>
      </c>
      <c r="D24" s="205">
        <f>ExBA!D24</f>
        <v>38939900</v>
      </c>
      <c r="E24" s="205">
        <f t="shared" si="0"/>
        <v>3204000</v>
      </c>
      <c r="F24" s="205">
        <f>C24*F20</f>
        <v>4806000</v>
      </c>
      <c r="G24" s="205">
        <f>C24*G20</f>
        <v>8010000</v>
      </c>
      <c r="H24" s="205">
        <f>D24-E24-F24-G24</f>
        <v>22919900</v>
      </c>
      <c r="I24" s="205">
        <f>SUM(E24:H24)</f>
        <v>38939900</v>
      </c>
      <c r="J24" s="1"/>
      <c r="K24"/>
      <c r="L24"/>
    </row>
    <row r="25" spans="1:13" ht="15.4" x14ac:dyDescent="0.45">
      <c r="A25" s="22"/>
      <c r="B25" s="164" t="s">
        <v>54</v>
      </c>
      <c r="C25" s="24">
        <f t="shared" ref="C25:I25" si="1">SUM(C21:C24)</f>
        <v>42050</v>
      </c>
      <c r="D25" s="24">
        <f t="shared" si="1"/>
        <v>152925100</v>
      </c>
      <c r="E25" s="24">
        <f t="shared" si="1"/>
        <v>66092900</v>
      </c>
      <c r="F25" s="24">
        <f t="shared" si="1"/>
        <v>45471300</v>
      </c>
      <c r="G25" s="24">
        <f t="shared" si="1"/>
        <v>18441000</v>
      </c>
      <c r="H25" s="24">
        <f t="shared" si="1"/>
        <v>22919900</v>
      </c>
      <c r="I25" s="24">
        <f t="shared" si="1"/>
        <v>152925100</v>
      </c>
      <c r="J25" s="18"/>
      <c r="K25"/>
      <c r="L25"/>
    </row>
    <row r="26" spans="1:13" x14ac:dyDescent="0.45">
      <c r="A26" s="22"/>
      <c r="B26" s="164"/>
      <c r="C26" s="1"/>
      <c r="D26" s="18"/>
      <c r="E26" s="164"/>
      <c r="F26" s="164"/>
      <c r="G26" s="164"/>
      <c r="H26" s="164"/>
      <c r="I26" s="164"/>
      <c r="J26" s="1"/>
      <c r="K26" s="1"/>
      <c r="L26" s="18"/>
      <c r="M26" s="1"/>
    </row>
    <row r="27" spans="1:13" x14ac:dyDescent="0.45">
      <c r="A27" s="165" t="s">
        <v>195</v>
      </c>
      <c r="B27" s="165"/>
      <c r="C27" s="1"/>
      <c r="D27" s="18"/>
      <c r="E27" s="164"/>
      <c r="F27" s="164"/>
      <c r="G27" s="164"/>
      <c r="H27" s="164"/>
      <c r="I27" s="164"/>
      <c r="J27" s="1"/>
      <c r="K27" s="1"/>
      <c r="L27" s="18"/>
      <c r="M27" s="1"/>
    </row>
    <row r="28" spans="1:13" x14ac:dyDescent="0.45">
      <c r="A28" s="22"/>
      <c r="B28" s="199"/>
      <c r="C28" s="200" t="s">
        <v>52</v>
      </c>
      <c r="D28" s="127" t="s">
        <v>53</v>
      </c>
      <c r="E28" s="200" t="s">
        <v>55</v>
      </c>
      <c r="F28" s="200" t="s">
        <v>56</v>
      </c>
      <c r="G28" s="164"/>
      <c r="H28" s="164"/>
      <c r="I28" s="164"/>
      <c r="J28" s="1"/>
      <c r="K28" s="1"/>
      <c r="L28" s="18"/>
      <c r="M28" s="1"/>
    </row>
    <row r="29" spans="1:13" x14ac:dyDescent="0.45">
      <c r="A29" s="22" t="s">
        <v>49</v>
      </c>
      <c r="B29" s="164">
        <f>B21</f>
        <v>2000</v>
      </c>
      <c r="C29" s="18">
        <f>C25</f>
        <v>42050</v>
      </c>
      <c r="D29" s="202">
        <f>E25</f>
        <v>66092900</v>
      </c>
      <c r="E29" s="206">
        <f>(19.05*K2)</f>
        <v>23.863934999999998</v>
      </c>
      <c r="F29" s="31">
        <f>E29*C29</f>
        <v>1003478.4667499999</v>
      </c>
      <c r="G29" s="189"/>
      <c r="H29" s="1"/>
      <c r="I29" s="1"/>
      <c r="J29" s="1"/>
      <c r="K29" s="1"/>
      <c r="L29" s="18"/>
      <c r="M29" s="1"/>
    </row>
    <row r="30" spans="1:13" x14ac:dyDescent="0.45">
      <c r="A30" s="22" t="s">
        <v>132</v>
      </c>
      <c r="B30" s="164">
        <f>B22</f>
        <v>3000</v>
      </c>
      <c r="C30" s="1"/>
      <c r="D30" s="202">
        <f>F25</f>
        <v>45471300</v>
      </c>
      <c r="E30" s="206">
        <f>(8.53*K2)</f>
        <v>10.685530999999999</v>
      </c>
      <c r="F30" s="18">
        <f>E30*(D30/1000)</f>
        <v>485884.98576030001</v>
      </c>
      <c r="G30" s="164"/>
      <c r="H30" s="1"/>
      <c r="I30" s="1"/>
      <c r="J30" s="1"/>
      <c r="K30" s="1"/>
      <c r="L30" s="18"/>
      <c r="M30" s="1"/>
    </row>
    <row r="31" spans="1:13" x14ac:dyDescent="0.45">
      <c r="A31" s="22" t="s">
        <v>132</v>
      </c>
      <c r="B31" s="164">
        <f>B23</f>
        <v>5000</v>
      </c>
      <c r="C31" s="1"/>
      <c r="D31" s="202">
        <f>G25</f>
        <v>18441000</v>
      </c>
      <c r="E31" s="206">
        <f>7.92*K2</f>
        <v>9.9213839999999998</v>
      </c>
      <c r="F31" s="18">
        <f>E31*(D31/1000)</f>
        <v>182960.242344</v>
      </c>
      <c r="G31" s="164"/>
      <c r="H31" s="1"/>
      <c r="I31" s="1"/>
      <c r="J31" s="1"/>
      <c r="K31" s="1"/>
      <c r="L31" s="18"/>
      <c r="M31" s="1"/>
    </row>
    <row r="32" spans="1:13" x14ac:dyDescent="0.45">
      <c r="A32" s="22" t="s">
        <v>50</v>
      </c>
      <c r="B32" s="203">
        <v>10000</v>
      </c>
      <c r="C32" s="207"/>
      <c r="D32" s="205">
        <f>H25</f>
        <v>22919900</v>
      </c>
      <c r="E32" s="208">
        <f>7.3*K2</f>
        <v>9.1447099999999999</v>
      </c>
      <c r="F32" s="23">
        <f>E32*(D32/1000)</f>
        <v>209595.83872900001</v>
      </c>
      <c r="G32" s="164"/>
      <c r="H32" s="1"/>
      <c r="I32" s="1"/>
      <c r="J32" s="1"/>
      <c r="K32" s="1"/>
      <c r="L32" s="18"/>
      <c r="M32" s="1"/>
    </row>
    <row r="33" spans="1:13" x14ac:dyDescent="0.45">
      <c r="A33" s="22"/>
      <c r="B33" s="164" t="s">
        <v>54</v>
      </c>
      <c r="C33" s="18">
        <f>SUM(C29:C32)</f>
        <v>42050</v>
      </c>
      <c r="D33" s="24">
        <f>SUM(D29:D32)</f>
        <v>152925100</v>
      </c>
      <c r="E33" s="1"/>
      <c r="F33" s="31">
        <f>SUM(F29:F32)</f>
        <v>1881919.5335832997</v>
      </c>
      <c r="G33" s="31"/>
      <c r="H33" s="164"/>
      <c r="I33" s="209"/>
      <c r="J33" s="1"/>
      <c r="K33" s="1"/>
      <c r="L33" s="18"/>
      <c r="M33" s="1"/>
    </row>
    <row r="34" spans="1:13" x14ac:dyDescent="0.45">
      <c r="A34" s="22"/>
      <c r="B34" s="164"/>
      <c r="C34" s="18"/>
      <c r="D34" s="24"/>
      <c r="E34" s="1"/>
      <c r="F34" s="31"/>
      <c r="G34" s="164"/>
      <c r="H34" s="164"/>
      <c r="I34" s="164"/>
      <c r="J34" s="1"/>
      <c r="K34" s="1"/>
      <c r="L34" s="18"/>
      <c r="M34" s="1"/>
    </row>
    <row r="35" spans="1:13" ht="15.75" x14ac:dyDescent="0.5">
      <c r="A35" s="198" t="s">
        <v>196</v>
      </c>
      <c r="B35" s="1"/>
      <c r="C35" s="1"/>
      <c r="D35" s="18"/>
      <c r="E35" s="1"/>
      <c r="F35" s="1"/>
      <c r="G35" s="1"/>
      <c r="H35" s="1"/>
      <c r="I35" s="1"/>
      <c r="J35" s="1"/>
      <c r="K35" s="1"/>
      <c r="L35" s="18"/>
      <c r="M35" s="1"/>
    </row>
    <row r="36" spans="1:13" x14ac:dyDescent="0.45">
      <c r="A36" s="1"/>
      <c r="B36" s="1"/>
      <c r="C36" s="1"/>
      <c r="D36" s="18"/>
      <c r="E36" s="21" t="s">
        <v>49</v>
      </c>
      <c r="F36" s="21" t="s">
        <v>132</v>
      </c>
      <c r="G36" s="21" t="s">
        <v>132</v>
      </c>
      <c r="H36" s="21" t="s">
        <v>132</v>
      </c>
      <c r="I36" s="21" t="s">
        <v>50</v>
      </c>
      <c r="J36" s="1"/>
      <c r="K36" s="18"/>
      <c r="L36" s="1"/>
    </row>
    <row r="37" spans="1:13" x14ac:dyDescent="0.45">
      <c r="A37" s="1"/>
      <c r="B37" s="199" t="s">
        <v>51</v>
      </c>
      <c r="C37" s="200" t="s">
        <v>52</v>
      </c>
      <c r="D37" s="127" t="s">
        <v>53</v>
      </c>
      <c r="E37" s="200">
        <f>B38</f>
        <v>3000</v>
      </c>
      <c r="F37" s="200">
        <f>B39</f>
        <v>2000</v>
      </c>
      <c r="G37" s="200">
        <f>B40</f>
        <v>5000</v>
      </c>
      <c r="H37" s="200">
        <v>5000</v>
      </c>
      <c r="I37" s="200">
        <v>15000</v>
      </c>
      <c r="J37" s="199" t="s">
        <v>54</v>
      </c>
      <c r="K37" s="18"/>
      <c r="L37" s="1"/>
    </row>
    <row r="38" spans="1:13" x14ac:dyDescent="0.45">
      <c r="A38" s="22" t="s">
        <v>49</v>
      </c>
      <c r="B38" s="164">
        <v>3000</v>
      </c>
      <c r="C38" s="201">
        <f>ExBA!C38</f>
        <v>171</v>
      </c>
      <c r="D38" s="202">
        <f>ExBA!D38</f>
        <v>852600</v>
      </c>
      <c r="E38" s="202">
        <f>D38</f>
        <v>852600</v>
      </c>
      <c r="F38" s="202">
        <v>0</v>
      </c>
      <c r="G38" s="202">
        <v>0</v>
      </c>
      <c r="H38" s="202">
        <v>0</v>
      </c>
      <c r="I38" s="202">
        <v>0</v>
      </c>
      <c r="J38" s="202">
        <f>SUM(E38:I38)</f>
        <v>852600</v>
      </c>
      <c r="K38" s="18"/>
      <c r="L38" s="1"/>
    </row>
    <row r="39" spans="1:13" x14ac:dyDescent="0.45">
      <c r="A39" s="22" t="s">
        <v>132</v>
      </c>
      <c r="B39" s="164">
        <v>2000</v>
      </c>
      <c r="C39" s="201">
        <f>ExBA!C39</f>
        <v>319</v>
      </c>
      <c r="D39" s="202">
        <f>ExBA!D39</f>
        <v>1035100</v>
      </c>
      <c r="E39" s="202">
        <f>C39*E37</f>
        <v>957000</v>
      </c>
      <c r="F39" s="202">
        <f>D39-E39</f>
        <v>78100</v>
      </c>
      <c r="G39" s="202">
        <v>0</v>
      </c>
      <c r="H39" s="202">
        <v>0</v>
      </c>
      <c r="I39" s="202">
        <v>0</v>
      </c>
      <c r="J39" s="202">
        <f>SUM(E39:I39)</f>
        <v>1035100</v>
      </c>
      <c r="K39" s="18"/>
      <c r="L39" s="1"/>
    </row>
    <row r="40" spans="1:13" x14ac:dyDescent="0.45">
      <c r="A40" s="22" t="s">
        <v>132</v>
      </c>
      <c r="B40" s="164">
        <v>5000</v>
      </c>
      <c r="C40" s="201"/>
      <c r="D40" s="202"/>
      <c r="E40" s="202">
        <f>C40*E37</f>
        <v>0</v>
      </c>
      <c r="F40" s="202">
        <f>C40*F37</f>
        <v>0</v>
      </c>
      <c r="G40" s="202">
        <f>D40-E40-F40</f>
        <v>0</v>
      </c>
      <c r="H40" s="202">
        <f>E40-F40-G40</f>
        <v>0</v>
      </c>
      <c r="I40" s="202">
        <v>0</v>
      </c>
      <c r="J40" s="202">
        <f>SUM(E40:I40)</f>
        <v>0</v>
      </c>
      <c r="K40" s="18"/>
      <c r="L40" s="1"/>
    </row>
    <row r="41" spans="1:13" x14ac:dyDescent="0.45">
      <c r="A41" s="22" t="s">
        <v>132</v>
      </c>
      <c r="B41" s="164">
        <v>5000</v>
      </c>
      <c r="C41" s="201"/>
      <c r="D41" s="202"/>
      <c r="E41" s="202">
        <f>C41*E37</f>
        <v>0</v>
      </c>
      <c r="F41" s="202">
        <f>C41*F37</f>
        <v>0</v>
      </c>
      <c r="G41" s="202">
        <f>C41*G37</f>
        <v>0</v>
      </c>
      <c r="H41" s="202">
        <f>D41*H37</f>
        <v>0</v>
      </c>
      <c r="I41" s="2">
        <f>D41-E41-F41-G41</f>
        <v>0</v>
      </c>
      <c r="J41" s="202">
        <f>SUM(E41:I41)</f>
        <v>0</v>
      </c>
      <c r="K41" s="18"/>
      <c r="L41" s="1"/>
    </row>
    <row r="42" spans="1:13" x14ac:dyDescent="0.45">
      <c r="A42" s="22" t="s">
        <v>50</v>
      </c>
      <c r="B42" s="203">
        <v>15000</v>
      </c>
      <c r="C42" s="204"/>
      <c r="D42" s="205"/>
      <c r="E42" s="205">
        <f>C42*E37</f>
        <v>0</v>
      </c>
      <c r="F42" s="205">
        <f>C42*F37</f>
        <v>0</v>
      </c>
      <c r="G42" s="205">
        <f>C42*G37</f>
        <v>0</v>
      </c>
      <c r="H42" s="205">
        <f>D42*H37</f>
        <v>0</v>
      </c>
      <c r="I42" s="30">
        <f>C42*I37</f>
        <v>0</v>
      </c>
      <c r="J42" s="205">
        <f>SUM(E42:I42)</f>
        <v>0</v>
      </c>
      <c r="K42" s="18"/>
      <c r="L42" s="1"/>
    </row>
    <row r="43" spans="1:13" x14ac:dyDescent="0.45">
      <c r="A43" s="22"/>
      <c r="B43" s="164" t="s">
        <v>54</v>
      </c>
      <c r="C43" s="24">
        <f t="shared" ref="C43:H43" si="2">SUM(C38:C42)</f>
        <v>490</v>
      </c>
      <c r="D43" s="24">
        <f t="shared" si="2"/>
        <v>1887700</v>
      </c>
      <c r="E43" s="24">
        <f t="shared" si="2"/>
        <v>1809600</v>
      </c>
      <c r="F43" s="24">
        <f t="shared" si="2"/>
        <v>78100</v>
      </c>
      <c r="G43" s="24">
        <f t="shared" si="2"/>
        <v>0</v>
      </c>
      <c r="H43" s="24">
        <f t="shared" si="2"/>
        <v>0</v>
      </c>
      <c r="I43" s="24">
        <f>SUM(I38:I42)</f>
        <v>0</v>
      </c>
      <c r="J43" s="24">
        <f>SUM(J38:J42)</f>
        <v>1887700</v>
      </c>
      <c r="K43" s="18"/>
      <c r="L43" s="1"/>
    </row>
    <row r="44" spans="1:13" x14ac:dyDescent="0.45">
      <c r="A44" s="22"/>
      <c r="B44" s="164"/>
      <c r="C44" s="1"/>
      <c r="D44" s="18"/>
      <c r="E44" s="164"/>
      <c r="F44" s="164"/>
      <c r="G44" s="164"/>
      <c r="H44" s="164"/>
      <c r="I44" s="164"/>
      <c r="J44" s="1"/>
      <c r="K44" s="1"/>
      <c r="L44" s="18"/>
      <c r="M44" s="1"/>
    </row>
    <row r="45" spans="1:13" x14ac:dyDescent="0.45">
      <c r="A45" s="165" t="s">
        <v>195</v>
      </c>
      <c r="B45" s="165"/>
      <c r="C45" s="1"/>
      <c r="D45" s="18"/>
      <c r="E45" s="164"/>
      <c r="F45" s="164"/>
      <c r="G45" s="164"/>
      <c r="H45" s="164"/>
      <c r="I45" s="164"/>
      <c r="J45" s="1"/>
      <c r="K45" s="1"/>
      <c r="L45" s="18"/>
      <c r="M45" s="1"/>
    </row>
    <row r="46" spans="1:13" x14ac:dyDescent="0.45">
      <c r="A46" s="22"/>
      <c r="B46" s="199"/>
      <c r="C46" s="200" t="s">
        <v>52</v>
      </c>
      <c r="D46" s="127" t="s">
        <v>53</v>
      </c>
      <c r="E46" s="200" t="s">
        <v>55</v>
      </c>
      <c r="F46" s="200" t="s">
        <v>56</v>
      </c>
      <c r="G46" s="164"/>
      <c r="H46" s="164"/>
      <c r="I46" s="164"/>
      <c r="J46" s="1"/>
      <c r="K46" s="1"/>
      <c r="L46" s="18"/>
      <c r="M46" s="1"/>
    </row>
    <row r="47" spans="1:13" x14ac:dyDescent="0.45">
      <c r="A47" s="22" t="s">
        <v>49</v>
      </c>
      <c r="B47" s="164">
        <v>3000</v>
      </c>
      <c r="C47" s="18">
        <f>C43</f>
        <v>490</v>
      </c>
      <c r="D47" s="202">
        <f>E43</f>
        <v>1809600</v>
      </c>
      <c r="E47" s="206">
        <f>33.96*K2</f>
        <v>42.541691999999998</v>
      </c>
      <c r="F47" s="31">
        <f>E47*C47</f>
        <v>20845.429079999998</v>
      </c>
      <c r="G47" s="164"/>
      <c r="H47" s="1"/>
      <c r="I47" s="1"/>
      <c r="J47" s="1"/>
      <c r="K47" s="1"/>
      <c r="L47" s="18"/>
      <c r="M47" s="1"/>
    </row>
    <row r="48" spans="1:13" x14ac:dyDescent="0.45">
      <c r="A48" s="22" t="s">
        <v>132</v>
      </c>
      <c r="B48" s="164">
        <v>2000</v>
      </c>
      <c r="C48" s="1"/>
      <c r="D48" s="202">
        <f>F43</f>
        <v>78100</v>
      </c>
      <c r="E48" s="206">
        <f>10.89*K2</f>
        <v>13.641902999999999</v>
      </c>
      <c r="F48" s="18">
        <f>E48*(D48/1000)</f>
        <v>1065.4326242999998</v>
      </c>
      <c r="G48" s="164"/>
      <c r="H48" s="1"/>
      <c r="I48" s="1"/>
      <c r="J48" s="1"/>
      <c r="K48" s="1"/>
      <c r="L48" s="18"/>
      <c r="M48" s="1"/>
    </row>
    <row r="49" spans="1:13" x14ac:dyDescent="0.45">
      <c r="A49" s="22" t="s">
        <v>132</v>
      </c>
      <c r="B49" s="164">
        <f>B40</f>
        <v>5000</v>
      </c>
      <c r="C49" s="1"/>
      <c r="D49" s="202">
        <f>G43</f>
        <v>0</v>
      </c>
      <c r="E49" s="206">
        <f>10.08*K2</f>
        <v>12.627215999999999</v>
      </c>
      <c r="F49" s="18">
        <f>E49*(D49/1000)</f>
        <v>0</v>
      </c>
      <c r="G49" s="164"/>
      <c r="H49" s="1"/>
      <c r="I49" s="1"/>
      <c r="J49" s="1"/>
      <c r="K49" s="1"/>
      <c r="L49" s="18"/>
      <c r="M49" s="1"/>
    </row>
    <row r="50" spans="1:13" x14ac:dyDescent="0.45">
      <c r="A50" s="22" t="s">
        <v>132</v>
      </c>
      <c r="B50" s="164">
        <v>5000</v>
      </c>
      <c r="C50" s="1"/>
      <c r="D50" s="202"/>
      <c r="E50" s="206">
        <f>9.28*K2</f>
        <v>11.625055999999999</v>
      </c>
      <c r="F50" s="18"/>
      <c r="G50" s="164"/>
      <c r="H50" s="1"/>
      <c r="I50" s="1"/>
      <c r="J50" s="1"/>
      <c r="K50" s="1"/>
      <c r="L50" s="18"/>
      <c r="M50" s="1"/>
    </row>
    <row r="51" spans="1:13" x14ac:dyDescent="0.45">
      <c r="A51" s="22" t="s">
        <v>50</v>
      </c>
      <c r="B51" s="203">
        <v>15000</v>
      </c>
      <c r="C51" s="207"/>
      <c r="D51" s="205">
        <f>I43</f>
        <v>0</v>
      </c>
      <c r="E51" s="208">
        <f>8.91*K2</f>
        <v>11.161557</v>
      </c>
      <c r="F51" s="23">
        <f t="shared" ref="F51" si="3">E51*(D51/1000)</f>
        <v>0</v>
      </c>
      <c r="G51" s="164"/>
      <c r="H51" s="1"/>
      <c r="I51" s="1"/>
      <c r="J51" s="1"/>
      <c r="K51" s="1"/>
      <c r="L51" s="18"/>
      <c r="M51" s="1"/>
    </row>
    <row r="52" spans="1:13" x14ac:dyDescent="0.45">
      <c r="A52" s="22"/>
      <c r="B52" s="164" t="s">
        <v>54</v>
      </c>
      <c r="C52" s="18">
        <f>SUM(C47:C51)</f>
        <v>490</v>
      </c>
      <c r="D52" s="24">
        <f>SUM(D47:D51)</f>
        <v>1887700</v>
      </c>
      <c r="E52" s="1"/>
      <c r="F52" s="31">
        <f>SUM(F47:F51)</f>
        <v>21910.861704299998</v>
      </c>
      <c r="G52" s="31"/>
      <c r="H52" s="164"/>
      <c r="I52" s="209"/>
      <c r="J52" s="1"/>
      <c r="K52" s="1"/>
      <c r="L52" s="18"/>
      <c r="M52" s="1"/>
    </row>
    <row r="53" spans="1:13" x14ac:dyDescent="0.45">
      <c r="A53" s="22"/>
      <c r="B53" s="164"/>
      <c r="C53" s="18"/>
      <c r="D53" s="24"/>
      <c r="E53" s="1"/>
      <c r="F53" s="31"/>
      <c r="G53" s="164"/>
      <c r="H53" s="164"/>
      <c r="I53" s="164"/>
      <c r="J53" s="1"/>
      <c r="K53" s="1"/>
      <c r="L53" s="18"/>
      <c r="M53" s="1"/>
    </row>
    <row r="54" spans="1:13" ht="15.75" x14ac:dyDescent="0.5">
      <c r="A54" s="198" t="s">
        <v>198</v>
      </c>
      <c r="B54" s="1"/>
      <c r="C54" s="1"/>
      <c r="D54" s="18"/>
      <c r="E54" s="1"/>
      <c r="F54" s="1"/>
      <c r="G54" s="1"/>
      <c r="H54" s="1"/>
      <c r="I54" s="1"/>
      <c r="J54" s="1"/>
      <c r="K54" s="1"/>
      <c r="L54" s="18"/>
      <c r="M54" s="1"/>
    </row>
    <row r="55" spans="1:13" x14ac:dyDescent="0.45">
      <c r="A55" s="1"/>
      <c r="B55" s="1"/>
      <c r="C55" s="1"/>
      <c r="D55" s="18"/>
      <c r="E55" s="21" t="s">
        <v>49</v>
      </c>
      <c r="F55" s="21" t="s">
        <v>132</v>
      </c>
      <c r="G55" s="21" t="s">
        <v>50</v>
      </c>
      <c r="H55" s="1"/>
      <c r="I55" s="1"/>
      <c r="J55" s="1"/>
      <c r="K55" s="1"/>
      <c r="L55" s="1"/>
      <c r="M55" s="1"/>
    </row>
    <row r="56" spans="1:13" x14ac:dyDescent="0.45">
      <c r="A56" s="1"/>
      <c r="B56" s="199" t="s">
        <v>51</v>
      </c>
      <c r="C56" s="200" t="s">
        <v>52</v>
      </c>
      <c r="D56" s="127" t="s">
        <v>53</v>
      </c>
      <c r="E56" s="200">
        <f>B57</f>
        <v>5000</v>
      </c>
      <c r="F56" s="200">
        <f>B58</f>
        <v>5000</v>
      </c>
      <c r="G56" s="200">
        <f>B59</f>
        <v>10000</v>
      </c>
      <c r="H56" s="199" t="s">
        <v>54</v>
      </c>
      <c r="I56" s="1"/>
      <c r="J56" s="1"/>
      <c r="K56" s="1"/>
      <c r="L56" s="1"/>
      <c r="M56" s="1"/>
    </row>
    <row r="57" spans="1:13" x14ac:dyDescent="0.45">
      <c r="A57" s="22" t="s">
        <v>49</v>
      </c>
      <c r="B57" s="164">
        <v>5000</v>
      </c>
      <c r="C57" s="201">
        <v>12</v>
      </c>
      <c r="D57" s="202">
        <f>C57*E56</f>
        <v>60000</v>
      </c>
      <c r="E57" s="202">
        <f>D57</f>
        <v>60000</v>
      </c>
      <c r="F57" s="202">
        <v>0</v>
      </c>
      <c r="G57" s="202">
        <v>0</v>
      </c>
      <c r="H57" s="202">
        <f>SUM(E57:G57)</f>
        <v>60000</v>
      </c>
      <c r="I57" s="1"/>
      <c r="J57" s="1"/>
      <c r="K57" s="1"/>
      <c r="L57" s="1"/>
      <c r="M57" s="1"/>
    </row>
    <row r="58" spans="1:13" x14ac:dyDescent="0.45">
      <c r="A58" s="22" t="s">
        <v>132</v>
      </c>
      <c r="B58" s="164">
        <v>5000</v>
      </c>
      <c r="C58" s="201">
        <v>36</v>
      </c>
      <c r="D58" s="202">
        <f>ExBA!D58</f>
        <v>281500</v>
      </c>
      <c r="E58" s="202">
        <f>C58*E56</f>
        <v>180000</v>
      </c>
      <c r="F58" s="202">
        <f>D58-E58</f>
        <v>101500</v>
      </c>
      <c r="G58" s="202">
        <v>0</v>
      </c>
      <c r="H58" s="202">
        <f>SUM(E58:G58)</f>
        <v>281500</v>
      </c>
      <c r="I58" s="1"/>
      <c r="J58" s="1"/>
      <c r="K58" s="1"/>
      <c r="L58" s="1"/>
      <c r="M58" s="1"/>
    </row>
    <row r="59" spans="1:13" x14ac:dyDescent="0.45">
      <c r="A59" s="22" t="s">
        <v>50</v>
      </c>
      <c r="B59" s="203">
        <v>10000</v>
      </c>
      <c r="C59" s="204"/>
      <c r="D59" s="205"/>
      <c r="E59" s="205">
        <f>C59*E56</f>
        <v>0</v>
      </c>
      <c r="F59" s="205">
        <f>C59*F56</f>
        <v>0</v>
      </c>
      <c r="G59" s="205">
        <f>D59-E59-F59</f>
        <v>0</v>
      </c>
      <c r="H59" s="205">
        <f>SUM(E59:G59)</f>
        <v>0</v>
      </c>
      <c r="I59" s="1"/>
      <c r="J59" s="1"/>
      <c r="K59" s="1"/>
      <c r="L59" s="1"/>
      <c r="M59" s="1"/>
    </row>
    <row r="60" spans="1:13" x14ac:dyDescent="0.45">
      <c r="A60" s="22"/>
      <c r="B60" s="164"/>
      <c r="C60" s="24">
        <f t="shared" ref="C60:H60" si="4">SUM(C57:C59)</f>
        <v>48</v>
      </c>
      <c r="D60" s="24">
        <f t="shared" si="4"/>
        <v>341500</v>
      </c>
      <c r="E60" s="24">
        <f t="shared" si="4"/>
        <v>240000</v>
      </c>
      <c r="F60" s="24">
        <f t="shared" si="4"/>
        <v>101500</v>
      </c>
      <c r="G60" s="24">
        <f t="shared" si="4"/>
        <v>0</v>
      </c>
      <c r="H60" s="24">
        <f t="shared" si="4"/>
        <v>341500</v>
      </c>
      <c r="I60" s="168"/>
      <c r="J60" s="1"/>
      <c r="K60" s="18"/>
      <c r="L60" s="1"/>
      <c r="M60" s="1"/>
    </row>
    <row r="61" spans="1:13" x14ac:dyDescent="0.45">
      <c r="A61" s="22"/>
      <c r="B61" s="164"/>
      <c r="C61" s="1"/>
      <c r="D61" s="18"/>
      <c r="E61" s="164"/>
      <c r="F61" s="164"/>
      <c r="G61" s="164"/>
      <c r="H61" s="164"/>
      <c r="I61" s="164"/>
      <c r="J61" s="1"/>
      <c r="K61" s="1"/>
      <c r="L61" s="18"/>
      <c r="M61" s="1"/>
    </row>
    <row r="62" spans="1:13" x14ac:dyDescent="0.45">
      <c r="A62" s="165" t="s">
        <v>195</v>
      </c>
      <c r="B62" s="165"/>
      <c r="C62" s="1"/>
      <c r="D62" s="18"/>
      <c r="E62" s="164"/>
      <c r="F62" s="164"/>
      <c r="G62" s="164"/>
      <c r="H62" s="164"/>
      <c r="I62" s="164"/>
      <c r="J62" s="1"/>
      <c r="K62" s="1"/>
      <c r="L62" s="18"/>
      <c r="M62" s="1"/>
    </row>
    <row r="63" spans="1:13" x14ac:dyDescent="0.45">
      <c r="A63" s="22"/>
      <c r="B63" s="199"/>
      <c r="C63" s="200" t="s">
        <v>52</v>
      </c>
      <c r="D63" s="127" t="s">
        <v>53</v>
      </c>
      <c r="E63" s="200" t="s">
        <v>55</v>
      </c>
      <c r="F63" s="200" t="s">
        <v>56</v>
      </c>
      <c r="G63" s="164"/>
      <c r="H63" s="164"/>
      <c r="I63" s="164"/>
      <c r="J63" s="1"/>
      <c r="K63" s="1"/>
      <c r="L63" s="18"/>
      <c r="M63" s="1"/>
    </row>
    <row r="64" spans="1:13" x14ac:dyDescent="0.45">
      <c r="A64" s="22" t="s">
        <v>49</v>
      </c>
      <c r="B64" s="164">
        <f>B57</f>
        <v>5000</v>
      </c>
      <c r="C64" s="18">
        <f>C60</f>
        <v>48</v>
      </c>
      <c r="D64" s="202">
        <f>ExBA!D64</f>
        <v>240000</v>
      </c>
      <c r="E64" s="206">
        <f>44.64*K2</f>
        <v>55.920527999999997</v>
      </c>
      <c r="F64" s="31">
        <f>E64*C64</f>
        <v>2684.185344</v>
      </c>
      <c r="G64" s="164"/>
      <c r="H64" s="1"/>
      <c r="I64" s="1"/>
      <c r="J64" s="1"/>
      <c r="K64" s="1"/>
      <c r="L64" s="18"/>
      <c r="M64" s="1"/>
    </row>
    <row r="65" spans="1:13" x14ac:dyDescent="0.45">
      <c r="A65" s="22" t="s">
        <v>132</v>
      </c>
      <c r="B65" s="164">
        <v>5000</v>
      </c>
      <c r="C65" s="18"/>
      <c r="D65" s="202">
        <f>F60</f>
        <v>101500</v>
      </c>
      <c r="E65" s="206">
        <f>7.92*K2</f>
        <v>9.9213839999999998</v>
      </c>
      <c r="F65" s="24">
        <f t="shared" ref="F65" si="5">E65*(D65/1000)</f>
        <v>1007.020476</v>
      </c>
      <c r="G65" s="164"/>
      <c r="H65" s="1"/>
      <c r="I65" s="1"/>
      <c r="J65" s="1"/>
      <c r="K65" s="1"/>
      <c r="L65" s="18"/>
      <c r="M65" s="1"/>
    </row>
    <row r="66" spans="1:13" x14ac:dyDescent="0.45">
      <c r="A66" s="22" t="s">
        <v>50</v>
      </c>
      <c r="B66" s="203">
        <f>B59</f>
        <v>10000</v>
      </c>
      <c r="C66" s="207"/>
      <c r="D66" s="205">
        <f>G60</f>
        <v>0</v>
      </c>
      <c r="E66" s="208">
        <f>7.3*K2</f>
        <v>9.1447099999999999</v>
      </c>
      <c r="F66" s="23">
        <f>E66*(D66/1000)</f>
        <v>0</v>
      </c>
      <c r="G66" s="164"/>
      <c r="H66" s="1"/>
      <c r="I66" s="1"/>
      <c r="J66" s="1"/>
      <c r="K66" s="1"/>
      <c r="L66" s="18"/>
      <c r="M66" s="1"/>
    </row>
    <row r="67" spans="1:13" x14ac:dyDescent="0.45">
      <c r="A67" s="22"/>
      <c r="B67" s="164" t="s">
        <v>54</v>
      </c>
      <c r="C67" s="18">
        <f>SUM(C64:C66)</f>
        <v>48</v>
      </c>
      <c r="D67" s="24">
        <f>SUM(D64:D66)</f>
        <v>341500</v>
      </c>
      <c r="E67" s="1"/>
      <c r="F67" s="31">
        <f>SUM(F64:F66)</f>
        <v>3691.2058200000001</v>
      </c>
      <c r="G67" s="31"/>
      <c r="H67" s="164"/>
      <c r="I67" s="209"/>
      <c r="J67" s="1"/>
      <c r="K67" s="1"/>
      <c r="L67" s="18"/>
      <c r="M67" s="1"/>
    </row>
    <row r="68" spans="1:13" x14ac:dyDescent="0.45">
      <c r="A68" s="22"/>
      <c r="B68" s="164"/>
      <c r="C68" s="18"/>
      <c r="D68" s="24"/>
      <c r="E68" s="1"/>
      <c r="F68" s="31"/>
      <c r="G68" s="31"/>
      <c r="H68" s="164"/>
      <c r="I68" s="209"/>
      <c r="J68" s="1"/>
      <c r="K68" s="1"/>
      <c r="L68" s="18"/>
      <c r="M68" s="1"/>
    </row>
    <row r="69" spans="1:13" ht="15.75" x14ac:dyDescent="0.5">
      <c r="A69" s="198" t="s">
        <v>199</v>
      </c>
      <c r="B69" s="1"/>
      <c r="C69" s="1"/>
      <c r="D69" s="18"/>
      <c r="E69" s="1"/>
      <c r="F69" s="1"/>
      <c r="G69" s="1"/>
      <c r="H69" s="1"/>
      <c r="I69" s="209"/>
      <c r="J69" s="1"/>
      <c r="K69" s="1"/>
      <c r="L69" s="18"/>
      <c r="M69" s="1"/>
    </row>
    <row r="70" spans="1:13" x14ac:dyDescent="0.45">
      <c r="A70" s="1"/>
      <c r="B70" s="1"/>
      <c r="C70" s="1"/>
      <c r="D70" s="18"/>
      <c r="E70" s="21" t="s">
        <v>49</v>
      </c>
      <c r="F70" s="21" t="s">
        <v>132</v>
      </c>
      <c r="G70" s="21" t="s">
        <v>132</v>
      </c>
      <c r="H70" s="21" t="s">
        <v>50</v>
      </c>
      <c r="I70" s="1"/>
      <c r="J70" s="1"/>
      <c r="K70" s="1"/>
      <c r="L70" s="18"/>
      <c r="M70" s="1"/>
    </row>
    <row r="71" spans="1:13" x14ac:dyDescent="0.45">
      <c r="A71" s="1"/>
      <c r="B71" s="199" t="s">
        <v>51</v>
      </c>
      <c r="C71" s="200" t="s">
        <v>52</v>
      </c>
      <c r="D71" s="127" t="s">
        <v>53</v>
      </c>
      <c r="E71" s="200">
        <f>B72</f>
        <v>5000</v>
      </c>
      <c r="F71" s="200">
        <f>B73</f>
        <v>5000</v>
      </c>
      <c r="G71" s="200">
        <f>B74</f>
        <v>5000</v>
      </c>
      <c r="H71" s="200">
        <f>B75</f>
        <v>15000</v>
      </c>
      <c r="I71" s="199" t="s">
        <v>54</v>
      </c>
      <c r="J71" s="1"/>
      <c r="K71" s="1"/>
      <c r="L71" s="18"/>
      <c r="M71" s="1"/>
    </row>
    <row r="72" spans="1:13" x14ac:dyDescent="0.45">
      <c r="A72" s="22" t="s">
        <v>49</v>
      </c>
      <c r="B72" s="164">
        <v>5000</v>
      </c>
      <c r="C72" s="201">
        <f>ExBA!C72</f>
        <v>72</v>
      </c>
      <c r="D72" s="202">
        <f>ExBA!D72</f>
        <v>327700</v>
      </c>
      <c r="E72" s="202">
        <f>D72</f>
        <v>327700</v>
      </c>
      <c r="F72" s="202">
        <v>0</v>
      </c>
      <c r="G72" s="202">
        <v>0</v>
      </c>
      <c r="H72" s="202">
        <v>0</v>
      </c>
      <c r="I72" s="202">
        <f>SUM(E72:H72)</f>
        <v>327700</v>
      </c>
      <c r="J72" s="1"/>
      <c r="K72" s="1"/>
      <c r="L72" s="18"/>
      <c r="M72" s="1"/>
    </row>
    <row r="73" spans="1:13" x14ac:dyDescent="0.45">
      <c r="A73" s="22" t="s">
        <v>132</v>
      </c>
      <c r="B73" s="164">
        <v>5000</v>
      </c>
      <c r="C73" s="201"/>
      <c r="D73" s="202"/>
      <c r="E73" s="202">
        <f>C73*E71</f>
        <v>0</v>
      </c>
      <c r="F73" s="202">
        <f>C73*F71</f>
        <v>0</v>
      </c>
      <c r="G73" s="202">
        <f>E73-F73</f>
        <v>0</v>
      </c>
      <c r="H73" s="202">
        <v>0</v>
      </c>
      <c r="I73" s="202">
        <f>SUM(E73:H73)</f>
        <v>0</v>
      </c>
      <c r="J73" s="1"/>
      <c r="K73" s="1"/>
      <c r="L73" s="18"/>
      <c r="M73" s="1"/>
    </row>
    <row r="74" spans="1:13" x14ac:dyDescent="0.45">
      <c r="A74" s="22" t="s">
        <v>132</v>
      </c>
      <c r="B74" s="164">
        <v>5000</v>
      </c>
      <c r="C74" s="201"/>
      <c r="D74" s="202"/>
      <c r="E74" s="202"/>
      <c r="F74" s="202"/>
      <c r="G74" s="202"/>
      <c r="H74" s="202"/>
      <c r="I74" s="202">
        <f>SUM(E74:H74)</f>
        <v>0</v>
      </c>
      <c r="J74" s="1"/>
      <c r="K74" s="1"/>
      <c r="L74" s="18"/>
      <c r="M74" s="1"/>
    </row>
    <row r="75" spans="1:13" x14ac:dyDescent="0.45">
      <c r="A75" s="22" t="s">
        <v>50</v>
      </c>
      <c r="B75" s="203">
        <v>15000</v>
      </c>
      <c r="C75" s="204"/>
      <c r="D75" s="205"/>
      <c r="E75" s="205">
        <f>$C75*E$58</f>
        <v>0</v>
      </c>
      <c r="F75" s="205">
        <f>C75*F71</f>
        <v>0</v>
      </c>
      <c r="G75" s="205">
        <f>D75*G71</f>
        <v>0</v>
      </c>
      <c r="H75" s="205">
        <f>D75-E75-F75</f>
        <v>0</v>
      </c>
      <c r="I75" s="205">
        <f>SUM(E75:H75)</f>
        <v>0</v>
      </c>
      <c r="J75" s="1"/>
      <c r="K75" s="1"/>
      <c r="L75" s="18"/>
      <c r="M75" s="1"/>
    </row>
    <row r="76" spans="1:13" x14ac:dyDescent="0.45">
      <c r="A76" s="22"/>
      <c r="B76" s="164"/>
      <c r="C76" s="24">
        <f t="shared" ref="C76:G76" si="6">SUM(C72:C75)</f>
        <v>72</v>
      </c>
      <c r="D76" s="24">
        <f t="shared" si="6"/>
        <v>327700</v>
      </c>
      <c r="E76" s="24">
        <f t="shared" si="6"/>
        <v>327700</v>
      </c>
      <c r="F76" s="24">
        <f t="shared" si="6"/>
        <v>0</v>
      </c>
      <c r="G76" s="24">
        <f t="shared" si="6"/>
        <v>0</v>
      </c>
      <c r="H76" s="24">
        <f>SUM(H72:H75)</f>
        <v>0</v>
      </c>
      <c r="I76" s="24">
        <f>SUM(I72:I75)</f>
        <v>327700</v>
      </c>
      <c r="J76" s="1"/>
      <c r="K76" s="1"/>
      <c r="L76" s="18"/>
      <c r="M76" s="1"/>
    </row>
    <row r="77" spans="1:13" x14ac:dyDescent="0.45">
      <c r="A77" s="22"/>
      <c r="B77" s="164"/>
      <c r="C77" s="1"/>
      <c r="D77" s="18"/>
      <c r="E77" s="164"/>
      <c r="F77" s="164"/>
      <c r="G77" s="164"/>
      <c r="H77" s="164"/>
      <c r="I77" s="209"/>
      <c r="J77" s="1"/>
      <c r="K77" s="1"/>
      <c r="L77" s="18"/>
      <c r="M77" s="1"/>
    </row>
    <row r="78" spans="1:13" x14ac:dyDescent="0.45">
      <c r="A78" s="165" t="s">
        <v>195</v>
      </c>
      <c r="B78" s="165"/>
      <c r="C78" s="1"/>
      <c r="D78" s="18"/>
      <c r="E78" s="164"/>
      <c r="F78" s="164"/>
      <c r="G78" s="164"/>
      <c r="H78" s="164"/>
      <c r="I78" s="209"/>
      <c r="J78" s="1"/>
      <c r="K78" s="1"/>
      <c r="L78" s="18"/>
      <c r="M78" s="1"/>
    </row>
    <row r="79" spans="1:13" x14ac:dyDescent="0.45">
      <c r="A79" s="22"/>
      <c r="B79" s="199"/>
      <c r="C79" s="200" t="s">
        <v>52</v>
      </c>
      <c r="D79" s="127" t="s">
        <v>53</v>
      </c>
      <c r="E79" s="200" t="s">
        <v>55</v>
      </c>
      <c r="F79" s="200" t="s">
        <v>56</v>
      </c>
      <c r="G79" s="164"/>
      <c r="H79" s="164"/>
      <c r="I79" s="209"/>
      <c r="J79" s="1"/>
      <c r="K79" s="1"/>
      <c r="L79" s="18"/>
      <c r="M79" s="1"/>
    </row>
    <row r="80" spans="1:13" x14ac:dyDescent="0.45">
      <c r="A80" s="22" t="s">
        <v>49</v>
      </c>
      <c r="B80" s="164">
        <f>B72</f>
        <v>5000</v>
      </c>
      <c r="C80" s="18">
        <f>C76</f>
        <v>72</v>
      </c>
      <c r="D80" s="202">
        <f>E76</f>
        <v>327700</v>
      </c>
      <c r="E80" s="206">
        <f>55.74*K2</f>
        <v>69.825497999999996</v>
      </c>
      <c r="F80" s="31">
        <f>E80*C80</f>
        <v>5027.4358560000001</v>
      </c>
      <c r="G80" s="164"/>
      <c r="H80" s="1"/>
      <c r="I80" s="209"/>
      <c r="J80" s="1"/>
      <c r="K80" s="1"/>
      <c r="L80" s="18"/>
      <c r="M80" s="1"/>
    </row>
    <row r="81" spans="1:13" x14ac:dyDescent="0.45">
      <c r="A81" s="22" t="s">
        <v>132</v>
      </c>
      <c r="B81" s="164">
        <v>5000</v>
      </c>
      <c r="C81" s="18"/>
      <c r="D81" s="202">
        <f>F76</f>
        <v>0</v>
      </c>
      <c r="E81" s="206">
        <f>10.08*K2</f>
        <v>12.627215999999999</v>
      </c>
      <c r="F81" s="24">
        <f t="shared" ref="F81:F82" si="7">E81*(D81/1000)</f>
        <v>0</v>
      </c>
      <c r="G81" s="164"/>
      <c r="H81" s="1"/>
      <c r="I81" s="209"/>
      <c r="J81" s="1"/>
      <c r="K81" s="1"/>
      <c r="L81" s="18"/>
      <c r="M81" s="1"/>
    </row>
    <row r="82" spans="1:13" x14ac:dyDescent="0.45">
      <c r="A82" s="22" t="s">
        <v>132</v>
      </c>
      <c r="B82" s="164">
        <v>5000</v>
      </c>
      <c r="C82" s="18"/>
      <c r="D82" s="202">
        <f>G76</f>
        <v>0</v>
      </c>
      <c r="E82" s="206">
        <f>9.28*K2</f>
        <v>11.625055999999999</v>
      </c>
      <c r="F82" s="24">
        <f t="shared" si="7"/>
        <v>0</v>
      </c>
      <c r="G82" s="164"/>
      <c r="H82" s="1"/>
      <c r="I82" s="209"/>
      <c r="J82" s="1"/>
      <c r="K82" s="1"/>
      <c r="L82" s="18"/>
      <c r="M82" s="1"/>
    </row>
    <row r="83" spans="1:13" x14ac:dyDescent="0.45">
      <c r="A83" s="22" t="s">
        <v>50</v>
      </c>
      <c r="B83" s="203">
        <f>B75</f>
        <v>15000</v>
      </c>
      <c r="C83" s="207"/>
      <c r="D83" s="205">
        <f>H76</f>
        <v>0</v>
      </c>
      <c r="E83" s="208">
        <f>8.91*K2</f>
        <v>11.161557</v>
      </c>
      <c r="F83" s="23">
        <f>E83*(D83/1000)</f>
        <v>0</v>
      </c>
      <c r="G83" s="164"/>
      <c r="H83" s="1"/>
      <c r="I83" s="209"/>
      <c r="J83" s="1"/>
      <c r="K83" s="1"/>
      <c r="L83" s="18"/>
      <c r="M83" s="1"/>
    </row>
    <row r="84" spans="1:13" x14ac:dyDescent="0.45">
      <c r="A84" s="22"/>
      <c r="B84" s="164" t="s">
        <v>54</v>
      </c>
      <c r="C84" s="18">
        <f>SUM(C80:C83)</f>
        <v>72</v>
      </c>
      <c r="D84" s="24">
        <f>SUM(D80:D83)</f>
        <v>327700</v>
      </c>
      <c r="E84" s="1"/>
      <c r="F84" s="31">
        <f>SUM(F80:F83)</f>
        <v>5027.4358560000001</v>
      </c>
      <c r="G84" s="31"/>
      <c r="H84" s="164"/>
      <c r="I84" s="209"/>
      <c r="J84" s="1"/>
      <c r="K84" s="1"/>
      <c r="L84" s="18"/>
      <c r="M84" s="1"/>
    </row>
    <row r="85" spans="1:13" x14ac:dyDescent="0.45">
      <c r="A85" s="22"/>
      <c r="B85" s="164"/>
      <c r="C85" s="18"/>
      <c r="D85" s="24"/>
      <c r="E85" s="1"/>
      <c r="F85" s="31"/>
      <c r="G85" s="31"/>
      <c r="H85" s="164"/>
      <c r="I85" s="209"/>
      <c r="J85" s="1"/>
      <c r="K85" s="1"/>
      <c r="L85" s="18"/>
      <c r="M85" s="1"/>
    </row>
    <row r="86" spans="1:13" ht="15.75" x14ac:dyDescent="0.5">
      <c r="A86" s="198" t="s">
        <v>197</v>
      </c>
      <c r="B86" s="1"/>
      <c r="C86" s="1"/>
      <c r="D86" s="18"/>
      <c r="E86" s="1"/>
      <c r="F86" s="1"/>
      <c r="G86" s="1"/>
      <c r="H86" s="1"/>
      <c r="I86" s="1"/>
      <c r="J86" s="1"/>
      <c r="K86" s="1"/>
      <c r="L86" s="18"/>
      <c r="M86" s="1"/>
    </row>
    <row r="87" spans="1:13" x14ac:dyDescent="0.45">
      <c r="A87" s="1"/>
      <c r="B87" s="1"/>
      <c r="C87" s="1"/>
      <c r="D87" s="18"/>
      <c r="E87" s="21" t="s">
        <v>49</v>
      </c>
      <c r="F87" s="21" t="s">
        <v>50</v>
      </c>
      <c r="G87" s="1"/>
      <c r="H87" s="1"/>
      <c r="I87" s="1"/>
      <c r="J87" s="1"/>
      <c r="K87" s="18"/>
      <c r="L87" s="1"/>
      <c r="M87" s="1"/>
    </row>
    <row r="88" spans="1:13" x14ac:dyDescent="0.45">
      <c r="A88" s="1"/>
      <c r="B88" s="199" t="s">
        <v>51</v>
      </c>
      <c r="C88" s="200" t="s">
        <v>52</v>
      </c>
      <c r="D88" s="127" t="s">
        <v>53</v>
      </c>
      <c r="E88" s="200">
        <f>B89</f>
        <v>15000</v>
      </c>
      <c r="F88" s="200">
        <f>B90</f>
        <v>15000</v>
      </c>
      <c r="G88" s="199" t="s">
        <v>54</v>
      </c>
      <c r="H88" s="1"/>
      <c r="I88" s="1"/>
      <c r="J88" s="1"/>
      <c r="K88" s="1"/>
      <c r="L88" s="1"/>
      <c r="M88" s="1"/>
    </row>
    <row r="89" spans="1:13" x14ac:dyDescent="0.45">
      <c r="A89" s="22" t="s">
        <v>49</v>
      </c>
      <c r="B89" s="164">
        <v>15000</v>
      </c>
      <c r="C89" s="201">
        <v>0</v>
      </c>
      <c r="D89" s="202">
        <v>900000</v>
      </c>
      <c r="E89" s="202">
        <f>D89</f>
        <v>900000</v>
      </c>
      <c r="F89" s="202">
        <v>0</v>
      </c>
      <c r="G89" s="202">
        <f>SUM(E89:F89)</f>
        <v>900000</v>
      </c>
      <c r="H89" s="1"/>
      <c r="I89" s="1"/>
      <c r="J89" s="1"/>
      <c r="K89" s="210"/>
      <c r="L89" s="1"/>
      <c r="M89" s="1"/>
    </row>
    <row r="90" spans="1:13" x14ac:dyDescent="0.45">
      <c r="A90" s="22" t="s">
        <v>50</v>
      </c>
      <c r="B90" s="203">
        <v>15000</v>
      </c>
      <c r="C90" s="204">
        <v>60</v>
      </c>
      <c r="D90" s="205">
        <f>ExBA!D90</f>
        <v>1410200</v>
      </c>
      <c r="E90" s="205">
        <f>C90*E88</f>
        <v>900000</v>
      </c>
      <c r="F90" s="205">
        <f>D90-E90</f>
        <v>510200</v>
      </c>
      <c r="G90" s="205">
        <f>SUM(E90:F90)</f>
        <v>1410200</v>
      </c>
      <c r="H90" s="18"/>
      <c r="I90" s="18"/>
      <c r="J90" s="1"/>
      <c r="K90" s="21"/>
      <c r="L90" s="1"/>
      <c r="M90" s="1"/>
    </row>
    <row r="91" spans="1:13" x14ac:dyDescent="0.45">
      <c r="A91" s="22"/>
      <c r="B91" s="164"/>
      <c r="C91" s="18">
        <f>SUM(C89:C90)</f>
        <v>60</v>
      </c>
      <c r="D91" s="24">
        <f>SUM(D89:D90)</f>
        <v>2310200</v>
      </c>
      <c r="E91" s="24">
        <f>SUM(E89:E90)</f>
        <v>1800000</v>
      </c>
      <c r="F91" s="24">
        <f>SUM(F89:F90)</f>
        <v>510200</v>
      </c>
      <c r="G91" s="24">
        <f>SUM(G89:G90)</f>
        <v>2310200</v>
      </c>
      <c r="H91" s="1"/>
      <c r="I91" s="1"/>
      <c r="J91" s="1"/>
      <c r="K91" s="1"/>
      <c r="L91" s="18"/>
      <c r="M91" s="1"/>
    </row>
    <row r="92" spans="1:13" x14ac:dyDescent="0.45">
      <c r="A92" s="22"/>
      <c r="B92" s="164"/>
      <c r="C92" s="1"/>
      <c r="D92" s="18"/>
      <c r="E92" s="164"/>
      <c r="F92" s="164"/>
      <c r="G92" s="164"/>
      <c r="H92" s="164"/>
      <c r="I92" s="164"/>
      <c r="J92" s="1"/>
      <c r="K92" s="1"/>
      <c r="L92" s="18"/>
      <c r="M92" s="1"/>
    </row>
    <row r="93" spans="1:13" x14ac:dyDescent="0.45">
      <c r="A93" s="165" t="s">
        <v>195</v>
      </c>
      <c r="B93" s="165"/>
      <c r="C93" s="1"/>
      <c r="D93" s="18"/>
      <c r="E93" s="164"/>
      <c r="F93" s="164"/>
      <c r="G93" s="164"/>
      <c r="H93" s="164"/>
      <c r="I93" s="164"/>
      <c r="J93" s="1"/>
      <c r="K93" s="1"/>
      <c r="L93" s="18"/>
      <c r="M93" s="1"/>
    </row>
    <row r="94" spans="1:13" x14ac:dyDescent="0.45">
      <c r="A94" s="22"/>
      <c r="B94" s="199"/>
      <c r="C94" s="200" t="s">
        <v>52</v>
      </c>
      <c r="D94" s="127" t="s">
        <v>53</v>
      </c>
      <c r="E94" s="200" t="s">
        <v>55</v>
      </c>
      <c r="F94" s="200" t="s">
        <v>56</v>
      </c>
      <c r="G94" s="164"/>
      <c r="H94" s="164"/>
      <c r="I94" s="164"/>
      <c r="J94" s="1"/>
      <c r="K94" s="1"/>
      <c r="L94" s="18"/>
      <c r="M94" s="1"/>
    </row>
    <row r="95" spans="1:13" x14ac:dyDescent="0.45">
      <c r="A95" s="22" t="s">
        <v>49</v>
      </c>
      <c r="B95" s="164">
        <f>B89</f>
        <v>15000</v>
      </c>
      <c r="C95" s="18">
        <f>C91</f>
        <v>60</v>
      </c>
      <c r="D95" s="202">
        <f>E91</f>
        <v>1800000</v>
      </c>
      <c r="E95" s="206">
        <f>152.54*K2</f>
        <v>191.08685799999998</v>
      </c>
      <c r="F95" s="31">
        <f>E95*C95</f>
        <v>11465.211479999998</v>
      </c>
      <c r="G95" s="164"/>
      <c r="H95" s="164"/>
      <c r="I95" s="164"/>
      <c r="J95" s="1"/>
      <c r="K95" s="1"/>
      <c r="L95" s="18"/>
      <c r="M95" s="1"/>
    </row>
    <row r="96" spans="1:13" x14ac:dyDescent="0.45">
      <c r="A96" s="22" t="s">
        <v>50</v>
      </c>
      <c r="B96" s="203">
        <f>B90</f>
        <v>15000</v>
      </c>
      <c r="C96" s="23"/>
      <c r="D96" s="205">
        <f>F91</f>
        <v>510200</v>
      </c>
      <c r="E96" s="208">
        <f>8.91*K2</f>
        <v>11.161557</v>
      </c>
      <c r="F96" s="23">
        <f t="shared" ref="F96" si="8">E96*(D96/1000)</f>
        <v>5694.6263814000004</v>
      </c>
      <c r="G96" s="164"/>
      <c r="H96" s="164"/>
      <c r="I96" s="164"/>
      <c r="J96" s="1"/>
      <c r="K96" s="1"/>
      <c r="L96" s="18"/>
      <c r="M96" s="1"/>
    </row>
    <row r="97" spans="1:13" x14ac:dyDescent="0.45">
      <c r="A97" s="22"/>
      <c r="B97" s="164" t="s">
        <v>54</v>
      </c>
      <c r="C97" s="18">
        <f>SUM(C95:C96)</f>
        <v>60</v>
      </c>
      <c r="D97" s="24">
        <f>SUM(D95:D96)</f>
        <v>2310200</v>
      </c>
      <c r="E97" s="1"/>
      <c r="F97" s="31">
        <f>SUM(F95:F96)</f>
        <v>17159.837861399999</v>
      </c>
      <c r="G97" s="31"/>
      <c r="H97" s="164"/>
      <c r="I97" s="209"/>
      <c r="J97" s="1"/>
      <c r="K97" s="1"/>
      <c r="L97" s="18"/>
      <c r="M97" s="1"/>
    </row>
    <row r="98" spans="1:13" x14ac:dyDescent="0.45">
      <c r="A98" s="22"/>
      <c r="B98" s="164"/>
      <c r="C98" s="18"/>
      <c r="D98" s="24"/>
      <c r="E98" s="1"/>
      <c r="F98" s="31"/>
      <c r="G98" s="31"/>
      <c r="H98" s="164"/>
      <c r="I98" s="209"/>
      <c r="J98" s="1"/>
      <c r="K98" s="1"/>
      <c r="L98" s="18"/>
      <c r="M98" s="1"/>
    </row>
  </sheetData>
  <mergeCells count="3">
    <mergeCell ref="A1:G1"/>
    <mergeCell ref="A2:G2"/>
    <mergeCell ref="C4:F4"/>
  </mergeCells>
  <pageMargins left="0.7" right="0.7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SAO</vt:lpstr>
      <vt:lpstr>Wages</vt:lpstr>
      <vt:lpstr>Debt Service</vt:lpstr>
      <vt:lpstr>Depreciation</vt:lpstr>
      <vt:lpstr>Rates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PrBA!Print_Area</vt:lpstr>
      <vt:lpstr>Rates!Print_Area</vt:lpstr>
      <vt:lpstr>SAO!Print_Area</vt:lpstr>
      <vt:lpstr>Wages!Print_Area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2024-01-22T16:11:04Z</cp:lastPrinted>
  <dcterms:created xsi:type="dcterms:W3CDTF">2016-05-18T14:12:06Z</dcterms:created>
  <dcterms:modified xsi:type="dcterms:W3CDTF">2024-01-24T20:23:40Z</dcterms:modified>
</cp:coreProperties>
</file>