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Big Sandy/2022 Rate Case 2023-00xxx/COSS ^0 Rates/"/>
    </mc:Choice>
  </mc:AlternateContent>
  <xr:revisionPtr revIDLastSave="0" documentId="8_{8777A845-257B-4D06-AA96-D8B5DAA47F34}" xr6:coauthVersionLast="47" xr6:coauthVersionMax="47" xr10:uidLastSave="{00000000-0000-0000-0000-000000000000}"/>
  <bookViews>
    <workbookView xWindow="-108" yWindow="-108" windowWidth="23256" windowHeight="12456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Detail'!$A$1:$L$114</definedName>
    <definedName name="_xlnm.Print_Area" localSheetId="2">'Notice Table'!$A$1:$G$57</definedName>
    <definedName name="_xlnm.Print_Area" localSheetId="0">Summary!$A$1:$H$27</definedName>
    <definedName name="_xlnm.Print_Titles" localSheetId="1">'Billing Detail'!$1:$5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4" i="1" l="1"/>
  <c r="L105" i="1"/>
  <c r="H19" i="2" s="1"/>
  <c r="L106" i="1"/>
  <c r="H20" i="2" s="1"/>
  <c r="H21" i="2"/>
  <c r="L108" i="1"/>
  <c r="H22" i="2" s="1"/>
  <c r="H18" i="2"/>
  <c r="G22" i="2"/>
  <c r="G19" i="2"/>
  <c r="G20" i="2"/>
  <c r="G21" i="2"/>
  <c r="G18" i="2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K108" i="1" l="1"/>
  <c r="K107" i="1"/>
  <c r="K106" i="1"/>
  <c r="K105" i="1"/>
  <c r="K104" i="1"/>
  <c r="J108" i="1"/>
  <c r="J107" i="1"/>
  <c r="J106" i="1"/>
  <c r="J105" i="1"/>
  <c r="J104" i="1"/>
  <c r="G104" i="1"/>
  <c r="G105" i="1"/>
  <c r="G106" i="1"/>
  <c r="G107" i="1"/>
  <c r="G108" i="1"/>
  <c r="A8" i="2"/>
  <c r="A19" i="1"/>
  <c r="I8" i="1"/>
  <c r="G25" i="2"/>
  <c r="H9" i="1"/>
  <c r="I9" i="1" s="1"/>
  <c r="R8" i="1"/>
  <c r="R10" i="1" s="1"/>
  <c r="Q16" i="1" s="1"/>
  <c r="R16" i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76" i="1"/>
  <c r="I76" i="1" s="1"/>
  <c r="H65" i="1"/>
  <c r="I65" i="1" s="1"/>
  <c r="H64" i="1"/>
  <c r="I64" i="1" s="1"/>
  <c r="H63" i="1"/>
  <c r="I63" i="1" s="1"/>
  <c r="H62" i="1"/>
  <c r="I62" i="1" s="1"/>
  <c r="H61" i="1"/>
  <c r="I61" i="1" s="1"/>
  <c r="H50" i="1"/>
  <c r="I50" i="1" s="1"/>
  <c r="H49" i="1"/>
  <c r="I49" i="1" s="1"/>
  <c r="H48" i="1"/>
  <c r="I48" i="1" s="1"/>
  <c r="H47" i="1"/>
  <c r="I47" i="1" s="1"/>
  <c r="H36" i="1"/>
  <c r="I36" i="1" s="1"/>
  <c r="H35" i="1"/>
  <c r="I35" i="1" s="1"/>
  <c r="H34" i="1"/>
  <c r="I34" i="1" s="1"/>
  <c r="H33" i="1"/>
  <c r="I33" i="1" s="1"/>
  <c r="H22" i="1"/>
  <c r="I22" i="1" s="1"/>
  <c r="H21" i="1"/>
  <c r="I21" i="1" s="1"/>
  <c r="H20" i="1"/>
  <c r="I20" i="1" s="1"/>
  <c r="R14" i="1" l="1"/>
  <c r="R12" i="1"/>
  <c r="R13" i="1"/>
  <c r="J67" i="1" l="1"/>
  <c r="K67" i="1" s="1"/>
  <c r="F34" i="3"/>
  <c r="F33" i="3"/>
  <c r="F32" i="3"/>
  <c r="E25" i="3"/>
  <c r="F25" i="3"/>
  <c r="E26" i="3"/>
  <c r="F26" i="3"/>
  <c r="E27" i="3"/>
  <c r="F27" i="3"/>
  <c r="E28" i="3"/>
  <c r="F28" i="3"/>
  <c r="F24" i="3"/>
  <c r="E24" i="3"/>
  <c r="D23" i="3"/>
  <c r="C23" i="3"/>
  <c r="E20" i="3"/>
  <c r="F20" i="3"/>
  <c r="E21" i="3"/>
  <c r="F21" i="3"/>
  <c r="E22" i="3"/>
  <c r="F22" i="3"/>
  <c r="E19" i="3"/>
  <c r="F19" i="3"/>
  <c r="E15" i="3"/>
  <c r="F15" i="3"/>
  <c r="E16" i="3"/>
  <c r="F16" i="3"/>
  <c r="E17" i="3"/>
  <c r="F17" i="3"/>
  <c r="C11" i="2"/>
  <c r="B11" i="2"/>
  <c r="D56" i="3" s="1"/>
  <c r="E73" i="1"/>
  <c r="E56" i="3" s="1"/>
  <c r="J70" i="1"/>
  <c r="J69" i="1"/>
  <c r="K69" i="1" s="1"/>
  <c r="J68" i="1"/>
  <c r="K68" i="1" s="1"/>
  <c r="G65" i="1"/>
  <c r="G64" i="1"/>
  <c r="G61" i="1"/>
  <c r="D44" i="3" l="1"/>
  <c r="C56" i="3"/>
  <c r="C44" i="3"/>
  <c r="G62" i="1"/>
  <c r="G63" i="1"/>
  <c r="G71" i="1"/>
  <c r="J71" i="1"/>
  <c r="G91" i="1"/>
  <c r="G80" i="1"/>
  <c r="G81" i="1"/>
  <c r="G82" i="1"/>
  <c r="G48" i="1"/>
  <c r="G49" i="1"/>
  <c r="G34" i="1"/>
  <c r="G35" i="1"/>
  <c r="E18" i="2" l="1"/>
  <c r="G66" i="1"/>
  <c r="D11" i="2"/>
  <c r="K71" i="1"/>
  <c r="E58" i="1"/>
  <c r="E55" i="3" s="1"/>
  <c r="E44" i="1"/>
  <c r="E54" i="3" s="1"/>
  <c r="E30" i="1"/>
  <c r="E53" i="3" s="1"/>
  <c r="G72" i="1" l="1"/>
  <c r="G73" i="1" s="1"/>
  <c r="E11" i="2"/>
  <c r="E17" i="1"/>
  <c r="E52" i="3" s="1"/>
  <c r="F30" i="3" l="1"/>
  <c r="F31" i="3"/>
  <c r="C29" i="3"/>
  <c r="D29" i="3"/>
  <c r="C18" i="3"/>
  <c r="D18" i="3"/>
  <c r="E14" i="3"/>
  <c r="C13" i="3"/>
  <c r="D13" i="3"/>
  <c r="E11" i="3"/>
  <c r="F11" i="3"/>
  <c r="E12" i="3"/>
  <c r="F12" i="3"/>
  <c r="F10" i="3"/>
  <c r="E10" i="3"/>
  <c r="C9" i="3"/>
  <c r="D9" i="3"/>
  <c r="E7" i="3"/>
  <c r="F7" i="3"/>
  <c r="F6" i="3"/>
  <c r="E6" i="3"/>
  <c r="C5" i="3"/>
  <c r="D5" i="3"/>
  <c r="F14" i="3" l="1"/>
  <c r="A1" i="3" l="1"/>
  <c r="C9" i="2" l="1"/>
  <c r="C54" i="3" l="1"/>
  <c r="C42" i="3"/>
  <c r="G50" i="1"/>
  <c r="G36" i="1" l="1"/>
  <c r="G21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l="1"/>
  <c r="A75" i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J55" i="1"/>
  <c r="J54" i="1"/>
  <c r="J53" i="1"/>
  <c r="J41" i="1"/>
  <c r="J40" i="1"/>
  <c r="J39" i="1"/>
  <c r="J27" i="1"/>
  <c r="B21" i="2"/>
  <c r="A111" i="1" l="1"/>
  <c r="A112" i="1" s="1"/>
  <c r="A113" i="1" s="1"/>
  <c r="A114" i="1" s="1"/>
  <c r="E19" i="2"/>
  <c r="E21" i="2"/>
  <c r="A61" i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62" i="1"/>
  <c r="J13" i="1"/>
  <c r="J12" i="1"/>
  <c r="J14" i="1"/>
  <c r="F21" i="2" s="1"/>
  <c r="G42" i="1"/>
  <c r="J25" i="1"/>
  <c r="J26" i="1"/>
  <c r="D21" i="2"/>
  <c r="E20" i="2" l="1"/>
  <c r="G15" i="1"/>
  <c r="G56" i="1"/>
  <c r="G28" i="1"/>
  <c r="G92" i="1"/>
  <c r="G90" i="1"/>
  <c r="G89" i="1"/>
  <c r="G88" i="1"/>
  <c r="G87" i="1"/>
  <c r="G86" i="1"/>
  <c r="G85" i="1"/>
  <c r="G84" i="1"/>
  <c r="G83" i="1"/>
  <c r="G79" i="1"/>
  <c r="G78" i="1"/>
  <c r="G77" i="1"/>
  <c r="D20" i="2" l="1"/>
  <c r="D19" i="2"/>
  <c r="C8" i="2"/>
  <c r="C10" i="2"/>
  <c r="C12" i="2"/>
  <c r="B12" i="2"/>
  <c r="B10" i="2"/>
  <c r="B9" i="2"/>
  <c r="B8" i="2"/>
  <c r="C7" i="2"/>
  <c r="B7" i="2"/>
  <c r="K40" i="1"/>
  <c r="K39" i="1"/>
  <c r="J38" i="1"/>
  <c r="G33" i="1"/>
  <c r="K25" i="1"/>
  <c r="J24" i="1"/>
  <c r="G22" i="1"/>
  <c r="G20" i="1"/>
  <c r="K54" i="1"/>
  <c r="K53" i="1"/>
  <c r="J52" i="1"/>
  <c r="G47" i="1"/>
  <c r="D45" i="3" l="1"/>
  <c r="D57" i="3"/>
  <c r="C57" i="3"/>
  <c r="C45" i="3"/>
  <c r="C53" i="3"/>
  <c r="C41" i="3"/>
  <c r="D53" i="3"/>
  <c r="D41" i="3"/>
  <c r="C52" i="3"/>
  <c r="C40" i="3"/>
  <c r="C55" i="3"/>
  <c r="C43" i="3"/>
  <c r="D55" i="3"/>
  <c r="D43" i="3"/>
  <c r="D54" i="3"/>
  <c r="D42" i="3"/>
  <c r="D40" i="3"/>
  <c r="D52" i="3"/>
  <c r="K52" i="1"/>
  <c r="J56" i="1"/>
  <c r="K38" i="1"/>
  <c r="J42" i="1"/>
  <c r="K24" i="1"/>
  <c r="J28" i="1"/>
  <c r="K28" i="1" s="1"/>
  <c r="D9" i="2"/>
  <c r="D18" i="2"/>
  <c r="D22" i="2" s="1"/>
  <c r="G37" i="1"/>
  <c r="K26" i="1"/>
  <c r="G23" i="1"/>
  <c r="G51" i="1"/>
  <c r="G76" i="1"/>
  <c r="J96" i="1"/>
  <c r="F20" i="2" s="1"/>
  <c r="J95" i="1"/>
  <c r="F19" i="2" s="1"/>
  <c r="J94" i="1"/>
  <c r="B19" i="2"/>
  <c r="B20" i="2"/>
  <c r="B18" i="2"/>
  <c r="J11" i="1"/>
  <c r="G9" i="1"/>
  <c r="G8" i="1"/>
  <c r="A2" i="1"/>
  <c r="A1" i="1"/>
  <c r="A7" i="2"/>
  <c r="A9" i="2" s="1"/>
  <c r="A10" i="2" s="1"/>
  <c r="F18" i="2" l="1"/>
  <c r="A1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J15" i="1"/>
  <c r="K94" i="1"/>
  <c r="E9" i="2"/>
  <c r="K95" i="1"/>
  <c r="K96" i="1"/>
  <c r="K12" i="1"/>
  <c r="K13" i="1"/>
  <c r="D8" i="2"/>
  <c r="G43" i="1"/>
  <c r="G44" i="1" s="1"/>
  <c r="D10" i="2"/>
  <c r="G57" i="1"/>
  <c r="G58" i="1" s="1"/>
  <c r="E10" i="2"/>
  <c r="G29" i="1"/>
  <c r="G30" i="1" s="1"/>
  <c r="E8" i="2"/>
  <c r="K42" i="1"/>
  <c r="K56" i="1"/>
  <c r="G10" i="1"/>
  <c r="G98" i="1"/>
  <c r="E22" i="2" s="1"/>
  <c r="G93" i="1"/>
  <c r="G103" i="1" s="1"/>
  <c r="K11" i="1"/>
  <c r="D12" i="2" l="1"/>
  <c r="E12" i="2"/>
  <c r="E7" i="2"/>
  <c r="D7" i="2"/>
  <c r="G99" i="1"/>
  <c r="G109" i="1" s="1"/>
  <c r="J98" i="1"/>
  <c r="F22" i="2" s="1"/>
  <c r="G16" i="1"/>
  <c r="G17" i="1" s="1"/>
  <c r="K15" i="1"/>
  <c r="E24" i="2" l="1"/>
  <c r="E13" i="2"/>
  <c r="D13" i="2"/>
  <c r="D15" i="2" s="1"/>
  <c r="D24" i="2" s="1"/>
  <c r="K98" i="1"/>
  <c r="E15" i="2" l="1"/>
  <c r="G32" i="3" l="1"/>
  <c r="G7" i="3" l="1"/>
  <c r="G10" i="3"/>
  <c r="G12" i="3"/>
  <c r="G11" i="3"/>
  <c r="G17" i="3"/>
  <c r="G16" i="3"/>
  <c r="G20" i="3"/>
  <c r="G21" i="3"/>
  <c r="J50" i="1"/>
  <c r="K50" i="1" s="1"/>
  <c r="L50" i="1" s="1"/>
  <c r="G15" i="3"/>
  <c r="J91" i="1"/>
  <c r="J81" i="1"/>
  <c r="J80" i="1"/>
  <c r="J82" i="1"/>
  <c r="G33" i="3"/>
  <c r="G30" i="3"/>
  <c r="G31" i="3"/>
  <c r="J89" i="1" l="1"/>
  <c r="K89" i="1" s="1"/>
  <c r="L89" i="1" s="1"/>
  <c r="G34" i="3"/>
  <c r="G24" i="3"/>
  <c r="J61" i="1"/>
  <c r="G25" i="3"/>
  <c r="J62" i="1"/>
  <c r="J63" i="1"/>
  <c r="G26" i="3"/>
  <c r="J64" i="1"/>
  <c r="J65" i="1"/>
  <c r="G28" i="3"/>
  <c r="G27" i="3"/>
  <c r="J9" i="1"/>
  <c r="K9" i="1" s="1"/>
  <c r="L9" i="1" s="1"/>
  <c r="J47" i="1"/>
  <c r="K47" i="1" s="1"/>
  <c r="L47" i="1" s="1"/>
  <c r="G19" i="3"/>
  <c r="G22" i="3"/>
  <c r="J20" i="1"/>
  <c r="K20" i="1" s="1"/>
  <c r="L20" i="1" s="1"/>
  <c r="J49" i="1"/>
  <c r="K49" i="1" s="1"/>
  <c r="L49" i="1" s="1"/>
  <c r="J48" i="1"/>
  <c r="K48" i="1" s="1"/>
  <c r="L48" i="1" s="1"/>
  <c r="J34" i="1"/>
  <c r="K34" i="1" s="1"/>
  <c r="L34" i="1" s="1"/>
  <c r="K91" i="1"/>
  <c r="L91" i="1" s="1"/>
  <c r="K82" i="1"/>
  <c r="L82" i="1" s="1"/>
  <c r="K80" i="1"/>
  <c r="L80" i="1" s="1"/>
  <c r="K81" i="1"/>
  <c r="L81" i="1" s="1"/>
  <c r="G6" i="3"/>
  <c r="J83" i="1"/>
  <c r="K83" i="1" s="1"/>
  <c r="L83" i="1" s="1"/>
  <c r="J90" i="1"/>
  <c r="K90" i="1" s="1"/>
  <c r="L90" i="1" s="1"/>
  <c r="J92" i="1"/>
  <c r="K92" i="1" s="1"/>
  <c r="L92" i="1" s="1"/>
  <c r="J86" i="1"/>
  <c r="K86" i="1" s="1"/>
  <c r="L86" i="1" s="1"/>
  <c r="J8" i="1"/>
  <c r="K8" i="1" s="1"/>
  <c r="J33" i="1"/>
  <c r="K33" i="1" s="1"/>
  <c r="J87" i="1"/>
  <c r="K87" i="1" s="1"/>
  <c r="L87" i="1" s="1"/>
  <c r="J78" i="1"/>
  <c r="K78" i="1" s="1"/>
  <c r="L78" i="1" s="1"/>
  <c r="J22" i="1"/>
  <c r="K22" i="1" s="1"/>
  <c r="L22" i="1" s="1"/>
  <c r="J85" i="1"/>
  <c r="K85" i="1" s="1"/>
  <c r="L85" i="1" s="1"/>
  <c r="J21" i="1"/>
  <c r="K21" i="1" s="1"/>
  <c r="L21" i="1" s="1"/>
  <c r="J84" i="1"/>
  <c r="K84" i="1" s="1"/>
  <c r="L84" i="1" s="1"/>
  <c r="J88" i="1"/>
  <c r="K88" i="1" s="1"/>
  <c r="L88" i="1" s="1"/>
  <c r="J79" i="1"/>
  <c r="K79" i="1" s="1"/>
  <c r="L79" i="1" s="1"/>
  <c r="J76" i="1"/>
  <c r="K76" i="1" s="1"/>
  <c r="L76" i="1" s="1"/>
  <c r="J77" i="1"/>
  <c r="K77" i="1" s="1"/>
  <c r="L77" i="1" s="1"/>
  <c r="J36" i="1"/>
  <c r="K64" i="1" l="1"/>
  <c r="L64" i="1" s="1"/>
  <c r="K61" i="1"/>
  <c r="L61" i="1" s="1"/>
  <c r="K63" i="1"/>
  <c r="L63" i="1" s="1"/>
  <c r="K62" i="1"/>
  <c r="L62" i="1" s="1"/>
  <c r="K10" i="1"/>
  <c r="L10" i="1" s="1"/>
  <c r="J66" i="1"/>
  <c r="K65" i="1"/>
  <c r="L65" i="1" s="1"/>
  <c r="K51" i="1"/>
  <c r="G10" i="2" s="1"/>
  <c r="J51" i="1"/>
  <c r="J35" i="1"/>
  <c r="L8" i="1"/>
  <c r="J23" i="1"/>
  <c r="G14" i="3"/>
  <c r="K23" i="1"/>
  <c r="L23" i="1" s="1"/>
  <c r="J10" i="1"/>
  <c r="J93" i="1"/>
  <c r="J103" i="1" s="1"/>
  <c r="K93" i="1"/>
  <c r="L33" i="1"/>
  <c r="K36" i="1"/>
  <c r="L36" i="1" s="1"/>
  <c r="L93" i="1" l="1"/>
  <c r="K103" i="1"/>
  <c r="K66" i="1"/>
  <c r="G11" i="2" s="1"/>
  <c r="F11" i="2"/>
  <c r="J72" i="1"/>
  <c r="J57" i="1"/>
  <c r="J58" i="1" s="1"/>
  <c r="K58" i="1" s="1"/>
  <c r="L58" i="1" s="1"/>
  <c r="F10" i="2"/>
  <c r="K35" i="1"/>
  <c r="L35" i="1" s="1"/>
  <c r="J37" i="1"/>
  <c r="F7" i="2"/>
  <c r="J29" i="1"/>
  <c r="J30" i="1" s="1"/>
  <c r="K30" i="1" s="1"/>
  <c r="L30" i="1" s="1"/>
  <c r="F8" i="2"/>
  <c r="F12" i="2"/>
  <c r="G12" i="2" s="1"/>
  <c r="F45" i="3" s="1"/>
  <c r="J16" i="1"/>
  <c r="J17" i="1" s="1"/>
  <c r="K17" i="1" s="1"/>
  <c r="L17" i="1" s="1"/>
  <c r="J99" i="1"/>
  <c r="F43" i="3"/>
  <c r="L51" i="1"/>
  <c r="G7" i="2"/>
  <c r="G8" i="2"/>
  <c r="K99" i="1" l="1"/>
  <c r="J109" i="1"/>
  <c r="F44" i="3"/>
  <c r="L66" i="1"/>
  <c r="K72" i="1"/>
  <c r="L72" i="1" s="1"/>
  <c r="H11" i="2" s="1"/>
  <c r="J73" i="1"/>
  <c r="K73" i="1" s="1"/>
  <c r="F55" i="3"/>
  <c r="K57" i="1"/>
  <c r="L57" i="1" s="1"/>
  <c r="H10" i="2" s="1"/>
  <c r="F9" i="2"/>
  <c r="J43" i="1"/>
  <c r="J44" i="1" s="1"/>
  <c r="K44" i="1" s="1"/>
  <c r="L44" i="1" s="1"/>
  <c r="K37" i="1"/>
  <c r="L37" i="1" s="1"/>
  <c r="K29" i="1"/>
  <c r="L29" i="1" s="1"/>
  <c r="H8" i="2" s="1"/>
  <c r="K16" i="1"/>
  <c r="L16" i="1" s="1"/>
  <c r="H7" i="2" s="1"/>
  <c r="F52" i="3"/>
  <c r="F53" i="3"/>
  <c r="F41" i="3"/>
  <c r="F40" i="3"/>
  <c r="L99" i="1" l="1"/>
  <c r="H12" i="2" s="1"/>
  <c r="K109" i="1"/>
  <c r="L73" i="1"/>
  <c r="F56" i="3"/>
  <c r="G56" i="3"/>
  <c r="G44" i="3"/>
  <c r="K43" i="1"/>
  <c r="L43" i="1" s="1"/>
  <c r="H9" i="2" s="1"/>
  <c r="G54" i="3" s="1"/>
  <c r="F54" i="3"/>
  <c r="G9" i="2"/>
  <c r="G53" i="3"/>
  <c r="G41" i="3"/>
  <c r="G55" i="3"/>
  <c r="G43" i="3"/>
  <c r="G40" i="3"/>
  <c r="G52" i="3"/>
  <c r="G57" i="3" l="1"/>
  <c r="G45" i="3"/>
  <c r="G42" i="3"/>
  <c r="F42" i="3"/>
  <c r="F24" i="2" l="1"/>
  <c r="F13" i="2"/>
  <c r="F15" i="2" s="1"/>
  <c r="G13" i="2"/>
  <c r="G15" i="2" s="1"/>
  <c r="K111" i="1" l="1"/>
  <c r="G24" i="2"/>
  <c r="L103" i="1"/>
  <c r="H13" i="2" s="1"/>
  <c r="H15" i="2" s="1"/>
  <c r="F46" i="3" l="1"/>
  <c r="L109" i="1"/>
  <c r="H24" i="2" s="1"/>
  <c r="G26" i="2" l="1"/>
  <c r="G27" i="2" s="1"/>
  <c r="G46" i="3"/>
</calcChain>
</file>

<file path=xl/sharedStrings.xml><?xml version="1.0" encoding="utf-8"?>
<sst xmlns="http://schemas.openxmlformats.org/spreadsheetml/2006/main" count="164" uniqueCount="93">
  <si>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</si>
  <si>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</si>
  <si>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</si>
  <si>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</si>
  <si>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</si>
  <si>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</si>
  <si>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</si>
  <si>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</si>
  <si>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</si>
  <si>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</si>
  <si>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</si>
  <si>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</si>
  <si>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</si>
  <si>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</si>
  <si>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</si>
  <si>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</si>
  <si>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</si>
  <si>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</si>
  <si>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</si>
  <si>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2019 Revenue</t>
  </si>
  <si>
    <t>Proposed Rate</t>
  </si>
  <si>
    <t xml:space="preserve">       Present Rate</t>
  </si>
  <si>
    <t xml:space="preserve">            Present Revenue</t>
  </si>
  <si>
    <t xml:space="preserve">    FAC</t>
  </si>
  <si>
    <t xml:space="preserve">    ES</t>
  </si>
  <si>
    <t>TOTALS</t>
  </si>
  <si>
    <t>Lighting</t>
  </si>
  <si>
    <t>Rate Rounding Variance</t>
  </si>
  <si>
    <t xml:space="preserve">    Other</t>
  </si>
  <si>
    <t>TOTAL Base Rates</t>
  </si>
  <si>
    <t>SubTotal Base Rates</t>
  </si>
  <si>
    <t>Total %</t>
  </si>
  <si>
    <t>Base Rate Increase</t>
  </si>
  <si>
    <t>Present</t>
  </si>
  <si>
    <t>Proposed</t>
  </si>
  <si>
    <t>Energy Charge per kWh</t>
  </si>
  <si>
    <t>Demand Charge per kW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</si>
  <si>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</si>
  <si>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</si>
  <si>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</si>
  <si>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</si>
  <si>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</si>
  <si>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</si>
  <si>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</si>
  <si>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</si>
  <si>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</si>
  <si>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BIG SANDY RECC</t>
  </si>
  <si>
    <t xml:space="preserve">Farm &amp; Home </t>
  </si>
  <si>
    <t>A1</t>
  </si>
  <si>
    <t xml:space="preserve">Commercial &amp; Small Power </t>
  </si>
  <si>
    <t>A2</t>
  </si>
  <si>
    <t>Large Power Service (25-750 kV)</t>
  </si>
  <si>
    <t>LP</t>
  </si>
  <si>
    <t>Energy Charge Secondary per kWh</t>
  </si>
  <si>
    <t>Energy Charge Primary per kWh</t>
  </si>
  <si>
    <t>LPR</t>
  </si>
  <si>
    <t xml:space="preserve">146 WATT FLOOD </t>
  </si>
  <si>
    <t>150 WATT HIGH PRESSURE SODIUM</t>
  </si>
  <si>
    <t>250 WATT HIGH PRESSURE SODIUM</t>
  </si>
  <si>
    <t>85 WATT INDUCTION</t>
  </si>
  <si>
    <t>145  WATT LED</t>
  </si>
  <si>
    <t>55 WATT LED</t>
  </si>
  <si>
    <t>60 WATT LED</t>
  </si>
  <si>
    <t>65 WATT LED</t>
  </si>
  <si>
    <t>70 WATT LED</t>
  </si>
  <si>
    <t>100 WATT METAL HALIDE</t>
  </si>
  <si>
    <t>250 WATT FLOOD METAL HALIDE</t>
  </si>
  <si>
    <t>250 WATT METAL HALIDE</t>
  </si>
  <si>
    <t>175 WATT MERCURY VAPOR</t>
  </si>
  <si>
    <t xml:space="preserve">400 WATT FLOOD MERCURY VAPOR </t>
  </si>
  <si>
    <t>400 WATT MERCURY VAPOR</t>
  </si>
  <si>
    <t>500 WATT MERCURY VAPOR</t>
  </si>
  <si>
    <t>YL1</t>
  </si>
  <si>
    <t>1500 WATT MERCURY VAPOR</t>
  </si>
  <si>
    <t>Industrial</t>
  </si>
  <si>
    <t>IND-1B</t>
  </si>
  <si>
    <t>Demand Charge-Contract per kW</t>
  </si>
  <si>
    <t>Demand Charge-Excess per kW</t>
  </si>
  <si>
    <t>175 Watt 6000-13000 Lumens</t>
  </si>
  <si>
    <t>400 Watt 13001-25000 Lumens</t>
  </si>
  <si>
    <t>500 Watt</t>
  </si>
  <si>
    <t>1500 Watt</t>
  </si>
  <si>
    <t>400 Watt Flood 13000-25000 Lumens</t>
  </si>
  <si>
    <t>Large Power Service (750 kVA +)</t>
  </si>
  <si>
    <t>Present &amp; Proposed Rates</t>
  </si>
  <si>
    <t>Present and Proposed Rates</t>
  </si>
  <si>
    <t xml:space="preserve">    Envirowatts</t>
  </si>
  <si>
    <t>TARGET INCREASE:</t>
  </si>
  <si>
    <t>Current</t>
  </si>
  <si>
    <t>COS</t>
  </si>
  <si>
    <t>Diff</t>
  </si>
  <si>
    <t>Rate Change</t>
  </si>
  <si>
    <t>Off Peak Energy Charge per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</si>
</sst>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00_);_(* \(#,##0.00000\);_(* &quot;-&quot;??_);_(@_)"/>
    <numFmt numFmtId="168" formatCode="_(* #,##0.000000_);_(* \(#,##0.000000\);_(* &quot;-&quot;??_);_(@_)"/>
    <numFmt numFmtId="169" formatCode="_(* #,##0.0000_);_(* \(#,##0.0000\);_(* &quot;-&quot;??_);_(@_)"/>
    <numFmt numFmtId="170" formatCode="_(&quot;$&quot;* #,##0.00000_);_(&quot;$&quot;* \(#,##0.00000\);_(&quot;$&quot;* &quot;-&quot;??_);_(@_)"/>
    <numFmt numFmtId="171" formatCode="&quot;$&quot;#,##0"/>
    <numFmt numFmtId="172" formatCode="0.00000"/>
    <numFmt numFmtId="173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3" fontId="3" fillId="0" borderId="0" xfId="1" applyFont="1"/>
    <xf numFmtId="0" fontId="3" fillId="0" borderId="0" xfId="0" applyFont="1" applyAlignment="1">
      <alignment horizontal="center"/>
    </xf>
    <xf numFmtId="165" fontId="6" fillId="0" borderId="5" xfId="2" applyNumberFormat="1" applyFont="1" applyFill="1" applyBorder="1" applyAlignment="1">
      <alignment vertic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right"/>
    </xf>
    <xf numFmtId="0" fontId="5" fillId="0" borderId="0" xfId="0" applyFont="1"/>
    <xf numFmtId="164" fontId="3" fillId="0" borderId="0" xfId="1" applyNumberFormat="1" applyFont="1" applyAlignment="1"/>
    <xf numFmtId="10" fontId="3" fillId="0" borderId="0" xfId="3" applyNumberFormat="1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0" fontId="3" fillId="0" borderId="2" xfId="0" applyFont="1" applyBorder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0" fontId="3" fillId="0" borderId="5" xfId="0" applyFont="1" applyBorder="1"/>
    <xf numFmtId="165" fontId="3" fillId="0" borderId="5" xfId="2" applyNumberFormat="1" applyFont="1" applyBorder="1" applyAlignment="1"/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2" applyNumberFormat="1" applyFont="1" applyBorder="1" applyAlignment="1"/>
    <xf numFmtId="10" fontId="3" fillId="0" borderId="3" xfId="3" applyNumberFormat="1" applyFont="1" applyBorder="1" applyAlignment="1"/>
    <xf numFmtId="43" fontId="3" fillId="0" borderId="0" xfId="0" applyNumberFormat="1" applyFont="1"/>
    <xf numFmtId="0" fontId="2" fillId="0" borderId="4" xfId="0" applyFont="1" applyBorder="1"/>
    <xf numFmtId="44" fontId="3" fillId="0" borderId="0" xfId="2" applyFont="1"/>
    <xf numFmtId="170" fontId="3" fillId="0" borderId="0" xfId="2" applyNumberFormat="1" applyFont="1"/>
    <xf numFmtId="0" fontId="2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2" xfId="3" applyNumberFormat="1" applyFont="1" applyBorder="1"/>
    <xf numFmtId="171" fontId="3" fillId="0" borderId="0" xfId="0" applyNumberFormat="1" applyFont="1"/>
    <xf numFmtId="10" fontId="3" fillId="0" borderId="0" xfId="3" applyNumberFormat="1" applyFont="1" applyBorder="1"/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1" applyNumberFormat="1" applyFont="1"/>
    <xf numFmtId="0" fontId="9" fillId="0" borderId="0" xfId="0" applyFont="1"/>
    <xf numFmtId="0" fontId="6" fillId="0" borderId="2" xfId="0" applyFont="1" applyBorder="1" applyAlignment="1">
      <alignment horizontal="center"/>
    </xf>
    <xf numFmtId="44" fontId="3" fillId="0" borderId="0" xfId="2" applyFont="1" applyAlignment="1">
      <alignment horizontal="right"/>
    </xf>
    <xf numFmtId="164" fontId="3" fillId="0" borderId="0" xfId="1" applyNumberFormat="1" applyFont="1" applyAlignment="1">
      <alignment horizontal="right"/>
    </xf>
    <xf numFmtId="169" fontId="6" fillId="0" borderId="0" xfId="1" applyNumberFormat="1" applyFont="1" applyAlignment="1">
      <alignment vertical="center"/>
    </xf>
    <xf numFmtId="10" fontId="3" fillId="0" borderId="5" xfId="3" applyNumberFormat="1" applyFont="1" applyBorder="1" applyAlignment="1"/>
    <xf numFmtId="0" fontId="6" fillId="0" borderId="0" xfId="0" applyFont="1" applyAlignment="1">
      <alignment horizontal="left"/>
    </xf>
    <xf numFmtId="165" fontId="3" fillId="0" borderId="2" xfId="2" applyNumberFormat="1" applyFont="1" applyBorder="1"/>
    <xf numFmtId="0" fontId="8" fillId="0" borderId="0" xfId="0" applyFont="1" applyAlignment="1">
      <alignment vertical="center"/>
    </xf>
    <xf numFmtId="0" fontId="6" fillId="0" borderId="0" xfId="0" applyFont="1"/>
    <xf numFmtId="43" fontId="6" fillId="0" borderId="0" xfId="1" applyFont="1"/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right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65" fontId="6" fillId="0" borderId="0" xfId="2" applyNumberFormat="1" applyFont="1"/>
    <xf numFmtId="10" fontId="6" fillId="0" borderId="0" xfId="3" applyNumberFormat="1" applyFont="1"/>
    <xf numFmtId="168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/>
    </xf>
    <xf numFmtId="165" fontId="6" fillId="0" borderId="5" xfId="2" applyNumberFormat="1" applyFont="1" applyBorder="1" applyAlignment="1">
      <alignment vertical="center"/>
    </xf>
    <xf numFmtId="10" fontId="6" fillId="0" borderId="5" xfId="3" applyNumberFormat="1" applyFont="1" applyBorder="1" applyAlignment="1">
      <alignment vertical="center"/>
    </xf>
    <xf numFmtId="0" fontId="6" fillId="0" borderId="5" xfId="0" applyFont="1" applyBorder="1"/>
    <xf numFmtId="165" fontId="6" fillId="0" borderId="5" xfId="2" applyNumberFormat="1" applyFont="1" applyBorder="1"/>
    <xf numFmtId="43" fontId="6" fillId="0" borderId="5" xfId="1" applyFont="1" applyBorder="1"/>
    <xf numFmtId="0" fontId="6" fillId="0" borderId="3" xfId="0" applyFont="1" applyBorder="1" applyAlignment="1">
      <alignment vertical="center"/>
    </xf>
    <xf numFmtId="165" fontId="6" fillId="0" borderId="3" xfId="2" applyNumberFormat="1" applyFont="1" applyBorder="1" applyAlignment="1">
      <alignment vertical="center"/>
    </xf>
    <xf numFmtId="10" fontId="6" fillId="0" borderId="3" xfId="3" applyNumberFormat="1" applyFont="1" applyBorder="1" applyAlignment="1">
      <alignment vertical="center"/>
    </xf>
    <xf numFmtId="44" fontId="6" fillId="0" borderId="0" xfId="0" applyNumberFormat="1" applyFo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11" fillId="0" borderId="0" xfId="5" applyFont="1"/>
    <xf numFmtId="43" fontId="11" fillId="0" borderId="0" xfId="1" applyFont="1"/>
    <xf numFmtId="9" fontId="11" fillId="0" borderId="0" xfId="5" applyNumberFormat="1" applyFont="1"/>
    <xf numFmtId="43" fontId="11" fillId="0" borderId="0" xfId="5" applyNumberFormat="1" applyFont="1"/>
    <xf numFmtId="169" fontId="6" fillId="0" borderId="0" xfId="1" applyNumberFormat="1" applyFont="1"/>
    <xf numFmtId="0" fontId="12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right" wrapText="1"/>
    </xf>
    <xf numFmtId="0" fontId="3" fillId="0" borderId="6" xfId="0" applyFont="1" applyBorder="1"/>
    <xf numFmtId="167" fontId="3" fillId="0" borderId="0" xfId="1" applyNumberFormat="1" applyFont="1"/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0" xfId="0" applyFont="1" applyFill="1"/>
    <xf numFmtId="165" fontId="3" fillId="0" borderId="5" xfId="0" applyNumberFormat="1" applyFont="1" applyBorder="1" applyAlignment="1">
      <alignment vertical="center"/>
    </xf>
    <xf numFmtId="165" fontId="3" fillId="0" borderId="5" xfId="0" applyNumberFormat="1" applyFont="1" applyBorder="1"/>
    <xf numFmtId="165" fontId="3" fillId="0" borderId="3" xfId="0" applyNumberFormat="1" applyFont="1" applyBorder="1" applyAlignment="1">
      <alignment vertical="center"/>
    </xf>
    <xf numFmtId="165" fontId="8" fillId="0" borderId="3" xfId="2" applyNumberFormat="1" applyFont="1" applyBorder="1" applyAlignment="1">
      <alignment vertical="center"/>
    </xf>
    <xf numFmtId="173" fontId="11" fillId="0" borderId="0" xfId="3" applyNumberFormat="1" applyFont="1"/>
    <xf numFmtId="10" fontId="6" fillId="0" borderId="5" xfId="3" applyNumberFormat="1" applyFont="1" applyBorder="1"/>
    <xf numFmtId="10" fontId="8" fillId="0" borderId="3" xfId="3" applyNumberFormat="1" applyFont="1" applyBorder="1" applyAlignment="1">
      <alignment vertical="center"/>
    </xf>
    <xf numFmtId="0" fontId="2" fillId="0" borderId="4" xfId="0" applyFont="1" applyBorder="1" applyAlignment="1">
      <alignment horizontal="left"/>
    </xf>
    <xf numFmtId="44" fontId="3" fillId="0" borderId="0" xfId="0" applyNumberFormat="1" applyFont="1"/>
    <xf numFmtId="170" fontId="3" fillId="0" borderId="0" xfId="0" applyNumberFormat="1" applyFont="1"/>
    <xf numFmtId="0" fontId="8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10" fontId="11" fillId="0" borderId="0" xfId="5" applyNumberFormat="1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164" fontId="6" fillId="0" borderId="0" xfId="0" applyNumberFormat="1" applyFont="1" applyFill="1"/>
    <xf numFmtId="43" fontId="6" fillId="0" borderId="0" xfId="0" applyNumberFormat="1" applyFont="1" applyFill="1"/>
    <xf numFmtId="0" fontId="8" fillId="0" borderId="4" xfId="0" applyFont="1" applyFill="1" applyBorder="1" applyAlignment="1">
      <alignment horizontal="right" wrapText="1"/>
    </xf>
    <xf numFmtId="0" fontId="8" fillId="0" borderId="0" xfId="0" applyFont="1" applyFill="1" applyAlignment="1">
      <alignment horizontal="right" wrapText="1"/>
    </xf>
    <xf numFmtId="0" fontId="6" fillId="0" borderId="6" xfId="0" applyFont="1" applyFill="1" applyBorder="1"/>
    <xf numFmtId="165" fontId="6" fillId="0" borderId="0" xfId="2" applyNumberFormat="1" applyFont="1" applyFill="1"/>
    <xf numFmtId="166" fontId="6" fillId="0" borderId="0" xfId="0" applyNumberFormat="1" applyFont="1" applyFill="1"/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/>
    <xf numFmtId="165" fontId="6" fillId="0" borderId="5" xfId="2" applyNumberFormat="1" applyFont="1" applyFill="1" applyBorder="1"/>
    <xf numFmtId="0" fontId="6" fillId="0" borderId="3" xfId="0" applyFont="1" applyFill="1" applyBorder="1" applyAlignment="1">
      <alignment vertical="center"/>
    </xf>
    <xf numFmtId="165" fontId="6" fillId="0" borderId="3" xfId="0" applyNumberFormat="1" applyFont="1" applyFill="1" applyBorder="1" applyAlignment="1">
      <alignment vertical="center"/>
    </xf>
    <xf numFmtId="164" fontId="6" fillId="0" borderId="0" xfId="1" applyNumberFormat="1" applyFont="1" applyFill="1"/>
    <xf numFmtId="44" fontId="6" fillId="0" borderId="0" xfId="0" applyNumberFormat="1" applyFont="1" applyFill="1"/>
    <xf numFmtId="43" fontId="6" fillId="0" borderId="0" xfId="1" applyFont="1" applyFill="1"/>
    <xf numFmtId="172" fontId="6" fillId="0" borderId="0" xfId="0" applyNumberFormat="1" applyFont="1" applyFill="1"/>
    <xf numFmtId="167" fontId="6" fillId="0" borderId="0" xfId="1" applyNumberFormat="1" applyFont="1" applyFill="1"/>
    <xf numFmtId="165" fontId="6" fillId="0" borderId="0" xfId="0" applyNumberFormat="1" applyFont="1" applyFill="1"/>
    <xf numFmtId="165" fontId="6" fillId="0" borderId="5" xfId="0" applyNumberFormat="1" applyFont="1" applyFill="1" applyBorder="1" applyAlignment="1">
      <alignment vertical="center"/>
    </xf>
    <xf numFmtId="165" fontId="6" fillId="0" borderId="5" xfId="0" applyNumberFormat="1" applyFont="1" applyFill="1" applyBorder="1"/>
    <xf numFmtId="165" fontId="6" fillId="0" borderId="3" xfId="2" applyNumberFormat="1" applyFont="1" applyFill="1" applyBorder="1" applyAlignment="1">
      <alignment vertical="center"/>
    </xf>
    <xf numFmtId="10" fontId="6" fillId="0" borderId="0" xfId="3" applyNumberFormat="1" applyFont="1" applyFill="1"/>
    <xf numFmtId="165" fontId="8" fillId="0" borderId="1" xfId="0" applyNumberFormat="1" applyFont="1" applyFill="1" applyBorder="1"/>
  </cellXfs>
  <cellStyles count="6">
    <cellStyle name="Comma" xfId="1" builtinId="3"/>
    <cellStyle name="Currency" xfId="2" builtinId="4"/>
    <cellStyle name="Normal" xfId="0" builtinId="0"/>
    <cellStyle name="Normal 2" xfId="4" xr:uid="{07BB8BC8-C5A2-4D23-8181-BEF9162D0260}"/>
    <cellStyle name="Normal 3" xfId="5" xr:uid="{5B295A7E-3EB4-4FE8-9EE2-F68D7847C02F}"/>
    <cellStyle name="Percent" xfId="3" builtinId="5"/>
  </cellStyles>
  <dxfs count="0"/>
  <tableStyles count="0" defaultTableStyle="TableStyleMedium2" defaultPivotStyle="PivotStyleLight16"/>
  <colors>
    <mruColors>
      <color rgb="FFFFFFCC"/>
      <color rgb="FF0000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R29"/>
  <sheetViews>
    <sheetView tabSelected="1" view="pageBreakPreview" zoomScaleNormal="75" zoomScaleSheetLayoutView="100" workbookViewId="0">
      <selection activeCell="E19" sqref="E19"/>
    </sheetView>
  </sheetViews>
  <sheetFormatPr defaultColWidth="8.88671875" defaultRowHeight="13.2" x14ac:dyDescent="0.25"/>
  <cols>
    <col min="1" max="1" width="4.77734375" style="2" customWidth="1"/>
    <col min="2" max="2" width="30" style="2" bestFit="1" customWidth="1"/>
    <col min="3" max="3" width="7.33203125" style="11" bestFit="1" customWidth="1"/>
    <col min="4" max="4" width="14.21875" style="2" hidden="1" customWidth="1"/>
    <col min="5" max="6" width="12.6640625" style="2" bestFit="1" customWidth="1"/>
    <col min="7" max="7" width="12.6640625" style="2" customWidth="1"/>
    <col min="8" max="8" width="7.77734375" style="2" bestFit="1" customWidth="1"/>
    <col min="9" max="9" width="10" style="2" customWidth="1"/>
    <col min="10" max="10" width="21.6640625" style="2" customWidth="1"/>
    <col min="11" max="11" width="9" style="2" bestFit="1" customWidth="1"/>
    <col min="12" max="12" width="14.5546875" style="2" customWidth="1"/>
    <col min="13" max="13" width="9" style="2" customWidth="1"/>
    <col min="14" max="14" width="14.6640625" style="2" customWidth="1"/>
    <col min="15" max="15" width="10" style="2" customWidth="1"/>
    <col min="16" max="16384" width="8.88671875" style="2"/>
  </cols>
  <sheetData>
    <row r="1" spans="1:18" x14ac:dyDescent="0.25">
      <c r="A1" s="1" t="s">
        <v>46</v>
      </c>
      <c r="I1" s="1"/>
    </row>
    <row r="2" spans="1:18" x14ac:dyDescent="0.25">
      <c r="A2" s="1" t="s">
        <v>85</v>
      </c>
    </row>
    <row r="3" spans="1:18" x14ac:dyDescent="0.25">
      <c r="A3" s="1"/>
    </row>
    <row r="4" spans="1:18" x14ac:dyDescent="0.25">
      <c r="H4" s="4"/>
    </row>
    <row r="5" spans="1:18" s="7" customFormat="1" ht="31.95" customHeight="1" x14ac:dyDescent="0.25">
      <c r="A5" s="5" t="s">
        <v>0</v>
      </c>
      <c r="B5" s="5" t="s">
        <v>1</v>
      </c>
      <c r="C5" s="6" t="s">
        <v>10</v>
      </c>
      <c r="D5" s="8" t="s">
        <v>19</v>
      </c>
      <c r="E5" s="8" t="s">
        <v>2</v>
      </c>
      <c r="F5" s="8" t="s">
        <v>3</v>
      </c>
      <c r="G5" s="8" t="s">
        <v>32</v>
      </c>
      <c r="H5" s="6" t="s">
        <v>31</v>
      </c>
      <c r="I5" s="2"/>
      <c r="K5" s="2"/>
      <c r="L5" s="2"/>
      <c r="M5" s="2"/>
      <c r="N5" s="2"/>
      <c r="O5" s="2"/>
      <c r="P5" s="2"/>
      <c r="Q5" s="2"/>
      <c r="R5" s="2"/>
    </row>
    <row r="6" spans="1:18" x14ac:dyDescent="0.25">
      <c r="A6" s="3">
        <v>1</v>
      </c>
      <c r="B6" s="15" t="s">
        <v>4</v>
      </c>
      <c r="C6" s="36"/>
      <c r="D6" s="15"/>
      <c r="E6" s="16"/>
      <c r="F6" s="16"/>
      <c r="G6" s="16"/>
      <c r="H6" s="17"/>
    </row>
    <row r="7" spans="1:18" x14ac:dyDescent="0.25">
      <c r="A7" s="3">
        <f>A6+1</f>
        <v>2</v>
      </c>
      <c r="B7" s="2" t="str">
        <f>'Billing Detail'!B7</f>
        <v xml:space="preserve">Farm &amp; Home </v>
      </c>
      <c r="C7" s="11" t="str">
        <f>'Billing Detail'!C7</f>
        <v>A1</v>
      </c>
      <c r="D7" s="18" t="e">
        <f>'Billing Detail'!#REF!</f>
        <v>#REF!</v>
      </c>
      <c r="E7" s="18">
        <f>'Billing Detail'!G10</f>
        <v>17365295.05376</v>
      </c>
      <c r="F7" s="18">
        <f>'Billing Detail'!J10</f>
        <v>18503883.211864002</v>
      </c>
      <c r="G7" s="18">
        <f>'Billing Detail'!K10</f>
        <v>1138588.1581039997</v>
      </c>
      <c r="H7" s="17">
        <f>'Billing Detail'!L16</f>
        <v>5.1645686617946038E-2</v>
      </c>
    </row>
    <row r="8" spans="1:18" x14ac:dyDescent="0.25">
      <c r="A8" s="3">
        <f>A7+1</f>
        <v>3</v>
      </c>
      <c r="B8" s="2" t="str">
        <f>'Billing Detail'!B19</f>
        <v xml:space="preserve">Commercial &amp; Small Power </v>
      </c>
      <c r="C8" s="11" t="str">
        <f>'Billing Detail'!C19</f>
        <v>A2</v>
      </c>
      <c r="D8" s="18" t="e">
        <f>'Billing Detail'!#REF!</f>
        <v>#REF!</v>
      </c>
      <c r="E8" s="18">
        <f>'Billing Detail'!G23</f>
        <v>1167574.3966999999</v>
      </c>
      <c r="F8" s="18">
        <f>'Billing Detail'!J23</f>
        <v>1167574.3966999999</v>
      </c>
      <c r="G8" s="18">
        <f>'Billing Detail'!K23</f>
        <v>0</v>
      </c>
      <c r="H8" s="17">
        <f>'Billing Detail'!L29</f>
        <v>0</v>
      </c>
    </row>
    <row r="9" spans="1:18" x14ac:dyDescent="0.25">
      <c r="A9" s="3">
        <f t="shared" ref="A9:A27" si="0">A8+1</f>
        <v>4</v>
      </c>
      <c r="B9" s="2" t="str">
        <f>'Billing Detail'!B32</f>
        <v>Large Power Service (25-750 kV)</v>
      </c>
      <c r="C9" s="11" t="str">
        <f>'Billing Detail'!C32</f>
        <v>LP</v>
      </c>
      <c r="D9" s="18" t="e">
        <f>'Billing Detail'!#REF!</f>
        <v>#REF!</v>
      </c>
      <c r="E9" s="18">
        <f>'Billing Detail'!G37</f>
        <v>2130295.2097340003</v>
      </c>
      <c r="F9" s="18">
        <f>'Billing Detail'!J37</f>
        <v>2130295.2097340003</v>
      </c>
      <c r="G9" s="18">
        <f>'Billing Detail'!K37</f>
        <v>0</v>
      </c>
      <c r="H9" s="17">
        <f>'Billing Detail'!L43</f>
        <v>0</v>
      </c>
    </row>
    <row r="10" spans="1:18" x14ac:dyDescent="0.25">
      <c r="A10" s="3">
        <f t="shared" si="0"/>
        <v>5</v>
      </c>
      <c r="B10" s="2" t="str">
        <f>'Billing Detail'!B46</f>
        <v>Large Power Service (750 kVA +)</v>
      </c>
      <c r="C10" s="11" t="str">
        <f>'Billing Detail'!C46</f>
        <v>LPR</v>
      </c>
      <c r="D10" s="18" t="e">
        <f>'Billing Detail'!#REF!</f>
        <v>#REF!</v>
      </c>
      <c r="E10" s="18">
        <f>'Billing Detail'!G51</f>
        <v>805860.84071999998</v>
      </c>
      <c r="F10" s="18">
        <f>'Billing Detail'!J51</f>
        <v>805860.84071999998</v>
      </c>
      <c r="G10" s="18">
        <f>'Billing Detail'!K51</f>
        <v>0</v>
      </c>
      <c r="H10" s="17">
        <f>'Billing Detail'!L57</f>
        <v>0</v>
      </c>
    </row>
    <row r="11" spans="1:18" x14ac:dyDescent="0.25">
      <c r="A11" s="3">
        <f t="shared" si="0"/>
        <v>6</v>
      </c>
      <c r="B11" s="2" t="str">
        <f>'Billing Detail'!B60</f>
        <v>Industrial</v>
      </c>
      <c r="C11" s="11" t="str">
        <f>'Billing Detail'!C60</f>
        <v>IND-1B</v>
      </c>
      <c r="D11" s="18" t="e">
        <f>'Billing Detail'!#REF!</f>
        <v>#REF!</v>
      </c>
      <c r="E11" s="18">
        <f>'Billing Detail'!G66</f>
        <v>415210.64500000002</v>
      </c>
      <c r="F11" s="18">
        <f>'Billing Detail'!J66</f>
        <v>415210.64500000002</v>
      </c>
      <c r="G11" s="18">
        <f>'Billing Detail'!K66</f>
        <v>0</v>
      </c>
      <c r="H11" s="17">
        <f>'Billing Detail'!L72</f>
        <v>0</v>
      </c>
    </row>
    <row r="12" spans="1:18" x14ac:dyDescent="0.25">
      <c r="A12" s="3">
        <f>A10+1</f>
        <v>6</v>
      </c>
      <c r="B12" s="2" t="str">
        <f>'Billing Detail'!B75</f>
        <v>Lighting</v>
      </c>
      <c r="C12" s="11" t="str">
        <f>'Billing Detail'!C75</f>
        <v>YL1</v>
      </c>
      <c r="D12" s="18" t="e">
        <f>'Billing Detail'!#REF!</f>
        <v>#REF!</v>
      </c>
      <c r="E12" s="18">
        <f>'Billing Detail'!G93</f>
        <v>893921.76</v>
      </c>
      <c r="F12" s="18">
        <f>'Billing Detail'!J93</f>
        <v>893921.76</v>
      </c>
      <c r="G12" s="18">
        <f>F12-E12</f>
        <v>0</v>
      </c>
      <c r="H12" s="17">
        <f>'Billing Detail'!L99</f>
        <v>0</v>
      </c>
    </row>
    <row r="13" spans="1:18" ht="16.2" customHeight="1" x14ac:dyDescent="0.25">
      <c r="A13" s="3">
        <f t="shared" si="0"/>
        <v>7</v>
      </c>
      <c r="B13" s="20" t="s">
        <v>30</v>
      </c>
      <c r="C13" s="37"/>
      <c r="D13" s="21" t="e">
        <f>SUM(D7:D12)</f>
        <v>#REF!</v>
      </c>
      <c r="E13" s="21">
        <f>'Billing Detail'!G103</f>
        <v>22778157.905914001</v>
      </c>
      <c r="F13" s="21">
        <f>'Billing Detail'!J103</f>
        <v>23916746.064018004</v>
      </c>
      <c r="G13" s="21">
        <f>'Billing Detail'!K103</f>
        <v>1138588.1581039997</v>
      </c>
      <c r="H13" s="22">
        <f>'Billing Detail'!L103</f>
        <v>4.9985962991694895E-2</v>
      </c>
    </row>
    <row r="14" spans="1:18" ht="16.2" customHeight="1" x14ac:dyDescent="0.25">
      <c r="A14" s="3">
        <f t="shared" si="0"/>
        <v>8</v>
      </c>
      <c r="D14" s="23"/>
      <c r="E14" s="23"/>
      <c r="F14" s="23"/>
      <c r="G14" s="23"/>
      <c r="H14" s="24"/>
    </row>
    <row r="15" spans="1:18" ht="16.2" customHeight="1" x14ac:dyDescent="0.25">
      <c r="A15" s="3">
        <f t="shared" si="0"/>
        <v>9</v>
      </c>
      <c r="B15" s="25" t="s">
        <v>29</v>
      </c>
      <c r="C15" s="38"/>
      <c r="D15" s="26" t="e">
        <f>D13</f>
        <v>#REF!</v>
      </c>
      <c r="E15" s="26">
        <f t="shared" ref="E15:H15" si="1">E13</f>
        <v>22778157.905914001</v>
      </c>
      <c r="F15" s="26">
        <f t="shared" si="1"/>
        <v>23916746.064018004</v>
      </c>
      <c r="G15" s="26">
        <f t="shared" si="1"/>
        <v>1138588.1581039997</v>
      </c>
      <c r="H15" s="57">
        <f t="shared" si="1"/>
        <v>4.9985962991694895E-2</v>
      </c>
    </row>
    <row r="16" spans="1:18" ht="12.6" customHeight="1" x14ac:dyDescent="0.25">
      <c r="A16" s="3">
        <f t="shared" si="0"/>
        <v>10</v>
      </c>
      <c r="M16" s="18"/>
    </row>
    <row r="17" spans="1:8" x14ac:dyDescent="0.25">
      <c r="A17" s="3">
        <f t="shared" si="0"/>
        <v>11</v>
      </c>
      <c r="B17" s="15" t="s">
        <v>6</v>
      </c>
      <c r="C17" s="36"/>
      <c r="D17" s="15"/>
    </row>
    <row r="18" spans="1:8" x14ac:dyDescent="0.25">
      <c r="A18" s="3">
        <f t="shared" si="0"/>
        <v>12</v>
      </c>
      <c r="B18" s="2" t="str">
        <f>'Billing Detail'!D11</f>
        <v xml:space="preserve">    FAC</v>
      </c>
      <c r="D18" s="18" t="e">
        <f>'Billing Detail'!#REF!</f>
        <v>#REF!</v>
      </c>
      <c r="E18" s="18">
        <f>'Billing Detail'!G104</f>
        <v>3384776.02</v>
      </c>
      <c r="F18" s="18">
        <f>'Billing Detail'!J104</f>
        <v>3384776.02</v>
      </c>
      <c r="G18" s="18">
        <f>'Billing Detail'!K104</f>
        <v>0</v>
      </c>
      <c r="H18" s="17">
        <f>'Billing Detail'!L104</f>
        <v>0</v>
      </c>
    </row>
    <row r="19" spans="1:8" x14ac:dyDescent="0.25">
      <c r="A19" s="3">
        <f t="shared" si="0"/>
        <v>13</v>
      </c>
      <c r="B19" s="2" t="str">
        <f>'Billing Detail'!D12</f>
        <v xml:space="preserve">    ES</v>
      </c>
      <c r="D19" s="18" t="e">
        <f>'Billing Detail'!#REF!</f>
        <v>#REF!</v>
      </c>
      <c r="E19" s="18">
        <f>'Billing Detail'!G105</f>
        <v>2534605.44</v>
      </c>
      <c r="F19" s="18">
        <f>'Billing Detail'!J105</f>
        <v>2534605.44</v>
      </c>
      <c r="G19" s="18">
        <f>'Billing Detail'!K105</f>
        <v>0</v>
      </c>
      <c r="H19" s="17">
        <f>'Billing Detail'!L105</f>
        <v>0</v>
      </c>
    </row>
    <row r="20" spans="1:8" x14ac:dyDescent="0.25">
      <c r="A20" s="3">
        <f t="shared" si="0"/>
        <v>14</v>
      </c>
      <c r="B20" s="2" t="str">
        <f>'Billing Detail'!D13</f>
        <v xml:space="preserve">    Envirowatts</v>
      </c>
      <c r="D20" s="18" t="e">
        <f>'Billing Detail'!#REF!</f>
        <v>#REF!</v>
      </c>
      <c r="E20" s="18">
        <f>'Billing Detail'!G106</f>
        <v>715</v>
      </c>
      <c r="F20" s="18">
        <f>'Billing Detail'!J106</f>
        <v>715</v>
      </c>
      <c r="G20" s="18">
        <f>'Billing Detail'!K106</f>
        <v>0</v>
      </c>
      <c r="H20" s="17">
        <f>'Billing Detail'!L106</f>
        <v>0</v>
      </c>
    </row>
    <row r="21" spans="1:8" x14ac:dyDescent="0.25">
      <c r="A21" s="3">
        <f t="shared" si="0"/>
        <v>15</v>
      </c>
      <c r="B21" s="2" t="str">
        <f>'Billing Detail'!D14</f>
        <v xml:space="preserve">    Other</v>
      </c>
      <c r="D21" s="18" t="e">
        <f>'Billing Detail'!#REF!</f>
        <v>#REF!</v>
      </c>
      <c r="E21" s="18">
        <f>'Billing Detail'!G107</f>
        <v>0</v>
      </c>
      <c r="F21" s="18">
        <f>'Billing Detail'!J107</f>
        <v>0</v>
      </c>
      <c r="G21" s="18">
        <f>'Billing Detail'!K107</f>
        <v>0</v>
      </c>
      <c r="H21" s="17">
        <f>'Billing Detail'!L107</f>
        <v>0</v>
      </c>
    </row>
    <row r="22" spans="1:8" x14ac:dyDescent="0.25">
      <c r="A22" s="3">
        <f t="shared" si="0"/>
        <v>16</v>
      </c>
      <c r="B22" s="20" t="s">
        <v>7</v>
      </c>
      <c r="C22" s="37"/>
      <c r="D22" s="21" t="e">
        <f>SUM(D18:D21)</f>
        <v>#REF!</v>
      </c>
      <c r="E22" s="21">
        <f>'Billing Detail'!G108</f>
        <v>5920096.459999999</v>
      </c>
      <c r="F22" s="21">
        <f>'Billing Detail'!J108</f>
        <v>5920096.459999999</v>
      </c>
      <c r="G22" s="21">
        <f>'Billing Detail'!K108</f>
        <v>0</v>
      </c>
      <c r="H22" s="22">
        <f>'Billing Detail'!L108</f>
        <v>0</v>
      </c>
    </row>
    <row r="23" spans="1:8" x14ac:dyDescent="0.25">
      <c r="A23" s="3">
        <f t="shared" si="0"/>
        <v>17</v>
      </c>
    </row>
    <row r="24" spans="1:8" ht="18" customHeight="1" thickBot="1" x14ac:dyDescent="0.3">
      <c r="A24" s="3">
        <f t="shared" si="0"/>
        <v>18</v>
      </c>
      <c r="B24" s="27" t="s">
        <v>8</v>
      </c>
      <c r="C24" s="39"/>
      <c r="D24" s="28" t="e">
        <f>D15+D22</f>
        <v>#REF!</v>
      </c>
      <c r="E24" s="28">
        <f>'Billing Detail'!G109</f>
        <v>28698254.365914006</v>
      </c>
      <c r="F24" s="28">
        <f>'Billing Detail'!J109</f>
        <v>29836842.524018008</v>
      </c>
      <c r="G24" s="29">
        <f>'Billing Detail'!K109</f>
        <v>1138588.1581040025</v>
      </c>
      <c r="H24" s="30">
        <f>'Billing Detail'!L109</f>
        <v>3.9674474397869523E-2</v>
      </c>
    </row>
    <row r="25" spans="1:8" ht="18" customHeight="1" thickTop="1" x14ac:dyDescent="0.25">
      <c r="A25" s="3">
        <f t="shared" si="0"/>
        <v>19</v>
      </c>
      <c r="B25" s="2" t="s">
        <v>9</v>
      </c>
      <c r="D25" s="19"/>
      <c r="G25" s="23">
        <f>'Billing Detail'!K113</f>
        <v>1138829.68</v>
      </c>
    </row>
    <row r="26" spans="1:8" ht="15" customHeight="1" x14ac:dyDescent="0.25">
      <c r="A26" s="3">
        <f t="shared" si="0"/>
        <v>20</v>
      </c>
      <c r="B26" s="20" t="s">
        <v>27</v>
      </c>
      <c r="C26" s="37"/>
      <c r="D26" s="21"/>
      <c r="E26" s="20"/>
      <c r="F26" s="20"/>
      <c r="G26" s="21">
        <f>G24-G25</f>
        <v>-241.52189599745907</v>
      </c>
    </row>
    <row r="27" spans="1:8" ht="15" customHeight="1" x14ac:dyDescent="0.25">
      <c r="A27" s="3">
        <f t="shared" si="0"/>
        <v>21</v>
      </c>
      <c r="B27" s="2" t="s">
        <v>27</v>
      </c>
      <c r="D27" s="17"/>
      <c r="G27" s="17">
        <f>G26/G25</f>
        <v>-2.1207903186845208E-4</v>
      </c>
    </row>
    <row r="28" spans="1:8" x14ac:dyDescent="0.25">
      <c r="A28" s="3"/>
    </row>
    <row r="29" spans="1:8" x14ac:dyDescent="0.25">
      <c r="A29" s="52"/>
    </row>
  </sheetData>
  <pageMargins left="0.7" right="0.7" top="0.75" bottom="0.75" header="0.3" footer="0.3"/>
  <pageSetup orientation="landscape" r:id="rId1"/>
  <headerFooter>
    <oddHeader>&amp;R&amp;"Arial,Bold"&amp;10Exhibit JW-9 
Page &amp;P of &amp;N</oddHeader>
  </headerFooter>
  <ignoredErrors>
    <ignoredError sqref="F7 F8:F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R115"/>
  <sheetViews>
    <sheetView view="pageBreakPreview" zoomScale="75" zoomScaleNormal="75" zoomScaleSheetLayoutView="75" workbookViewId="0">
      <pane xSplit="4" ySplit="5" topLeftCell="E6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ColWidth="8.88671875" defaultRowHeight="13.2" x14ac:dyDescent="0.25"/>
  <cols>
    <col min="1" max="1" width="7" style="63" customWidth="1"/>
    <col min="2" max="2" width="29.33203125" style="61" customWidth="1"/>
    <col min="3" max="3" width="6.6640625" style="50" customWidth="1"/>
    <col min="4" max="4" width="34.77734375" style="61" customWidth="1"/>
    <col min="5" max="5" width="12.6640625" style="116" bestFit="1" customWidth="1"/>
    <col min="6" max="6" width="10" style="116" customWidth="1"/>
    <col min="7" max="7" width="12.6640625" style="116" customWidth="1"/>
    <col min="8" max="8" width="9.88671875" style="116" bestFit="1" customWidth="1"/>
    <col min="9" max="9" width="10" style="2" customWidth="1"/>
    <col min="10" max="10" width="12.77734375" style="61" customWidth="1"/>
    <col min="11" max="11" width="12.21875" style="61" bestFit="1" customWidth="1"/>
    <col min="12" max="12" width="9.6640625" style="61" customWidth="1"/>
    <col min="13" max="13" width="15.6640625" style="61" customWidth="1"/>
    <col min="14" max="14" width="13.5546875" style="61" bestFit="1" customWidth="1"/>
    <col min="15" max="15" width="8.88671875" style="61" customWidth="1"/>
    <col min="16" max="16384" width="8.88671875" style="61"/>
  </cols>
  <sheetData>
    <row r="1" spans="1:18" x14ac:dyDescent="0.25">
      <c r="A1" s="60" t="str">
        <f>Summary!A1</f>
        <v>BIG SANDY RECC</v>
      </c>
    </row>
    <row r="2" spans="1:18" ht="14.4" customHeight="1" x14ac:dyDescent="0.25">
      <c r="A2" s="60" t="str">
        <f>Summary!A2</f>
        <v>Present and Proposed Rates</v>
      </c>
      <c r="F2" s="117"/>
      <c r="I2" s="3"/>
    </row>
    <row r="3" spans="1:18" x14ac:dyDescent="0.25">
      <c r="E3" s="118"/>
      <c r="F3" s="118"/>
      <c r="I3" s="96"/>
    </row>
    <row r="4" spans="1:18" x14ac:dyDescent="0.25">
      <c r="E4" s="119"/>
      <c r="F4" s="119"/>
      <c r="I4" s="31"/>
    </row>
    <row r="5" spans="1:18" ht="38.4" customHeight="1" x14ac:dyDescent="0.25">
      <c r="A5" s="64" t="s">
        <v>0</v>
      </c>
      <c r="B5" s="64" t="s">
        <v>11</v>
      </c>
      <c r="C5" s="65" t="s">
        <v>10</v>
      </c>
      <c r="D5" s="64" t="s">
        <v>12</v>
      </c>
      <c r="E5" s="120" t="s">
        <v>13</v>
      </c>
      <c r="F5" s="120" t="s">
        <v>21</v>
      </c>
      <c r="G5" s="120" t="s">
        <v>22</v>
      </c>
      <c r="H5" s="120" t="s">
        <v>20</v>
      </c>
      <c r="I5" s="8" t="s">
        <v>91</v>
      </c>
      <c r="J5" s="66" t="s">
        <v>3</v>
      </c>
      <c r="K5" s="66" t="s">
        <v>14</v>
      </c>
      <c r="L5" s="65" t="s">
        <v>15</v>
      </c>
    </row>
    <row r="6" spans="1:18" ht="30.6" customHeight="1" thickBot="1" x14ac:dyDescent="0.3">
      <c r="A6" s="67"/>
      <c r="B6" s="68"/>
      <c r="C6" s="69"/>
      <c r="D6" s="68"/>
      <c r="E6" s="121"/>
      <c r="F6" s="121"/>
      <c r="G6" s="121"/>
      <c r="H6" s="121"/>
      <c r="I6" s="97"/>
      <c r="J6" s="70"/>
      <c r="K6" s="70"/>
      <c r="L6" s="69"/>
    </row>
    <row r="7" spans="1:18" x14ac:dyDescent="0.25">
      <c r="A7" s="71">
        <v>1</v>
      </c>
      <c r="B7" s="72" t="s">
        <v>47</v>
      </c>
      <c r="C7" s="73" t="s">
        <v>48</v>
      </c>
      <c r="D7" s="72"/>
      <c r="E7" s="122"/>
      <c r="F7" s="122"/>
      <c r="G7" s="122"/>
      <c r="H7" s="122"/>
      <c r="I7" s="98"/>
      <c r="J7" s="72"/>
      <c r="K7" s="72"/>
      <c r="L7" s="72"/>
    </row>
    <row r="8" spans="1:18" ht="15.6" x14ac:dyDescent="0.3">
      <c r="A8" s="71">
        <f>A7+1</f>
        <v>2</v>
      </c>
      <c r="C8" s="61"/>
      <c r="D8" s="61" t="s">
        <v>16</v>
      </c>
      <c r="E8" s="130">
        <v>139369</v>
      </c>
      <c r="F8" s="132">
        <v>21.95</v>
      </c>
      <c r="G8" s="123">
        <f>F8*E8</f>
        <v>3059149.55</v>
      </c>
      <c r="H8" s="132">
        <v>28</v>
      </c>
      <c r="I8" s="10">
        <f>H8-F8</f>
        <v>6.0500000000000007</v>
      </c>
      <c r="J8" s="74">
        <f>H8*E8</f>
        <v>3902332</v>
      </c>
      <c r="K8" s="74">
        <f>J8-G8</f>
        <v>843182.45000000019</v>
      </c>
      <c r="L8" s="75">
        <f>IF(G8=0,0,K8/G8)</f>
        <v>0.27562642369020507</v>
      </c>
      <c r="Q8" s="90" t="s">
        <v>88</v>
      </c>
      <c r="R8" s="91">
        <f>F8</f>
        <v>21.95</v>
      </c>
    </row>
    <row r="9" spans="1:18" ht="15.6" x14ac:dyDescent="0.3">
      <c r="A9" s="71">
        <f t="shared" ref="A9:A76" si="0">A8+1</f>
        <v>3</v>
      </c>
      <c r="B9" s="62"/>
      <c r="D9" s="61" t="s">
        <v>35</v>
      </c>
      <c r="E9" s="130">
        <v>161159688</v>
      </c>
      <c r="F9" s="134">
        <v>8.8770000000000002E-2</v>
      </c>
      <c r="G9" s="123">
        <f>F9*E9</f>
        <v>14306145.503760001</v>
      </c>
      <c r="H9" s="124">
        <f>ROUND(F9*M9,6)</f>
        <v>9.0603000000000003E-2</v>
      </c>
      <c r="I9" s="99">
        <f>H9-F9</f>
        <v>1.8330000000000013E-3</v>
      </c>
      <c r="J9" s="74">
        <f>H9*E9</f>
        <v>14601551.211864</v>
      </c>
      <c r="K9" s="74">
        <f>J9-G9</f>
        <v>295405.7081039995</v>
      </c>
      <c r="L9" s="75">
        <f>IF(G9=0,0,K9/G9)</f>
        <v>2.0648867860763736E-2</v>
      </c>
      <c r="M9" s="94">
        <v>1.0206500000000001</v>
      </c>
      <c r="Q9" s="90" t="s">
        <v>89</v>
      </c>
      <c r="R9" s="91">
        <v>39.979999999999997</v>
      </c>
    </row>
    <row r="10" spans="1:18" s="63" customFormat="1" ht="20.399999999999999" customHeight="1" x14ac:dyDescent="0.3">
      <c r="A10" s="71">
        <f t="shared" si="0"/>
        <v>4</v>
      </c>
      <c r="B10" s="76"/>
      <c r="C10" s="77"/>
      <c r="D10" s="78" t="s">
        <v>5</v>
      </c>
      <c r="E10" s="125"/>
      <c r="F10" s="125"/>
      <c r="G10" s="12">
        <f>SUM(G8:G9)</f>
        <v>17365295.05376</v>
      </c>
      <c r="H10" s="125"/>
      <c r="I10" s="100"/>
      <c r="J10" s="12">
        <f>SUM(J8:J9)</f>
        <v>18503883.211864002</v>
      </c>
      <c r="K10" s="12">
        <f>SUM(K8:K9)</f>
        <v>1138588.1581039997</v>
      </c>
      <c r="L10" s="80">
        <f>K10/G10</f>
        <v>6.5566876611029321E-2</v>
      </c>
      <c r="M10" s="56"/>
      <c r="N10" s="61"/>
      <c r="Q10" s="90" t="s">
        <v>90</v>
      </c>
      <c r="R10" s="91">
        <f>R9-R8</f>
        <v>18.029999999999998</v>
      </c>
    </row>
    <row r="11" spans="1:18" ht="15.6" x14ac:dyDescent="0.3">
      <c r="A11" s="71">
        <f t="shared" si="0"/>
        <v>5</v>
      </c>
      <c r="D11" s="61" t="s">
        <v>23</v>
      </c>
      <c r="G11" s="135">
        <v>2678459.21</v>
      </c>
      <c r="J11" s="74">
        <f>G11</f>
        <v>2678459.21</v>
      </c>
      <c r="K11" s="74">
        <f>J11-G11</f>
        <v>0</v>
      </c>
      <c r="L11" s="62">
        <v>0</v>
      </c>
      <c r="Q11" s="90"/>
      <c r="R11" s="91"/>
    </row>
    <row r="12" spans="1:18" ht="15.6" x14ac:dyDescent="0.3">
      <c r="A12" s="71">
        <f t="shared" si="0"/>
        <v>6</v>
      </c>
      <c r="D12" s="61" t="s">
        <v>24</v>
      </c>
      <c r="G12" s="135">
        <v>2001728.0699999998</v>
      </c>
      <c r="J12" s="74">
        <f>G12</f>
        <v>2001728.0699999998</v>
      </c>
      <c r="K12" s="74">
        <f>J12-G12</f>
        <v>0</v>
      </c>
      <c r="L12" s="62">
        <v>0</v>
      </c>
      <c r="Q12" s="92">
        <v>0.25</v>
      </c>
      <c r="R12" s="91">
        <f>R10*Q12+R8</f>
        <v>26.4575</v>
      </c>
    </row>
    <row r="13" spans="1:18" ht="15.6" x14ac:dyDescent="0.3">
      <c r="A13" s="71">
        <f t="shared" si="0"/>
        <v>7</v>
      </c>
      <c r="D13" s="61" t="s">
        <v>86</v>
      </c>
      <c r="G13" s="135">
        <v>660</v>
      </c>
      <c r="J13" s="74">
        <f>G13</f>
        <v>660</v>
      </c>
      <c r="K13" s="74">
        <f>J13-G13</f>
        <v>0</v>
      </c>
      <c r="L13" s="62">
        <v>0</v>
      </c>
      <c r="Q13" s="92">
        <v>0.15</v>
      </c>
      <c r="R13" s="91">
        <f>Q13*R10+R8</f>
        <v>24.654499999999999</v>
      </c>
    </row>
    <row r="14" spans="1:18" ht="15.6" x14ac:dyDescent="0.3">
      <c r="A14" s="71">
        <f t="shared" si="0"/>
        <v>8</v>
      </c>
      <c r="D14" s="61" t="s">
        <v>28</v>
      </c>
      <c r="G14" s="135">
        <v>0</v>
      </c>
      <c r="J14" s="74">
        <f>G14</f>
        <v>0</v>
      </c>
      <c r="K14" s="74"/>
      <c r="L14" s="62">
        <v>0</v>
      </c>
      <c r="Q14" s="115">
        <v>0.34</v>
      </c>
      <c r="R14" s="91">
        <f>Q14*R10+R8</f>
        <v>28.080199999999998</v>
      </c>
    </row>
    <row r="15" spans="1:18" ht="15.6" x14ac:dyDescent="0.3">
      <c r="A15" s="71">
        <f t="shared" si="0"/>
        <v>9</v>
      </c>
      <c r="D15" s="81" t="s">
        <v>7</v>
      </c>
      <c r="E15" s="126"/>
      <c r="F15" s="126"/>
      <c r="G15" s="127">
        <f>SUM(G11:G14)</f>
        <v>4680847.2799999993</v>
      </c>
      <c r="H15" s="126"/>
      <c r="I15" s="25"/>
      <c r="J15" s="82">
        <f>SUM(J11:J14)</f>
        <v>4680847.2799999993</v>
      </c>
      <c r="K15" s="82">
        <f>J15-G15</f>
        <v>0</v>
      </c>
      <c r="L15" s="83">
        <v>0</v>
      </c>
      <c r="Q15" s="90"/>
      <c r="R15" s="91"/>
    </row>
    <row r="16" spans="1:18" s="63" customFormat="1" ht="26.4" customHeight="1" thickBot="1" x14ac:dyDescent="0.35">
      <c r="A16" s="71">
        <f t="shared" si="0"/>
        <v>10</v>
      </c>
      <c r="C16" s="77"/>
      <c r="D16" s="84" t="s">
        <v>18</v>
      </c>
      <c r="E16" s="128"/>
      <c r="F16" s="128"/>
      <c r="G16" s="129">
        <f>G15+G10</f>
        <v>22046142.333760001</v>
      </c>
      <c r="H16" s="128"/>
      <c r="I16" s="101"/>
      <c r="J16" s="85">
        <f>J15+J10</f>
        <v>23184730.491864003</v>
      </c>
      <c r="K16" s="85">
        <f>J16-G16</f>
        <v>1138588.1581040025</v>
      </c>
      <c r="L16" s="86">
        <f>K16/G16</f>
        <v>5.1645686617946038E-2</v>
      </c>
      <c r="N16" s="61"/>
      <c r="Q16" s="107">
        <f>(H8-R8)/R10</f>
        <v>0.3355518580144205</v>
      </c>
      <c r="R16" s="93" t="str">
        <f>D8</f>
        <v>Customer Charge</v>
      </c>
    </row>
    <row r="17" spans="1:14" ht="13.8" thickTop="1" x14ac:dyDescent="0.25">
      <c r="A17" s="71">
        <f t="shared" si="0"/>
        <v>11</v>
      </c>
      <c r="D17" s="61" t="s">
        <v>17</v>
      </c>
      <c r="E17" s="130">
        <f>E9/E8</f>
        <v>1156.3524743666096</v>
      </c>
      <c r="G17" s="131">
        <f>G16/E8</f>
        <v>158.18540947958297</v>
      </c>
      <c r="J17" s="87">
        <f>J16/E8</f>
        <v>166.35500356509701</v>
      </c>
      <c r="K17" s="87">
        <f>J17-G17</f>
        <v>8.169594085514035</v>
      </c>
      <c r="L17" s="75">
        <f>K17/G17</f>
        <v>5.1645686617946177E-2</v>
      </c>
    </row>
    <row r="18" spans="1:14" ht="13.8" thickBot="1" x14ac:dyDescent="0.3">
      <c r="A18" s="71">
        <f t="shared" si="0"/>
        <v>12</v>
      </c>
    </row>
    <row r="19" spans="1:14" x14ac:dyDescent="0.25">
      <c r="A19" s="71">
        <f t="shared" si="0"/>
        <v>13</v>
      </c>
      <c r="B19" s="72" t="s">
        <v>49</v>
      </c>
      <c r="C19" s="73" t="s">
        <v>50</v>
      </c>
      <c r="D19" s="72"/>
      <c r="E19" s="122"/>
      <c r="F19" s="122"/>
      <c r="G19" s="122"/>
      <c r="H19" s="122"/>
      <c r="I19" s="98"/>
      <c r="J19" s="72"/>
      <c r="K19" s="72"/>
      <c r="L19" s="72"/>
    </row>
    <row r="20" spans="1:14" x14ac:dyDescent="0.25">
      <c r="A20" s="71">
        <f t="shared" si="0"/>
        <v>14</v>
      </c>
      <c r="C20" s="61"/>
      <c r="D20" s="61" t="s">
        <v>16</v>
      </c>
      <c r="E20" s="130">
        <v>10545</v>
      </c>
      <c r="F20" s="132">
        <v>30.98</v>
      </c>
      <c r="G20" s="123">
        <f>F20*E20</f>
        <v>326684.09999999998</v>
      </c>
      <c r="H20" s="132">
        <f>F20</f>
        <v>30.98</v>
      </c>
      <c r="I20" s="10">
        <f>H20-F20</f>
        <v>0</v>
      </c>
      <c r="J20" s="74">
        <f>H20*E20</f>
        <v>326684.09999999998</v>
      </c>
      <c r="K20" s="74">
        <f>J20-G20</f>
        <v>0</v>
      </c>
      <c r="L20" s="75">
        <f>IF(G20=0,0,K20/G20)</f>
        <v>0</v>
      </c>
    </row>
    <row r="21" spans="1:14" x14ac:dyDescent="0.25">
      <c r="A21" s="71">
        <f t="shared" si="0"/>
        <v>15</v>
      </c>
      <c r="D21" s="61" t="s">
        <v>36</v>
      </c>
      <c r="E21" s="130">
        <v>40702</v>
      </c>
      <c r="F21" s="132">
        <v>5.68</v>
      </c>
      <c r="G21" s="123">
        <f>F21*E21</f>
        <v>231187.36</v>
      </c>
      <c r="H21" s="132">
        <f>F21</f>
        <v>5.68</v>
      </c>
      <c r="I21" s="10">
        <f>H21-F21</f>
        <v>0</v>
      </c>
      <c r="J21" s="74">
        <f>H21*E21</f>
        <v>231187.36</v>
      </c>
      <c r="K21" s="74">
        <f>J21-G21</f>
        <v>0</v>
      </c>
      <c r="L21" s="75">
        <f>IF(G21=0,0,K21/G21)</f>
        <v>0</v>
      </c>
    </row>
    <row r="22" spans="1:14" x14ac:dyDescent="0.25">
      <c r="A22" s="71">
        <f t="shared" si="0"/>
        <v>16</v>
      </c>
      <c r="D22" s="61" t="s">
        <v>35</v>
      </c>
      <c r="E22" s="130">
        <v>9059479</v>
      </c>
      <c r="F22" s="134">
        <v>6.7299999999999999E-2</v>
      </c>
      <c r="G22" s="123">
        <f>F22*E22</f>
        <v>609702.93669999996</v>
      </c>
      <c r="H22" s="133">
        <f>F22</f>
        <v>6.7299999999999999E-2</v>
      </c>
      <c r="I22" s="99">
        <f>H22-F22</f>
        <v>0</v>
      </c>
      <c r="J22" s="74">
        <f>H22*E22</f>
        <v>609702.93669999996</v>
      </c>
      <c r="K22" s="74">
        <f>J22-G22</f>
        <v>0</v>
      </c>
      <c r="L22" s="75">
        <f>IF(G22=0,0,K22/G22)</f>
        <v>0</v>
      </c>
    </row>
    <row r="23" spans="1:14" s="63" customFormat="1" ht="20.399999999999999" customHeight="1" x14ac:dyDescent="0.25">
      <c r="A23" s="71">
        <f t="shared" si="0"/>
        <v>17</v>
      </c>
      <c r="C23" s="77"/>
      <c r="D23" s="78" t="s">
        <v>5</v>
      </c>
      <c r="E23" s="125"/>
      <c r="F23" s="125"/>
      <c r="G23" s="12">
        <f>SUM(G20:G22)</f>
        <v>1167574.3966999999</v>
      </c>
      <c r="H23" s="125"/>
      <c r="I23" s="100"/>
      <c r="J23" s="12">
        <f>SUM(J20:J22)</f>
        <v>1167574.3966999999</v>
      </c>
      <c r="K23" s="12">
        <f>SUM(K20:K22)</f>
        <v>0</v>
      </c>
      <c r="L23" s="80">
        <f>K23/G23</f>
        <v>0</v>
      </c>
      <c r="M23" s="56"/>
      <c r="N23" s="61"/>
    </row>
    <row r="24" spans="1:14" x14ac:dyDescent="0.25">
      <c r="A24" s="71">
        <f t="shared" si="0"/>
        <v>18</v>
      </c>
      <c r="D24" s="61" t="s">
        <v>23</v>
      </c>
      <c r="G24" s="135">
        <v>126466.86</v>
      </c>
      <c r="J24" s="74">
        <f>G24</f>
        <v>126466.86</v>
      </c>
      <c r="K24" s="74">
        <f>J24-G24</f>
        <v>0</v>
      </c>
      <c r="L24" s="62">
        <v>0</v>
      </c>
    </row>
    <row r="25" spans="1:14" x14ac:dyDescent="0.25">
      <c r="A25" s="71">
        <f t="shared" si="0"/>
        <v>19</v>
      </c>
      <c r="D25" s="61" t="s">
        <v>24</v>
      </c>
      <c r="G25" s="135">
        <v>133801.49000000002</v>
      </c>
      <c r="J25" s="74">
        <f>G25</f>
        <v>133801.49000000002</v>
      </c>
      <c r="K25" s="74">
        <f>J25-G25</f>
        <v>0</v>
      </c>
      <c r="L25" s="62">
        <v>0</v>
      </c>
    </row>
    <row r="26" spans="1:14" x14ac:dyDescent="0.25">
      <c r="A26" s="71">
        <f t="shared" si="0"/>
        <v>20</v>
      </c>
      <c r="D26" s="61" t="s">
        <v>86</v>
      </c>
      <c r="G26" s="135">
        <v>55</v>
      </c>
      <c r="J26" s="74">
        <f>G26</f>
        <v>55</v>
      </c>
      <c r="K26" s="74">
        <f>J26-G26</f>
        <v>0</v>
      </c>
      <c r="L26" s="62">
        <v>0</v>
      </c>
    </row>
    <row r="27" spans="1:14" x14ac:dyDescent="0.25">
      <c r="A27" s="71">
        <f t="shared" si="0"/>
        <v>21</v>
      </c>
      <c r="D27" s="61" t="s">
        <v>28</v>
      </c>
      <c r="G27" s="135">
        <v>0</v>
      </c>
      <c r="J27" s="74">
        <f>G27</f>
        <v>0</v>
      </c>
      <c r="K27" s="74"/>
      <c r="L27" s="62"/>
    </row>
    <row r="28" spans="1:14" x14ac:dyDescent="0.25">
      <c r="A28" s="71">
        <f t="shared" si="0"/>
        <v>22</v>
      </c>
      <c r="D28" s="81" t="s">
        <v>7</v>
      </c>
      <c r="E28" s="126"/>
      <c r="F28" s="126"/>
      <c r="G28" s="127">
        <f>SUM(G24:G27)</f>
        <v>260323.35000000003</v>
      </c>
      <c r="H28" s="126"/>
      <c r="I28" s="25"/>
      <c r="J28" s="82">
        <f>SUM(J24:J27)</f>
        <v>260323.35000000003</v>
      </c>
      <c r="K28" s="82">
        <f>J28-G28</f>
        <v>0</v>
      </c>
      <c r="L28" s="83">
        <v>0</v>
      </c>
    </row>
    <row r="29" spans="1:14" s="63" customFormat="1" ht="26.4" customHeight="1" thickBot="1" x14ac:dyDescent="0.3">
      <c r="A29" s="71">
        <f t="shared" si="0"/>
        <v>23</v>
      </c>
      <c r="C29" s="77"/>
      <c r="D29" s="84" t="s">
        <v>18</v>
      </c>
      <c r="E29" s="128"/>
      <c r="F29" s="128"/>
      <c r="G29" s="129">
        <f>G28+G23</f>
        <v>1427897.7467</v>
      </c>
      <c r="H29" s="128"/>
      <c r="I29" s="101"/>
      <c r="J29" s="85">
        <f>J28+J23</f>
        <v>1427897.7467</v>
      </c>
      <c r="K29" s="85">
        <f>J29-G29</f>
        <v>0</v>
      </c>
      <c r="L29" s="86">
        <f>K29/G29</f>
        <v>0</v>
      </c>
      <c r="N29" s="61"/>
    </row>
    <row r="30" spans="1:14" ht="13.8" thickTop="1" x14ac:dyDescent="0.25">
      <c r="A30" s="71">
        <f t="shared" si="0"/>
        <v>24</v>
      </c>
      <c r="D30" s="61" t="s">
        <v>17</v>
      </c>
      <c r="E30" s="130">
        <f>(E21+E22)/E20</f>
        <v>862.98539592223801</v>
      </c>
      <c r="G30" s="131">
        <f>G29/E20</f>
        <v>135.40993330488382</v>
      </c>
      <c r="J30" s="87">
        <f>J29/E20</f>
        <v>135.40993330488382</v>
      </c>
      <c r="K30" s="87">
        <f>J30-G30</f>
        <v>0</v>
      </c>
      <c r="L30" s="75">
        <f>K30/G30</f>
        <v>0</v>
      </c>
    </row>
    <row r="31" spans="1:14" ht="13.8" thickBot="1" x14ac:dyDescent="0.3">
      <c r="A31" s="71">
        <f t="shared" si="0"/>
        <v>25</v>
      </c>
    </row>
    <row r="32" spans="1:14" x14ac:dyDescent="0.25">
      <c r="A32" s="71">
        <f t="shared" si="0"/>
        <v>26</v>
      </c>
      <c r="B32" s="72" t="s">
        <v>51</v>
      </c>
      <c r="C32" s="73" t="s">
        <v>52</v>
      </c>
      <c r="D32" s="72"/>
      <c r="E32" s="122"/>
      <c r="F32" s="122"/>
      <c r="G32" s="122"/>
      <c r="H32" s="122"/>
      <c r="I32" s="98"/>
      <c r="J32" s="72"/>
      <c r="K32" s="72"/>
      <c r="L32" s="72"/>
    </row>
    <row r="33" spans="1:14" x14ac:dyDescent="0.25">
      <c r="A33" s="71">
        <f t="shared" si="0"/>
        <v>27</v>
      </c>
      <c r="C33" s="61"/>
      <c r="D33" s="61" t="s">
        <v>16</v>
      </c>
      <c r="E33" s="130">
        <v>1951</v>
      </c>
      <c r="F33" s="132">
        <v>96.34</v>
      </c>
      <c r="G33" s="123">
        <f>F33*E33</f>
        <v>187959.34</v>
      </c>
      <c r="H33" s="132">
        <f>F33</f>
        <v>96.34</v>
      </c>
      <c r="I33" s="10">
        <f>H33-F33</f>
        <v>0</v>
      </c>
      <c r="J33" s="74">
        <f>H33*E33</f>
        <v>187959.34</v>
      </c>
      <c r="K33" s="74">
        <f>J33-G33</f>
        <v>0</v>
      </c>
      <c r="L33" s="75">
        <f>IF(G33=0,0,K33/G33)</f>
        <v>0</v>
      </c>
    </row>
    <row r="34" spans="1:14" x14ac:dyDescent="0.25">
      <c r="A34" s="71">
        <f t="shared" si="0"/>
        <v>28</v>
      </c>
      <c r="D34" s="61" t="s">
        <v>36</v>
      </c>
      <c r="E34" s="130">
        <v>85632</v>
      </c>
      <c r="F34" s="132">
        <v>6.48</v>
      </c>
      <c r="G34" s="123">
        <f>F34*E34</f>
        <v>554895.35999999999</v>
      </c>
      <c r="H34" s="132">
        <f>F34</f>
        <v>6.48</v>
      </c>
      <c r="I34" s="10">
        <f>H34-F34</f>
        <v>0</v>
      </c>
      <c r="J34" s="74">
        <f>H34*E34</f>
        <v>554895.35999999999</v>
      </c>
      <c r="K34" s="74">
        <f>J34-G34</f>
        <v>0</v>
      </c>
      <c r="L34" s="75">
        <f>IF(G34=0,0,K34/G34)</f>
        <v>0</v>
      </c>
    </row>
    <row r="35" spans="1:14" x14ac:dyDescent="0.25">
      <c r="A35" s="71">
        <f t="shared" si="0"/>
        <v>29</v>
      </c>
      <c r="D35" s="61" t="s">
        <v>53</v>
      </c>
      <c r="E35" s="130">
        <v>17028585.699999999</v>
      </c>
      <c r="F35" s="134">
        <v>5.8930000000000003E-2</v>
      </c>
      <c r="G35" s="123">
        <f>F35*E35</f>
        <v>1003494.555301</v>
      </c>
      <c r="H35" s="134">
        <f>F35</f>
        <v>5.8930000000000003E-2</v>
      </c>
      <c r="I35" s="99">
        <f>H35-F35</f>
        <v>0</v>
      </c>
      <c r="J35" s="74">
        <f>H35*E35</f>
        <v>1003494.555301</v>
      </c>
      <c r="K35" s="74">
        <f>J35-G35</f>
        <v>0</v>
      </c>
      <c r="L35" s="75">
        <f>IF(G35=0,0,K35/G35)</f>
        <v>0</v>
      </c>
    </row>
    <row r="36" spans="1:14" x14ac:dyDescent="0.25">
      <c r="A36" s="71">
        <f t="shared" si="0"/>
        <v>30</v>
      </c>
      <c r="D36" s="61" t="s">
        <v>54</v>
      </c>
      <c r="E36" s="130">
        <v>7297965.2999999998</v>
      </c>
      <c r="F36" s="134">
        <v>5.2609999999999997E-2</v>
      </c>
      <c r="G36" s="123">
        <f>F36*E36</f>
        <v>383945.95443299995</v>
      </c>
      <c r="H36" s="134">
        <f>F36</f>
        <v>5.2609999999999997E-2</v>
      </c>
      <c r="I36" s="99">
        <f>H36-F36</f>
        <v>0</v>
      </c>
      <c r="J36" s="74">
        <f>H36*E36</f>
        <v>383945.95443299995</v>
      </c>
      <c r="K36" s="74">
        <f>J36-G36</f>
        <v>0</v>
      </c>
      <c r="L36" s="75">
        <f>IF(G36=0,0,K36/G36)</f>
        <v>0</v>
      </c>
    </row>
    <row r="37" spans="1:14" s="63" customFormat="1" ht="20.399999999999999" customHeight="1" x14ac:dyDescent="0.25">
      <c r="A37" s="71">
        <f t="shared" si="0"/>
        <v>31</v>
      </c>
      <c r="C37" s="77"/>
      <c r="D37" s="78" t="s">
        <v>5</v>
      </c>
      <c r="E37" s="125"/>
      <c r="F37" s="125"/>
      <c r="G37" s="12">
        <f>SUM(G33:G36)</f>
        <v>2130295.2097340003</v>
      </c>
      <c r="H37" s="125"/>
      <c r="I37" s="100"/>
      <c r="J37" s="12">
        <f>SUM(J33:J36)</f>
        <v>2130295.2097340003</v>
      </c>
      <c r="K37" s="12">
        <f>SUM(K33:K36)</f>
        <v>0</v>
      </c>
      <c r="L37" s="80">
        <f>K37/G37</f>
        <v>0</v>
      </c>
      <c r="M37" s="56"/>
      <c r="N37" s="61"/>
    </row>
    <row r="38" spans="1:14" x14ac:dyDescent="0.25">
      <c r="A38" s="71">
        <f t="shared" si="0"/>
        <v>32</v>
      </c>
      <c r="D38" s="61" t="s">
        <v>23</v>
      </c>
      <c r="G38" s="135">
        <v>347355.95</v>
      </c>
      <c r="J38" s="74">
        <f>G38</f>
        <v>347355.95</v>
      </c>
      <c r="K38" s="74">
        <f>J38-G38</f>
        <v>0</v>
      </c>
      <c r="L38" s="62">
        <v>0</v>
      </c>
    </row>
    <row r="39" spans="1:14" x14ac:dyDescent="0.25">
      <c r="A39" s="71">
        <f t="shared" si="0"/>
        <v>33</v>
      </c>
      <c r="D39" s="61" t="s">
        <v>24</v>
      </c>
      <c r="G39" s="135">
        <v>254587.87999999998</v>
      </c>
      <c r="J39" s="74">
        <f>G39</f>
        <v>254587.87999999998</v>
      </c>
      <c r="K39" s="74">
        <f>J39-G39</f>
        <v>0</v>
      </c>
      <c r="L39" s="62">
        <v>0</v>
      </c>
    </row>
    <row r="40" spans="1:14" x14ac:dyDescent="0.25">
      <c r="A40" s="71">
        <f t="shared" si="0"/>
        <v>34</v>
      </c>
      <c r="D40" s="61" t="s">
        <v>86</v>
      </c>
      <c r="G40" s="135">
        <v>0</v>
      </c>
      <c r="J40" s="74">
        <f>G40</f>
        <v>0</v>
      </c>
      <c r="K40" s="74">
        <f>J40-G40</f>
        <v>0</v>
      </c>
      <c r="L40" s="62">
        <v>0</v>
      </c>
    </row>
    <row r="41" spans="1:14" x14ac:dyDescent="0.25">
      <c r="A41" s="71">
        <f t="shared" si="0"/>
        <v>35</v>
      </c>
      <c r="D41" s="61" t="s">
        <v>28</v>
      </c>
      <c r="G41" s="135">
        <v>0</v>
      </c>
      <c r="J41" s="74">
        <f>G41</f>
        <v>0</v>
      </c>
      <c r="K41" s="74"/>
      <c r="L41" s="62"/>
    </row>
    <row r="42" spans="1:14" x14ac:dyDescent="0.25">
      <c r="A42" s="71">
        <f t="shared" si="0"/>
        <v>36</v>
      </c>
      <c r="D42" s="81" t="s">
        <v>7</v>
      </c>
      <c r="E42" s="126"/>
      <c r="F42" s="126"/>
      <c r="G42" s="127">
        <f>SUM(G38:G41)</f>
        <v>601943.82999999996</v>
      </c>
      <c r="H42" s="126"/>
      <c r="I42" s="25"/>
      <c r="J42" s="82">
        <f>SUM(J38:J41)</f>
        <v>601943.82999999996</v>
      </c>
      <c r="K42" s="82">
        <f>J42-G42</f>
        <v>0</v>
      </c>
      <c r="L42" s="83">
        <v>0</v>
      </c>
    </row>
    <row r="43" spans="1:14" s="63" customFormat="1" ht="26.4" customHeight="1" thickBot="1" x14ac:dyDescent="0.3">
      <c r="A43" s="71">
        <f t="shared" si="0"/>
        <v>37</v>
      </c>
      <c r="C43" s="77"/>
      <c r="D43" s="84" t="s">
        <v>18</v>
      </c>
      <c r="E43" s="128"/>
      <c r="F43" s="128"/>
      <c r="G43" s="129">
        <f>G42+G37</f>
        <v>2732239.0397340003</v>
      </c>
      <c r="H43" s="128"/>
      <c r="I43" s="101"/>
      <c r="J43" s="85">
        <f>J42+J37</f>
        <v>2732239.0397340003</v>
      </c>
      <c r="K43" s="85">
        <f>J43-G43</f>
        <v>0</v>
      </c>
      <c r="L43" s="86">
        <f>K43/G43</f>
        <v>0</v>
      </c>
      <c r="N43" s="61"/>
    </row>
    <row r="44" spans="1:14" ht="13.8" thickTop="1" x14ac:dyDescent="0.25">
      <c r="A44" s="71">
        <f t="shared" si="0"/>
        <v>38</v>
      </c>
      <c r="D44" s="61" t="s">
        <v>17</v>
      </c>
      <c r="E44" s="130">
        <f>E36/E33</f>
        <v>3740.6280369041515</v>
      </c>
      <c r="G44" s="131">
        <f>G43/E33</f>
        <v>1400.4300562450028</v>
      </c>
      <c r="J44" s="87">
        <f>J43/E33</f>
        <v>1400.4300562450028</v>
      </c>
      <c r="K44" s="87">
        <f>J44-G44</f>
        <v>0</v>
      </c>
      <c r="L44" s="75">
        <f>K44/G44</f>
        <v>0</v>
      </c>
    </row>
    <row r="45" spans="1:14" ht="13.8" thickBot="1" x14ac:dyDescent="0.3">
      <c r="A45" s="71">
        <f t="shared" si="0"/>
        <v>39</v>
      </c>
    </row>
    <row r="46" spans="1:14" x14ac:dyDescent="0.25">
      <c r="A46" s="71">
        <f t="shared" si="0"/>
        <v>40</v>
      </c>
      <c r="B46" s="72" t="s">
        <v>83</v>
      </c>
      <c r="C46" s="73" t="s">
        <v>55</v>
      </c>
      <c r="D46" s="72"/>
      <c r="E46" s="122"/>
      <c r="F46" s="122"/>
      <c r="G46" s="122"/>
      <c r="H46" s="122"/>
      <c r="I46" s="98"/>
      <c r="J46" s="72"/>
      <c r="K46" s="72"/>
      <c r="L46" s="72"/>
    </row>
    <row r="47" spans="1:14" x14ac:dyDescent="0.25">
      <c r="A47" s="71">
        <f t="shared" si="0"/>
        <v>41</v>
      </c>
      <c r="C47" s="61"/>
      <c r="D47" s="61" t="s">
        <v>16</v>
      </c>
      <c r="E47" s="130">
        <v>102</v>
      </c>
      <c r="F47" s="132">
        <v>118.25</v>
      </c>
      <c r="G47" s="123">
        <f>F47*E47</f>
        <v>12061.5</v>
      </c>
      <c r="H47" s="132">
        <f>F47</f>
        <v>118.25</v>
      </c>
      <c r="I47" s="10">
        <f>H47-F47</f>
        <v>0</v>
      </c>
      <c r="J47" s="74">
        <f>H47*E47</f>
        <v>12061.5</v>
      </c>
      <c r="K47" s="74">
        <f>J47-G47</f>
        <v>0</v>
      </c>
      <c r="L47" s="75">
        <f>IF(G47=0,0,K47/G47)</f>
        <v>0</v>
      </c>
    </row>
    <row r="48" spans="1:14" x14ac:dyDescent="0.25">
      <c r="A48" s="71">
        <f t="shared" si="0"/>
        <v>42</v>
      </c>
      <c r="D48" s="61" t="s">
        <v>36</v>
      </c>
      <c r="E48" s="130">
        <v>37068</v>
      </c>
      <c r="F48" s="132">
        <v>6.48</v>
      </c>
      <c r="G48" s="123">
        <f>F48*E48</f>
        <v>240200.64</v>
      </c>
      <c r="H48" s="132">
        <f>F48</f>
        <v>6.48</v>
      </c>
      <c r="I48" s="10">
        <f>H48-F48</f>
        <v>0</v>
      </c>
      <c r="J48" s="74">
        <f>H48*E48</f>
        <v>240200.64</v>
      </c>
      <c r="K48" s="74">
        <f>J48-G48</f>
        <v>0</v>
      </c>
      <c r="L48" s="75">
        <f>IF(G48=0,0,K48/G48)</f>
        <v>0</v>
      </c>
    </row>
    <row r="49" spans="1:14" x14ac:dyDescent="0.25">
      <c r="A49" s="71">
        <f t="shared" si="0"/>
        <v>43</v>
      </c>
      <c r="D49" s="61" t="s">
        <v>53</v>
      </c>
      <c r="E49" s="130">
        <v>0</v>
      </c>
      <c r="F49" s="134">
        <v>5.8439999999999999E-2</v>
      </c>
      <c r="G49" s="123">
        <f>F49*E49</f>
        <v>0</v>
      </c>
      <c r="H49" s="124">
        <f>F49</f>
        <v>5.8439999999999999E-2</v>
      </c>
      <c r="I49" s="99">
        <f>H49-F49</f>
        <v>0</v>
      </c>
      <c r="J49" s="74">
        <f>H49*E49</f>
        <v>0</v>
      </c>
      <c r="K49" s="74">
        <f>J49-G49</f>
        <v>0</v>
      </c>
      <c r="L49" s="75">
        <f>IF(G49=0,0,K49/G49)</f>
        <v>0</v>
      </c>
    </row>
    <row r="50" spans="1:14" x14ac:dyDescent="0.25">
      <c r="A50" s="71">
        <f t="shared" si="0"/>
        <v>44</v>
      </c>
      <c r="D50" s="61" t="s">
        <v>54</v>
      </c>
      <c r="E50" s="130">
        <v>10609404</v>
      </c>
      <c r="F50" s="134">
        <v>5.2179999999999997E-2</v>
      </c>
      <c r="G50" s="123">
        <f>F50*E50</f>
        <v>553598.70071999996</v>
      </c>
      <c r="H50" s="124">
        <f>F50</f>
        <v>5.2179999999999997E-2</v>
      </c>
      <c r="I50" s="99">
        <f>H50-F50</f>
        <v>0</v>
      </c>
      <c r="J50" s="74">
        <f>H50*E50</f>
        <v>553598.70071999996</v>
      </c>
      <c r="K50" s="74">
        <f>J50-G50</f>
        <v>0</v>
      </c>
      <c r="L50" s="75">
        <f>IF(G50=0,0,K50/G50)</f>
        <v>0</v>
      </c>
    </row>
    <row r="51" spans="1:14" s="63" customFormat="1" ht="20.399999999999999" customHeight="1" x14ac:dyDescent="0.25">
      <c r="A51" s="71">
        <f t="shared" si="0"/>
        <v>45</v>
      </c>
      <c r="C51" s="77"/>
      <c r="D51" s="78" t="s">
        <v>5</v>
      </c>
      <c r="E51" s="125"/>
      <c r="F51" s="125"/>
      <c r="G51" s="12">
        <f>SUM(G47:G50)</f>
        <v>805860.84071999998</v>
      </c>
      <c r="H51" s="125"/>
      <c r="I51" s="100"/>
      <c r="J51" s="12">
        <f>SUM(J47:J50)</f>
        <v>805860.84071999998</v>
      </c>
      <c r="K51" s="12">
        <f>SUM(K47:K50)</f>
        <v>0</v>
      </c>
      <c r="L51" s="80">
        <f>K51/G51</f>
        <v>0</v>
      </c>
      <c r="M51" s="56"/>
      <c r="N51" s="61"/>
    </row>
    <row r="52" spans="1:14" x14ac:dyDescent="0.25">
      <c r="A52" s="71">
        <f t="shared" si="0"/>
        <v>46</v>
      </c>
      <c r="D52" s="61" t="s">
        <v>23</v>
      </c>
      <c r="G52" s="135">
        <v>144151</v>
      </c>
      <c r="J52" s="74">
        <f>G52</f>
        <v>144151</v>
      </c>
      <c r="K52" s="74">
        <f>J52-G52</f>
        <v>0</v>
      </c>
      <c r="L52" s="62">
        <v>0</v>
      </c>
    </row>
    <row r="53" spans="1:14" x14ac:dyDescent="0.25">
      <c r="A53" s="71">
        <f t="shared" si="0"/>
        <v>47</v>
      </c>
      <c r="D53" s="61" t="s">
        <v>24</v>
      </c>
      <c r="G53" s="135">
        <v>94578</v>
      </c>
      <c r="J53" s="74">
        <f>G53</f>
        <v>94578</v>
      </c>
      <c r="K53" s="74">
        <f>J53-G53</f>
        <v>0</v>
      </c>
      <c r="L53" s="62">
        <v>0</v>
      </c>
    </row>
    <row r="54" spans="1:14" x14ac:dyDescent="0.25">
      <c r="A54" s="71">
        <f t="shared" si="0"/>
        <v>48</v>
      </c>
      <c r="D54" s="61" t="s">
        <v>86</v>
      </c>
      <c r="G54" s="135">
        <v>0</v>
      </c>
      <c r="J54" s="74">
        <f>G54</f>
        <v>0</v>
      </c>
      <c r="K54" s="74">
        <f>J54-G54</f>
        <v>0</v>
      </c>
      <c r="L54" s="62">
        <v>0</v>
      </c>
    </row>
    <row r="55" spans="1:14" x14ac:dyDescent="0.25">
      <c r="A55" s="71">
        <f t="shared" si="0"/>
        <v>49</v>
      </c>
      <c r="D55" s="61" t="s">
        <v>28</v>
      </c>
      <c r="G55" s="135">
        <v>0</v>
      </c>
      <c r="J55" s="74">
        <f>G55</f>
        <v>0</v>
      </c>
      <c r="K55" s="74"/>
      <c r="L55" s="62"/>
    </row>
    <row r="56" spans="1:14" x14ac:dyDescent="0.25">
      <c r="A56" s="71">
        <f t="shared" si="0"/>
        <v>50</v>
      </c>
      <c r="D56" s="81" t="s">
        <v>7</v>
      </c>
      <c r="E56" s="126"/>
      <c r="F56" s="126"/>
      <c r="G56" s="127">
        <f>SUM(G52:G55)</f>
        <v>238729</v>
      </c>
      <c r="H56" s="126"/>
      <c r="I56" s="25"/>
      <c r="J56" s="82">
        <f>SUM(J52:J55)</f>
        <v>238729</v>
      </c>
      <c r="K56" s="82">
        <f>J56-G56</f>
        <v>0</v>
      </c>
      <c r="L56" s="83">
        <v>0</v>
      </c>
    </row>
    <row r="57" spans="1:14" s="63" customFormat="1" ht="26.4" customHeight="1" thickBot="1" x14ac:dyDescent="0.3">
      <c r="A57" s="71">
        <f t="shared" si="0"/>
        <v>51</v>
      </c>
      <c r="C57" s="77"/>
      <c r="D57" s="84" t="s">
        <v>18</v>
      </c>
      <c r="E57" s="128"/>
      <c r="F57" s="128"/>
      <c r="G57" s="129">
        <f>G56+G51</f>
        <v>1044589.84072</v>
      </c>
      <c r="H57" s="128"/>
      <c r="I57" s="101"/>
      <c r="J57" s="85">
        <f>J56+J51</f>
        <v>1044589.84072</v>
      </c>
      <c r="K57" s="85">
        <f>J57-G57</f>
        <v>0</v>
      </c>
      <c r="L57" s="86">
        <f>K57/G57</f>
        <v>0</v>
      </c>
      <c r="N57" s="61"/>
    </row>
    <row r="58" spans="1:14" ht="13.8" thickTop="1" x14ac:dyDescent="0.25">
      <c r="A58" s="71">
        <f t="shared" si="0"/>
        <v>52</v>
      </c>
      <c r="D58" s="61" t="s">
        <v>17</v>
      </c>
      <c r="E58" s="130">
        <f>E50/E47</f>
        <v>104013.76470588235</v>
      </c>
      <c r="G58" s="131">
        <f>G57/E47</f>
        <v>10241.076869803921</v>
      </c>
      <c r="J58" s="87">
        <f>J57/E47</f>
        <v>10241.076869803921</v>
      </c>
      <c r="K58" s="87">
        <f>J58-G58</f>
        <v>0</v>
      </c>
      <c r="L58" s="75">
        <f>K58/G58</f>
        <v>0</v>
      </c>
    </row>
    <row r="59" spans="1:14" ht="13.8" thickBot="1" x14ac:dyDescent="0.3">
      <c r="A59" s="71">
        <f t="shared" si="0"/>
        <v>53</v>
      </c>
    </row>
    <row r="60" spans="1:14" x14ac:dyDescent="0.25">
      <c r="A60" s="71">
        <f t="shared" si="0"/>
        <v>54</v>
      </c>
      <c r="B60" s="72" t="s">
        <v>74</v>
      </c>
      <c r="C60" s="73" t="s">
        <v>75</v>
      </c>
      <c r="D60" s="72"/>
      <c r="E60" s="122"/>
      <c r="F60" s="122"/>
      <c r="G60" s="122"/>
      <c r="H60" s="122"/>
      <c r="I60" s="98"/>
      <c r="J60" s="72"/>
      <c r="K60" s="72"/>
      <c r="L60" s="72"/>
    </row>
    <row r="61" spans="1:14" x14ac:dyDescent="0.25">
      <c r="A61" s="71">
        <f t="shared" si="0"/>
        <v>55</v>
      </c>
      <c r="C61" s="61"/>
      <c r="D61" s="61" t="s">
        <v>16</v>
      </c>
      <c r="E61" s="130">
        <v>12</v>
      </c>
      <c r="F61" s="132">
        <v>179.01</v>
      </c>
      <c r="G61" s="123">
        <f>F61*E61</f>
        <v>2148.12</v>
      </c>
      <c r="H61" s="132">
        <f>F61</f>
        <v>179.01</v>
      </c>
      <c r="I61" s="10">
        <f>H61-F61</f>
        <v>0</v>
      </c>
      <c r="J61" s="74">
        <f>H61*E61</f>
        <v>2148.12</v>
      </c>
      <c r="K61" s="74">
        <f>J61-G61</f>
        <v>0</v>
      </c>
      <c r="L61" s="75">
        <f>IF(G61=0,0,K61/G61)</f>
        <v>0</v>
      </c>
    </row>
    <row r="62" spans="1:14" x14ac:dyDescent="0.25">
      <c r="A62" s="71">
        <f>A60+1</f>
        <v>55</v>
      </c>
      <c r="D62" s="61" t="s">
        <v>76</v>
      </c>
      <c r="E62" s="130">
        <v>10200</v>
      </c>
      <c r="F62" s="132">
        <v>6.65</v>
      </c>
      <c r="G62" s="123">
        <f>F62*E62</f>
        <v>67830</v>
      </c>
      <c r="H62" s="132">
        <f>F62</f>
        <v>6.65</v>
      </c>
      <c r="I62" s="10">
        <f>H62-F62</f>
        <v>0</v>
      </c>
      <c r="J62" s="74">
        <f>H62*E62</f>
        <v>67830</v>
      </c>
      <c r="K62" s="74">
        <f>J62-G62</f>
        <v>0</v>
      </c>
      <c r="L62" s="75">
        <f>IF(G62=0,0,K62/G62)</f>
        <v>0</v>
      </c>
    </row>
    <row r="63" spans="1:14" x14ac:dyDescent="0.25">
      <c r="A63" s="71">
        <f>A61+1</f>
        <v>56</v>
      </c>
      <c r="D63" s="61" t="s">
        <v>77</v>
      </c>
      <c r="E63" s="130">
        <v>821</v>
      </c>
      <c r="F63" s="132">
        <v>9.65</v>
      </c>
      <c r="G63" s="123">
        <f>F63*E63</f>
        <v>7922.6500000000005</v>
      </c>
      <c r="H63" s="132">
        <f>F63</f>
        <v>9.65</v>
      </c>
      <c r="I63" s="10">
        <f>H63-F63</f>
        <v>0</v>
      </c>
      <c r="J63" s="74">
        <f>H63*E63</f>
        <v>7922.6500000000005</v>
      </c>
      <c r="K63" s="74">
        <f>J63-G63</f>
        <v>0</v>
      </c>
      <c r="L63" s="75">
        <f>IF(G63=0,0,K63/G63)</f>
        <v>0</v>
      </c>
    </row>
    <row r="64" spans="1:14" x14ac:dyDescent="0.25">
      <c r="A64" s="71">
        <f t="shared" si="0"/>
        <v>57</v>
      </c>
      <c r="D64" s="61" t="s">
        <v>53</v>
      </c>
      <c r="E64" s="130">
        <v>0</v>
      </c>
      <c r="F64" s="133">
        <v>5.348E-2</v>
      </c>
      <c r="G64" s="123">
        <f>F64*E64</f>
        <v>0</v>
      </c>
      <c r="H64" s="134">
        <f>F64</f>
        <v>5.348E-2</v>
      </c>
      <c r="I64" s="99">
        <f>H64-F64</f>
        <v>0</v>
      </c>
      <c r="J64" s="74">
        <f>H64*E64</f>
        <v>0</v>
      </c>
      <c r="K64" s="74">
        <f>J64-G64</f>
        <v>0</v>
      </c>
      <c r="L64" s="75">
        <f>IF(G64=0,0,K64/G64)</f>
        <v>0</v>
      </c>
    </row>
    <row r="65" spans="1:18" x14ac:dyDescent="0.25">
      <c r="A65" s="71">
        <f t="shared" si="0"/>
        <v>58</v>
      </c>
      <c r="D65" s="61" t="s">
        <v>54</v>
      </c>
      <c r="E65" s="130">
        <v>6394500</v>
      </c>
      <c r="F65" s="133">
        <v>5.2749999999999998E-2</v>
      </c>
      <c r="G65" s="123">
        <f>F65*E65</f>
        <v>337309.875</v>
      </c>
      <c r="H65" s="134">
        <f>F65</f>
        <v>5.2749999999999998E-2</v>
      </c>
      <c r="I65" s="99">
        <f>H65-F65</f>
        <v>0</v>
      </c>
      <c r="J65" s="74">
        <f>H65*E65</f>
        <v>337309.875</v>
      </c>
      <c r="K65" s="74">
        <f>J65-G65</f>
        <v>0</v>
      </c>
      <c r="L65" s="75">
        <f>IF(G65=0,0,K65/G65)</f>
        <v>0</v>
      </c>
    </row>
    <row r="66" spans="1:18" s="63" customFormat="1" ht="20.399999999999999" customHeight="1" x14ac:dyDescent="0.25">
      <c r="A66" s="71">
        <f t="shared" si="0"/>
        <v>59</v>
      </c>
      <c r="C66" s="77"/>
      <c r="D66" s="78" t="s">
        <v>5</v>
      </c>
      <c r="E66" s="125"/>
      <c r="F66" s="125"/>
      <c r="G66" s="12">
        <f>SUM(G61:G65)</f>
        <v>415210.64500000002</v>
      </c>
      <c r="H66" s="125"/>
      <c r="I66" s="100"/>
      <c r="J66" s="12">
        <f>SUM(J61:J65)</f>
        <v>415210.64500000002</v>
      </c>
      <c r="K66" s="12">
        <f>SUM(K61:K65)</f>
        <v>0</v>
      </c>
      <c r="L66" s="80">
        <f>K66/G66</f>
        <v>0</v>
      </c>
      <c r="M66" s="56"/>
      <c r="N66" s="61"/>
    </row>
    <row r="67" spans="1:18" x14ac:dyDescent="0.25">
      <c r="A67" s="71">
        <f t="shared" si="0"/>
        <v>60</v>
      </c>
      <c r="D67" s="61" t="s">
        <v>23</v>
      </c>
      <c r="G67" s="135">
        <v>88343</v>
      </c>
      <c r="J67" s="74">
        <f>G67</f>
        <v>88343</v>
      </c>
      <c r="K67" s="74">
        <f>J67-G67</f>
        <v>0</v>
      </c>
      <c r="L67" s="62">
        <v>0</v>
      </c>
    </row>
    <row r="68" spans="1:18" x14ac:dyDescent="0.25">
      <c r="A68" s="71">
        <f t="shared" si="0"/>
        <v>61</v>
      </c>
      <c r="D68" s="61" t="s">
        <v>24</v>
      </c>
      <c r="G68" s="135">
        <v>49910</v>
      </c>
      <c r="J68" s="74">
        <f>G68</f>
        <v>49910</v>
      </c>
      <c r="K68" s="74">
        <f>J68-G68</f>
        <v>0</v>
      </c>
      <c r="L68" s="62">
        <v>0</v>
      </c>
    </row>
    <row r="69" spans="1:18" x14ac:dyDescent="0.25">
      <c r="A69" s="71">
        <f t="shared" si="0"/>
        <v>62</v>
      </c>
      <c r="D69" s="61" t="s">
        <v>86</v>
      </c>
      <c r="G69" s="135">
        <v>0</v>
      </c>
      <c r="J69" s="74">
        <f>G69</f>
        <v>0</v>
      </c>
      <c r="K69" s="74">
        <f>J69-G69</f>
        <v>0</v>
      </c>
      <c r="L69" s="62">
        <v>0</v>
      </c>
    </row>
    <row r="70" spans="1:18" x14ac:dyDescent="0.25">
      <c r="A70" s="71">
        <f t="shared" si="0"/>
        <v>63</v>
      </c>
      <c r="D70" s="61" t="s">
        <v>28</v>
      </c>
      <c r="G70" s="135">
        <v>0</v>
      </c>
      <c r="J70" s="74">
        <f>G70</f>
        <v>0</v>
      </c>
      <c r="K70" s="74"/>
      <c r="L70" s="62"/>
    </row>
    <row r="71" spans="1:18" x14ac:dyDescent="0.25">
      <c r="A71" s="71">
        <f t="shared" si="0"/>
        <v>64</v>
      </c>
      <c r="D71" s="81" t="s">
        <v>7</v>
      </c>
      <c r="E71" s="126"/>
      <c r="F71" s="126"/>
      <c r="G71" s="127">
        <f>SUM(G67:G70)</f>
        <v>138253</v>
      </c>
      <c r="H71" s="126"/>
      <c r="I71" s="25"/>
      <c r="J71" s="82">
        <f>SUM(J67:J70)</f>
        <v>138253</v>
      </c>
      <c r="K71" s="82">
        <f>J71-G71</f>
        <v>0</v>
      </c>
      <c r="L71" s="83">
        <v>0</v>
      </c>
    </row>
    <row r="72" spans="1:18" s="63" customFormat="1" ht="26.4" customHeight="1" thickBot="1" x14ac:dyDescent="0.3">
      <c r="A72" s="71">
        <f t="shared" si="0"/>
        <v>65</v>
      </c>
      <c r="C72" s="77"/>
      <c r="D72" s="84" t="s">
        <v>18</v>
      </c>
      <c r="E72" s="128"/>
      <c r="F72" s="128"/>
      <c r="G72" s="129">
        <f>G71+G66</f>
        <v>553463.64500000002</v>
      </c>
      <c r="H72" s="128"/>
      <c r="I72" s="101"/>
      <c r="J72" s="85">
        <f>J71+J66</f>
        <v>553463.64500000002</v>
      </c>
      <c r="K72" s="85">
        <f>J72-G72</f>
        <v>0</v>
      </c>
      <c r="L72" s="86">
        <f>K72/G72</f>
        <v>0</v>
      </c>
      <c r="N72" s="61"/>
    </row>
    <row r="73" spans="1:18" ht="13.8" thickTop="1" x14ac:dyDescent="0.25">
      <c r="A73" s="71">
        <f t="shared" si="0"/>
        <v>66</v>
      </c>
      <c r="D73" s="61" t="s">
        <v>17</v>
      </c>
      <c r="E73" s="130">
        <f>E65/E61</f>
        <v>532875</v>
      </c>
      <c r="G73" s="131">
        <f>G72/E61</f>
        <v>46121.970416666671</v>
      </c>
      <c r="J73" s="87">
        <f>J72/E61</f>
        <v>46121.970416666671</v>
      </c>
      <c r="K73" s="87">
        <f>J73-G73</f>
        <v>0</v>
      </c>
      <c r="L73" s="75">
        <f>K73/G73</f>
        <v>0</v>
      </c>
    </row>
    <row r="74" spans="1:18" ht="13.8" thickBot="1" x14ac:dyDescent="0.3">
      <c r="A74" s="71">
        <f t="shared" si="0"/>
        <v>67</v>
      </c>
      <c r="P74" s="63"/>
      <c r="Q74" s="63"/>
      <c r="R74" s="63"/>
    </row>
    <row r="75" spans="1:18" x14ac:dyDescent="0.25">
      <c r="A75" s="71">
        <f>A59+1</f>
        <v>54</v>
      </c>
      <c r="B75" s="72" t="s">
        <v>26</v>
      </c>
      <c r="C75" s="73" t="s">
        <v>72</v>
      </c>
      <c r="D75" s="72"/>
      <c r="E75" s="122"/>
      <c r="F75" s="122"/>
      <c r="G75" s="122"/>
      <c r="H75" s="122"/>
      <c r="I75" s="98"/>
      <c r="J75" s="72"/>
      <c r="K75" s="72"/>
      <c r="L75" s="72"/>
    </row>
    <row r="76" spans="1:18" x14ac:dyDescent="0.25">
      <c r="A76" s="71">
        <f t="shared" si="0"/>
        <v>55</v>
      </c>
      <c r="B76" s="14"/>
      <c r="C76" s="13"/>
      <c r="D76" s="61" t="s">
        <v>56</v>
      </c>
      <c r="E76" s="130">
        <f>29*12</f>
        <v>348</v>
      </c>
      <c r="F76" s="132">
        <v>14.09</v>
      </c>
      <c r="G76" s="123">
        <f t="shared" ref="G76:G92" si="1">F76*E76</f>
        <v>4903.32</v>
      </c>
      <c r="H76" s="132">
        <f>F76</f>
        <v>14.09</v>
      </c>
      <c r="I76" s="10">
        <f>H76-F76</f>
        <v>0</v>
      </c>
      <c r="J76" s="74">
        <f t="shared" ref="J76:J92" si="2">H76*E76</f>
        <v>4903.32</v>
      </c>
      <c r="K76" s="74">
        <f t="shared" ref="K76:K92" si="3">J76-G76</f>
        <v>0</v>
      </c>
      <c r="L76" s="75">
        <f t="shared" ref="L76:L92" si="4">IF(G76=0,0,K76/G76)</f>
        <v>0</v>
      </c>
      <c r="P76" s="63"/>
      <c r="Q76" s="63"/>
      <c r="R76" s="63"/>
    </row>
    <row r="77" spans="1:18" x14ac:dyDescent="0.25">
      <c r="A77" s="71">
        <f t="shared" ref="A77:A114" si="5">A76+1</f>
        <v>56</v>
      </c>
      <c r="B77" s="14"/>
      <c r="C77" s="13"/>
      <c r="D77" s="61" t="s">
        <v>57</v>
      </c>
      <c r="E77" s="130">
        <f>8*12</f>
        <v>96</v>
      </c>
      <c r="F77" s="132">
        <v>9.5</v>
      </c>
      <c r="G77" s="123">
        <f t="shared" si="1"/>
        <v>912</v>
      </c>
      <c r="H77" s="132">
        <f t="shared" ref="H77:H92" si="6">F77</f>
        <v>9.5</v>
      </c>
      <c r="I77" s="10">
        <f t="shared" ref="I77:I92" si="7">H77-F77</f>
        <v>0</v>
      </c>
      <c r="J77" s="74">
        <f t="shared" si="2"/>
        <v>912</v>
      </c>
      <c r="K77" s="74">
        <f t="shared" si="3"/>
        <v>0</v>
      </c>
      <c r="L77" s="75">
        <f t="shared" si="4"/>
        <v>0</v>
      </c>
    </row>
    <row r="78" spans="1:18" x14ac:dyDescent="0.25">
      <c r="A78" s="71">
        <f t="shared" si="5"/>
        <v>57</v>
      </c>
      <c r="B78" s="14"/>
      <c r="C78" s="13"/>
      <c r="D78" s="61" t="s">
        <v>58</v>
      </c>
      <c r="E78" s="130">
        <f>4*12</f>
        <v>48</v>
      </c>
      <c r="F78" s="132">
        <v>14.09</v>
      </c>
      <c r="G78" s="123">
        <f t="shared" si="1"/>
        <v>676.31999999999994</v>
      </c>
      <c r="H78" s="132">
        <f t="shared" si="6"/>
        <v>14.09</v>
      </c>
      <c r="I78" s="10">
        <f t="shared" si="7"/>
        <v>0</v>
      </c>
      <c r="J78" s="74">
        <f t="shared" si="2"/>
        <v>676.31999999999994</v>
      </c>
      <c r="K78" s="74">
        <f t="shared" si="3"/>
        <v>0</v>
      </c>
      <c r="L78" s="75">
        <f t="shared" si="4"/>
        <v>0</v>
      </c>
      <c r="P78" s="63"/>
      <c r="Q78" s="63"/>
      <c r="R78" s="63"/>
    </row>
    <row r="79" spans="1:18" x14ac:dyDescent="0.25">
      <c r="A79" s="71">
        <f t="shared" si="5"/>
        <v>58</v>
      </c>
      <c r="B79" s="14"/>
      <c r="C79" s="13"/>
      <c r="D79" s="61" t="s">
        <v>59</v>
      </c>
      <c r="E79" s="130">
        <f>172*12</f>
        <v>2064</v>
      </c>
      <c r="F79" s="132">
        <v>9.5</v>
      </c>
      <c r="G79" s="123">
        <f t="shared" si="1"/>
        <v>19608</v>
      </c>
      <c r="H79" s="132">
        <f t="shared" si="6"/>
        <v>9.5</v>
      </c>
      <c r="I79" s="10">
        <f t="shared" si="7"/>
        <v>0</v>
      </c>
      <c r="J79" s="74">
        <f t="shared" si="2"/>
        <v>19608</v>
      </c>
      <c r="K79" s="74">
        <f t="shared" si="3"/>
        <v>0</v>
      </c>
      <c r="L79" s="75">
        <f t="shared" si="4"/>
        <v>0</v>
      </c>
    </row>
    <row r="80" spans="1:18" x14ac:dyDescent="0.25">
      <c r="A80" s="71">
        <f t="shared" si="5"/>
        <v>59</v>
      </c>
      <c r="B80" s="14"/>
      <c r="C80" s="13"/>
      <c r="D80" s="61" t="s">
        <v>60</v>
      </c>
      <c r="E80" s="130">
        <f>997*12</f>
        <v>11964</v>
      </c>
      <c r="F80" s="132">
        <v>14.09</v>
      </c>
      <c r="G80" s="123">
        <f t="shared" si="1"/>
        <v>168572.76</v>
      </c>
      <c r="H80" s="132">
        <f t="shared" si="6"/>
        <v>14.09</v>
      </c>
      <c r="I80" s="10">
        <f t="shared" si="7"/>
        <v>0</v>
      </c>
      <c r="J80" s="74">
        <f t="shared" si="2"/>
        <v>168572.76</v>
      </c>
      <c r="K80" s="74">
        <f t="shared" si="3"/>
        <v>0</v>
      </c>
      <c r="L80" s="75">
        <f t="shared" si="4"/>
        <v>0</v>
      </c>
      <c r="P80" s="63"/>
      <c r="Q80" s="63"/>
      <c r="R80" s="63"/>
    </row>
    <row r="81" spans="1:18" x14ac:dyDescent="0.25">
      <c r="A81" s="71">
        <f t="shared" si="5"/>
        <v>60</v>
      </c>
      <c r="B81" s="14"/>
      <c r="C81" s="13"/>
      <c r="D81" s="61" t="s">
        <v>61</v>
      </c>
      <c r="E81" s="130">
        <f>1359*12</f>
        <v>16308</v>
      </c>
      <c r="F81" s="132">
        <v>9.5</v>
      </c>
      <c r="G81" s="123">
        <f t="shared" si="1"/>
        <v>154926</v>
      </c>
      <c r="H81" s="132">
        <f t="shared" si="6"/>
        <v>9.5</v>
      </c>
      <c r="I81" s="10">
        <f t="shared" si="7"/>
        <v>0</v>
      </c>
      <c r="J81" s="74">
        <f t="shared" si="2"/>
        <v>154926</v>
      </c>
      <c r="K81" s="74">
        <f t="shared" si="3"/>
        <v>0</v>
      </c>
      <c r="L81" s="75">
        <f t="shared" si="4"/>
        <v>0</v>
      </c>
    </row>
    <row r="82" spans="1:18" x14ac:dyDescent="0.25">
      <c r="A82" s="71">
        <f t="shared" si="5"/>
        <v>61</v>
      </c>
      <c r="B82" s="14"/>
      <c r="C82" s="13"/>
      <c r="D82" s="61" t="s">
        <v>62</v>
      </c>
      <c r="E82" s="130">
        <f>140*12</f>
        <v>1680</v>
      </c>
      <c r="F82" s="132">
        <v>9.5</v>
      </c>
      <c r="G82" s="123">
        <f t="shared" si="1"/>
        <v>15960</v>
      </c>
      <c r="H82" s="132">
        <f t="shared" si="6"/>
        <v>9.5</v>
      </c>
      <c r="I82" s="10">
        <f t="shared" si="7"/>
        <v>0</v>
      </c>
      <c r="J82" s="74">
        <f t="shared" si="2"/>
        <v>15960</v>
      </c>
      <c r="K82" s="74">
        <f t="shared" si="3"/>
        <v>0</v>
      </c>
      <c r="L82" s="75">
        <f t="shared" si="4"/>
        <v>0</v>
      </c>
      <c r="P82" s="63"/>
      <c r="Q82" s="63"/>
      <c r="R82" s="63"/>
    </row>
    <row r="83" spans="1:18" x14ac:dyDescent="0.25">
      <c r="A83" s="71">
        <f t="shared" si="5"/>
        <v>62</v>
      </c>
      <c r="B83" s="14"/>
      <c r="C83" s="13"/>
      <c r="D83" s="61" t="s">
        <v>63</v>
      </c>
      <c r="E83" s="130">
        <f>530*12</f>
        <v>6360</v>
      </c>
      <c r="F83" s="132">
        <v>9.5</v>
      </c>
      <c r="G83" s="123">
        <f t="shared" si="1"/>
        <v>60420</v>
      </c>
      <c r="H83" s="132">
        <f t="shared" si="6"/>
        <v>9.5</v>
      </c>
      <c r="I83" s="10">
        <f t="shared" si="7"/>
        <v>0</v>
      </c>
      <c r="J83" s="74">
        <f t="shared" si="2"/>
        <v>60420</v>
      </c>
      <c r="K83" s="74">
        <f t="shared" si="3"/>
        <v>0</v>
      </c>
      <c r="L83" s="75">
        <f t="shared" si="4"/>
        <v>0</v>
      </c>
    </row>
    <row r="84" spans="1:18" x14ac:dyDescent="0.25">
      <c r="A84" s="71">
        <f t="shared" si="5"/>
        <v>63</v>
      </c>
      <c r="B84" s="14"/>
      <c r="C84" s="13"/>
      <c r="D84" s="61" t="s">
        <v>64</v>
      </c>
      <c r="E84" s="130">
        <f>2005*12</f>
        <v>24060</v>
      </c>
      <c r="F84" s="132">
        <v>9.5</v>
      </c>
      <c r="G84" s="123">
        <f t="shared" si="1"/>
        <v>228570</v>
      </c>
      <c r="H84" s="132">
        <f t="shared" si="6"/>
        <v>9.5</v>
      </c>
      <c r="I84" s="10">
        <f t="shared" si="7"/>
        <v>0</v>
      </c>
      <c r="J84" s="74">
        <f t="shared" si="2"/>
        <v>228570</v>
      </c>
      <c r="K84" s="74">
        <f t="shared" si="3"/>
        <v>0</v>
      </c>
      <c r="L84" s="75">
        <f t="shared" si="4"/>
        <v>0</v>
      </c>
      <c r="P84" s="63"/>
      <c r="Q84" s="63"/>
      <c r="R84" s="63"/>
    </row>
    <row r="85" spans="1:18" x14ac:dyDescent="0.25">
      <c r="A85" s="71">
        <f t="shared" si="5"/>
        <v>64</v>
      </c>
      <c r="B85" s="14"/>
      <c r="C85" s="13"/>
      <c r="D85" s="61" t="s">
        <v>65</v>
      </c>
      <c r="E85" s="130">
        <f>67*12</f>
        <v>804</v>
      </c>
      <c r="F85" s="132">
        <v>9.5</v>
      </c>
      <c r="G85" s="123">
        <f t="shared" si="1"/>
        <v>7638</v>
      </c>
      <c r="H85" s="132">
        <f t="shared" si="6"/>
        <v>9.5</v>
      </c>
      <c r="I85" s="10">
        <f t="shared" si="7"/>
        <v>0</v>
      </c>
      <c r="J85" s="74">
        <f t="shared" si="2"/>
        <v>7638</v>
      </c>
      <c r="K85" s="74">
        <f t="shared" si="3"/>
        <v>0</v>
      </c>
      <c r="L85" s="75">
        <f t="shared" si="4"/>
        <v>0</v>
      </c>
    </row>
    <row r="86" spans="1:18" x14ac:dyDescent="0.25">
      <c r="A86" s="71">
        <f t="shared" si="5"/>
        <v>65</v>
      </c>
      <c r="B86" s="14"/>
      <c r="C86" s="13"/>
      <c r="D86" s="61" t="s">
        <v>66</v>
      </c>
      <c r="E86" s="130">
        <f>28*12</f>
        <v>336</v>
      </c>
      <c r="F86" s="132">
        <v>19.260000000000002</v>
      </c>
      <c r="G86" s="123">
        <f t="shared" si="1"/>
        <v>6471.3600000000006</v>
      </c>
      <c r="H86" s="132">
        <f t="shared" si="6"/>
        <v>19.260000000000002</v>
      </c>
      <c r="I86" s="10">
        <f t="shared" si="7"/>
        <v>0</v>
      </c>
      <c r="J86" s="74">
        <f t="shared" si="2"/>
        <v>6471.3600000000006</v>
      </c>
      <c r="K86" s="74">
        <f t="shared" si="3"/>
        <v>0</v>
      </c>
      <c r="L86" s="75">
        <f t="shared" si="4"/>
        <v>0</v>
      </c>
      <c r="P86" s="63"/>
      <c r="Q86" s="63"/>
      <c r="R86" s="63"/>
    </row>
    <row r="87" spans="1:18" x14ac:dyDescent="0.25">
      <c r="A87" s="71">
        <f t="shared" si="5"/>
        <v>66</v>
      </c>
      <c r="B87" s="14"/>
      <c r="C87" s="13"/>
      <c r="D87" s="61" t="s">
        <v>67</v>
      </c>
      <c r="E87" s="130">
        <f>15*12</f>
        <v>180</v>
      </c>
      <c r="F87" s="132">
        <v>14.09</v>
      </c>
      <c r="G87" s="123">
        <f t="shared" si="1"/>
        <v>2536.1999999999998</v>
      </c>
      <c r="H87" s="132">
        <f t="shared" si="6"/>
        <v>14.09</v>
      </c>
      <c r="I87" s="10">
        <f t="shared" si="7"/>
        <v>0</v>
      </c>
      <c r="J87" s="74">
        <f t="shared" si="2"/>
        <v>2536.1999999999998</v>
      </c>
      <c r="K87" s="74">
        <f t="shared" si="3"/>
        <v>0</v>
      </c>
      <c r="L87" s="75">
        <f t="shared" si="4"/>
        <v>0</v>
      </c>
    </row>
    <row r="88" spans="1:18" x14ac:dyDescent="0.25">
      <c r="A88" s="71">
        <f t="shared" si="5"/>
        <v>67</v>
      </c>
      <c r="B88" s="14"/>
      <c r="C88" s="13"/>
      <c r="D88" s="61" t="s">
        <v>68</v>
      </c>
      <c r="E88" s="130">
        <f>1578*12</f>
        <v>18936</v>
      </c>
      <c r="F88" s="132">
        <v>9.5</v>
      </c>
      <c r="G88" s="123">
        <f t="shared" si="1"/>
        <v>179892</v>
      </c>
      <c r="H88" s="132">
        <f t="shared" si="6"/>
        <v>9.5</v>
      </c>
      <c r="I88" s="10">
        <f t="shared" si="7"/>
        <v>0</v>
      </c>
      <c r="J88" s="74">
        <f t="shared" si="2"/>
        <v>179892</v>
      </c>
      <c r="K88" s="74">
        <f t="shared" si="3"/>
        <v>0</v>
      </c>
      <c r="L88" s="75">
        <f t="shared" si="4"/>
        <v>0</v>
      </c>
      <c r="P88" s="63"/>
      <c r="Q88" s="63"/>
      <c r="R88" s="63"/>
    </row>
    <row r="89" spans="1:18" x14ac:dyDescent="0.25">
      <c r="A89" s="71">
        <f t="shared" si="5"/>
        <v>68</v>
      </c>
      <c r="B89" s="14"/>
      <c r="C89" s="13"/>
      <c r="D89" s="61" t="s">
        <v>69</v>
      </c>
      <c r="E89" s="130">
        <f>50*12</f>
        <v>600</v>
      </c>
      <c r="F89" s="132">
        <v>19.260000000000002</v>
      </c>
      <c r="G89" s="123">
        <f t="shared" si="1"/>
        <v>11556.000000000002</v>
      </c>
      <c r="H89" s="132">
        <f t="shared" si="6"/>
        <v>19.260000000000002</v>
      </c>
      <c r="I89" s="10">
        <f t="shared" si="7"/>
        <v>0</v>
      </c>
      <c r="J89" s="74">
        <f t="shared" si="2"/>
        <v>11556.000000000002</v>
      </c>
      <c r="K89" s="74">
        <f t="shared" si="3"/>
        <v>0</v>
      </c>
      <c r="L89" s="75">
        <f t="shared" si="4"/>
        <v>0</v>
      </c>
    </row>
    <row r="90" spans="1:18" x14ac:dyDescent="0.25">
      <c r="A90" s="71">
        <f t="shared" si="5"/>
        <v>69</v>
      </c>
      <c r="B90" s="14"/>
      <c r="C90" s="13"/>
      <c r="D90" s="61" t="s">
        <v>70</v>
      </c>
      <c r="E90" s="130">
        <f>185*12</f>
        <v>2220</v>
      </c>
      <c r="F90" s="132">
        <v>14.09</v>
      </c>
      <c r="G90" s="123">
        <f t="shared" si="1"/>
        <v>31279.8</v>
      </c>
      <c r="H90" s="132">
        <f t="shared" si="6"/>
        <v>14.09</v>
      </c>
      <c r="I90" s="10">
        <f t="shared" si="7"/>
        <v>0</v>
      </c>
      <c r="J90" s="74">
        <f t="shared" si="2"/>
        <v>31279.8</v>
      </c>
      <c r="K90" s="74">
        <f t="shared" si="3"/>
        <v>0</v>
      </c>
      <c r="L90" s="75">
        <f t="shared" si="4"/>
        <v>0</v>
      </c>
      <c r="P90" s="63"/>
      <c r="Q90" s="63"/>
      <c r="R90" s="63"/>
    </row>
    <row r="91" spans="1:18" x14ac:dyDescent="0.25">
      <c r="A91" s="71">
        <f t="shared" si="5"/>
        <v>70</v>
      </c>
      <c r="B91" s="14"/>
      <c r="C91" s="13"/>
      <c r="D91" s="61" t="s">
        <v>71</v>
      </c>
      <c r="E91" s="130">
        <v>0</v>
      </c>
      <c r="F91" s="132">
        <v>16.47</v>
      </c>
      <c r="G91" s="123">
        <f t="shared" si="1"/>
        <v>0</v>
      </c>
      <c r="H91" s="132">
        <f t="shared" si="6"/>
        <v>16.47</v>
      </c>
      <c r="I91" s="10">
        <f t="shared" si="7"/>
        <v>0</v>
      </c>
      <c r="J91" s="74">
        <f t="shared" si="2"/>
        <v>0</v>
      </c>
      <c r="K91" s="74">
        <f t="shared" si="3"/>
        <v>0</v>
      </c>
      <c r="L91" s="75">
        <f t="shared" si="4"/>
        <v>0</v>
      </c>
    </row>
    <row r="92" spans="1:18" x14ac:dyDescent="0.25">
      <c r="A92" s="71">
        <f t="shared" si="5"/>
        <v>71</v>
      </c>
      <c r="B92" s="14"/>
      <c r="C92" s="13"/>
      <c r="D92" s="61" t="s">
        <v>73</v>
      </c>
      <c r="E92" s="130">
        <v>0</v>
      </c>
      <c r="F92" s="132">
        <v>37.74</v>
      </c>
      <c r="G92" s="123">
        <f t="shared" si="1"/>
        <v>0</v>
      </c>
      <c r="H92" s="132">
        <f t="shared" si="6"/>
        <v>37.74</v>
      </c>
      <c r="I92" s="10">
        <f t="shared" si="7"/>
        <v>0</v>
      </c>
      <c r="J92" s="74">
        <f t="shared" si="2"/>
        <v>0</v>
      </c>
      <c r="K92" s="74">
        <f t="shared" si="3"/>
        <v>0</v>
      </c>
      <c r="L92" s="75">
        <f t="shared" si="4"/>
        <v>0</v>
      </c>
      <c r="P92" s="63"/>
      <c r="Q92" s="63"/>
      <c r="R92" s="63"/>
    </row>
    <row r="93" spans="1:18" s="63" customFormat="1" ht="24.6" customHeight="1" x14ac:dyDescent="0.25">
      <c r="A93" s="71">
        <f t="shared" si="5"/>
        <v>72</v>
      </c>
      <c r="C93" s="77"/>
      <c r="D93" s="78" t="s">
        <v>5</v>
      </c>
      <c r="E93" s="125"/>
      <c r="F93" s="125"/>
      <c r="G93" s="12">
        <f>SUM(G76:G92)</f>
        <v>893921.76</v>
      </c>
      <c r="H93" s="125"/>
      <c r="I93" s="100"/>
      <c r="J93" s="12">
        <f>SUM(J76:J92)</f>
        <v>893921.76</v>
      </c>
      <c r="K93" s="12">
        <f>SUM(K76:K92)</f>
        <v>0</v>
      </c>
      <c r="L93" s="80">
        <f>K93/G93</f>
        <v>0</v>
      </c>
      <c r="M93" s="56"/>
      <c r="N93" s="61"/>
      <c r="P93" s="61"/>
      <c r="Q93" s="61"/>
      <c r="R93" s="61"/>
    </row>
    <row r="94" spans="1:18" x14ac:dyDescent="0.25">
      <c r="A94" s="71">
        <f t="shared" si="5"/>
        <v>73</v>
      </c>
      <c r="D94" s="61" t="s">
        <v>23</v>
      </c>
      <c r="G94" s="135">
        <v>0</v>
      </c>
      <c r="J94" s="74">
        <f>G94</f>
        <v>0</v>
      </c>
      <c r="K94" s="74">
        <f>J94-G94</f>
        <v>0</v>
      </c>
      <c r="L94" s="62">
        <v>0</v>
      </c>
      <c r="P94" s="63"/>
      <c r="Q94" s="63"/>
      <c r="R94" s="63"/>
    </row>
    <row r="95" spans="1:18" x14ac:dyDescent="0.25">
      <c r="A95" s="71">
        <f t="shared" si="5"/>
        <v>74</v>
      </c>
      <c r="D95" s="61" t="s">
        <v>24</v>
      </c>
      <c r="G95" s="135">
        <v>0</v>
      </c>
      <c r="J95" s="74">
        <f>G95</f>
        <v>0</v>
      </c>
      <c r="K95" s="74">
        <f>J95-G95</f>
        <v>0</v>
      </c>
      <c r="L95" s="62">
        <v>0</v>
      </c>
    </row>
    <row r="96" spans="1:18" x14ac:dyDescent="0.25">
      <c r="A96" s="71">
        <f t="shared" si="5"/>
        <v>75</v>
      </c>
      <c r="D96" s="61" t="s">
        <v>86</v>
      </c>
      <c r="G96" s="135">
        <v>0</v>
      </c>
      <c r="J96" s="74">
        <f>G96</f>
        <v>0</v>
      </c>
      <c r="K96" s="74">
        <f>J96-G96</f>
        <v>0</v>
      </c>
      <c r="L96" s="62">
        <v>0</v>
      </c>
      <c r="P96" s="63"/>
      <c r="Q96" s="63"/>
      <c r="R96" s="63"/>
    </row>
    <row r="97" spans="1:18" x14ac:dyDescent="0.25">
      <c r="A97" s="71">
        <f t="shared" si="5"/>
        <v>76</v>
      </c>
      <c r="D97" s="61" t="s">
        <v>28</v>
      </c>
      <c r="G97" s="135"/>
      <c r="J97" s="74"/>
      <c r="K97" s="74"/>
      <c r="L97" s="62"/>
    </row>
    <row r="98" spans="1:18" x14ac:dyDescent="0.25">
      <c r="A98" s="71">
        <f t="shared" si="5"/>
        <v>77</v>
      </c>
      <c r="D98" s="81" t="s">
        <v>7</v>
      </c>
      <c r="E98" s="126"/>
      <c r="F98" s="126"/>
      <c r="G98" s="127">
        <f>SUM(G94:G96)</f>
        <v>0</v>
      </c>
      <c r="H98" s="126"/>
      <c r="I98" s="25"/>
      <c r="J98" s="82">
        <f>SUM(J94:J96)</f>
        <v>0</v>
      </c>
      <c r="K98" s="82">
        <f>J98-G98</f>
        <v>0</v>
      </c>
      <c r="L98" s="83">
        <v>0</v>
      </c>
      <c r="P98" s="63"/>
      <c r="Q98" s="63"/>
      <c r="R98" s="63"/>
    </row>
    <row r="99" spans="1:18" s="63" customFormat="1" ht="26.4" customHeight="1" thickBot="1" x14ac:dyDescent="0.3">
      <c r="A99" s="71">
        <f t="shared" si="5"/>
        <v>78</v>
      </c>
      <c r="C99" s="77"/>
      <c r="D99" s="84" t="s">
        <v>18</v>
      </c>
      <c r="E99" s="128"/>
      <c r="F99" s="128"/>
      <c r="G99" s="129">
        <f>G98+G93</f>
        <v>893921.76</v>
      </c>
      <c r="H99" s="128"/>
      <c r="I99" s="101"/>
      <c r="J99" s="85">
        <f>J98+J93</f>
        <v>893921.76</v>
      </c>
      <c r="K99" s="85">
        <f>J99-G99</f>
        <v>0</v>
      </c>
      <c r="L99" s="86">
        <f>K99/G99</f>
        <v>0</v>
      </c>
      <c r="P99" s="61"/>
      <c r="Q99" s="61"/>
      <c r="R99" s="61"/>
    </row>
    <row r="100" spans="1:18" ht="13.8" thickTop="1" x14ac:dyDescent="0.25">
      <c r="A100" s="71">
        <f t="shared" si="5"/>
        <v>79</v>
      </c>
      <c r="G100" s="131"/>
      <c r="J100" s="87"/>
      <c r="K100" s="87"/>
      <c r="L100" s="75"/>
      <c r="P100" s="63"/>
      <c r="Q100" s="63"/>
      <c r="R100" s="63"/>
    </row>
    <row r="101" spans="1:18" x14ac:dyDescent="0.25">
      <c r="A101" s="71">
        <f t="shared" si="5"/>
        <v>80</v>
      </c>
      <c r="B101" s="88"/>
      <c r="C101" s="89"/>
      <c r="D101" s="88"/>
      <c r="E101" s="88"/>
      <c r="F101" s="88"/>
      <c r="G101" s="88"/>
      <c r="H101" s="88"/>
      <c r="I101" s="102"/>
      <c r="J101" s="88"/>
      <c r="K101" s="88"/>
      <c r="L101" s="88"/>
    </row>
    <row r="102" spans="1:18" x14ac:dyDescent="0.25">
      <c r="A102" s="71">
        <f t="shared" si="5"/>
        <v>81</v>
      </c>
      <c r="P102" s="63"/>
      <c r="Q102" s="63"/>
      <c r="R102" s="63"/>
    </row>
    <row r="103" spans="1:18" s="63" customFormat="1" ht="19.95" customHeight="1" x14ac:dyDescent="0.25">
      <c r="A103" s="71">
        <f t="shared" si="5"/>
        <v>82</v>
      </c>
      <c r="B103" s="63" t="s">
        <v>25</v>
      </c>
      <c r="C103" s="77"/>
      <c r="D103" s="78" t="s">
        <v>5</v>
      </c>
      <c r="E103" s="125"/>
      <c r="F103" s="136"/>
      <c r="G103" s="12">
        <f>G10+G23+G37+G51+G93+G66</f>
        <v>22778157.905914001</v>
      </c>
      <c r="H103" s="125"/>
      <c r="I103" s="103"/>
      <c r="J103" s="79">
        <f>J10+J23+J37+J51+J93+J66</f>
        <v>23916746.064018004</v>
      </c>
      <c r="K103" s="79">
        <f>K10+K23+K37+K51+K93+K66</f>
        <v>1138588.1581039997</v>
      </c>
      <c r="L103" s="80">
        <f>K103/G103</f>
        <v>4.9985962991694895E-2</v>
      </c>
      <c r="P103" s="61"/>
      <c r="Q103" s="61"/>
      <c r="R103" s="61"/>
    </row>
    <row r="104" spans="1:18" x14ac:dyDescent="0.25">
      <c r="A104" s="71">
        <f t="shared" si="5"/>
        <v>83</v>
      </c>
      <c r="D104" s="61" t="s">
        <v>23</v>
      </c>
      <c r="F104" s="135"/>
      <c r="G104" s="123">
        <f t="shared" ref="G104:G109" si="8">G11+G24+G38+G52+G94+G67</f>
        <v>3384776.02</v>
      </c>
      <c r="I104" s="9"/>
      <c r="J104" s="74">
        <f t="shared" ref="J104:K109" si="9">J11+J24+J38+J52+J94+J67</f>
        <v>3384776.02</v>
      </c>
      <c r="K104" s="74">
        <f t="shared" si="9"/>
        <v>0</v>
      </c>
      <c r="L104" s="75">
        <f t="shared" ref="L104:L108" si="10">K104/G104</f>
        <v>0</v>
      </c>
      <c r="P104" s="63"/>
      <c r="Q104" s="63"/>
      <c r="R104" s="63"/>
    </row>
    <row r="105" spans="1:18" x14ac:dyDescent="0.25">
      <c r="A105" s="71">
        <f t="shared" si="5"/>
        <v>84</v>
      </c>
      <c r="D105" s="61" t="s">
        <v>24</v>
      </c>
      <c r="F105" s="135"/>
      <c r="G105" s="123">
        <f t="shared" si="8"/>
        <v>2534605.44</v>
      </c>
      <c r="I105" s="9"/>
      <c r="J105" s="74">
        <f t="shared" si="9"/>
        <v>2534605.44</v>
      </c>
      <c r="K105" s="74">
        <f t="shared" si="9"/>
        <v>0</v>
      </c>
      <c r="L105" s="75">
        <f t="shared" si="10"/>
        <v>0</v>
      </c>
    </row>
    <row r="106" spans="1:18" x14ac:dyDescent="0.25">
      <c r="A106" s="71">
        <f t="shared" si="5"/>
        <v>85</v>
      </c>
      <c r="D106" s="61" t="s">
        <v>86</v>
      </c>
      <c r="F106" s="135"/>
      <c r="G106" s="123">
        <f t="shared" si="8"/>
        <v>715</v>
      </c>
      <c r="I106" s="9"/>
      <c r="J106" s="74">
        <f t="shared" si="9"/>
        <v>715</v>
      </c>
      <c r="K106" s="74">
        <f t="shared" si="9"/>
        <v>0</v>
      </c>
      <c r="L106" s="75">
        <f t="shared" si="10"/>
        <v>0</v>
      </c>
      <c r="P106" s="63"/>
      <c r="Q106" s="63"/>
      <c r="R106" s="63"/>
    </row>
    <row r="107" spans="1:18" x14ac:dyDescent="0.25">
      <c r="A107" s="71">
        <f t="shared" si="5"/>
        <v>86</v>
      </c>
      <c r="D107" s="61" t="s">
        <v>28</v>
      </c>
      <c r="G107" s="123">
        <f t="shared" si="8"/>
        <v>0</v>
      </c>
      <c r="J107" s="74">
        <f t="shared" si="9"/>
        <v>0</v>
      </c>
      <c r="K107" s="74">
        <f t="shared" si="9"/>
        <v>0</v>
      </c>
      <c r="L107" s="75">
        <v>0</v>
      </c>
    </row>
    <row r="108" spans="1:18" x14ac:dyDescent="0.25">
      <c r="A108" s="71">
        <f t="shared" si="5"/>
        <v>87</v>
      </c>
      <c r="D108" s="81" t="s">
        <v>7</v>
      </c>
      <c r="E108" s="126"/>
      <c r="F108" s="137"/>
      <c r="G108" s="127">
        <f t="shared" si="8"/>
        <v>5920096.459999999</v>
      </c>
      <c r="H108" s="126"/>
      <c r="I108" s="104"/>
      <c r="J108" s="82">
        <f t="shared" si="9"/>
        <v>5920096.459999999</v>
      </c>
      <c r="K108" s="82">
        <f t="shared" si="9"/>
        <v>0</v>
      </c>
      <c r="L108" s="108">
        <f t="shared" si="10"/>
        <v>0</v>
      </c>
    </row>
    <row r="109" spans="1:18" s="63" customFormat="1" ht="21" customHeight="1" thickBot="1" x14ac:dyDescent="0.35">
      <c r="A109" s="71">
        <f t="shared" si="5"/>
        <v>88</v>
      </c>
      <c r="C109" s="77"/>
      <c r="D109" s="84" t="s">
        <v>18</v>
      </c>
      <c r="E109" s="128"/>
      <c r="F109" s="129"/>
      <c r="G109" s="138">
        <f t="shared" si="8"/>
        <v>28698254.365914006</v>
      </c>
      <c r="H109" s="128"/>
      <c r="I109" s="105"/>
      <c r="J109" s="85">
        <f t="shared" si="9"/>
        <v>29836842.524018008</v>
      </c>
      <c r="K109" s="106">
        <f t="shared" si="9"/>
        <v>1138588.1581040025</v>
      </c>
      <c r="L109" s="109">
        <f>K109/G109</f>
        <v>3.9674474397869523E-2</v>
      </c>
    </row>
    <row r="110" spans="1:18" ht="13.8" thickTop="1" x14ac:dyDescent="0.25">
      <c r="A110" s="71">
        <f t="shared" si="5"/>
        <v>89</v>
      </c>
    </row>
    <row r="111" spans="1:18" x14ac:dyDescent="0.25">
      <c r="A111" s="71">
        <f t="shared" si="5"/>
        <v>90</v>
      </c>
      <c r="D111" s="61" t="s">
        <v>27</v>
      </c>
      <c r="K111" s="13">
        <f>K109-K113</f>
        <v>-241.52189599745907</v>
      </c>
    </row>
    <row r="112" spans="1:18" x14ac:dyDescent="0.25">
      <c r="A112" s="71">
        <f t="shared" si="5"/>
        <v>91</v>
      </c>
      <c r="K112" s="13"/>
    </row>
    <row r="113" spans="1:11" x14ac:dyDescent="0.25">
      <c r="A113" s="71">
        <f t="shared" si="5"/>
        <v>92</v>
      </c>
      <c r="B113" s="95" t="s">
        <v>87</v>
      </c>
      <c r="K113" s="140">
        <v>1138829.68</v>
      </c>
    </row>
    <row r="114" spans="1:11" x14ac:dyDescent="0.25">
      <c r="A114" s="71">
        <f t="shared" si="5"/>
        <v>93</v>
      </c>
      <c r="G114" s="135"/>
      <c r="K114" s="13"/>
    </row>
    <row r="115" spans="1:11" x14ac:dyDescent="0.25">
      <c r="G115" s="139"/>
    </row>
  </sheetData>
  <phoneticPr fontId="7" type="noConversion"/>
  <printOptions horizontalCentered="1"/>
  <pageMargins left="0.7" right="0.7" top="0.75" bottom="0.75" header="0.3" footer="0.3"/>
  <pageSetup scale="60" fitToHeight="3" orientation="landscape" r:id="rId1"/>
  <headerFooter>
    <oddHeader>&amp;R&amp;"Arial,Bold"&amp;10Exhibit JW-9
Page &amp;P of &amp;N</oddHeader>
  </headerFooter>
  <rowBreaks count="3" manualBreakCount="3">
    <brk id="31" max="17" man="1"/>
    <brk id="74" max="17" man="1"/>
    <brk id="101" max="17" man="1"/>
  </rowBreaks>
  <ignoredErrors>
    <ignoredError sqref="J10:L10 K23:L23 K37:L37 K51:L51 K66:L66 K93:L9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sheetPr>
    <tabColor theme="5" tint="0.59999389629810485"/>
    <pageSetUpPr fitToPage="1"/>
  </sheetPr>
  <dimension ref="A1:K57"/>
  <sheetViews>
    <sheetView topLeftCell="A28" zoomScale="85" zoomScaleNormal="85" workbookViewId="0">
      <selection activeCell="J26" sqref="J26"/>
    </sheetView>
  </sheetViews>
  <sheetFormatPr defaultRowHeight="13.2" x14ac:dyDescent="0.25"/>
  <cols>
    <col min="1" max="1" width="1.77734375" style="2" customWidth="1"/>
    <col min="2" max="2" width="1.21875" style="2" customWidth="1"/>
    <col min="3" max="3" width="8" style="11" customWidth="1"/>
    <col min="4" max="4" width="35.88671875" style="11" customWidth="1"/>
    <col min="5" max="5" width="10.6640625" style="2" customWidth="1"/>
    <col min="6" max="6" width="14.6640625" style="2" customWidth="1"/>
    <col min="7" max="7" width="12.5546875" style="2" customWidth="1"/>
    <col min="8" max="8" width="14.109375" style="2" customWidth="1"/>
    <col min="9" max="16384" width="8.88671875" style="2"/>
  </cols>
  <sheetData>
    <row r="1" spans="1:8" x14ac:dyDescent="0.25">
      <c r="A1" s="1" t="str">
        <f>Summary!A1</f>
        <v>BIG SANDY RECC</v>
      </c>
    </row>
    <row r="2" spans="1:8" x14ac:dyDescent="0.25">
      <c r="A2" s="1" t="s">
        <v>84</v>
      </c>
    </row>
    <row r="4" spans="1:8" x14ac:dyDescent="0.25">
      <c r="C4" s="110" t="s">
        <v>39</v>
      </c>
      <c r="D4" s="32"/>
      <c r="E4" s="32" t="s">
        <v>1</v>
      </c>
      <c r="F4" s="35" t="s">
        <v>33</v>
      </c>
      <c r="G4" s="35" t="s">
        <v>34</v>
      </c>
    </row>
    <row r="5" spans="1:8" x14ac:dyDescent="0.25">
      <c r="C5" s="11" t="str">
        <f>'Billing Detail'!C7</f>
        <v>A1</v>
      </c>
      <c r="D5" s="52" t="str">
        <f>'Billing Detail'!B7</f>
        <v xml:space="preserve">Farm &amp; Home </v>
      </c>
    </row>
    <row r="6" spans="1:8" x14ac:dyDescent="0.25">
      <c r="D6" s="52"/>
      <c r="E6" s="2" t="str">
        <f>'Billing Detail'!D8</f>
        <v>Customer Charge</v>
      </c>
      <c r="F6" s="33">
        <f>'Billing Detail'!F8</f>
        <v>21.95</v>
      </c>
      <c r="G6" s="33">
        <f>'Billing Detail'!H8</f>
        <v>28</v>
      </c>
      <c r="H6" s="111"/>
    </row>
    <row r="7" spans="1:8" x14ac:dyDescent="0.25">
      <c r="D7" s="52"/>
      <c r="E7" s="2" t="str">
        <f>'Billing Detail'!D9</f>
        <v>Energy Charge per kWh</v>
      </c>
      <c r="F7" s="34">
        <f>'Billing Detail'!F9</f>
        <v>8.8770000000000002E-2</v>
      </c>
      <c r="G7" s="34">
        <f>'Billing Detail'!H9</f>
        <v>9.0603000000000003E-2</v>
      </c>
      <c r="H7" s="112"/>
    </row>
    <row r="8" spans="1:8" x14ac:dyDescent="0.25">
      <c r="D8" s="52"/>
      <c r="E8" s="2" t="s">
        <v>92</v>
      </c>
      <c r="F8" s="34">
        <v>5.194E-2</v>
      </c>
      <c r="G8" s="34">
        <v>5.194E-2</v>
      </c>
      <c r="H8" s="111"/>
    </row>
    <row r="9" spans="1:8" x14ac:dyDescent="0.25">
      <c r="C9" s="11" t="str">
        <f>'Billing Detail'!C19</f>
        <v>A2</v>
      </c>
      <c r="D9" s="52" t="str">
        <f>'Billing Detail'!B19</f>
        <v xml:space="preserve">Commercial &amp; Small Power </v>
      </c>
      <c r="F9" s="34"/>
      <c r="G9" s="34"/>
      <c r="H9" s="111"/>
    </row>
    <row r="10" spans="1:8" x14ac:dyDescent="0.25">
      <c r="D10" s="52"/>
      <c r="E10" s="2" t="str">
        <f>'Billing Detail'!D20</f>
        <v>Customer Charge</v>
      </c>
      <c r="F10" s="33">
        <f>'Billing Detail'!F20</f>
        <v>30.98</v>
      </c>
      <c r="G10" s="33">
        <f>'Billing Detail'!H20</f>
        <v>30.98</v>
      </c>
      <c r="H10" s="111"/>
    </row>
    <row r="11" spans="1:8" x14ac:dyDescent="0.25">
      <c r="D11" s="52"/>
      <c r="E11" s="2" t="str">
        <f>'Billing Detail'!D21</f>
        <v>Demand Charge per kW</v>
      </c>
      <c r="F11" s="33">
        <f>'Billing Detail'!F21</f>
        <v>5.68</v>
      </c>
      <c r="G11" s="33">
        <f>'Billing Detail'!H21</f>
        <v>5.68</v>
      </c>
      <c r="H11" s="111"/>
    </row>
    <row r="12" spans="1:8" x14ac:dyDescent="0.25">
      <c r="D12" s="52"/>
      <c r="E12" s="2" t="str">
        <f>'Billing Detail'!D22</f>
        <v>Energy Charge per kWh</v>
      </c>
      <c r="F12" s="34">
        <f>'Billing Detail'!F22</f>
        <v>6.7299999999999999E-2</v>
      </c>
      <c r="G12" s="34">
        <f>'Billing Detail'!H22</f>
        <v>6.7299999999999999E-2</v>
      </c>
      <c r="H12" s="111"/>
    </row>
    <row r="13" spans="1:8" x14ac:dyDescent="0.25">
      <c r="C13" s="11" t="str">
        <f>'Billing Detail'!C32</f>
        <v>LP</v>
      </c>
      <c r="D13" s="52" t="str">
        <f>'Billing Detail'!B32</f>
        <v>Large Power Service (25-750 kV)</v>
      </c>
      <c r="F13" s="33"/>
      <c r="G13" s="33"/>
      <c r="H13" s="111"/>
    </row>
    <row r="14" spans="1:8" x14ac:dyDescent="0.25">
      <c r="D14" s="52"/>
      <c r="E14" s="2" t="str">
        <f>'Billing Detail'!D33</f>
        <v>Customer Charge</v>
      </c>
      <c r="F14" s="33">
        <f>'Billing Detail'!F33</f>
        <v>96.34</v>
      </c>
      <c r="G14" s="33">
        <f>'Billing Detail'!H33</f>
        <v>96.34</v>
      </c>
      <c r="H14" s="111"/>
    </row>
    <row r="15" spans="1:8" x14ac:dyDescent="0.25">
      <c r="D15" s="52"/>
      <c r="E15" s="2" t="str">
        <f>'Billing Detail'!D34</f>
        <v>Demand Charge per kW</v>
      </c>
      <c r="F15" s="33">
        <f>'Billing Detail'!F34</f>
        <v>6.48</v>
      </c>
      <c r="G15" s="33">
        <f>'Billing Detail'!H34</f>
        <v>6.48</v>
      </c>
      <c r="H15" s="111"/>
    </row>
    <row r="16" spans="1:8" x14ac:dyDescent="0.25">
      <c r="D16" s="52"/>
      <c r="E16" s="2" t="str">
        <f>'Billing Detail'!D35</f>
        <v>Energy Charge Secondary per kWh</v>
      </c>
      <c r="F16" s="34">
        <f>'Billing Detail'!F35</f>
        <v>5.8930000000000003E-2</v>
      </c>
      <c r="G16" s="34">
        <f>'Billing Detail'!H35</f>
        <v>5.8930000000000003E-2</v>
      </c>
      <c r="H16" s="111"/>
    </row>
    <row r="17" spans="3:8" x14ac:dyDescent="0.25">
      <c r="D17" s="52"/>
      <c r="E17" s="2" t="str">
        <f>'Billing Detail'!D36</f>
        <v>Energy Charge Primary per kWh</v>
      </c>
      <c r="F17" s="34">
        <f>'Billing Detail'!F36</f>
        <v>5.2609999999999997E-2</v>
      </c>
      <c r="G17" s="34">
        <f>'Billing Detail'!H36</f>
        <v>5.2609999999999997E-2</v>
      </c>
      <c r="H17" s="111"/>
    </row>
    <row r="18" spans="3:8" x14ac:dyDescent="0.25">
      <c r="C18" s="11" t="str">
        <f>'Billing Detail'!C46</f>
        <v>LPR</v>
      </c>
      <c r="D18" s="52" t="str">
        <f>'Billing Detail'!B46</f>
        <v>Large Power Service (750 kVA +)</v>
      </c>
      <c r="F18" s="34"/>
      <c r="G18" s="34"/>
      <c r="H18" s="111"/>
    </row>
    <row r="19" spans="3:8" x14ac:dyDescent="0.25">
      <c r="D19" s="52"/>
      <c r="E19" s="2" t="str">
        <f>'Billing Detail'!D47</f>
        <v>Customer Charge</v>
      </c>
      <c r="F19" s="33">
        <f>'Billing Detail'!F47</f>
        <v>118.25</v>
      </c>
      <c r="G19" s="33">
        <f>'Billing Detail'!H47</f>
        <v>118.25</v>
      </c>
      <c r="H19" s="111"/>
    </row>
    <row r="20" spans="3:8" x14ac:dyDescent="0.25">
      <c r="D20" s="52"/>
      <c r="E20" s="2" t="str">
        <f>'Billing Detail'!D48</f>
        <v>Demand Charge per kW</v>
      </c>
      <c r="F20" s="33">
        <f>'Billing Detail'!F48</f>
        <v>6.48</v>
      </c>
      <c r="G20" s="33">
        <f>'Billing Detail'!H48</f>
        <v>6.48</v>
      </c>
      <c r="H20" s="111"/>
    </row>
    <row r="21" spans="3:8" x14ac:dyDescent="0.25">
      <c r="D21" s="52"/>
      <c r="E21" s="2" t="str">
        <f>'Billing Detail'!D49</f>
        <v>Energy Charge Secondary per kWh</v>
      </c>
      <c r="F21" s="34">
        <f>'Billing Detail'!F49</f>
        <v>5.8439999999999999E-2</v>
      </c>
      <c r="G21" s="34">
        <f>'Billing Detail'!H49</f>
        <v>5.8439999999999999E-2</v>
      </c>
      <c r="H21" s="111"/>
    </row>
    <row r="22" spans="3:8" x14ac:dyDescent="0.25">
      <c r="D22" s="52"/>
      <c r="E22" s="2" t="str">
        <f>'Billing Detail'!D50</f>
        <v>Energy Charge Primary per kWh</v>
      </c>
      <c r="F22" s="34">
        <f>'Billing Detail'!F50</f>
        <v>5.2179999999999997E-2</v>
      </c>
      <c r="G22" s="34">
        <f>'Billing Detail'!H50</f>
        <v>5.2179999999999997E-2</v>
      </c>
      <c r="H22" s="111"/>
    </row>
    <row r="23" spans="3:8" x14ac:dyDescent="0.25">
      <c r="C23" s="11" t="str">
        <f>'Billing Detail'!C60</f>
        <v>IND-1B</v>
      </c>
      <c r="D23" s="52" t="str">
        <f>'Billing Detail'!B60</f>
        <v>Industrial</v>
      </c>
      <c r="F23" s="10"/>
      <c r="G23" s="34"/>
      <c r="H23" s="111"/>
    </row>
    <row r="24" spans="3:8" x14ac:dyDescent="0.25">
      <c r="D24" s="52"/>
      <c r="E24" s="2" t="str">
        <f>'Billing Detail'!D61</f>
        <v>Customer Charge</v>
      </c>
      <c r="F24" s="33">
        <f>'Billing Detail'!F61</f>
        <v>179.01</v>
      </c>
      <c r="G24" s="10">
        <f>'Billing Detail'!H61</f>
        <v>179.01</v>
      </c>
      <c r="H24" s="111"/>
    </row>
    <row r="25" spans="3:8" x14ac:dyDescent="0.25">
      <c r="D25" s="52"/>
      <c r="E25" s="2" t="str">
        <f>'Billing Detail'!D62</f>
        <v>Demand Charge-Contract per kW</v>
      </c>
      <c r="F25" s="33">
        <f>'Billing Detail'!F62</f>
        <v>6.65</v>
      </c>
      <c r="G25" s="10">
        <f>'Billing Detail'!H62</f>
        <v>6.65</v>
      </c>
      <c r="H25" s="111"/>
    </row>
    <row r="26" spans="3:8" x14ac:dyDescent="0.25">
      <c r="D26" s="52"/>
      <c r="E26" s="2" t="str">
        <f>'Billing Detail'!D63</f>
        <v>Demand Charge-Excess per kW</v>
      </c>
      <c r="F26" s="33">
        <f>'Billing Detail'!F63</f>
        <v>9.65</v>
      </c>
      <c r="G26" s="10">
        <f>'Billing Detail'!H63</f>
        <v>9.65</v>
      </c>
      <c r="H26" s="111"/>
    </row>
    <row r="27" spans="3:8" x14ac:dyDescent="0.25">
      <c r="D27" s="52"/>
      <c r="E27" s="2" t="str">
        <f>'Billing Detail'!D64</f>
        <v>Energy Charge Secondary per kWh</v>
      </c>
      <c r="F27" s="34">
        <f>'Billing Detail'!F64</f>
        <v>5.348E-2</v>
      </c>
      <c r="G27" s="34">
        <f>'Billing Detail'!H64</f>
        <v>5.348E-2</v>
      </c>
      <c r="H27" s="111"/>
    </row>
    <row r="28" spans="3:8" x14ac:dyDescent="0.25">
      <c r="D28" s="52"/>
      <c r="E28" s="2" t="str">
        <f>'Billing Detail'!D65</f>
        <v>Energy Charge Primary per kWh</v>
      </c>
      <c r="F28" s="34">
        <f>'Billing Detail'!F65</f>
        <v>5.2749999999999998E-2</v>
      </c>
      <c r="G28" s="34">
        <f>'Billing Detail'!H65</f>
        <v>5.2749999999999998E-2</v>
      </c>
      <c r="H28" s="111"/>
    </row>
    <row r="29" spans="3:8" x14ac:dyDescent="0.25">
      <c r="C29" s="11" t="str">
        <f>'Billing Detail'!C75</f>
        <v>YL1</v>
      </c>
      <c r="D29" s="52" t="str">
        <f>'Billing Detail'!B75</f>
        <v>Lighting</v>
      </c>
      <c r="F29" s="33"/>
      <c r="G29" s="33"/>
      <c r="H29" s="111"/>
    </row>
    <row r="30" spans="3:8" x14ac:dyDescent="0.25">
      <c r="D30" s="52"/>
      <c r="E30" s="2" t="s">
        <v>78</v>
      </c>
      <c r="F30" s="33">
        <f>'Billing Detail'!F77</f>
        <v>9.5</v>
      </c>
      <c r="G30" s="33">
        <f>'Billing Detail'!H77</f>
        <v>9.5</v>
      </c>
      <c r="H30" s="111"/>
    </row>
    <row r="31" spans="3:8" x14ac:dyDescent="0.25">
      <c r="D31" s="2"/>
      <c r="E31" s="2" t="s">
        <v>79</v>
      </c>
      <c r="F31" s="33">
        <f>'Billing Detail'!F78</f>
        <v>14.09</v>
      </c>
      <c r="G31" s="33">
        <f>'Billing Detail'!H78</f>
        <v>14.09</v>
      </c>
      <c r="H31" s="111"/>
    </row>
    <row r="32" spans="3:8" x14ac:dyDescent="0.25">
      <c r="D32" s="2"/>
      <c r="E32" s="2" t="s">
        <v>80</v>
      </c>
      <c r="F32" s="33">
        <f>'Billing Detail'!F91</f>
        <v>16.47</v>
      </c>
      <c r="G32" s="31">
        <f>'Billing Detail'!H91</f>
        <v>16.47</v>
      </c>
      <c r="H32" s="111"/>
    </row>
    <row r="33" spans="3:11" x14ac:dyDescent="0.25">
      <c r="D33" s="2"/>
      <c r="E33" s="2" t="s">
        <v>81</v>
      </c>
      <c r="F33" s="33">
        <f>'Billing Detail'!F92</f>
        <v>37.74</v>
      </c>
      <c r="G33" s="33">
        <f>'Billing Detail'!H92</f>
        <v>37.74</v>
      </c>
      <c r="H33" s="111"/>
    </row>
    <row r="34" spans="3:11" x14ac:dyDescent="0.25">
      <c r="D34" s="2"/>
      <c r="E34" s="2" t="s">
        <v>82</v>
      </c>
      <c r="F34" s="33">
        <f>'Billing Detail'!F89</f>
        <v>19.260000000000002</v>
      </c>
      <c r="G34" s="33">
        <f>'Billing Detail'!H89</f>
        <v>19.260000000000002</v>
      </c>
      <c r="H34" s="111"/>
    </row>
    <row r="35" spans="3:11" x14ac:dyDescent="0.25">
      <c r="F35" s="33"/>
      <c r="G35" s="33"/>
    </row>
    <row r="36" spans="3:11" x14ac:dyDescent="0.25">
      <c r="F36" s="33"/>
      <c r="G36" s="33"/>
    </row>
    <row r="37" spans="3:11" ht="41.4" customHeight="1" x14ac:dyDescent="0.25">
      <c r="C37" s="113" t="s">
        <v>37</v>
      </c>
      <c r="D37" s="113"/>
      <c r="E37" s="113"/>
      <c r="F37" s="113"/>
      <c r="G37" s="113"/>
    </row>
    <row r="38" spans="3:11" x14ac:dyDescent="0.25">
      <c r="D38" s="2"/>
      <c r="F38" s="114" t="s">
        <v>38</v>
      </c>
      <c r="G38" s="114"/>
    </row>
    <row r="39" spans="3:11" x14ac:dyDescent="0.25">
      <c r="C39" s="49" t="s">
        <v>39</v>
      </c>
      <c r="D39" s="40"/>
      <c r="E39" s="41"/>
      <c r="F39" s="42" t="s">
        <v>40</v>
      </c>
      <c r="G39" s="42" t="s">
        <v>41</v>
      </c>
    </row>
    <row r="40" spans="3:11" x14ac:dyDescent="0.25">
      <c r="C40" s="50" t="str">
        <f>Summary!C7</f>
        <v>A1</v>
      </c>
      <c r="D40" s="3" t="str">
        <f>Summary!B7</f>
        <v xml:space="preserve">Farm &amp; Home </v>
      </c>
      <c r="F40" s="43">
        <f>Summary!G7</f>
        <v>1138588.1581039997</v>
      </c>
      <c r="G40" s="44">
        <f>Summary!H7</f>
        <v>5.1645686617946038E-2</v>
      </c>
      <c r="K40" s="9"/>
    </row>
    <row r="41" spans="3:11" x14ac:dyDescent="0.25">
      <c r="C41" s="50" t="str">
        <f>Summary!C8</f>
        <v>A2</v>
      </c>
      <c r="D41" s="3" t="str">
        <f>Summary!B8</f>
        <v xml:space="preserve">Commercial &amp; Small Power </v>
      </c>
      <c r="F41" s="43">
        <f>Summary!G8</f>
        <v>0</v>
      </c>
      <c r="G41" s="44">
        <f>Summary!H8</f>
        <v>0</v>
      </c>
      <c r="K41" s="9"/>
    </row>
    <row r="42" spans="3:11" x14ac:dyDescent="0.25">
      <c r="C42" s="50" t="str">
        <f>Summary!C9</f>
        <v>LP</v>
      </c>
      <c r="D42" s="3" t="str">
        <f>Summary!B9</f>
        <v>Large Power Service (25-750 kV)</v>
      </c>
      <c r="F42" s="43">
        <f>Summary!G9</f>
        <v>0</v>
      </c>
      <c r="G42" s="44">
        <f>Summary!H9</f>
        <v>0</v>
      </c>
      <c r="K42" s="9"/>
    </row>
    <row r="43" spans="3:11" x14ac:dyDescent="0.25">
      <c r="C43" s="50" t="str">
        <f>Summary!C10</f>
        <v>LPR</v>
      </c>
      <c r="D43" s="3" t="str">
        <f>Summary!B10</f>
        <v>Large Power Service (750 kVA +)</v>
      </c>
      <c r="F43" s="43">
        <f>Summary!G10</f>
        <v>0</v>
      </c>
      <c r="G43" s="44">
        <f>Summary!H10</f>
        <v>0</v>
      </c>
      <c r="K43" s="9"/>
    </row>
    <row r="44" spans="3:11" x14ac:dyDescent="0.25">
      <c r="C44" s="50" t="str">
        <f>Summary!C11</f>
        <v>IND-1B</v>
      </c>
      <c r="D44" s="3" t="str">
        <f>Summary!B11</f>
        <v>Industrial</v>
      </c>
      <c r="F44" s="43">
        <f>Summary!G11</f>
        <v>0</v>
      </c>
      <c r="G44" s="44">
        <f>Summary!H11</f>
        <v>0</v>
      </c>
      <c r="K44" s="9"/>
    </row>
    <row r="45" spans="3:11" x14ac:dyDescent="0.25">
      <c r="C45" s="50" t="str">
        <f>Summary!C12</f>
        <v>YL1</v>
      </c>
      <c r="D45" s="3" t="str">
        <f>Summary!B12</f>
        <v>Lighting</v>
      </c>
      <c r="F45" s="43">
        <f>Summary!G12</f>
        <v>0</v>
      </c>
      <c r="G45" s="44">
        <f>Summary!H12</f>
        <v>0</v>
      </c>
      <c r="K45" s="9"/>
    </row>
    <row r="46" spans="3:11" x14ac:dyDescent="0.25">
      <c r="C46" s="53" t="s">
        <v>42</v>
      </c>
      <c r="D46" s="20"/>
      <c r="E46" s="20"/>
      <c r="F46" s="59">
        <f>Summary!G24</f>
        <v>1138588.1581040025</v>
      </c>
      <c r="G46" s="45">
        <f>Summary!H24</f>
        <v>3.9674474397869523E-2</v>
      </c>
      <c r="K46" s="9"/>
    </row>
    <row r="47" spans="3:11" x14ac:dyDescent="0.25">
      <c r="C47" s="50"/>
      <c r="D47" s="2"/>
      <c r="F47" s="46"/>
      <c r="G47" s="47"/>
    </row>
    <row r="48" spans="3:11" x14ac:dyDescent="0.25">
      <c r="D48" s="2"/>
    </row>
    <row r="49" spans="3:7" ht="40.200000000000003" customHeight="1" x14ac:dyDescent="0.25">
      <c r="C49" s="113" t="s">
        <v>43</v>
      </c>
      <c r="D49" s="113"/>
      <c r="E49" s="113"/>
      <c r="F49" s="113"/>
      <c r="G49" s="113"/>
    </row>
    <row r="50" spans="3:7" x14ac:dyDescent="0.25">
      <c r="D50" s="2"/>
      <c r="E50" s="48" t="s">
        <v>17</v>
      </c>
      <c r="F50" s="114" t="s">
        <v>38</v>
      </c>
      <c r="G50" s="114"/>
    </row>
    <row r="51" spans="3:7" x14ac:dyDescent="0.25">
      <c r="C51" s="49" t="s">
        <v>39</v>
      </c>
      <c r="D51" s="41"/>
      <c r="E51" s="49" t="s">
        <v>44</v>
      </c>
      <c r="F51" s="42" t="s">
        <v>40</v>
      </c>
      <c r="G51" s="42" t="s">
        <v>41</v>
      </c>
    </row>
    <row r="52" spans="3:7" x14ac:dyDescent="0.25">
      <c r="C52" s="11" t="str">
        <f>Summary!C7</f>
        <v>A1</v>
      </c>
      <c r="D52" s="58" t="str">
        <f>Summary!B7</f>
        <v xml:space="preserve">Farm &amp; Home </v>
      </c>
      <c r="E52" s="51">
        <f>'Billing Detail'!E17</f>
        <v>1156.3524743666096</v>
      </c>
      <c r="F52" s="33">
        <f>'Billing Detail'!K17</f>
        <v>8.169594085514035</v>
      </c>
      <c r="G52" s="4">
        <f>Summary!H7</f>
        <v>5.1645686617946038E-2</v>
      </c>
    </row>
    <row r="53" spans="3:7" x14ac:dyDescent="0.25">
      <c r="C53" s="11" t="str">
        <f>Summary!C8</f>
        <v>A2</v>
      </c>
      <c r="D53" s="58" t="str">
        <f>Summary!B8</f>
        <v xml:space="preserve">Commercial &amp; Small Power </v>
      </c>
      <c r="E53" s="51">
        <f>'Billing Detail'!E30</f>
        <v>862.98539592223801</v>
      </c>
      <c r="F53" s="33">
        <f>'Billing Detail'!K30</f>
        <v>0</v>
      </c>
      <c r="G53" s="4">
        <f>Summary!H8</f>
        <v>0</v>
      </c>
    </row>
    <row r="54" spans="3:7" x14ac:dyDescent="0.25">
      <c r="C54" s="11" t="str">
        <f>Summary!C9</f>
        <v>LP</v>
      </c>
      <c r="D54" s="58" t="str">
        <f>Summary!B9</f>
        <v>Large Power Service (25-750 kV)</v>
      </c>
      <c r="E54" s="51">
        <f>'Billing Detail'!E44</f>
        <v>3740.6280369041515</v>
      </c>
      <c r="F54" s="33">
        <f>'Billing Detail'!K44</f>
        <v>0</v>
      </c>
      <c r="G54" s="4">
        <f>Summary!H9</f>
        <v>0</v>
      </c>
    </row>
    <row r="55" spans="3:7" x14ac:dyDescent="0.25">
      <c r="C55" s="11" t="str">
        <f>Summary!C10</f>
        <v>LPR</v>
      </c>
      <c r="D55" s="58" t="str">
        <f>Summary!B10</f>
        <v>Large Power Service (750 kVA +)</v>
      </c>
      <c r="E55" s="51">
        <f>'Billing Detail'!E58</f>
        <v>104013.76470588235</v>
      </c>
      <c r="F55" s="33">
        <f>'Billing Detail'!K58</f>
        <v>0</v>
      </c>
      <c r="G55" s="4">
        <f>Summary!H10</f>
        <v>0</v>
      </c>
    </row>
    <row r="56" spans="3:7" x14ac:dyDescent="0.25">
      <c r="C56" s="11" t="str">
        <f>Summary!C11</f>
        <v>IND-1B</v>
      </c>
      <c r="D56" s="58" t="str">
        <f>Summary!B11</f>
        <v>Industrial</v>
      </c>
      <c r="E56" s="51">
        <f>'Billing Detail'!E73</f>
        <v>532875</v>
      </c>
      <c r="F56" s="33">
        <f>'Billing Detail'!K73</f>
        <v>0</v>
      </c>
      <c r="G56" s="4">
        <f>Summary!H11</f>
        <v>0</v>
      </c>
    </row>
    <row r="57" spans="3:7" x14ac:dyDescent="0.25">
      <c r="C57" s="11" t="str">
        <f>Summary!C12</f>
        <v>YL1</v>
      </c>
      <c r="D57" s="58" t="str">
        <f>Summary!B12</f>
        <v>Lighting</v>
      </c>
      <c r="E57" s="55" t="s">
        <v>45</v>
      </c>
      <c r="F57" s="54" t="s">
        <v>45</v>
      </c>
      <c r="G57" s="4">
        <f>Summary!H12</f>
        <v>0</v>
      </c>
    </row>
  </sheetData>
  <mergeCells count="4">
    <mergeCell ref="C37:G37"/>
    <mergeCell ref="F38:G38"/>
    <mergeCell ref="C49:G49"/>
    <mergeCell ref="F50:G50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2023-11-01T00:23:36Z</cp:lastPrinted>
  <dcterms:created xsi:type="dcterms:W3CDTF">2021-02-09T02:13:44Z</dcterms:created>
  <dcterms:modified xsi:type="dcterms:W3CDTF">2023-11-01T00:35:44Z</dcterms:modified>
</cp:coreProperties>
</file>