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X:\Honaker Law Office\Clients\00500 - Big Sandy RECC\0002 - 2023 Rate Case\Drafts\October 31 Drafts\Excel Spreadsheets to Upload\"/>
    </mc:Choice>
  </mc:AlternateContent>
  <xr:revisionPtr revIDLastSave="0" documentId="8_{21B2611C-3F73-459E-9468-5E24EB479B47}" xr6:coauthVersionLast="47" xr6:coauthVersionMax="47" xr10:uidLastSave="{00000000-0000-0000-0000-000000000000}"/>
  <bookViews>
    <workbookView xWindow="-110" yWindow="-110" windowWidth="23780" windowHeight="16860" xr2:uid="{00000000-000D-0000-FFFF-FFFF00000000}"/>
  </bookViews>
  <sheets>
    <sheet name="Ratios" sheetId="1" r:id="rId1"/>
    <sheet name="Ratios Continued" sheetId="2" r:id="rId2"/>
  </sheets>
  <definedNames>
    <definedName name="_xlnm.Print_Area" localSheetId="0">Ratios!$A$1:$K$45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E20" i="2"/>
  <c r="E33" i="2" l="1"/>
  <c r="E12" i="2"/>
  <c r="E13" i="2" s="1"/>
  <c r="E5" i="2"/>
  <c r="E4" i="2"/>
  <c r="E34" i="2" l="1"/>
  <c r="E35" i="2" s="1"/>
  <c r="D33" i="2"/>
  <c r="D34" i="2" s="1"/>
  <c r="D35" i="2" s="1"/>
  <c r="D21" i="2"/>
  <c r="D20" i="2"/>
  <c r="D12" i="2"/>
  <c r="D13" i="2" s="1"/>
  <c r="D5" i="2"/>
  <c r="D4" i="2"/>
  <c r="J33" i="1"/>
  <c r="I33" i="1"/>
  <c r="H33" i="1"/>
  <c r="F33" i="1"/>
  <c r="F37" i="1" s="1"/>
  <c r="F38" i="1" s="1"/>
  <c r="H37" i="1"/>
  <c r="H38" i="1" s="1"/>
  <c r="D37" i="1"/>
  <c r="D38" i="1" s="1"/>
  <c r="D39" i="1" s="1"/>
  <c r="K33" i="1"/>
  <c r="K37" i="1" s="1"/>
  <c r="K38" i="1" s="1"/>
  <c r="J37" i="1"/>
  <c r="J38" i="1" s="1"/>
  <c r="I37" i="1"/>
  <c r="I38" i="1" s="1"/>
  <c r="J39" i="1" l="1"/>
  <c r="K39" i="1"/>
  <c r="I39" i="1"/>
  <c r="F39" i="1"/>
  <c r="H39" i="1"/>
  <c r="D25" i="1" l="1"/>
  <c r="D9" i="1" l="1"/>
  <c r="D24" i="1"/>
  <c r="D16" i="1"/>
  <c r="D17" i="1" s="1"/>
  <c r="D8" i="1" l="1"/>
  <c r="H16" i="1" l="1"/>
  <c r="F24" i="1" l="1"/>
  <c r="F25" i="1" s="1"/>
  <c r="H24" i="1"/>
  <c r="I24" i="1"/>
  <c r="J24" i="1"/>
  <c r="K24" i="1"/>
  <c r="K16" i="1"/>
  <c r="F16" i="1"/>
  <c r="I16" i="1"/>
  <c r="J16" i="1"/>
  <c r="J17" i="1" s="1"/>
  <c r="H17" i="1" l="1"/>
  <c r="I17" i="1"/>
  <c r="K25" i="1"/>
  <c r="F17" i="1"/>
  <c r="K17" i="1"/>
  <c r="J25" i="1"/>
  <c r="H25" i="1"/>
  <c r="I25" i="1"/>
  <c r="F8" i="1"/>
  <c r="F9" i="1" s="1"/>
  <c r="H8" i="1"/>
  <c r="I8" i="1"/>
  <c r="J8" i="1"/>
  <c r="K8" i="1"/>
  <c r="H9" i="1" l="1"/>
  <c r="K9" i="1"/>
  <c r="J9" i="1"/>
  <c r="I9" i="1"/>
</calcChain>
</file>

<file path=xl/sharedStrings.xml><?xml version="1.0" encoding="utf-8"?>
<sst xmlns="http://schemas.openxmlformats.org/spreadsheetml/2006/main" count="134" uniqueCount="70">
  <si>
    <t>A</t>
  </si>
  <si>
    <t>B</t>
  </si>
  <si>
    <t>C</t>
  </si>
  <si>
    <t>Interest on Long-Term Debt</t>
  </si>
  <si>
    <t>Net Margins</t>
  </si>
  <si>
    <t>D</t>
  </si>
  <si>
    <t>E</t>
  </si>
  <si>
    <t>G</t>
  </si>
  <si>
    <t>H</t>
  </si>
  <si>
    <t>Depreciation</t>
  </si>
  <si>
    <t>Debt Service</t>
  </si>
  <si>
    <t>OTIER (A + D)/A</t>
  </si>
  <si>
    <t>Patronage Capital &amp; Operating Margins</t>
  </si>
  <si>
    <t>F</t>
  </si>
  <si>
    <t>DSC (A + B + F)/G</t>
  </si>
  <si>
    <t>Exhibit 31</t>
  </si>
  <si>
    <t>Source: Financial &amp; Operating Report Electric Distribution</t>
  </si>
  <si>
    <t>Part A. (b) Line 16</t>
  </si>
  <si>
    <t>Part A. (b) Line 29</t>
  </si>
  <si>
    <t>Part A. (b) Line 21</t>
  </si>
  <si>
    <t>Part A. (b) Line 13</t>
  </si>
  <si>
    <t>Part N. (d) Total</t>
  </si>
  <si>
    <t>TIER (2 of 3 Year Average High)</t>
  </si>
  <si>
    <t>OTIER (2 of 3 Year Average High)</t>
  </si>
  <si>
    <t>DSC (2 of 3 Year Average High)</t>
  </si>
  <si>
    <t>*</t>
  </si>
  <si>
    <t>**</t>
  </si>
  <si>
    <t>^</t>
  </si>
  <si>
    <t>"</t>
  </si>
  <si>
    <t>""</t>
  </si>
  <si>
    <t>G&amp;T Capital Credits</t>
  </si>
  <si>
    <t>Other Capital Credits</t>
  </si>
  <si>
    <t>Total Pat Cap (Cash)</t>
  </si>
  <si>
    <t>I</t>
  </si>
  <si>
    <t>Part A. (b) Line 26</t>
  </si>
  <si>
    <t>Part A. (b) Line 27</t>
  </si>
  <si>
    <t>Total - Sum</t>
  </si>
  <si>
    <t>PY - Invest in Assoc Org - Pat Cap</t>
  </si>
  <si>
    <t>(CY - Invest in Assoc Org - Pat Cap)</t>
  </si>
  <si>
    <t>J</t>
  </si>
  <si>
    <t>K</t>
  </si>
  <si>
    <t>Non Operating Margins Interest</t>
  </si>
  <si>
    <t>Part A. (b) Line 22</t>
  </si>
  <si>
    <t>MDSC (A + D + F + I + J)/G</t>
  </si>
  <si>
    <r>
      <t xml:space="preserve">Part C. Line 8 - </t>
    </r>
    <r>
      <rPr>
        <i/>
        <sz val="11"/>
        <color theme="1"/>
        <rFont val="Calibri"/>
        <family val="2"/>
        <scheme val="minor"/>
      </rPr>
      <t>Prior Year</t>
    </r>
  </si>
  <si>
    <r>
      <t xml:space="preserve">Part C. Line 8 - </t>
    </r>
    <r>
      <rPr>
        <i/>
        <sz val="11"/>
        <color theme="1"/>
        <rFont val="Calibri"/>
        <family val="2"/>
        <scheme val="minor"/>
      </rPr>
      <t>Current Year</t>
    </r>
  </si>
  <si>
    <t>MDSC (2 of 3 Year Average High)</t>
  </si>
  <si>
    <t>!</t>
  </si>
  <si>
    <t>TEST YEAR  2022</t>
  </si>
  <si>
    <t>***</t>
  </si>
  <si>
    <t>MDSC is a measurement of a system's ability to generate sufficient operating funds to cover</t>
  </si>
  <si>
    <t>The CFC loan contract requires a MDSC of 1.35 for the best two of the last three years.</t>
  </si>
  <si>
    <t>its cash requirements, but adjusted to eliminate non-cash amounts that are included in margins.</t>
  </si>
  <si>
    <t xml:space="preserve">TIER (A + B)/A </t>
  </si>
  <si>
    <t>2015 and 2016 TIER used to calculate the "2 of 3 year average high".</t>
  </si>
  <si>
    <t>2016 and 2018 TIER used to calculate the "2 of 3 year average high".</t>
  </si>
  <si>
    <t>2016 and 2018 DSC used to calculate the "2 of 3 year average high".</t>
  </si>
  <si>
    <t>Page 1 of 1</t>
  </si>
  <si>
    <t>2015 and 2016 DSC used to calculate the "2 of 3 year average high".</t>
  </si>
  <si>
    <t>Times Interest Earnings Ratio ("TIER")</t>
  </si>
  <si>
    <t>Operating TIER ("OTIER")</t>
  </si>
  <si>
    <t>Debt Service Coverage ("DSC")</t>
  </si>
  <si>
    <t>Ratios</t>
  </si>
  <si>
    <r>
      <t>Modified DSC ("MDSC")</t>
    </r>
    <r>
      <rPr>
        <b/>
        <sz val="14"/>
        <color rgb="FFFF0000"/>
        <rFont val="Calibri"/>
        <family val="2"/>
        <scheme val="minor"/>
      </rPr>
      <t xml:space="preserve"> ***</t>
    </r>
  </si>
  <si>
    <t>2015 and 2017 OTIER used to calculate the "2 of 3 year average high".</t>
  </si>
  <si>
    <t xml:space="preserve">Big Sandy Rural Electric  Cooperative Corporation </t>
  </si>
  <si>
    <t>Witness: Robin Slone</t>
  </si>
  <si>
    <t>2016 and 2017 MDSC used to calculate the "2 of 3 year average high".</t>
  </si>
  <si>
    <t>The application for Big Sandy RECC also refers to modified debt service coverage ("MDSC").</t>
  </si>
  <si>
    <t>Jan-Jul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</si>
</sst>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3" fillId="0" borderId="0" xfId="0" applyFont="1"/>
    <xf numFmtId="165" fontId="0" fillId="0" borderId="0" xfId="1" applyNumberFormat="1" applyFont="1"/>
    <xf numFmtId="43" fontId="2" fillId="0" borderId="0" xfId="1" applyFont="1"/>
    <xf numFmtId="0" fontId="2" fillId="0" borderId="1" xfId="0" applyFont="1" applyBorder="1" applyAlignment="1">
      <alignment horizontal="center" wrapText="1"/>
    </xf>
    <xf numFmtId="165" fontId="0" fillId="0" borderId="0" xfId="1" applyNumberFormat="1" applyFont="1" applyFill="1"/>
    <xf numFmtId="0" fontId="0" fillId="2" borderId="0" xfId="0" applyFill="1"/>
    <xf numFmtId="2" fontId="0" fillId="0" borderId="0" xfId="0" applyNumberFormat="1"/>
    <xf numFmtId="164" fontId="0" fillId="0" borderId="0" xfId="2" applyNumberFormat="1" applyFont="1" applyFill="1" applyBorder="1"/>
    <xf numFmtId="43" fontId="0" fillId="2" borderId="0" xfId="1" applyFont="1" applyFill="1" applyBorder="1"/>
    <xf numFmtId="43" fontId="0" fillId="2" borderId="0" xfId="1" applyFont="1" applyFill="1"/>
    <xf numFmtId="43" fontId="5" fillId="2" borderId="0" xfId="1" applyFont="1" applyFill="1" applyAlignment="1">
      <alignment horizontal="left"/>
    </xf>
    <xf numFmtId="0" fontId="6" fillId="0" borderId="0" xfId="0" applyFont="1" applyAlignment="1">
      <alignment horizontal="right"/>
    </xf>
    <xf numFmtId="2" fontId="6" fillId="0" borderId="0" xfId="0" applyNumberFormat="1" applyFont="1"/>
    <xf numFmtId="165" fontId="0" fillId="0" borderId="1" xfId="1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5" fontId="1" fillId="0" borderId="0" xfId="1" applyNumberFormat="1" applyFont="1" applyBorder="1" applyAlignment="1">
      <alignment horizontal="center"/>
    </xf>
    <xf numFmtId="165" fontId="1" fillId="0" borderId="0" xfId="1" applyNumberFormat="1" applyFont="1"/>
    <xf numFmtId="0" fontId="0" fillId="0" borderId="0" xfId="0" quotePrefix="1" applyAlignment="1">
      <alignment horizontal="left" indent="1"/>
    </xf>
    <xf numFmtId="0" fontId="8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3" fontId="0" fillId="0" borderId="0" xfId="0" applyNumberFormat="1"/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165" fontId="0" fillId="0" borderId="0" xfId="1" applyNumberFormat="1" applyFont="1" applyFill="1" applyBorder="1"/>
    <xf numFmtId="165" fontId="1" fillId="0" borderId="0" xfId="1" applyNumberFormat="1" applyFont="1" applyFill="1" applyBorder="1"/>
    <xf numFmtId="43" fontId="2" fillId="0" borderId="0" xfId="1" applyFont="1" applyFill="1" applyBorder="1"/>
    <xf numFmtId="165" fontId="2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tabSelected="1" zoomScaleNormal="100" workbookViewId="0">
      <selection activeCell="D27" sqref="D27"/>
    </sheetView>
  </sheetViews>
  <sheetFormatPr defaultRowHeight="14.5" x14ac:dyDescent="0.35"/>
  <cols>
    <col min="2" max="2" width="36" bestFit="1" customWidth="1"/>
    <col min="3" max="3" width="29.26953125" customWidth="1"/>
    <col min="4" max="4" width="12.26953125" bestFit="1" customWidth="1"/>
    <col min="5" max="5" width="2.81640625" customWidth="1"/>
    <col min="6" max="6" width="14.54296875" customWidth="1"/>
    <col min="7" max="7" width="4.26953125" customWidth="1"/>
    <col min="8" max="8" width="12.54296875" customWidth="1"/>
    <col min="9" max="9" width="13" customWidth="1"/>
    <col min="10" max="11" width="13.26953125" customWidth="1"/>
    <col min="12" max="12" width="14.26953125" bestFit="1" customWidth="1"/>
    <col min="13" max="14" width="15" bestFit="1" customWidth="1"/>
  </cols>
  <sheetData>
    <row r="1" spans="1:14" ht="15.5" x14ac:dyDescent="0.35">
      <c r="A1" s="5" t="s">
        <v>65</v>
      </c>
      <c r="B1" s="1"/>
      <c r="C1" s="1"/>
      <c r="K1" s="26" t="s">
        <v>66</v>
      </c>
    </row>
    <row r="2" spans="1:14" ht="15.5" x14ac:dyDescent="0.35">
      <c r="A2" s="5" t="s">
        <v>15</v>
      </c>
      <c r="B2" s="1"/>
      <c r="C2" s="1"/>
      <c r="K2" s="26" t="s">
        <v>57</v>
      </c>
    </row>
    <row r="3" spans="1:14" ht="15.5" x14ac:dyDescent="0.35">
      <c r="A3" s="5" t="s">
        <v>62</v>
      </c>
      <c r="B3" s="1"/>
      <c r="C3" s="1"/>
    </row>
    <row r="4" spans="1:14" x14ac:dyDescent="0.35">
      <c r="D4" s="3"/>
      <c r="E4" s="3"/>
      <c r="F4" s="3"/>
      <c r="G4" s="3"/>
      <c r="I4" s="3"/>
      <c r="K4" s="3"/>
    </row>
    <row r="5" spans="1:14" ht="37" x14ac:dyDescent="0.35">
      <c r="B5" s="29" t="s">
        <v>59</v>
      </c>
      <c r="C5" s="8" t="s">
        <v>16</v>
      </c>
      <c r="D5" s="2">
        <v>2017</v>
      </c>
      <c r="E5" s="2"/>
      <c r="F5" s="2">
        <v>2018</v>
      </c>
      <c r="G5" s="2"/>
      <c r="H5" s="2">
        <v>2019</v>
      </c>
      <c r="I5" s="2">
        <v>2020</v>
      </c>
      <c r="J5" s="2">
        <v>2021</v>
      </c>
      <c r="K5" s="8" t="s">
        <v>48</v>
      </c>
      <c r="M5" s="3"/>
      <c r="N5" s="3"/>
    </row>
    <row r="6" spans="1:14" x14ac:dyDescent="0.35">
      <c r="A6" s="3" t="s">
        <v>0</v>
      </c>
      <c r="B6" t="s">
        <v>3</v>
      </c>
      <c r="C6" t="s">
        <v>17</v>
      </c>
      <c r="D6" s="6">
        <v>704187</v>
      </c>
      <c r="E6" s="6"/>
      <c r="F6" s="6">
        <v>758323.97</v>
      </c>
      <c r="G6" s="6"/>
      <c r="H6" s="6">
        <v>773499.08</v>
      </c>
      <c r="I6" s="6">
        <v>773479.1</v>
      </c>
      <c r="J6" s="6">
        <v>669184.06000000006</v>
      </c>
      <c r="K6" s="6">
        <v>672532.58</v>
      </c>
      <c r="M6" s="4"/>
      <c r="N6" s="6"/>
    </row>
    <row r="7" spans="1:14" x14ac:dyDescent="0.35">
      <c r="A7" s="3" t="s">
        <v>1</v>
      </c>
      <c r="B7" t="s">
        <v>4</v>
      </c>
      <c r="C7" t="s">
        <v>18</v>
      </c>
      <c r="D7" s="6">
        <v>137453</v>
      </c>
      <c r="E7" s="6"/>
      <c r="F7" s="6">
        <v>1323741.26</v>
      </c>
      <c r="G7" s="6"/>
      <c r="H7" s="6">
        <v>1101500.52</v>
      </c>
      <c r="I7" s="6">
        <v>1436028</v>
      </c>
      <c r="J7" s="6">
        <v>675153.54</v>
      </c>
      <c r="K7" s="6">
        <v>423919.5</v>
      </c>
      <c r="M7" s="4"/>
      <c r="N7" s="6"/>
    </row>
    <row r="8" spans="1:14" s="1" customFormat="1" x14ac:dyDescent="0.35">
      <c r="A8" s="3" t="s">
        <v>2</v>
      </c>
      <c r="B8" s="1" t="s">
        <v>53</v>
      </c>
      <c r="D8" s="7">
        <f>+(D6+D7)/D6</f>
        <v>1.1951938902592636</v>
      </c>
      <c r="E8" s="7"/>
      <c r="F8" s="7">
        <f t="shared" ref="F8:K8" si="0">+(F6+F7)/F6</f>
        <v>2.7456144238721611</v>
      </c>
      <c r="G8" s="7"/>
      <c r="H8" s="7">
        <f t="shared" si="0"/>
        <v>2.4240489077246221</v>
      </c>
      <c r="I8" s="7">
        <f t="shared" si="0"/>
        <v>2.8565828087662615</v>
      </c>
      <c r="J8" s="7">
        <f t="shared" si="0"/>
        <v>2.0089205352560251</v>
      </c>
      <c r="K8" s="7">
        <f t="shared" si="0"/>
        <v>1.6303330315982612</v>
      </c>
      <c r="M8" s="7"/>
    </row>
    <row r="9" spans="1:14" x14ac:dyDescent="0.35">
      <c r="A9" s="3"/>
      <c r="B9" s="10" t="s">
        <v>22</v>
      </c>
      <c r="C9" s="10"/>
      <c r="D9" s="14">
        <f>AVERAGE(2.49,2.03)</f>
        <v>2.2599999999999998</v>
      </c>
      <c r="E9" s="15" t="s">
        <v>25</v>
      </c>
      <c r="F9" s="14">
        <f>AVERAGE(F8,2.03)</f>
        <v>2.3878072119360807</v>
      </c>
      <c r="G9" s="15" t="s">
        <v>26</v>
      </c>
      <c r="H9" s="14">
        <f>AVERAGE(F8,H8)</f>
        <v>2.5848316657983919</v>
      </c>
      <c r="I9" s="14">
        <f>AVERAGE(F8,H8)</f>
        <v>2.5848316657983919</v>
      </c>
      <c r="J9" s="14">
        <f>AVERAGE(H8,J8)</f>
        <v>2.2164847214903238</v>
      </c>
      <c r="K9" s="13">
        <f>AVERAGE(J8,K8)</f>
        <v>1.8196267834271431</v>
      </c>
    </row>
    <row r="10" spans="1:14" x14ac:dyDescent="0.35">
      <c r="A10" s="3"/>
      <c r="E10" s="16" t="s">
        <v>25</v>
      </c>
      <c r="F10" s="17" t="s">
        <v>54</v>
      </c>
      <c r="G10" s="11"/>
      <c r="H10" s="11"/>
      <c r="I10" s="11"/>
      <c r="J10" s="11"/>
      <c r="K10" s="12"/>
    </row>
    <row r="11" spans="1:14" x14ac:dyDescent="0.35">
      <c r="A11" s="3"/>
      <c r="E11" s="16" t="s">
        <v>26</v>
      </c>
      <c r="F11" s="17" t="s">
        <v>55</v>
      </c>
      <c r="I11" s="11"/>
      <c r="J11" s="11"/>
      <c r="K11" s="12"/>
    </row>
    <row r="12" spans="1:14" x14ac:dyDescent="0.35">
      <c r="A12" s="3"/>
      <c r="C12" s="16"/>
      <c r="D12" s="17"/>
      <c r="E12" s="11"/>
      <c r="F12" s="11"/>
      <c r="G12" s="11"/>
      <c r="H12" s="11"/>
      <c r="I12" s="11"/>
      <c r="J12" s="11"/>
      <c r="K12" s="12"/>
    </row>
    <row r="13" spans="1:14" x14ac:dyDescent="0.35">
      <c r="D13" s="3"/>
      <c r="E13" s="3"/>
      <c r="F13" s="3"/>
      <c r="G13" s="3"/>
      <c r="I13" s="3"/>
      <c r="K13" s="3"/>
    </row>
    <row r="14" spans="1:14" ht="30" x14ac:dyDescent="0.45">
      <c r="B14" s="28" t="s">
        <v>60</v>
      </c>
      <c r="C14" s="8" t="s">
        <v>16</v>
      </c>
      <c r="D14" s="2">
        <v>2017</v>
      </c>
      <c r="E14" s="2"/>
      <c r="F14" s="2">
        <v>2018</v>
      </c>
      <c r="G14" s="2"/>
      <c r="H14" s="2">
        <v>2019</v>
      </c>
      <c r="I14" s="2">
        <v>2020</v>
      </c>
      <c r="J14" s="2">
        <v>2021</v>
      </c>
      <c r="K14" s="8" t="s">
        <v>48</v>
      </c>
    </row>
    <row r="15" spans="1:14" x14ac:dyDescent="0.35">
      <c r="A15" s="3" t="s">
        <v>5</v>
      </c>
      <c r="B15" t="s">
        <v>12</v>
      </c>
      <c r="C15" t="s">
        <v>19</v>
      </c>
      <c r="D15" s="6">
        <v>-710024</v>
      </c>
      <c r="E15" s="6"/>
      <c r="F15" s="6">
        <v>442655.02</v>
      </c>
      <c r="G15" s="6"/>
      <c r="H15" s="6">
        <v>235031.46</v>
      </c>
      <c r="I15" s="6">
        <v>249012.42</v>
      </c>
      <c r="J15" s="6">
        <v>-200431</v>
      </c>
      <c r="K15" s="6">
        <v>-301251.48</v>
      </c>
      <c r="M15" s="6"/>
      <c r="N15" s="6"/>
    </row>
    <row r="16" spans="1:14" s="1" customFormat="1" x14ac:dyDescent="0.35">
      <c r="A16" s="3" t="s">
        <v>6</v>
      </c>
      <c r="B16" s="1" t="s">
        <v>11</v>
      </c>
      <c r="D16" s="7">
        <f>+(D15+D6)/D6</f>
        <v>-8.2889914184726497E-3</v>
      </c>
      <c r="E16" s="7"/>
      <c r="F16" s="7">
        <f>+(F15+F6)/F6</f>
        <v>1.5837281129330516</v>
      </c>
      <c r="G16" s="7"/>
      <c r="H16" s="7">
        <f>+(H15+H6)/H6</f>
        <v>1.3038548668991305</v>
      </c>
      <c r="I16" s="7">
        <f>+(I15+I6)/I6</f>
        <v>1.3219381364021343</v>
      </c>
      <c r="J16" s="7">
        <f>+(J15+J6)/J6</f>
        <v>0.70048449749385844</v>
      </c>
      <c r="K16" s="7">
        <f>+(K15+K6)/K6</f>
        <v>0.55206410966737107</v>
      </c>
    </row>
    <row r="17" spans="1:14" x14ac:dyDescent="0.35">
      <c r="B17" s="10" t="s">
        <v>23</v>
      </c>
      <c r="C17" s="10"/>
      <c r="D17" s="14">
        <f>AVERAGE(D16,1.15)</f>
        <v>0.57085550429076359</v>
      </c>
      <c r="E17" s="15" t="s">
        <v>27</v>
      </c>
      <c r="F17" s="14">
        <f>AVERAGE(D16,F16)</f>
        <v>0.78771956075728944</v>
      </c>
      <c r="G17" s="15"/>
      <c r="H17" s="14">
        <f>AVERAGE(F16,H16)</f>
        <v>1.4437914899160911</v>
      </c>
      <c r="I17" s="14">
        <f>AVERAGE(F16,H16)</f>
        <v>1.4437914899160911</v>
      </c>
      <c r="J17" s="14">
        <f>AVERAGE(H16,J16)</f>
        <v>1.0021696821964945</v>
      </c>
      <c r="K17" s="13">
        <f>AVERAGE(I16,J16)</f>
        <v>1.0112113169479964</v>
      </c>
    </row>
    <row r="18" spans="1:14" x14ac:dyDescent="0.35">
      <c r="E18" s="16" t="s">
        <v>27</v>
      </c>
      <c r="F18" s="17" t="s">
        <v>64</v>
      </c>
      <c r="G18" s="3"/>
      <c r="I18" s="3"/>
      <c r="K18" s="27"/>
    </row>
    <row r="19" spans="1:14" x14ac:dyDescent="0.35">
      <c r="D19" s="3"/>
      <c r="E19" s="3"/>
      <c r="F19" s="3"/>
      <c r="G19" s="3"/>
      <c r="I19" s="3"/>
    </row>
    <row r="20" spans="1:14" x14ac:dyDescent="0.35">
      <c r="D20" s="3"/>
      <c r="E20" s="3"/>
      <c r="F20" s="3"/>
      <c r="G20" s="3"/>
      <c r="I20" s="3"/>
      <c r="K20" s="3"/>
    </row>
    <row r="21" spans="1:14" ht="30" x14ac:dyDescent="0.45">
      <c r="B21" s="28" t="s">
        <v>61</v>
      </c>
      <c r="C21" s="8" t="s">
        <v>16</v>
      </c>
      <c r="D21" s="2">
        <v>2017</v>
      </c>
      <c r="E21" s="2"/>
      <c r="F21" s="2">
        <v>2018</v>
      </c>
      <c r="G21" s="2"/>
      <c r="H21" s="2">
        <v>2019</v>
      </c>
      <c r="I21" s="2">
        <v>2020</v>
      </c>
      <c r="J21" s="2">
        <v>2021</v>
      </c>
      <c r="K21" s="8" t="s">
        <v>48</v>
      </c>
    </row>
    <row r="22" spans="1:14" x14ac:dyDescent="0.35">
      <c r="A22" s="3" t="s">
        <v>13</v>
      </c>
      <c r="B22" t="s">
        <v>9</v>
      </c>
      <c r="C22" t="s">
        <v>20</v>
      </c>
      <c r="D22" s="6">
        <v>2340042</v>
      </c>
      <c r="E22" s="6"/>
      <c r="F22" s="6">
        <v>2389078</v>
      </c>
      <c r="G22" s="6"/>
      <c r="H22" s="6">
        <v>2442460.52</v>
      </c>
      <c r="I22" s="6">
        <v>2495773.94</v>
      </c>
      <c r="J22" s="6">
        <v>2545140.6</v>
      </c>
      <c r="K22" s="6">
        <v>2521208.41</v>
      </c>
      <c r="M22" s="6"/>
      <c r="N22" s="6"/>
    </row>
    <row r="23" spans="1:14" x14ac:dyDescent="0.35">
      <c r="A23" s="3" t="s">
        <v>7</v>
      </c>
      <c r="B23" t="s">
        <v>10</v>
      </c>
      <c r="C23" t="s">
        <v>21</v>
      </c>
      <c r="D23" s="9">
        <v>2022413</v>
      </c>
      <c r="E23" s="9"/>
      <c r="F23" s="6">
        <v>2261393</v>
      </c>
      <c r="G23" s="6"/>
      <c r="H23" s="6">
        <v>1961093</v>
      </c>
      <c r="I23" s="6">
        <v>4400583</v>
      </c>
      <c r="J23" s="6">
        <v>1775975</v>
      </c>
      <c r="K23" s="6">
        <v>1832868</v>
      </c>
      <c r="M23" s="6"/>
      <c r="N23" s="6"/>
    </row>
    <row r="24" spans="1:14" s="1" customFormat="1" x14ac:dyDescent="0.35">
      <c r="A24" s="3" t="s">
        <v>8</v>
      </c>
      <c r="B24" s="1" t="s">
        <v>14</v>
      </c>
      <c r="D24" s="7">
        <f>+(D6+D7+D22)/D23</f>
        <v>1.5732108130238482</v>
      </c>
      <c r="E24" s="7"/>
      <c r="F24" s="7">
        <f>+(F6+F7+F22)/F23</f>
        <v>1.9771632927138274</v>
      </c>
      <c r="G24" s="7"/>
      <c r="H24" s="7">
        <f>+(H6+H7+H22)/H23</f>
        <v>2.2015580699130535</v>
      </c>
      <c r="I24" s="7">
        <f>+(I6+I7+I22)/I23</f>
        <v>1.0692403801950787</v>
      </c>
      <c r="J24" s="7">
        <f>+(J6+J7+J22)/J23</f>
        <v>2.190052337448444</v>
      </c>
      <c r="K24" s="7">
        <f>+(K6+K7+K22)/K23</f>
        <v>1.9737703369800772</v>
      </c>
    </row>
    <row r="25" spans="1:14" x14ac:dyDescent="0.35">
      <c r="B25" s="10" t="s">
        <v>24</v>
      </c>
      <c r="C25" s="10"/>
      <c r="D25" s="14">
        <f>AVERAGE(1.75, 1.97)</f>
        <v>1.8599999999999999</v>
      </c>
      <c r="E25" s="15" t="s">
        <v>28</v>
      </c>
      <c r="F25" s="14">
        <f>AVERAGE(1.97,F24)</f>
        <v>1.9735816463569136</v>
      </c>
      <c r="G25" s="15" t="s">
        <v>29</v>
      </c>
      <c r="H25" s="14">
        <f>AVERAGE(H24,F24)</f>
        <v>2.0893606813134404</v>
      </c>
      <c r="I25" s="14">
        <f>AVERAGE(F24,H24)</f>
        <v>2.0893606813134404</v>
      </c>
      <c r="J25" s="14">
        <f>AVERAGE(H24,J24)</f>
        <v>2.1958052036807487</v>
      </c>
      <c r="K25" s="13">
        <f>AVERAGE(K24,J24)</f>
        <v>2.0819113372142608</v>
      </c>
    </row>
    <row r="26" spans="1:14" x14ac:dyDescent="0.35">
      <c r="E26" s="16" t="s">
        <v>28</v>
      </c>
      <c r="F26" s="17" t="s">
        <v>58</v>
      </c>
    </row>
    <row r="27" spans="1:14" x14ac:dyDescent="0.35">
      <c r="E27" s="16" t="s">
        <v>29</v>
      </c>
      <c r="F27" s="17" t="s">
        <v>56</v>
      </c>
    </row>
    <row r="28" spans="1:14" x14ac:dyDescent="0.35">
      <c r="B28" s="19"/>
      <c r="D28" s="4"/>
      <c r="E28" s="4"/>
    </row>
    <row r="29" spans="1:14" x14ac:dyDescent="0.35">
      <c r="B29" s="19"/>
      <c r="D29" s="3"/>
      <c r="E29" s="3"/>
      <c r="F29" s="3"/>
      <c r="G29" s="3"/>
      <c r="I29" s="3"/>
      <c r="K29" s="3"/>
    </row>
    <row r="30" spans="1:14" ht="30" x14ac:dyDescent="0.45">
      <c r="B30" s="24" t="s">
        <v>63</v>
      </c>
      <c r="C30" s="8" t="s">
        <v>16</v>
      </c>
      <c r="D30" s="2">
        <v>2017</v>
      </c>
      <c r="E30" s="2"/>
      <c r="F30" s="2">
        <v>2018</v>
      </c>
      <c r="G30" s="2"/>
      <c r="H30" s="2">
        <v>2019</v>
      </c>
      <c r="I30" s="2">
        <v>2020</v>
      </c>
      <c r="J30" s="2">
        <v>2021</v>
      </c>
      <c r="K30" s="8" t="s">
        <v>48</v>
      </c>
      <c r="M30" s="3"/>
      <c r="N30" s="3"/>
    </row>
    <row r="31" spans="1:14" x14ac:dyDescent="0.35">
      <c r="A31" s="3" t="s">
        <v>33</v>
      </c>
      <c r="B31" s="19" t="s">
        <v>41</v>
      </c>
      <c r="C31" t="s">
        <v>42</v>
      </c>
      <c r="D31" s="21">
        <v>174439</v>
      </c>
      <c r="E31" s="21"/>
      <c r="F31" s="9">
        <v>174384</v>
      </c>
      <c r="G31" s="21"/>
      <c r="H31" s="9">
        <v>171217</v>
      </c>
      <c r="I31" s="9">
        <v>240089</v>
      </c>
      <c r="J31" s="9">
        <v>210360</v>
      </c>
      <c r="K31" s="9">
        <v>227364</v>
      </c>
      <c r="L31" s="31"/>
      <c r="M31" s="31"/>
      <c r="N31" s="31"/>
    </row>
    <row r="32" spans="1:14" x14ac:dyDescent="0.35">
      <c r="A32" s="3"/>
      <c r="B32" s="19"/>
      <c r="D32" s="21"/>
      <c r="E32" s="21"/>
      <c r="F32" s="21"/>
      <c r="G32" s="21"/>
      <c r="H32" s="21"/>
      <c r="I32" s="21"/>
      <c r="J32" s="21"/>
      <c r="K32" s="21"/>
      <c r="L32" s="31"/>
    </row>
    <row r="33" spans="1:14" x14ac:dyDescent="0.35">
      <c r="B33" s="20" t="s">
        <v>37</v>
      </c>
      <c r="C33" s="20" t="s">
        <v>44</v>
      </c>
      <c r="D33" s="22">
        <v>15173920</v>
      </c>
      <c r="E33" s="22"/>
      <c r="F33" s="22">
        <f>-D36</f>
        <v>15807639</v>
      </c>
      <c r="G33" s="22"/>
      <c r="H33" s="22">
        <f>-F36</f>
        <v>16510205</v>
      </c>
      <c r="I33" s="22">
        <f>-H36</f>
        <v>17155463</v>
      </c>
      <c r="J33" s="22">
        <f>-I36</f>
        <v>17888436</v>
      </c>
      <c r="K33" s="22">
        <f>-J36</f>
        <v>18520006</v>
      </c>
      <c r="L33" s="31"/>
    </row>
    <row r="34" spans="1:14" x14ac:dyDescent="0.35">
      <c r="B34" s="20" t="s">
        <v>30</v>
      </c>
      <c r="C34" s="20" t="s">
        <v>34</v>
      </c>
      <c r="D34" s="6">
        <v>0</v>
      </c>
      <c r="E34" s="6"/>
      <c r="F34" s="6">
        <v>668553</v>
      </c>
      <c r="G34" s="6"/>
      <c r="H34" s="6">
        <v>627425</v>
      </c>
      <c r="I34" s="6">
        <v>873778</v>
      </c>
      <c r="J34" s="6">
        <v>605871</v>
      </c>
      <c r="K34" s="6">
        <v>323975</v>
      </c>
      <c r="L34" s="30"/>
      <c r="M34" s="30"/>
      <c r="N34" s="30"/>
    </row>
    <row r="35" spans="1:14" x14ac:dyDescent="0.35">
      <c r="B35" s="20" t="s">
        <v>31</v>
      </c>
      <c r="C35" s="20" t="s">
        <v>35</v>
      </c>
      <c r="D35" s="6">
        <v>659566</v>
      </c>
      <c r="E35" s="6"/>
      <c r="F35" s="6">
        <v>64752</v>
      </c>
      <c r="G35" s="6"/>
      <c r="H35" s="6">
        <v>58813</v>
      </c>
      <c r="I35" s="6">
        <v>55717</v>
      </c>
      <c r="J35" s="6">
        <v>59354</v>
      </c>
      <c r="K35" s="6">
        <v>96547</v>
      </c>
      <c r="L35" s="30"/>
      <c r="M35" s="30"/>
      <c r="N35" s="30"/>
    </row>
    <row r="36" spans="1:14" x14ac:dyDescent="0.35">
      <c r="B36" s="23" t="s">
        <v>38</v>
      </c>
      <c r="C36" s="20" t="s">
        <v>45</v>
      </c>
      <c r="D36" s="18">
        <v>-15807639</v>
      </c>
      <c r="E36" s="6"/>
      <c r="F36" s="18">
        <v>-16510205</v>
      </c>
      <c r="G36" s="6"/>
      <c r="H36" s="18">
        <v>-17155463</v>
      </c>
      <c r="I36" s="18">
        <v>-17888436</v>
      </c>
      <c r="J36" s="18">
        <v>-18520006</v>
      </c>
      <c r="K36" s="18">
        <v>-18184372</v>
      </c>
      <c r="L36" s="30"/>
      <c r="M36" s="30"/>
      <c r="N36" s="30"/>
    </row>
    <row r="37" spans="1:14" x14ac:dyDescent="0.35">
      <c r="A37" s="3" t="s">
        <v>39</v>
      </c>
      <c r="B37" s="19" t="s">
        <v>32</v>
      </c>
      <c r="C37" t="s">
        <v>36</v>
      </c>
      <c r="D37" s="6">
        <f>SUM(D33:D36)</f>
        <v>25847</v>
      </c>
      <c r="E37" s="6"/>
      <c r="F37" s="6">
        <f>SUM(F33:F36)</f>
        <v>30739</v>
      </c>
      <c r="G37" s="6"/>
      <c r="H37" s="6">
        <f>SUM(H33:H36)</f>
        <v>40980</v>
      </c>
      <c r="I37" s="6">
        <f>SUM(I33:I36)</f>
        <v>196522</v>
      </c>
      <c r="J37" s="6">
        <f>SUM(J33:J36)</f>
        <v>33655</v>
      </c>
      <c r="K37" s="6">
        <f>SUM(K33:K36)</f>
        <v>756156</v>
      </c>
      <c r="L37" s="30"/>
      <c r="M37" s="30"/>
      <c r="N37" s="30"/>
    </row>
    <row r="38" spans="1:14" s="1" customFormat="1" x14ac:dyDescent="0.35">
      <c r="A38" s="3" t="s">
        <v>40</v>
      </c>
      <c r="B38" s="1" t="s">
        <v>43</v>
      </c>
      <c r="D38" s="7">
        <f>(D6+D15+D22+D31+D37)/D23</f>
        <v>1.2532014974191721</v>
      </c>
      <c r="E38" s="7"/>
      <c r="F38" s="7">
        <f>(F6+F15+F22+F31+F37)/F23</f>
        <v>1.6782487564081079</v>
      </c>
      <c r="G38" s="7"/>
      <c r="H38" s="7">
        <f>(H6+H15+H22+H31+H37)/H23</f>
        <v>1.8679318420900999</v>
      </c>
      <c r="I38" s="7">
        <f>(I6+I15+I22+I31+I37)/I23</f>
        <v>0.8987164791574207</v>
      </c>
      <c r="J38" s="7">
        <f>(J6+J15+J22+J31+J37)/J23</f>
        <v>1.8344338518278693</v>
      </c>
      <c r="K38" s="7">
        <f>(K6+K15+K22+K31+K37)/K23</f>
        <v>2.1147237607945581</v>
      </c>
      <c r="M38" s="32"/>
      <c r="N38" s="32"/>
    </row>
    <row r="39" spans="1:14" x14ac:dyDescent="0.35">
      <c r="B39" s="10" t="s">
        <v>46</v>
      </c>
      <c r="C39" s="10"/>
      <c r="D39" s="14">
        <f>AVERAGE(D38,1.25)</f>
        <v>1.2516007487095862</v>
      </c>
      <c r="E39" s="15" t="s">
        <v>47</v>
      </c>
      <c r="F39" s="14">
        <f>AVERAGE(D38,F38)</f>
        <v>1.46572512691364</v>
      </c>
      <c r="G39" s="15"/>
      <c r="H39" s="14">
        <f>AVERAGE(F38,H38)</f>
        <v>1.773090299249104</v>
      </c>
      <c r="I39" s="14">
        <f>AVERAGE(H38,I38)</f>
        <v>1.3833241606237603</v>
      </c>
      <c r="J39" s="14">
        <f>AVERAGE(I38,J38)</f>
        <v>1.366575165492645</v>
      </c>
      <c r="K39" s="13">
        <f>AVERAGE(I38,K38)</f>
        <v>1.5067201199759894</v>
      </c>
    </row>
    <row r="40" spans="1:14" x14ac:dyDescent="0.35">
      <c r="E40" s="16" t="s">
        <v>47</v>
      </c>
      <c r="F40" s="17" t="s">
        <v>67</v>
      </c>
    </row>
    <row r="42" spans="1:14" x14ac:dyDescent="0.35">
      <c r="A42" s="25" t="s">
        <v>49</v>
      </c>
      <c r="B42" t="s">
        <v>68</v>
      </c>
    </row>
    <row r="43" spans="1:14" x14ac:dyDescent="0.35">
      <c r="B43" t="s">
        <v>50</v>
      </c>
    </row>
    <row r="44" spans="1:14" x14ac:dyDescent="0.35">
      <c r="B44" t="s">
        <v>52</v>
      </c>
    </row>
    <row r="45" spans="1:14" x14ac:dyDescent="0.35">
      <c r="B45" t="s">
        <v>51</v>
      </c>
    </row>
  </sheetData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26E3-5548-4116-B4A0-863EDA358254}">
  <dimension ref="A1:E35"/>
  <sheetViews>
    <sheetView topLeftCell="A23" zoomScaleNormal="100" workbookViewId="0">
      <selection activeCell="C52" sqref="C52"/>
    </sheetView>
  </sheetViews>
  <sheetFormatPr defaultRowHeight="14.5" x14ac:dyDescent="0.35"/>
  <cols>
    <col min="1" max="1" width="2.453125" bestFit="1" customWidth="1"/>
    <col min="2" max="2" width="36" bestFit="1" customWidth="1"/>
    <col min="3" max="3" width="26.81640625" bestFit="1" customWidth="1"/>
    <col min="4" max="4" width="12.26953125" bestFit="1" customWidth="1"/>
    <col min="5" max="5" width="12.26953125" style="6" bestFit="1" customWidth="1"/>
  </cols>
  <sheetData>
    <row r="1" spans="1:5" ht="37" x14ac:dyDescent="0.35">
      <c r="B1" s="29" t="s">
        <v>59</v>
      </c>
      <c r="C1" s="8" t="s">
        <v>16</v>
      </c>
      <c r="D1" s="2">
        <v>2016</v>
      </c>
      <c r="E1" s="33" t="s">
        <v>69</v>
      </c>
    </row>
    <row r="2" spans="1:5" x14ac:dyDescent="0.35">
      <c r="A2" s="3" t="s">
        <v>0</v>
      </c>
      <c r="B2" t="s">
        <v>3</v>
      </c>
      <c r="C2" t="s">
        <v>17</v>
      </c>
      <c r="D2" s="6">
        <v>705710</v>
      </c>
      <c r="E2" s="6">
        <v>457623.4</v>
      </c>
    </row>
    <row r="3" spans="1:5" x14ac:dyDescent="0.35">
      <c r="A3" s="3" t="s">
        <v>1</v>
      </c>
      <c r="B3" t="s">
        <v>4</v>
      </c>
      <c r="C3" t="s">
        <v>18</v>
      </c>
      <c r="D3" s="6">
        <v>1710588</v>
      </c>
      <c r="E3" s="6">
        <v>-782735.46</v>
      </c>
    </row>
    <row r="4" spans="1:5" x14ac:dyDescent="0.35">
      <c r="A4" s="3" t="s">
        <v>2</v>
      </c>
      <c r="B4" s="1" t="s">
        <v>53</v>
      </c>
      <c r="C4" s="1"/>
      <c r="D4" s="7">
        <f>+(D2+D3)/D2</f>
        <v>3.4239248416488359</v>
      </c>
      <c r="E4" s="7">
        <f>+(E2+E3)/E2</f>
        <v>-0.71043582998596644</v>
      </c>
    </row>
    <row r="5" spans="1:5" x14ac:dyDescent="0.35">
      <c r="A5" s="3"/>
      <c r="B5" s="10" t="s">
        <v>22</v>
      </c>
      <c r="C5" s="10"/>
      <c r="D5" s="14">
        <f>AVERAGE(2.49,2.03)</f>
        <v>2.2599999999999998</v>
      </c>
      <c r="E5" s="14">
        <f>AVERAGE(2.49,2.03)</f>
        <v>2.2599999999999998</v>
      </c>
    </row>
    <row r="6" spans="1:5" x14ac:dyDescent="0.35">
      <c r="A6" s="3"/>
    </row>
    <row r="7" spans="1:5" x14ac:dyDescent="0.35">
      <c r="A7" s="3"/>
    </row>
    <row r="8" spans="1:5" x14ac:dyDescent="0.35">
      <c r="A8" s="3"/>
      <c r="C8" s="16"/>
      <c r="D8" s="17"/>
    </row>
    <row r="9" spans="1:5" x14ac:dyDescent="0.35">
      <c r="D9" s="3"/>
    </row>
    <row r="10" spans="1:5" ht="30" x14ac:dyDescent="0.45">
      <c r="B10" s="28" t="s">
        <v>60</v>
      </c>
      <c r="C10" s="8" t="s">
        <v>16</v>
      </c>
      <c r="D10" s="2">
        <v>2016</v>
      </c>
      <c r="E10" s="33" t="s">
        <v>69</v>
      </c>
    </row>
    <row r="11" spans="1:5" x14ac:dyDescent="0.35">
      <c r="A11" s="3" t="s">
        <v>5</v>
      </c>
      <c r="B11" t="s">
        <v>12</v>
      </c>
      <c r="C11" t="s">
        <v>19</v>
      </c>
      <c r="D11" s="6">
        <v>-126461</v>
      </c>
      <c r="E11" s="6">
        <v>-1104455.78</v>
      </c>
    </row>
    <row r="12" spans="1:5" x14ac:dyDescent="0.35">
      <c r="A12" s="3" t="s">
        <v>6</v>
      </c>
      <c r="B12" s="1" t="s">
        <v>11</v>
      </c>
      <c r="C12" s="1"/>
      <c r="D12" s="7">
        <f>+(D11+D2)/D2</f>
        <v>0.82080316277224352</v>
      </c>
      <c r="E12" s="7">
        <f>+(E11+E2)/E2</f>
        <v>-1.4134600197454936</v>
      </c>
    </row>
    <row r="13" spans="1:5" x14ac:dyDescent="0.35">
      <c r="B13" s="10" t="s">
        <v>23</v>
      </c>
      <c r="C13" s="10"/>
      <c r="D13" s="14">
        <f>AVERAGE(D12,1.15)</f>
        <v>0.98540158138612166</v>
      </c>
      <c r="E13" s="14">
        <f>AVERAGE(E12,1.15)</f>
        <v>-0.13173000987274686</v>
      </c>
    </row>
    <row r="15" spans="1:5" x14ac:dyDescent="0.35">
      <c r="D15" s="3"/>
    </row>
    <row r="16" spans="1:5" x14ac:dyDescent="0.35">
      <c r="D16" s="3"/>
    </row>
    <row r="17" spans="1:5" ht="30" x14ac:dyDescent="0.45">
      <c r="B17" s="28" t="s">
        <v>61</v>
      </c>
      <c r="C17" s="8" t="s">
        <v>16</v>
      </c>
      <c r="D17" s="2">
        <v>2016</v>
      </c>
      <c r="E17" s="33" t="s">
        <v>69</v>
      </c>
    </row>
    <row r="18" spans="1:5" x14ac:dyDescent="0.35">
      <c r="A18" s="3" t="s">
        <v>13</v>
      </c>
      <c r="B18" t="s">
        <v>9</v>
      </c>
      <c r="C18" t="s">
        <v>20</v>
      </c>
      <c r="D18" s="6">
        <v>2245342</v>
      </c>
      <c r="E18" s="6">
        <v>1500951.47</v>
      </c>
    </row>
    <row r="19" spans="1:5" x14ac:dyDescent="0.35">
      <c r="A19" s="3" t="s">
        <v>7</v>
      </c>
      <c r="B19" t="s">
        <v>10</v>
      </c>
      <c r="C19" t="s">
        <v>21</v>
      </c>
      <c r="D19" s="9">
        <v>2069503</v>
      </c>
      <c r="E19" s="6">
        <v>575254.35</v>
      </c>
    </row>
    <row r="20" spans="1:5" x14ac:dyDescent="0.35">
      <c r="A20" s="3" t="s">
        <v>8</v>
      </c>
      <c r="B20" s="1" t="s">
        <v>14</v>
      </c>
      <c r="C20" s="1"/>
      <c r="D20" s="7">
        <f>+(D2+D3+D18)/D19</f>
        <v>2.2525408274353795</v>
      </c>
      <c r="E20" s="7">
        <f>+(E2+E3+E18)/E19</f>
        <v>2.0440339303822737</v>
      </c>
    </row>
    <row r="21" spans="1:5" x14ac:dyDescent="0.35">
      <c r="B21" s="10" t="s">
        <v>24</v>
      </c>
      <c r="C21" s="10"/>
      <c r="D21" s="14">
        <f>AVERAGE(1.75, 1.97)</f>
        <v>1.8599999999999999</v>
      </c>
      <c r="E21" s="14">
        <f>AVERAGE(1.75, 1.97)</f>
        <v>1.8599999999999999</v>
      </c>
    </row>
    <row r="24" spans="1:5" x14ac:dyDescent="0.35">
      <c r="B24" s="19"/>
      <c r="D24" s="4"/>
    </row>
    <row r="25" spans="1:5" x14ac:dyDescent="0.35">
      <c r="B25" s="19"/>
      <c r="D25" s="3"/>
    </row>
    <row r="26" spans="1:5" ht="30" x14ac:dyDescent="0.45">
      <c r="B26" s="24" t="s">
        <v>63</v>
      </c>
      <c r="C26" s="8" t="s">
        <v>16</v>
      </c>
      <c r="D26" s="2">
        <v>2016</v>
      </c>
      <c r="E26" s="33" t="s">
        <v>69</v>
      </c>
    </row>
    <row r="27" spans="1:5" x14ac:dyDescent="0.35">
      <c r="A27" s="3" t="s">
        <v>33</v>
      </c>
      <c r="B27" s="19" t="s">
        <v>41</v>
      </c>
      <c r="C27" t="s">
        <v>42</v>
      </c>
      <c r="D27" s="21">
        <v>174792</v>
      </c>
      <c r="E27" s="6">
        <v>227364</v>
      </c>
    </row>
    <row r="28" spans="1:5" x14ac:dyDescent="0.35">
      <c r="A28" s="3"/>
      <c r="B28" s="19"/>
      <c r="D28" s="21"/>
    </row>
    <row r="29" spans="1:5" x14ac:dyDescent="0.35">
      <c r="B29" s="20" t="s">
        <v>37</v>
      </c>
      <c r="C29" s="20" t="s">
        <v>44</v>
      </c>
      <c r="D29" s="22">
        <v>14337689</v>
      </c>
      <c r="E29" s="6">
        <v>18163733.129999999</v>
      </c>
    </row>
    <row r="30" spans="1:5" x14ac:dyDescent="0.35">
      <c r="B30" s="20" t="s">
        <v>30</v>
      </c>
      <c r="C30" s="20" t="s">
        <v>34</v>
      </c>
      <c r="D30" s="6">
        <v>0</v>
      </c>
      <c r="E30" s="6">
        <v>12310.91</v>
      </c>
    </row>
    <row r="31" spans="1:5" x14ac:dyDescent="0.35">
      <c r="B31" s="20" t="s">
        <v>31</v>
      </c>
      <c r="C31" s="20" t="s">
        <v>35</v>
      </c>
      <c r="D31" s="6">
        <v>859672</v>
      </c>
      <c r="E31" s="6">
        <v>34472.720000000001</v>
      </c>
    </row>
    <row r="32" spans="1:5" x14ac:dyDescent="0.35">
      <c r="B32" s="23" t="s">
        <v>38</v>
      </c>
      <c r="C32" s="20" t="s">
        <v>45</v>
      </c>
      <c r="D32" s="18">
        <v>-15173920</v>
      </c>
      <c r="E32" s="18">
        <v>-18211146.640000001</v>
      </c>
    </row>
    <row r="33" spans="1:5" x14ac:dyDescent="0.35">
      <c r="A33" s="3" t="s">
        <v>39</v>
      </c>
      <c r="B33" s="19" t="s">
        <v>32</v>
      </c>
      <c r="C33" t="s">
        <v>36</v>
      </c>
      <c r="D33" s="6">
        <f>SUM(D29:D32)</f>
        <v>23441</v>
      </c>
      <c r="E33" s="6">
        <f>SUM(E29:E32)</f>
        <v>-629.88000000268221</v>
      </c>
    </row>
    <row r="34" spans="1:5" x14ac:dyDescent="0.35">
      <c r="A34" s="3" t="s">
        <v>40</v>
      </c>
      <c r="B34" s="1" t="s">
        <v>43</v>
      </c>
      <c r="C34" s="1"/>
      <c r="D34" s="7">
        <f>(D2+D11+D18+D27+D33)/D19</f>
        <v>1.4606521469164335</v>
      </c>
      <c r="E34" s="7">
        <f>(E2+E11+E18+E27+E33)/E19</f>
        <v>1.8789135797060852</v>
      </c>
    </row>
    <row r="35" spans="1:5" x14ac:dyDescent="0.35">
      <c r="B35" s="10" t="s">
        <v>46</v>
      </c>
      <c r="C35" s="10"/>
      <c r="D35" s="14">
        <f>AVERAGE(D34,1.25)</f>
        <v>1.3553260734582167</v>
      </c>
      <c r="E35" s="14">
        <f>AVERAGE(E34,1.25)</f>
        <v>1.5644567898530426</v>
      </c>
    </row>
  </sheetData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Ratios</vt:lpstr>
      <vt:lpstr>Ratios Continued</vt:lpstr>
      <vt:lpstr>Ratios!Print_Area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Allyson Honaker</cp:lastModifiedBy>
  <cp:lastPrinted>2023-09-28T10:22:04Z</cp:lastPrinted>
  <dcterms:created xsi:type="dcterms:W3CDTF">2019-03-14T13:36:19Z</dcterms:created>
  <dcterms:modified xsi:type="dcterms:W3CDTF">2023-11-01T04:02:17Z</dcterms:modified>
</cp:coreProperties>
</file>