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Big Sandy/2022 Rate Case 2023-00xxx/COSS ^0 Rates/"/>
    </mc:Choice>
  </mc:AlternateContent>
  <xr:revisionPtr revIDLastSave="98" documentId="8_{7F4AB997-EF0A-4648-BBC7-4E64E13C9D00}" xr6:coauthVersionLast="47" xr6:coauthVersionMax="47" xr10:uidLastSave="{823F0BD6-5E4B-4238-9076-17926BF5D259}"/>
  <bookViews>
    <workbookView xWindow="-108" yWindow="-108" windowWidth="23256" windowHeight="12456" tabRatio="701" xr2:uid="{00000000-000D-0000-FFFF-FFFF00000000}"/>
  </bookViews>
  <sheets>
    <sheet name="RevReq" sheetId="51" r:id="rId1"/>
    <sheet name="Adj List" sheetId="48" r:id="rId2"/>
    <sheet name="Adj BS" sheetId="50" r:id="rId3"/>
    <sheet name="Adj IS" sheetId="36" r:id="rId4"/>
    <sheet name="1.01 FAC" sheetId="6" r:id="rId5"/>
    <sheet name="1.02 ES" sheetId="17" r:id="rId6"/>
    <sheet name="1.03Depr" sheetId="39" r:id="rId7"/>
    <sheet name="1.04 GTCC" sheetId="31" r:id="rId8"/>
    <sheet name="1.05 Cust" sheetId="33" r:id="rId9"/>
    <sheet name="1.06 RC" sheetId="28" r:id="rId10"/>
    <sheet name="1.07 Donat&amp;Promo" sheetId="26" r:id="rId11"/>
    <sheet name="1.08 PROF" sheetId="32" r:id="rId12"/>
    <sheet name="1.09 DIR" sheetId="44" r:id="rId13"/>
    <sheet name="1.10 Wage" sheetId="65" r:id="rId14"/>
    <sheet name="1.11 LifeInsur" sheetId="66" r:id="rId15"/>
  </sheets>
  <externalReferences>
    <externalReference r:id="rId16"/>
  </externalReferences>
  <definedNames>
    <definedName name="_xlnm.Print_Area" localSheetId="4">'1.01 FAC'!$A$1:$H$34</definedName>
    <definedName name="_xlnm.Print_Area" localSheetId="5">'1.02 ES'!$A$1:$H$34</definedName>
    <definedName name="_xlnm.Print_Area" localSheetId="6">'1.03Depr'!$A$1:$J$57</definedName>
    <definedName name="_xlnm.Print_Area" localSheetId="7">'1.04 GTCC'!$A$1:$E$18</definedName>
    <definedName name="_xlnm.Print_Area" localSheetId="8">'1.05 Cust'!$A$1:$I$59</definedName>
    <definedName name="_xlnm.Print_Area" localSheetId="9">'1.06 RC'!$A$1:$E$28</definedName>
    <definedName name="_xlnm.Print_Area" localSheetId="10">'1.07 Donat&amp;Promo'!$A$1:$H$23</definedName>
    <definedName name="_xlnm.Print_Area" localSheetId="11">'1.08 PROF'!$A$1:$J$62</definedName>
    <definedName name="_xlnm.Print_Area" localSheetId="12">'1.09 DIR'!$A$1:$J$321</definedName>
    <definedName name="_xlnm.Print_Area" localSheetId="13">'1.10 Wage'!$A$1:$Y$102</definedName>
    <definedName name="_xlnm.Print_Area" localSheetId="14">'1.11 LifeInsur'!$B$1:$I$62</definedName>
    <definedName name="_xlnm.Print_Area" localSheetId="2">'Adj BS'!$A$1:$F$64</definedName>
    <definedName name="_xlnm.Print_Area" localSheetId="3">'Adj IS'!$A$1:$U$41</definedName>
    <definedName name="_xlnm.Print_Area" localSheetId="1">'Adj List'!$A$1:$G$25</definedName>
    <definedName name="_xlnm.Print_Area" localSheetId="0">RevReq!$A$1:$G$55</definedName>
    <definedName name="_xlnm.Print_Titles" localSheetId="8">'1.05 Cust'!$1:$11</definedName>
    <definedName name="_xlnm.Print_Titles" localSheetId="10">'1.07 Donat&amp;Promo'!$1:$7</definedName>
    <definedName name="_xlnm.Print_Titles" localSheetId="12">'1.09 DIR'!$A:$A,'1.09 DIR'!$1:$9</definedName>
    <definedName name="_xlnm.Print_Titles" localSheetId="13">'1.10 Wage'!$1:$7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6" i="65" l="1"/>
  <c r="A77" i="65"/>
  <c r="A78" i="65" s="1"/>
  <c r="A79" i="65" s="1"/>
  <c r="A80" i="65" s="1"/>
  <c r="A81" i="65" s="1"/>
  <c r="A82" i="65" s="1"/>
  <c r="A83" i="65" s="1"/>
  <c r="A84" i="65" s="1"/>
  <c r="A85" i="65" s="1"/>
  <c r="A86" i="65" s="1"/>
  <c r="A87" i="65" s="1"/>
  <c r="A88" i="65" s="1"/>
  <c r="A89" i="65" s="1"/>
  <c r="A90" i="65" s="1"/>
  <c r="A91" i="65" s="1"/>
  <c r="A92" i="65" s="1"/>
  <c r="A93" i="65" s="1"/>
  <c r="A94" i="65" s="1"/>
  <c r="A95" i="65" s="1"/>
  <c r="A96" i="65" s="1"/>
  <c r="A97" i="65" s="1"/>
  <c r="A98" i="65" s="1"/>
  <c r="A99" i="65" s="1"/>
  <c r="A100" i="65" s="1"/>
  <c r="F47" i="51"/>
  <c r="A47" i="51"/>
  <c r="A48" i="51" s="1"/>
  <c r="A49" i="51" s="1"/>
  <c r="A50" i="51" s="1"/>
  <c r="A51" i="51" s="1"/>
  <c r="A52" i="51" s="1"/>
  <c r="A53" i="51" s="1"/>
  <c r="A54" i="51" s="1"/>
  <c r="A55" i="51" s="1"/>
  <c r="B10" i="48" l="1"/>
  <c r="O6" i="36"/>
  <c r="N6" i="36"/>
  <c r="F6" i="36"/>
  <c r="N19" i="36" l="1"/>
  <c r="U19" i="36" s="1"/>
  <c r="E17" i="48" l="1"/>
  <c r="V75" i="65"/>
  <c r="U75" i="65"/>
  <c r="T75" i="65"/>
  <c r="S75" i="65"/>
  <c r="V74" i="65"/>
  <c r="U74" i="65"/>
  <c r="T74" i="65"/>
  <c r="T77" i="65" s="1"/>
  <c r="S74" i="65"/>
  <c r="S66" i="65"/>
  <c r="T66" i="65"/>
  <c r="U66" i="65"/>
  <c r="W66" i="65" s="1"/>
  <c r="V66" i="65"/>
  <c r="S67" i="65"/>
  <c r="T67" i="65"/>
  <c r="U67" i="65"/>
  <c r="V67" i="65"/>
  <c r="S68" i="65"/>
  <c r="T68" i="65"/>
  <c r="U68" i="65"/>
  <c r="V68" i="65"/>
  <c r="S69" i="65"/>
  <c r="T69" i="65"/>
  <c r="U69" i="65"/>
  <c r="V69" i="65"/>
  <c r="S70" i="65"/>
  <c r="T70" i="65"/>
  <c r="U70" i="65"/>
  <c r="V70" i="65"/>
  <c r="V65" i="65"/>
  <c r="U65" i="65"/>
  <c r="T65" i="65"/>
  <c r="S65" i="65"/>
  <c r="S28" i="65"/>
  <c r="T28" i="65"/>
  <c r="U28" i="65"/>
  <c r="V28" i="65"/>
  <c r="S29" i="65"/>
  <c r="T29" i="65"/>
  <c r="U29" i="65"/>
  <c r="V29" i="65"/>
  <c r="W29" i="65"/>
  <c r="S30" i="65"/>
  <c r="W30" i="65" s="1"/>
  <c r="T30" i="65"/>
  <c r="U30" i="65"/>
  <c r="V30" i="65"/>
  <c r="S31" i="65"/>
  <c r="T31" i="65"/>
  <c r="U31" i="65"/>
  <c r="V31" i="65"/>
  <c r="S32" i="65"/>
  <c r="W32" i="65" s="1"/>
  <c r="T32" i="65"/>
  <c r="U32" i="65"/>
  <c r="V32" i="65"/>
  <c r="S33" i="65"/>
  <c r="T33" i="65"/>
  <c r="U33" i="65"/>
  <c r="V33" i="65"/>
  <c r="S34" i="65"/>
  <c r="T34" i="65"/>
  <c r="U34" i="65"/>
  <c r="V34" i="65"/>
  <c r="S35" i="65"/>
  <c r="W35" i="65" s="1"/>
  <c r="T35" i="65"/>
  <c r="U35" i="65"/>
  <c r="V35" i="65"/>
  <c r="S36" i="65"/>
  <c r="T36" i="65"/>
  <c r="U36" i="65"/>
  <c r="V36" i="65"/>
  <c r="S37" i="65"/>
  <c r="W37" i="65" s="1"/>
  <c r="T37" i="65"/>
  <c r="U37" i="65"/>
  <c r="V37" i="65"/>
  <c r="S38" i="65"/>
  <c r="T38" i="65"/>
  <c r="U38" i="65"/>
  <c r="V38" i="65"/>
  <c r="W38" i="65"/>
  <c r="S39" i="65"/>
  <c r="W39" i="65" s="1"/>
  <c r="T39" i="65"/>
  <c r="U39" i="65"/>
  <c r="V39" i="65"/>
  <c r="S40" i="65"/>
  <c r="T40" i="65"/>
  <c r="U40" i="65"/>
  <c r="V40" i="65"/>
  <c r="W40" i="65"/>
  <c r="S41" i="65"/>
  <c r="T41" i="65"/>
  <c r="U41" i="65"/>
  <c r="V41" i="65"/>
  <c r="S42" i="65"/>
  <c r="T42" i="65"/>
  <c r="U42" i="65"/>
  <c r="V42" i="65"/>
  <c r="S43" i="65"/>
  <c r="T43" i="65"/>
  <c r="U43" i="65"/>
  <c r="W43" i="65" s="1"/>
  <c r="V43" i="65"/>
  <c r="S44" i="65"/>
  <c r="T44" i="65"/>
  <c r="U44" i="65"/>
  <c r="V44" i="65"/>
  <c r="S45" i="65"/>
  <c r="T45" i="65"/>
  <c r="U45" i="65"/>
  <c r="W45" i="65" s="1"/>
  <c r="V45" i="65"/>
  <c r="S46" i="65"/>
  <c r="W46" i="65" s="1"/>
  <c r="T46" i="65"/>
  <c r="U46" i="65"/>
  <c r="V46" i="65"/>
  <c r="S47" i="65"/>
  <c r="T47" i="65"/>
  <c r="U47" i="65"/>
  <c r="V47" i="65"/>
  <c r="S48" i="65"/>
  <c r="W48" i="65" s="1"/>
  <c r="T48" i="65"/>
  <c r="U48" i="65"/>
  <c r="V48" i="65"/>
  <c r="S49" i="65"/>
  <c r="T49" i="65"/>
  <c r="U49" i="65"/>
  <c r="V49" i="65"/>
  <c r="S50" i="65"/>
  <c r="T50" i="65"/>
  <c r="U50" i="65"/>
  <c r="V50" i="65"/>
  <c r="S51" i="65"/>
  <c r="T51" i="65"/>
  <c r="W51" i="65" s="1"/>
  <c r="U51" i="65"/>
  <c r="V51" i="65"/>
  <c r="S52" i="65"/>
  <c r="T52" i="65"/>
  <c r="U52" i="65"/>
  <c r="V52" i="65"/>
  <c r="S53" i="65"/>
  <c r="T53" i="65"/>
  <c r="W53" i="65" s="1"/>
  <c r="U53" i="65"/>
  <c r="V53" i="65"/>
  <c r="S54" i="65"/>
  <c r="T54" i="65"/>
  <c r="U54" i="65"/>
  <c r="V54" i="65"/>
  <c r="W54" i="65"/>
  <c r="S55" i="65"/>
  <c r="W55" i="65" s="1"/>
  <c r="T55" i="65"/>
  <c r="U55" i="65"/>
  <c r="V55" i="65"/>
  <c r="S56" i="65"/>
  <c r="T56" i="65"/>
  <c r="U56" i="65"/>
  <c r="V56" i="65"/>
  <c r="W56" i="65"/>
  <c r="S57" i="65"/>
  <c r="W57" i="65" s="1"/>
  <c r="T57" i="65"/>
  <c r="U57" i="65"/>
  <c r="V57" i="65"/>
  <c r="S58" i="65"/>
  <c r="T58" i="65"/>
  <c r="U58" i="65"/>
  <c r="V58" i="65"/>
  <c r="S59" i="65"/>
  <c r="W59" i="65" s="1"/>
  <c r="T59" i="65"/>
  <c r="U59" i="65"/>
  <c r="V59" i="65"/>
  <c r="S60" i="65"/>
  <c r="T60" i="65"/>
  <c r="U60" i="65"/>
  <c r="V60" i="65"/>
  <c r="S61" i="65"/>
  <c r="W61" i="65" s="1"/>
  <c r="T61" i="65"/>
  <c r="U61" i="65"/>
  <c r="V61" i="65"/>
  <c r="H62" i="65"/>
  <c r="I62" i="65"/>
  <c r="L62" i="65"/>
  <c r="M62" i="65"/>
  <c r="N62" i="65"/>
  <c r="C62" i="65"/>
  <c r="L24" i="65"/>
  <c r="M24" i="65"/>
  <c r="N24" i="65"/>
  <c r="H24" i="65"/>
  <c r="C52" i="66"/>
  <c r="I56" i="66" s="1"/>
  <c r="F51" i="66"/>
  <c r="G51" i="66" s="1"/>
  <c r="F50" i="66"/>
  <c r="H50" i="66" s="1"/>
  <c r="F49" i="66"/>
  <c r="G49" i="66" s="1"/>
  <c r="F48" i="66"/>
  <c r="H48" i="66" s="1"/>
  <c r="F47" i="66"/>
  <c r="G47" i="66" s="1"/>
  <c r="F46" i="66"/>
  <c r="H46" i="66" s="1"/>
  <c r="H45" i="66"/>
  <c r="F45" i="66"/>
  <c r="G45" i="66" s="1"/>
  <c r="F44" i="66"/>
  <c r="H44" i="66" s="1"/>
  <c r="F43" i="66"/>
  <c r="G43" i="66" s="1"/>
  <c r="F42" i="66"/>
  <c r="H42" i="66" s="1"/>
  <c r="F41" i="66"/>
  <c r="G41" i="66" s="1"/>
  <c r="F40" i="66"/>
  <c r="H40" i="66" s="1"/>
  <c r="F39" i="66"/>
  <c r="G39" i="66" s="1"/>
  <c r="F38" i="66"/>
  <c r="H38" i="66" s="1"/>
  <c r="F37" i="66"/>
  <c r="G37" i="66" s="1"/>
  <c r="F36" i="66"/>
  <c r="H36" i="66" s="1"/>
  <c r="F35" i="66"/>
  <c r="G35" i="66" s="1"/>
  <c r="F34" i="66"/>
  <c r="H34" i="66" s="1"/>
  <c r="F33" i="66"/>
  <c r="G33" i="66" s="1"/>
  <c r="F32" i="66"/>
  <c r="H32" i="66" s="1"/>
  <c r="F31" i="66"/>
  <c r="G31" i="66" s="1"/>
  <c r="F30" i="66"/>
  <c r="H30" i="66" s="1"/>
  <c r="F29" i="66"/>
  <c r="G29" i="66" s="1"/>
  <c r="F28" i="66"/>
  <c r="H28" i="66" s="1"/>
  <c r="F27" i="66"/>
  <c r="G27" i="66" s="1"/>
  <c r="F26" i="66"/>
  <c r="H26" i="66" s="1"/>
  <c r="F25" i="66"/>
  <c r="G25" i="66" s="1"/>
  <c r="F24" i="66"/>
  <c r="H24" i="66" s="1"/>
  <c r="F23" i="66"/>
  <c r="G23" i="66" s="1"/>
  <c r="F22" i="66"/>
  <c r="H22" i="66" s="1"/>
  <c r="F21" i="66"/>
  <c r="G21" i="66" s="1"/>
  <c r="F20" i="66"/>
  <c r="H20" i="66" s="1"/>
  <c r="H19" i="66"/>
  <c r="F19" i="66"/>
  <c r="G19" i="66" s="1"/>
  <c r="F18" i="66"/>
  <c r="H18" i="66" s="1"/>
  <c r="F17" i="66"/>
  <c r="G17" i="66" s="1"/>
  <c r="F16" i="66"/>
  <c r="H16" i="66" s="1"/>
  <c r="F15" i="66"/>
  <c r="G15" i="66" s="1"/>
  <c r="F14" i="66"/>
  <c r="H14" i="66" s="1"/>
  <c r="F13" i="66"/>
  <c r="G13" i="66" s="1"/>
  <c r="F12" i="66"/>
  <c r="H12" i="66" s="1"/>
  <c r="B5" i="66"/>
  <c r="B4" i="66"/>
  <c r="K143" i="65"/>
  <c r="K142" i="65"/>
  <c r="K139" i="65"/>
  <c r="K138" i="65"/>
  <c r="K137" i="65"/>
  <c r="K122" i="65"/>
  <c r="K136" i="65" s="1"/>
  <c r="K120" i="65"/>
  <c r="K99" i="65"/>
  <c r="K98" i="65"/>
  <c r="K97" i="65"/>
  <c r="K96" i="65"/>
  <c r="K93" i="65"/>
  <c r="K92" i="65"/>
  <c r="K91" i="65"/>
  <c r="K89" i="65"/>
  <c r="N77" i="65"/>
  <c r="M77" i="65"/>
  <c r="L77" i="65"/>
  <c r="I77" i="65"/>
  <c r="H77" i="65"/>
  <c r="C77" i="65"/>
  <c r="V76" i="65"/>
  <c r="V77" i="65" s="1"/>
  <c r="U76" i="65"/>
  <c r="K75" i="65"/>
  <c r="O75" i="65" s="1"/>
  <c r="G75" i="65"/>
  <c r="K74" i="65"/>
  <c r="O74" i="65" s="1"/>
  <c r="G74" i="65"/>
  <c r="N71" i="65"/>
  <c r="N79" i="65" s="1"/>
  <c r="M71" i="65"/>
  <c r="L71" i="65"/>
  <c r="I71" i="65"/>
  <c r="H71" i="65"/>
  <c r="C71" i="65"/>
  <c r="K70" i="65"/>
  <c r="O70" i="65" s="1"/>
  <c r="G70" i="65"/>
  <c r="K69" i="65"/>
  <c r="O69" i="65" s="1"/>
  <c r="G69" i="65"/>
  <c r="K68" i="65"/>
  <c r="O68" i="65" s="1"/>
  <c r="G68" i="65"/>
  <c r="K67" i="65"/>
  <c r="O67" i="65" s="1"/>
  <c r="G67" i="65"/>
  <c r="K66" i="65"/>
  <c r="O66" i="65" s="1"/>
  <c r="G66" i="65"/>
  <c r="K65" i="65"/>
  <c r="O65" i="65" s="1"/>
  <c r="G65" i="65"/>
  <c r="K61" i="65"/>
  <c r="O61" i="65" s="1"/>
  <c r="G61" i="65"/>
  <c r="K60" i="65"/>
  <c r="O60" i="65" s="1"/>
  <c r="G60" i="65"/>
  <c r="O59" i="65"/>
  <c r="K59" i="65"/>
  <c r="G59" i="65"/>
  <c r="K58" i="65"/>
  <c r="O58" i="65" s="1"/>
  <c r="G58" i="65"/>
  <c r="K57" i="65"/>
  <c r="O57" i="65" s="1"/>
  <c r="G57" i="65"/>
  <c r="K56" i="65"/>
  <c r="G56" i="65"/>
  <c r="K55" i="65"/>
  <c r="O55" i="65" s="1"/>
  <c r="G55" i="65"/>
  <c r="K54" i="65"/>
  <c r="O54" i="65" s="1"/>
  <c r="G54" i="65"/>
  <c r="K53" i="65"/>
  <c r="O53" i="65" s="1"/>
  <c r="G53" i="65"/>
  <c r="K52" i="65"/>
  <c r="O52" i="65" s="1"/>
  <c r="G52" i="65"/>
  <c r="K51" i="65"/>
  <c r="O51" i="65" s="1"/>
  <c r="G51" i="65"/>
  <c r="K50" i="65"/>
  <c r="O50" i="65" s="1"/>
  <c r="G50" i="65"/>
  <c r="K49" i="65"/>
  <c r="O49" i="65" s="1"/>
  <c r="G49" i="65"/>
  <c r="K48" i="65"/>
  <c r="O48" i="65" s="1"/>
  <c r="G48" i="65"/>
  <c r="A48" i="65"/>
  <c r="A49" i="65" s="1"/>
  <c r="A50" i="65" s="1"/>
  <c r="A51" i="65" s="1"/>
  <c r="A52" i="65" s="1"/>
  <c r="A53" i="65" s="1"/>
  <c r="A54" i="65" s="1"/>
  <c r="A55" i="65" s="1"/>
  <c r="A56" i="65" s="1"/>
  <c r="A57" i="65" s="1"/>
  <c r="A58" i="65" s="1"/>
  <c r="A59" i="65" s="1"/>
  <c r="A60" i="65" s="1"/>
  <c r="A61" i="65" s="1"/>
  <c r="A65" i="65" s="1"/>
  <c r="A66" i="65" s="1"/>
  <c r="A67" i="65" s="1"/>
  <c r="A68" i="65" s="1"/>
  <c r="A69" i="65" s="1"/>
  <c r="A70" i="65" s="1"/>
  <c r="A74" i="65" s="1"/>
  <c r="A75" i="65" s="1"/>
  <c r="K47" i="65"/>
  <c r="O47" i="65" s="1"/>
  <c r="G47" i="65"/>
  <c r="K46" i="65"/>
  <c r="O46" i="65" s="1"/>
  <c r="G46" i="65"/>
  <c r="K45" i="65"/>
  <c r="O45" i="65" s="1"/>
  <c r="G45" i="65"/>
  <c r="K44" i="65"/>
  <c r="O44" i="65" s="1"/>
  <c r="G44" i="65"/>
  <c r="K43" i="65"/>
  <c r="O43" i="65" s="1"/>
  <c r="G43" i="65"/>
  <c r="K42" i="65"/>
  <c r="O42" i="65" s="1"/>
  <c r="G42" i="65"/>
  <c r="K41" i="65"/>
  <c r="O41" i="65" s="1"/>
  <c r="G41" i="65"/>
  <c r="K40" i="65"/>
  <c r="O40" i="65" s="1"/>
  <c r="G40" i="65"/>
  <c r="K39" i="65"/>
  <c r="O39" i="65" s="1"/>
  <c r="G39" i="65"/>
  <c r="K38" i="65"/>
  <c r="O38" i="65" s="1"/>
  <c r="G38" i="65"/>
  <c r="K37" i="65"/>
  <c r="O37" i="65" s="1"/>
  <c r="G37" i="65"/>
  <c r="K36" i="65"/>
  <c r="O36" i="65" s="1"/>
  <c r="G36" i="65"/>
  <c r="K35" i="65"/>
  <c r="O35" i="65" s="1"/>
  <c r="G35" i="65"/>
  <c r="K34" i="65"/>
  <c r="O34" i="65" s="1"/>
  <c r="G34" i="65"/>
  <c r="K33" i="65"/>
  <c r="O33" i="65" s="1"/>
  <c r="G33" i="65"/>
  <c r="K32" i="65"/>
  <c r="O32" i="65" s="1"/>
  <c r="G32" i="65"/>
  <c r="K31" i="65"/>
  <c r="O31" i="65" s="1"/>
  <c r="G31" i="65"/>
  <c r="K30" i="65"/>
  <c r="O30" i="65" s="1"/>
  <c r="G30" i="65"/>
  <c r="K29" i="65"/>
  <c r="O29" i="65" s="1"/>
  <c r="G29" i="65"/>
  <c r="K28" i="65"/>
  <c r="O28" i="65" s="1"/>
  <c r="G28" i="65"/>
  <c r="A28" i="65"/>
  <c r="A29" i="65" s="1"/>
  <c r="A30" i="65" s="1"/>
  <c r="A31" i="65" s="1"/>
  <c r="A32" i="65" s="1"/>
  <c r="A33" i="65" s="1"/>
  <c r="A34" i="65" s="1"/>
  <c r="A35" i="65" s="1"/>
  <c r="A36" i="65" s="1"/>
  <c r="A37" i="65" s="1"/>
  <c r="A38" i="65" s="1"/>
  <c r="A39" i="65" s="1"/>
  <c r="A40" i="65" s="1"/>
  <c r="A41" i="65" s="1"/>
  <c r="A42" i="65" s="1"/>
  <c r="A43" i="65" s="1"/>
  <c r="A44" i="65" s="1"/>
  <c r="A45" i="65" s="1"/>
  <c r="V27" i="65"/>
  <c r="U27" i="65"/>
  <c r="T27" i="65"/>
  <c r="S27" i="65"/>
  <c r="K27" i="65"/>
  <c r="O27" i="65" s="1"/>
  <c r="G27" i="65"/>
  <c r="G62" i="65" s="1"/>
  <c r="V24" i="65"/>
  <c r="C24" i="65"/>
  <c r="U23" i="65"/>
  <c r="T24" i="65"/>
  <c r="S23" i="65"/>
  <c r="K23" i="65"/>
  <c r="O23" i="65" s="1"/>
  <c r="G23" i="65"/>
  <c r="U22" i="65"/>
  <c r="S22" i="65"/>
  <c r="K22" i="65"/>
  <c r="O22" i="65" s="1"/>
  <c r="G22" i="65"/>
  <c r="U21" i="65"/>
  <c r="S21" i="65"/>
  <c r="K21" i="65"/>
  <c r="O21" i="65" s="1"/>
  <c r="G21" i="65"/>
  <c r="U20" i="65"/>
  <c r="S20" i="65"/>
  <c r="K20" i="65"/>
  <c r="O20" i="65" s="1"/>
  <c r="G20" i="65"/>
  <c r="U19" i="65"/>
  <c r="S19" i="65"/>
  <c r="K19" i="65"/>
  <c r="O19" i="65" s="1"/>
  <c r="G19" i="65"/>
  <c r="U18" i="65"/>
  <c r="S18" i="65"/>
  <c r="K18" i="65"/>
  <c r="O18" i="65" s="1"/>
  <c r="G18" i="65"/>
  <c r="U17" i="65"/>
  <c r="S17" i="65"/>
  <c r="K17" i="65"/>
  <c r="O17" i="65" s="1"/>
  <c r="G17" i="65"/>
  <c r="U16" i="65"/>
  <c r="S16" i="65"/>
  <c r="O16" i="65"/>
  <c r="K16" i="65"/>
  <c r="I16" i="65"/>
  <c r="I24" i="65" s="1"/>
  <c r="I79" i="65" s="1"/>
  <c r="A16" i="65"/>
  <c r="A17" i="65" s="1"/>
  <c r="A18" i="65" s="1"/>
  <c r="A19" i="65" s="1"/>
  <c r="A20" i="65" s="1"/>
  <c r="A21" i="65" s="1"/>
  <c r="A22" i="65" s="1"/>
  <c r="A23" i="65" s="1"/>
  <c r="D10" i="65"/>
  <c r="E10" i="65" s="1"/>
  <c r="G10" i="65" s="1"/>
  <c r="H10" i="65" s="1"/>
  <c r="I10" i="65" s="1"/>
  <c r="K10" i="65" s="1"/>
  <c r="L10" i="65" s="1"/>
  <c r="M10" i="65" s="1"/>
  <c r="N10" i="65" s="1"/>
  <c r="O10" i="65" s="1"/>
  <c r="Q10" i="65" s="1"/>
  <c r="S10" i="65" s="1"/>
  <c r="T10" i="65" s="1"/>
  <c r="U10" i="65" s="1"/>
  <c r="V10" i="65" s="1"/>
  <c r="W10" i="65" s="1"/>
  <c r="Y10" i="65" s="1"/>
  <c r="Y48" i="65" l="1"/>
  <c r="Y61" i="65"/>
  <c r="Y59" i="65"/>
  <c r="Y51" i="65"/>
  <c r="Y53" i="65"/>
  <c r="W74" i="65"/>
  <c r="W60" i="65"/>
  <c r="W44" i="65"/>
  <c r="Y29" i="65"/>
  <c r="W28" i="65"/>
  <c r="Y54" i="65"/>
  <c r="W69" i="65"/>
  <c r="W67" i="65"/>
  <c r="Y55" i="65"/>
  <c r="W58" i="65"/>
  <c r="W49" i="65"/>
  <c r="W42" i="65"/>
  <c r="W33" i="65"/>
  <c r="V62" i="65"/>
  <c r="W75" i="65"/>
  <c r="H79" i="65"/>
  <c r="W47" i="65"/>
  <c r="W31" i="65"/>
  <c r="U62" i="65"/>
  <c r="W16" i="65"/>
  <c r="W65" i="65"/>
  <c r="T62" i="65"/>
  <c r="M79" i="65"/>
  <c r="K62" i="65"/>
  <c r="W52" i="65"/>
  <c r="W36" i="65"/>
  <c r="W70" i="65"/>
  <c r="W68" i="65"/>
  <c r="C79" i="65"/>
  <c r="L79" i="65"/>
  <c r="W50" i="65"/>
  <c r="W41" i="65"/>
  <c r="W34" i="65"/>
  <c r="Y57" i="65"/>
  <c r="H51" i="66"/>
  <c r="H13" i="66"/>
  <c r="H27" i="66"/>
  <c r="H35" i="66"/>
  <c r="H29" i="66"/>
  <c r="I29" i="66" s="1"/>
  <c r="H43" i="66"/>
  <c r="H17" i="66"/>
  <c r="I17" i="66" s="1"/>
  <c r="H33" i="66"/>
  <c r="I33" i="66" s="1"/>
  <c r="H23" i="66"/>
  <c r="H39" i="66"/>
  <c r="H49" i="66"/>
  <c r="I49" i="66" s="1"/>
  <c r="H25" i="66"/>
  <c r="I25" i="66" s="1"/>
  <c r="H41" i="66"/>
  <c r="I41" i="66" s="1"/>
  <c r="H15" i="66"/>
  <c r="I15" i="66" s="1"/>
  <c r="H31" i="66"/>
  <c r="H47" i="66"/>
  <c r="H21" i="66"/>
  <c r="I21" i="66" s="1"/>
  <c r="H37" i="66"/>
  <c r="I37" i="66" s="1"/>
  <c r="S62" i="65"/>
  <c r="W22" i="65"/>
  <c r="O24" i="65"/>
  <c r="W17" i="65"/>
  <c r="W19" i="65"/>
  <c r="W21" i="65"/>
  <c r="V71" i="65"/>
  <c r="K144" i="65"/>
  <c r="W20" i="65"/>
  <c r="K24" i="65"/>
  <c r="W23" i="65"/>
  <c r="Y28" i="65"/>
  <c r="W18" i="65"/>
  <c r="Y36" i="65"/>
  <c r="S77" i="65"/>
  <c r="U24" i="65"/>
  <c r="Y30" i="65"/>
  <c r="Y35" i="65"/>
  <c r="Y37" i="65"/>
  <c r="G71" i="65"/>
  <c r="T71" i="65"/>
  <c r="T79" i="65" s="1"/>
  <c r="Y70" i="65"/>
  <c r="K90" i="65"/>
  <c r="J94" i="65" s="1"/>
  <c r="J102" i="65" s="1"/>
  <c r="W27" i="65"/>
  <c r="Y39" i="65"/>
  <c r="G77" i="65"/>
  <c r="W76" i="65"/>
  <c r="Y76" i="65" s="1"/>
  <c r="K77" i="65"/>
  <c r="S24" i="65"/>
  <c r="S71" i="65"/>
  <c r="J100" i="65"/>
  <c r="K71" i="65"/>
  <c r="J132" i="65"/>
  <c r="L115" i="65" s="1"/>
  <c r="L99" i="65" s="1"/>
  <c r="Y33" i="65"/>
  <c r="G16" i="65"/>
  <c r="G24" i="65" s="1"/>
  <c r="Y42" i="65"/>
  <c r="O71" i="65"/>
  <c r="Y75" i="65"/>
  <c r="I13" i="66"/>
  <c r="I45" i="66"/>
  <c r="I23" i="66"/>
  <c r="I39" i="66"/>
  <c r="Y22" i="65"/>
  <c r="I19" i="66"/>
  <c r="I35" i="66"/>
  <c r="I51" i="66"/>
  <c r="Y32" i="65"/>
  <c r="U71" i="65"/>
  <c r="Y69" i="65"/>
  <c r="O77" i="65"/>
  <c r="I31" i="66"/>
  <c r="I47" i="66"/>
  <c r="Y38" i="65"/>
  <c r="Y40" i="65"/>
  <c r="I27" i="66"/>
  <c r="I43" i="66"/>
  <c r="U77" i="65"/>
  <c r="Y43" i="65"/>
  <c r="G12" i="66"/>
  <c r="I12" i="66" s="1"/>
  <c r="G14" i="66"/>
  <c r="I14" i="66" s="1"/>
  <c r="G16" i="66"/>
  <c r="I16" i="66" s="1"/>
  <c r="G18" i="66"/>
  <c r="I18" i="66" s="1"/>
  <c r="G20" i="66"/>
  <c r="I20" i="66" s="1"/>
  <c r="G22" i="66"/>
  <c r="I22" i="66" s="1"/>
  <c r="G24" i="66"/>
  <c r="I24" i="66" s="1"/>
  <c r="G26" i="66"/>
  <c r="I26" i="66" s="1"/>
  <c r="G28" i="66"/>
  <c r="I28" i="66" s="1"/>
  <c r="G30" i="66"/>
  <c r="I30" i="66" s="1"/>
  <c r="G32" i="66"/>
  <c r="I32" i="66" s="1"/>
  <c r="G34" i="66"/>
  <c r="I34" i="66" s="1"/>
  <c r="G36" i="66"/>
  <c r="I36" i="66" s="1"/>
  <c r="G38" i="66"/>
  <c r="I38" i="66" s="1"/>
  <c r="G40" i="66"/>
  <c r="I40" i="66" s="1"/>
  <c r="G42" i="66"/>
  <c r="I42" i="66" s="1"/>
  <c r="G44" i="66"/>
  <c r="I44" i="66" s="1"/>
  <c r="G46" i="66"/>
  <c r="I46" i="66" s="1"/>
  <c r="G48" i="66"/>
  <c r="I48" i="66" s="1"/>
  <c r="G50" i="66"/>
  <c r="I50" i="66" s="1"/>
  <c r="Y16" i="65"/>
  <c r="O56" i="65"/>
  <c r="O62" i="65" s="1"/>
  <c r="K135" i="65"/>
  <c r="Y27" i="65" l="1"/>
  <c r="Y23" i="65"/>
  <c r="O79" i="65"/>
  <c r="Y50" i="65"/>
  <c r="Y56" i="65"/>
  <c r="Y21" i="65"/>
  <c r="K79" i="65"/>
  <c r="Y19" i="65"/>
  <c r="Y58" i="65"/>
  <c r="Y47" i="65"/>
  <c r="L125" i="65"/>
  <c r="G79" i="65"/>
  <c r="Y17" i="65"/>
  <c r="Y20" i="65"/>
  <c r="Y18" i="65"/>
  <c r="Y52" i="65"/>
  <c r="Y60" i="65"/>
  <c r="L132" i="65"/>
  <c r="Y49" i="65"/>
  <c r="Y34" i="65"/>
  <c r="Y31" i="65"/>
  <c r="Y44" i="65"/>
  <c r="V79" i="65"/>
  <c r="S79" i="65"/>
  <c r="W62" i="65"/>
  <c r="W77" i="65"/>
  <c r="Y77" i="65" s="1"/>
  <c r="U79" i="65"/>
  <c r="W24" i="65"/>
  <c r="Y74" i="65"/>
  <c r="L127" i="65"/>
  <c r="L121" i="65"/>
  <c r="L131" i="65"/>
  <c r="L130" i="65"/>
  <c r="L118" i="65"/>
  <c r="L128" i="65"/>
  <c r="L92" i="65" s="1"/>
  <c r="L117" i="65"/>
  <c r="L124" i="65"/>
  <c r="L116" i="65"/>
  <c r="L123" i="65"/>
  <c r="L114" i="65"/>
  <c r="L98" i="65" s="1"/>
  <c r="L122" i="65"/>
  <c r="L119" i="65"/>
  <c r="L113" i="65"/>
  <c r="L97" i="65" s="1"/>
  <c r="L111" i="65"/>
  <c r="L126" i="65"/>
  <c r="L91" i="65" s="1"/>
  <c r="L120" i="65"/>
  <c r="L112" i="65"/>
  <c r="L129" i="65"/>
  <c r="I52" i="66"/>
  <c r="I54" i="66" s="1"/>
  <c r="I58" i="66" s="1"/>
  <c r="I60" i="66" s="1"/>
  <c r="K140" i="65"/>
  <c r="Y41" i="65"/>
  <c r="Y65" i="65"/>
  <c r="W71" i="65"/>
  <c r="Y71" i="65" s="1"/>
  <c r="L93" i="65" l="1"/>
  <c r="Y62" i="65"/>
  <c r="Y24" i="65"/>
  <c r="W79" i="65"/>
  <c r="Y79" i="65" s="1"/>
  <c r="Y81" i="65" s="1"/>
  <c r="L90" i="65"/>
  <c r="L96" i="65"/>
  <c r="L100" i="65" s="1"/>
  <c r="L89" i="65"/>
  <c r="L94" i="65" s="1"/>
  <c r="L102" i="65" s="1"/>
  <c r="K146" i="65"/>
  <c r="L140" i="65" s="1"/>
  <c r="O98" i="65" l="1"/>
  <c r="E16" i="48"/>
  <c r="O90" i="65"/>
  <c r="O99" i="65"/>
  <c r="O93" i="65"/>
  <c r="O92" i="65"/>
  <c r="O97" i="65"/>
  <c r="O91" i="65"/>
  <c r="O89" i="65"/>
  <c r="O96" i="65"/>
  <c r="L146" i="65"/>
  <c r="L137" i="65"/>
  <c r="E48" i="39" s="1"/>
  <c r="L136" i="65"/>
  <c r="E47" i="39" s="1"/>
  <c r="L138" i="65"/>
  <c r="E49" i="39" s="1"/>
  <c r="L139" i="65"/>
  <c r="E50" i="39" s="1"/>
  <c r="L142" i="65"/>
  <c r="E53" i="39" s="1"/>
  <c r="L143" i="65"/>
  <c r="E54" i="39" s="1"/>
  <c r="L144" i="65"/>
  <c r="L135" i="65"/>
  <c r="E46" i="39" s="1"/>
  <c r="O100" i="65" l="1"/>
  <c r="O94" i="65"/>
  <c r="W38" i="36"/>
  <c r="W36" i="36"/>
  <c r="W35" i="36"/>
  <c r="W27" i="36"/>
  <c r="W29" i="36"/>
  <c r="W30" i="36"/>
  <c r="W20" i="36"/>
  <c r="W21" i="36"/>
  <c r="W22" i="36"/>
  <c r="W18" i="36"/>
  <c r="L23" i="36"/>
  <c r="J23" i="36"/>
  <c r="I23" i="36"/>
  <c r="H23" i="36"/>
  <c r="E26" i="36"/>
  <c r="G16" i="36"/>
  <c r="D16" i="36"/>
  <c r="C16" i="36"/>
  <c r="G9" i="36"/>
  <c r="D9" i="36"/>
  <c r="C9" i="36"/>
  <c r="F57" i="50"/>
  <c r="A55" i="32"/>
  <c r="A56" i="32" s="1"/>
  <c r="A57" i="32" s="1"/>
  <c r="A58" i="32" s="1"/>
  <c r="A59" i="32" s="1"/>
  <c r="A60" i="32" s="1"/>
  <c r="E14" i="48"/>
  <c r="H60" i="32"/>
  <c r="H58" i="32"/>
  <c r="H56" i="32"/>
  <c r="A50" i="32"/>
  <c r="A51" i="32" s="1"/>
  <c r="A52" i="32" s="1"/>
  <c r="A53" i="32" s="1"/>
  <c r="A54" i="32" s="1"/>
  <c r="I54" i="32"/>
  <c r="H54" i="32"/>
  <c r="J53" i="32"/>
  <c r="J52" i="32"/>
  <c r="J49" i="32"/>
  <c r="J48" i="32"/>
  <c r="J47" i="32"/>
  <c r="J40" i="32"/>
  <c r="J54" i="32" s="1"/>
  <c r="J37" i="32"/>
  <c r="J34" i="32"/>
  <c r="J25" i="32"/>
  <c r="J19" i="32"/>
  <c r="J17" i="32"/>
  <c r="J16" i="32"/>
  <c r="J14" i="32"/>
  <c r="I311" i="44"/>
  <c r="H311" i="44"/>
  <c r="J310" i="44"/>
  <c r="I310" i="44"/>
  <c r="H310" i="44"/>
  <c r="I309" i="44"/>
  <c r="H309" i="44"/>
  <c r="J294" i="44"/>
  <c r="J293" i="44"/>
  <c r="J292" i="44"/>
  <c r="J291" i="44"/>
  <c r="J290" i="44"/>
  <c r="J289" i="44"/>
  <c r="J288" i="44"/>
  <c r="J287" i="44"/>
  <c r="J286" i="44"/>
  <c r="J285" i="44"/>
  <c r="J284" i="44"/>
  <c r="J283" i="44"/>
  <c r="J282" i="44"/>
  <c r="J281" i="44"/>
  <c r="J280" i="44"/>
  <c r="J279" i="44"/>
  <c r="J278" i="44"/>
  <c r="J277" i="44"/>
  <c r="J276" i="44"/>
  <c r="J275" i="44"/>
  <c r="J274" i="44"/>
  <c r="J273" i="44"/>
  <c r="J272" i="44"/>
  <c r="J271" i="44"/>
  <c r="J270" i="44"/>
  <c r="J269" i="44"/>
  <c r="J268" i="44"/>
  <c r="J267" i="44"/>
  <c r="J266" i="44"/>
  <c r="J265" i="44"/>
  <c r="J264" i="44"/>
  <c r="J263" i="44"/>
  <c r="J262" i="44"/>
  <c r="J261" i="44"/>
  <c r="J251" i="44"/>
  <c r="J247" i="44"/>
  <c r="J246" i="44"/>
  <c r="J245" i="44"/>
  <c r="J242" i="44"/>
  <c r="J234" i="44"/>
  <c r="J233" i="44"/>
  <c r="J231" i="44"/>
  <c r="J214" i="44"/>
  <c r="G213" i="44"/>
  <c r="G212" i="44"/>
  <c r="G211" i="44"/>
  <c r="G210" i="44"/>
  <c r="G209" i="44"/>
  <c r="G208" i="44"/>
  <c r="G207" i="44"/>
  <c r="G206" i="44"/>
  <c r="G205" i="44"/>
  <c r="G204" i="44"/>
  <c r="G203" i="44"/>
  <c r="G202" i="44"/>
  <c r="G201" i="44"/>
  <c r="G200" i="44"/>
  <c r="G199" i="44"/>
  <c r="G198" i="44"/>
  <c r="G197" i="44"/>
  <c r="G196" i="44"/>
  <c r="G195" i="44"/>
  <c r="G194" i="44"/>
  <c r="G193" i="44"/>
  <c r="G192" i="44"/>
  <c r="G191" i="44"/>
  <c r="G190" i="44"/>
  <c r="G189" i="44"/>
  <c r="G188" i="44"/>
  <c r="G187" i="44"/>
  <c r="G186" i="44"/>
  <c r="G185" i="44"/>
  <c r="G184" i="44"/>
  <c r="G183" i="44"/>
  <c r="G182" i="44"/>
  <c r="G181" i="44"/>
  <c r="G180" i="44"/>
  <c r="G179" i="44"/>
  <c r="G178" i="44"/>
  <c r="G177" i="44"/>
  <c r="G176" i="44"/>
  <c r="G175" i="44"/>
  <c r="G174" i="44"/>
  <c r="G173" i="44"/>
  <c r="G172" i="44"/>
  <c r="G171" i="44"/>
  <c r="G170" i="44"/>
  <c r="G169" i="44"/>
  <c r="G168" i="44"/>
  <c r="G167" i="44"/>
  <c r="G166" i="44"/>
  <c r="G165" i="44"/>
  <c r="G164" i="44"/>
  <c r="G163" i="44"/>
  <c r="G162" i="44"/>
  <c r="G161" i="44"/>
  <c r="G160" i="44"/>
  <c r="G159" i="44"/>
  <c r="G158" i="44"/>
  <c r="G157" i="44"/>
  <c r="G156" i="44"/>
  <c r="G155" i="44"/>
  <c r="G154" i="44"/>
  <c r="G153" i="44"/>
  <c r="G152" i="44"/>
  <c r="G151" i="44"/>
  <c r="G150" i="44"/>
  <c r="G149" i="44"/>
  <c r="G148" i="44"/>
  <c r="G147" i="44"/>
  <c r="G146" i="44"/>
  <c r="G145" i="44"/>
  <c r="G144" i="44"/>
  <c r="G143" i="44"/>
  <c r="G142" i="44"/>
  <c r="G141" i="44"/>
  <c r="G140" i="44"/>
  <c r="G139" i="44"/>
  <c r="G138" i="44"/>
  <c r="G137" i="44"/>
  <c r="G136" i="44"/>
  <c r="G135" i="44"/>
  <c r="G134" i="44"/>
  <c r="G133" i="44"/>
  <c r="G132" i="44"/>
  <c r="G131" i="44"/>
  <c r="G130" i="44"/>
  <c r="G129" i="44"/>
  <c r="G128" i="44"/>
  <c r="G127" i="44"/>
  <c r="G126" i="44"/>
  <c r="G125" i="44"/>
  <c r="G124" i="44"/>
  <c r="G123" i="44"/>
  <c r="G122" i="44"/>
  <c r="G121" i="44"/>
  <c r="G120" i="44"/>
  <c r="G119" i="44"/>
  <c r="G118" i="44"/>
  <c r="G117" i="44"/>
  <c r="G116" i="44"/>
  <c r="G115" i="44"/>
  <c r="G114" i="44"/>
  <c r="G113" i="44"/>
  <c r="G112" i="44"/>
  <c r="G111" i="44"/>
  <c r="G110" i="44"/>
  <c r="G109" i="44"/>
  <c r="G108" i="44"/>
  <c r="G107" i="44"/>
  <c r="G106" i="44"/>
  <c r="G105" i="44"/>
  <c r="G104" i="44"/>
  <c r="G103" i="44"/>
  <c r="G102" i="44"/>
  <c r="G101" i="44"/>
  <c r="G100" i="44"/>
  <c r="G99" i="44"/>
  <c r="G98" i="44"/>
  <c r="G97" i="44"/>
  <c r="G96" i="44"/>
  <c r="G95" i="44"/>
  <c r="G94" i="44"/>
  <c r="G93" i="44"/>
  <c r="J92" i="44"/>
  <c r="G92" i="44"/>
  <c r="G91" i="44"/>
  <c r="G90" i="44"/>
  <c r="G89" i="44"/>
  <c r="G88" i="44"/>
  <c r="G87" i="44"/>
  <c r="G86" i="44"/>
  <c r="G85" i="44"/>
  <c r="G84" i="44"/>
  <c r="G83" i="44"/>
  <c r="G82" i="44"/>
  <c r="G81" i="44"/>
  <c r="G80" i="44"/>
  <c r="G79" i="44"/>
  <c r="G78" i="44"/>
  <c r="G77" i="44"/>
  <c r="G76" i="44"/>
  <c r="G75" i="44"/>
  <c r="G74" i="44"/>
  <c r="G73" i="44"/>
  <c r="G72" i="44"/>
  <c r="G71" i="44"/>
  <c r="G70" i="44"/>
  <c r="G69" i="44"/>
  <c r="G68" i="44"/>
  <c r="G67" i="44"/>
  <c r="G66" i="44"/>
  <c r="G65" i="44"/>
  <c r="G64" i="44"/>
  <c r="G63" i="44"/>
  <c r="G62" i="44"/>
  <c r="G61" i="44"/>
  <c r="G60" i="44"/>
  <c r="G59" i="44"/>
  <c r="G58" i="44"/>
  <c r="G57" i="44"/>
  <c r="G56" i="44"/>
  <c r="G55" i="44"/>
  <c r="G54" i="44"/>
  <c r="G53" i="44"/>
  <c r="G52" i="44"/>
  <c r="G51" i="44"/>
  <c r="G50" i="44"/>
  <c r="J49" i="44"/>
  <c r="G49" i="44"/>
  <c r="G48" i="44"/>
  <c r="G47" i="44"/>
  <c r="G46" i="44"/>
  <c r="J45" i="44"/>
  <c r="G45" i="44"/>
  <c r="G44" i="44"/>
  <c r="G43" i="44"/>
  <c r="G42" i="44"/>
  <c r="G41" i="44"/>
  <c r="J40" i="44"/>
  <c r="G40" i="44"/>
  <c r="G39" i="44"/>
  <c r="G38" i="44"/>
  <c r="G37" i="44"/>
  <c r="G36" i="44"/>
  <c r="G35" i="44"/>
  <c r="J34" i="44"/>
  <c r="G34" i="44"/>
  <c r="G33" i="44"/>
  <c r="G32" i="44"/>
  <c r="G31" i="44"/>
  <c r="G30" i="44"/>
  <c r="G29" i="44"/>
  <c r="G28" i="44"/>
  <c r="J27" i="44"/>
  <c r="G27" i="44"/>
  <c r="G26" i="44"/>
  <c r="G25" i="44"/>
  <c r="G24" i="44"/>
  <c r="G23" i="44"/>
  <c r="G22" i="44"/>
  <c r="G21" i="44"/>
  <c r="G20" i="44"/>
  <c r="J19" i="44"/>
  <c r="G19" i="44"/>
  <c r="G18" i="44"/>
  <c r="G17" i="44"/>
  <c r="G16" i="44"/>
  <c r="G15" i="44"/>
  <c r="G14" i="44"/>
  <c r="G13" i="44"/>
  <c r="J12" i="44"/>
  <c r="G12" i="44"/>
  <c r="G11" i="44"/>
  <c r="G10" i="44"/>
  <c r="O102" i="65" l="1"/>
  <c r="H312" i="44"/>
  <c r="J311" i="44"/>
  <c r="I312" i="44"/>
  <c r="J309" i="44"/>
  <c r="J312" i="44" s="1"/>
  <c r="M23" i="36"/>
  <c r="E12" i="48"/>
  <c r="E11" i="48"/>
  <c r="D11" i="48"/>
  <c r="E8" i="48"/>
  <c r="D15" i="51" s="1"/>
  <c r="D8" i="48"/>
  <c r="E7" i="48"/>
  <c r="D7" i="48"/>
  <c r="D10" i="51"/>
  <c r="H316" i="44" l="1"/>
  <c r="H314" i="44"/>
  <c r="T6" i="36"/>
  <c r="S6" i="36"/>
  <c r="R6" i="36"/>
  <c r="Q6" i="36"/>
  <c r="P6" i="36"/>
  <c r="M6" i="36"/>
  <c r="L6" i="36"/>
  <c r="K6" i="36"/>
  <c r="J6" i="36"/>
  <c r="I6" i="36"/>
  <c r="H6" i="36"/>
  <c r="G6" i="36"/>
  <c r="E6" i="36"/>
  <c r="D6" i="36"/>
  <c r="C6" i="36"/>
  <c r="H318" i="44" l="1"/>
  <c r="E15" i="48" s="1"/>
  <c r="K23" i="36" s="1"/>
  <c r="G54" i="51"/>
  <c r="A12" i="31" l="1"/>
  <c r="A13" i="31" s="1"/>
  <c r="A14" i="31" s="1"/>
  <c r="A15" i="31" s="1"/>
  <c r="E11" i="31"/>
  <c r="A4" i="31"/>
  <c r="A6" i="31"/>
  <c r="A4" i="26"/>
  <c r="A13" i="28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6" i="28"/>
  <c r="A4" i="28"/>
  <c r="A7" i="33"/>
  <c r="A5" i="33"/>
  <c r="A6" i="39"/>
  <c r="A4" i="39"/>
  <c r="A7" i="17"/>
  <c r="A5" i="17"/>
  <c r="A7" i="6"/>
  <c r="A5" i="6"/>
  <c r="E47" i="51" l="1"/>
  <c r="G47" i="51" s="1"/>
  <c r="E42" i="51"/>
  <c r="C48" i="51"/>
  <c r="E38" i="51"/>
  <c r="E36" i="51"/>
  <c r="E35" i="51"/>
  <c r="E34" i="51"/>
  <c r="E28" i="51"/>
  <c r="E27" i="51"/>
  <c r="E26" i="51"/>
  <c r="E25" i="51"/>
  <c r="C22" i="51"/>
  <c r="C30" i="51" s="1"/>
  <c r="E20" i="51"/>
  <c r="E19" i="51"/>
  <c r="E18" i="51"/>
  <c r="E17" i="51"/>
  <c r="E16" i="51"/>
  <c r="E15" i="51"/>
  <c r="C12" i="51"/>
  <c r="E11" i="51"/>
  <c r="D12" i="51"/>
  <c r="A10" i="5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C8" i="51"/>
  <c r="D8" i="51" s="1"/>
  <c r="F19" i="51" l="1"/>
  <c r="F11" i="51"/>
  <c r="F15" i="51"/>
  <c r="F38" i="51"/>
  <c r="F25" i="51"/>
  <c r="F16" i="51"/>
  <c r="F28" i="51"/>
  <c r="F35" i="51"/>
  <c r="F20" i="51"/>
  <c r="F36" i="51"/>
  <c r="F26" i="51"/>
  <c r="F27" i="51"/>
  <c r="F17" i="51"/>
  <c r="F18" i="51"/>
  <c r="F34" i="51"/>
  <c r="G26" i="51"/>
  <c r="G36" i="51"/>
  <c r="G35" i="51"/>
  <c r="G20" i="51"/>
  <c r="G11" i="51"/>
  <c r="G38" i="51"/>
  <c r="G42" i="51"/>
  <c r="G16" i="51"/>
  <c r="G25" i="51"/>
  <c r="G19" i="51"/>
  <c r="G27" i="51"/>
  <c r="G28" i="51"/>
  <c r="G18" i="51"/>
  <c r="G34" i="51"/>
  <c r="G15" i="51"/>
  <c r="G17" i="51"/>
  <c r="C49" i="51"/>
  <c r="C32" i="51"/>
  <c r="F42" i="51"/>
  <c r="E10" i="51"/>
  <c r="G10" i="51" l="1"/>
  <c r="G12" i="51" s="1"/>
  <c r="C40" i="51"/>
  <c r="C43" i="51"/>
  <c r="E12" i="51"/>
  <c r="C45" i="51" l="1"/>
  <c r="C44" i="51"/>
  <c r="C50" i="51"/>
  <c r="F62" i="50"/>
  <c r="F61" i="50"/>
  <c r="F58" i="50"/>
  <c r="F56" i="50"/>
  <c r="F55" i="50"/>
  <c r="F54" i="50"/>
  <c r="F52" i="50"/>
  <c r="F49" i="50"/>
  <c r="F48" i="50"/>
  <c r="F47" i="50"/>
  <c r="F46" i="50"/>
  <c r="F45" i="50"/>
  <c r="F42" i="50"/>
  <c r="F41" i="50"/>
  <c r="F40" i="50"/>
  <c r="F39" i="50"/>
  <c r="F38" i="50"/>
  <c r="F33" i="50"/>
  <c r="F32" i="50"/>
  <c r="F29" i="50"/>
  <c r="F28" i="50"/>
  <c r="F27" i="50"/>
  <c r="F26" i="50"/>
  <c r="F25" i="50"/>
  <c r="F24" i="50"/>
  <c r="F23" i="50"/>
  <c r="F22" i="50"/>
  <c r="F21" i="50"/>
  <c r="F20" i="50"/>
  <c r="F17" i="50"/>
  <c r="F16" i="50"/>
  <c r="F15" i="50"/>
  <c r="F14" i="50"/>
  <c r="F11" i="50"/>
  <c r="F9" i="50"/>
  <c r="F8" i="50"/>
  <c r="E59" i="50"/>
  <c r="E50" i="50"/>
  <c r="E43" i="50"/>
  <c r="E30" i="50"/>
  <c r="E18" i="50"/>
  <c r="E12" i="50"/>
  <c r="D59" i="50"/>
  <c r="D50" i="50"/>
  <c r="D43" i="50"/>
  <c r="D30" i="50"/>
  <c r="D18" i="50"/>
  <c r="E35" i="50" l="1"/>
  <c r="E63" i="50"/>
  <c r="D63" i="50"/>
  <c r="F59" i="50"/>
  <c r="F50" i="50"/>
  <c r="F43" i="50"/>
  <c r="F30" i="50"/>
  <c r="F18" i="50"/>
  <c r="D10" i="50"/>
  <c r="D12" i="50" l="1"/>
  <c r="D35" i="50" s="1"/>
  <c r="F10" i="50"/>
  <c r="F12" i="50" s="1"/>
  <c r="F35" i="50" s="1"/>
  <c r="F63" i="50"/>
  <c r="A8" i="50" l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D6" i="50"/>
  <c r="E6" i="50" s="1"/>
  <c r="A57" i="50" l="1"/>
  <c r="A58" i="50" s="1"/>
  <c r="A59" i="50" s="1"/>
  <c r="A60" i="50" s="1"/>
  <c r="A61" i="50" s="1"/>
  <c r="A62" i="50" s="1"/>
  <c r="A63" i="50" s="1"/>
  <c r="A64" i="50" s="1"/>
  <c r="D5" i="48" l="1"/>
  <c r="E5" i="48" s="1"/>
  <c r="F5" i="48" s="1"/>
  <c r="G5" i="48" s="1"/>
  <c r="B24" i="48"/>
  <c r="B23" i="48"/>
  <c r="B22" i="48"/>
  <c r="B21" i="48"/>
  <c r="B20" i="48"/>
  <c r="B17" i="48"/>
  <c r="B16" i="48"/>
  <c r="B15" i="48"/>
  <c r="B14" i="48"/>
  <c r="B13" i="48"/>
  <c r="B12" i="48"/>
  <c r="B11" i="48"/>
  <c r="B9" i="48"/>
  <c r="B8" i="48"/>
  <c r="B7" i="48"/>
  <c r="H16" i="26" l="1"/>
  <c r="U38" i="36" l="1"/>
  <c r="U36" i="36"/>
  <c r="U35" i="36"/>
  <c r="U30" i="36"/>
  <c r="U29" i="36"/>
  <c r="U22" i="36"/>
  <c r="U15" i="36"/>
  <c r="U9" i="36"/>
  <c r="T43" i="36" l="1"/>
  <c r="T39" i="36"/>
  <c r="T24" i="36"/>
  <c r="T31" i="36" s="1"/>
  <c r="G24" i="48" s="1"/>
  <c r="T44" i="36" l="1"/>
  <c r="T45" i="36" s="1"/>
  <c r="T33" i="36"/>
  <c r="T41" i="36" s="1"/>
  <c r="A12" i="32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T46" i="36" l="1"/>
  <c r="G37" i="39" l="1"/>
  <c r="U27" i="36" l="1"/>
  <c r="E55" i="39"/>
  <c r="E51" i="39"/>
  <c r="H37" i="39"/>
  <c r="J37" i="39" s="1"/>
  <c r="F53" i="39" s="1"/>
  <c r="I33" i="39"/>
  <c r="F33" i="39"/>
  <c r="E33" i="39"/>
  <c r="H13" i="39"/>
  <c r="J13" i="39" s="1"/>
  <c r="H14" i="39"/>
  <c r="J14" i="39" s="1"/>
  <c r="H15" i="39"/>
  <c r="J15" i="39" s="1"/>
  <c r="H16" i="39"/>
  <c r="J16" i="39" s="1"/>
  <c r="H17" i="39"/>
  <c r="J17" i="39" s="1"/>
  <c r="H18" i="39"/>
  <c r="J18" i="39" s="1"/>
  <c r="H19" i="39"/>
  <c r="J19" i="39" s="1"/>
  <c r="H20" i="39"/>
  <c r="J20" i="39" s="1"/>
  <c r="H12" i="39"/>
  <c r="J12" i="39" s="1"/>
  <c r="H26" i="39"/>
  <c r="J26" i="39" s="1"/>
  <c r="H27" i="39"/>
  <c r="J27" i="39" s="1"/>
  <c r="H28" i="39"/>
  <c r="J28" i="39" s="1"/>
  <c r="H29" i="39"/>
  <c r="J29" i="39" s="1"/>
  <c r="H30" i="39"/>
  <c r="J30" i="39" s="1"/>
  <c r="H31" i="39"/>
  <c r="J31" i="39" s="1"/>
  <c r="H32" i="39"/>
  <c r="J32" i="39" s="1"/>
  <c r="H25" i="39"/>
  <c r="J25" i="39" s="1"/>
  <c r="F21" i="39"/>
  <c r="I21" i="39"/>
  <c r="I34" i="39" s="1"/>
  <c r="I39" i="39" s="1"/>
  <c r="E21" i="39"/>
  <c r="A12" i="39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5" i="39" s="1"/>
  <c r="A36" i="39" s="1"/>
  <c r="A37" i="39" s="1"/>
  <c r="A38" i="39" s="1"/>
  <c r="A39" i="39" s="1"/>
  <c r="E57" i="39" l="1"/>
  <c r="E34" i="39"/>
  <c r="E39" i="39" s="1"/>
  <c r="F34" i="39"/>
  <c r="F39" i="39" s="1"/>
  <c r="F47" i="39"/>
  <c r="F46" i="39"/>
  <c r="F54" i="39"/>
  <c r="F55" i="39" s="1"/>
  <c r="F49" i="39"/>
  <c r="F48" i="39"/>
  <c r="F50" i="39"/>
  <c r="J33" i="39"/>
  <c r="J34" i="39" s="1"/>
  <c r="H33" i="39"/>
  <c r="H34" i="39" s="1"/>
  <c r="H39" i="39" s="1"/>
  <c r="J21" i="39"/>
  <c r="H21" i="39"/>
  <c r="F51" i="39" l="1"/>
  <c r="F57" i="39" s="1"/>
  <c r="J39" i="39"/>
  <c r="E9" i="48" s="1"/>
  <c r="D24" i="51" s="1"/>
  <c r="U26" i="36"/>
  <c r="W26" i="36" s="1"/>
  <c r="E24" i="51" l="1"/>
  <c r="F24" i="51" l="1"/>
  <c r="G24" i="51"/>
  <c r="U28" i="36"/>
  <c r="W28" i="36" s="1"/>
  <c r="A12" i="28" l="1"/>
  <c r="A13" i="26"/>
  <c r="A14" i="26" s="1"/>
  <c r="A15" i="26" s="1"/>
  <c r="A16" i="26" s="1"/>
  <c r="A17" i="26" s="1"/>
  <c r="A18" i="26" s="1"/>
  <c r="A19" i="26" s="1"/>
  <c r="A20" i="26" s="1"/>
  <c r="U21" i="36" l="1"/>
  <c r="U20" i="36"/>
  <c r="A11" i="44" l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s="1"/>
  <c r="A112" i="44" s="1"/>
  <c r="A113" i="44" s="1"/>
  <c r="A114" i="44" s="1"/>
  <c r="A115" i="44" s="1"/>
  <c r="A116" i="44" s="1"/>
  <c r="A117" i="44" s="1"/>
  <c r="A118" i="44" s="1"/>
  <c r="A119" i="44" s="1"/>
  <c r="A120" i="44" s="1"/>
  <c r="A121" i="44" s="1"/>
  <c r="A122" i="44" s="1"/>
  <c r="A123" i="44" s="1"/>
  <c r="A124" i="44" s="1"/>
  <c r="A125" i="44" s="1"/>
  <c r="A126" i="44" s="1"/>
  <c r="A127" i="44" s="1"/>
  <c r="A128" i="44" s="1"/>
  <c r="A129" i="44" s="1"/>
  <c r="A130" i="44" s="1"/>
  <c r="A131" i="44" s="1"/>
  <c r="A132" i="44" s="1"/>
  <c r="A133" i="44" s="1"/>
  <c r="A134" i="44" s="1"/>
  <c r="A135" i="44" s="1"/>
  <c r="A136" i="44" s="1"/>
  <c r="A137" i="44" s="1"/>
  <c r="A138" i="44" s="1"/>
  <c r="A139" i="44" s="1"/>
  <c r="A140" i="44" s="1"/>
  <c r="A141" i="44" s="1"/>
  <c r="A142" i="44" s="1"/>
  <c r="A143" i="44" s="1"/>
  <c r="A144" i="44" s="1"/>
  <c r="A145" i="44" s="1"/>
  <c r="A146" i="44" s="1"/>
  <c r="A147" i="44" s="1"/>
  <c r="A148" i="44" s="1"/>
  <c r="A149" i="44" s="1"/>
  <c r="A150" i="44" s="1"/>
  <c r="A151" i="44" s="1"/>
  <c r="A152" i="44" s="1"/>
  <c r="A153" i="44" s="1"/>
  <c r="A154" i="44" s="1"/>
  <c r="A155" i="44" s="1"/>
  <c r="A156" i="44" s="1"/>
  <c r="A157" i="44" s="1"/>
  <c r="A158" i="44" s="1"/>
  <c r="A159" i="44" s="1"/>
  <c r="A160" i="44" s="1"/>
  <c r="A161" i="44" s="1"/>
  <c r="A162" i="44" s="1"/>
  <c r="A163" i="44" s="1"/>
  <c r="A164" i="44" s="1"/>
  <c r="A165" i="44" s="1"/>
  <c r="A166" i="44" s="1"/>
  <c r="A167" i="44" s="1"/>
  <c r="A168" i="44" s="1"/>
  <c r="A169" i="44" s="1"/>
  <c r="A170" i="44" s="1"/>
  <c r="A171" i="44" s="1"/>
  <c r="A172" i="44" s="1"/>
  <c r="A173" i="44" s="1"/>
  <c r="A174" i="44" s="1"/>
  <c r="A175" i="44" s="1"/>
  <c r="A176" i="44" s="1"/>
  <c r="A177" i="44" s="1"/>
  <c r="A178" i="44" s="1"/>
  <c r="A179" i="44" s="1"/>
  <c r="A180" i="44" s="1"/>
  <c r="A181" i="44" s="1"/>
  <c r="A182" i="44" s="1"/>
  <c r="A183" i="44" s="1"/>
  <c r="A184" i="44" s="1"/>
  <c r="A185" i="44" s="1"/>
  <c r="A186" i="44" s="1"/>
  <c r="A187" i="44" s="1"/>
  <c r="A188" i="44" s="1"/>
  <c r="A189" i="44" s="1"/>
  <c r="A190" i="44" s="1"/>
  <c r="A191" i="44" s="1"/>
  <c r="A192" i="44" s="1"/>
  <c r="A193" i="44" s="1"/>
  <c r="A194" i="44" s="1"/>
  <c r="A195" i="44" s="1"/>
  <c r="A196" i="44" s="1"/>
  <c r="A197" i="44" s="1"/>
  <c r="A198" i="44" s="1"/>
  <c r="A199" i="44" s="1"/>
  <c r="A200" i="44" s="1"/>
  <c r="A201" i="44" s="1"/>
  <c r="A202" i="44" s="1"/>
  <c r="A203" i="44" s="1"/>
  <c r="A204" i="44" s="1"/>
  <c r="A205" i="44" s="1"/>
  <c r="A206" i="44" s="1"/>
  <c r="A207" i="44" s="1"/>
  <c r="A208" i="44" s="1"/>
  <c r="A209" i="44" s="1"/>
  <c r="A210" i="44" s="1"/>
  <c r="A211" i="44" s="1"/>
  <c r="A212" i="44" s="1"/>
  <c r="A213" i="44" s="1"/>
  <c r="A214" i="44" s="1"/>
  <c r="A215" i="44" s="1"/>
  <c r="A216" i="44" s="1"/>
  <c r="A217" i="44" s="1"/>
  <c r="A218" i="44" s="1"/>
  <c r="A219" i="44" s="1"/>
  <c r="A220" i="44" s="1"/>
  <c r="A221" i="44" s="1"/>
  <c r="A222" i="44" s="1"/>
  <c r="A223" i="44" s="1"/>
  <c r="A224" i="44" s="1"/>
  <c r="A225" i="44" s="1"/>
  <c r="A226" i="44" s="1"/>
  <c r="A227" i="44" s="1"/>
  <c r="A228" i="44" s="1"/>
  <c r="A229" i="44" s="1"/>
  <c r="A230" i="44" s="1"/>
  <c r="A231" i="44" s="1"/>
  <c r="A232" i="44" s="1"/>
  <c r="A233" i="44" s="1"/>
  <c r="A234" i="44" s="1"/>
  <c r="A235" i="44" s="1"/>
  <c r="A236" i="44" s="1"/>
  <c r="A237" i="44" s="1"/>
  <c r="A238" i="44" s="1"/>
  <c r="A239" i="44" s="1"/>
  <c r="A240" i="44" s="1"/>
  <c r="A241" i="44" s="1"/>
  <c r="A242" i="44" s="1"/>
  <c r="A243" i="44" s="1"/>
  <c r="A244" i="44" s="1"/>
  <c r="A245" i="44" s="1"/>
  <c r="A246" i="44" s="1"/>
  <c r="A247" i="44" s="1"/>
  <c r="A248" i="44" s="1"/>
  <c r="A249" i="44" s="1"/>
  <c r="A250" i="44" s="1"/>
  <c r="A251" i="44" s="1"/>
  <c r="A252" i="44" s="1"/>
  <c r="A253" i="44" s="1"/>
  <c r="A254" i="44" s="1"/>
  <c r="A255" i="44" s="1"/>
  <c r="A256" i="44" s="1"/>
  <c r="A257" i="44" s="1"/>
  <c r="A258" i="44" s="1"/>
  <c r="A259" i="44" s="1"/>
  <c r="A260" i="44" s="1"/>
  <c r="A261" i="44" s="1"/>
  <c r="A262" i="44" s="1"/>
  <c r="A263" i="44" s="1"/>
  <c r="A264" i="44" s="1"/>
  <c r="A265" i="44" s="1"/>
  <c r="A266" i="44" s="1"/>
  <c r="A267" i="44" s="1"/>
  <c r="A268" i="44" s="1"/>
  <c r="A269" i="44" s="1"/>
  <c r="A270" i="44" s="1"/>
  <c r="A271" i="44" s="1"/>
  <c r="A272" i="44" s="1"/>
  <c r="A273" i="44" s="1"/>
  <c r="A274" i="44" s="1"/>
  <c r="A275" i="44" s="1"/>
  <c r="A276" i="44" s="1"/>
  <c r="A277" i="44" s="1"/>
  <c r="A278" i="44" s="1"/>
  <c r="A279" i="44" s="1"/>
  <c r="A280" i="44" s="1"/>
  <c r="A281" i="44" s="1"/>
  <c r="A282" i="44" s="1"/>
  <c r="A283" i="44" s="1"/>
  <c r="A284" i="44" s="1"/>
  <c r="A285" i="44" s="1"/>
  <c r="A286" i="44" s="1"/>
  <c r="A287" i="44" s="1"/>
  <c r="A288" i="44" s="1"/>
  <c r="A289" i="44" s="1"/>
  <c r="A290" i="44" s="1"/>
  <c r="A291" i="44" s="1"/>
  <c r="A292" i="44" s="1"/>
  <c r="A293" i="44" s="1"/>
  <c r="A294" i="44" s="1"/>
  <c r="A295" i="44" s="1"/>
  <c r="A296" i="44" s="1"/>
  <c r="A297" i="44" s="1"/>
  <c r="A298" i="44" s="1"/>
  <c r="A299" i="44" s="1"/>
  <c r="A300" i="44" s="1"/>
  <c r="A301" i="44" s="1"/>
  <c r="A302" i="44" s="1"/>
  <c r="A303" i="44" s="1"/>
  <c r="A304" i="44" s="1"/>
  <c r="A305" i="44" s="1"/>
  <c r="A306" i="44" s="1"/>
  <c r="A307" i="44" s="1"/>
  <c r="A308" i="44" s="1"/>
  <c r="A309" i="44" s="1"/>
  <c r="A310" i="44" s="1"/>
  <c r="A311" i="44" s="1"/>
  <c r="A312" i="44" s="1"/>
  <c r="A313" i="44" s="1"/>
  <c r="A314" i="44" s="1"/>
  <c r="A315" i="44" s="1"/>
  <c r="A316" i="44" s="1"/>
  <c r="A317" i="44" s="1"/>
  <c r="A318" i="44" s="1"/>
  <c r="U18" i="36" l="1"/>
  <c r="E15" i="28" l="1"/>
  <c r="R39" i="36" l="1"/>
  <c r="S39" i="36"/>
  <c r="Q39" i="36"/>
  <c r="P39" i="36"/>
  <c r="N39" i="36"/>
  <c r="M39" i="36"/>
  <c r="L39" i="36"/>
  <c r="K39" i="36"/>
  <c r="J39" i="36"/>
  <c r="I39" i="36"/>
  <c r="H39" i="36"/>
  <c r="G39" i="36"/>
  <c r="E39" i="36"/>
  <c r="D39" i="36"/>
  <c r="C39" i="36"/>
  <c r="P24" i="36"/>
  <c r="P31" i="36" s="1"/>
  <c r="O24" i="36"/>
  <c r="O31" i="36" s="1"/>
  <c r="L24" i="36"/>
  <c r="L31" i="36" s="1"/>
  <c r="K24" i="36"/>
  <c r="K31" i="36" s="1"/>
  <c r="H24" i="36"/>
  <c r="H31" i="36" s="1"/>
  <c r="G24" i="36"/>
  <c r="G31" i="36" s="1"/>
  <c r="F24" i="36"/>
  <c r="F31" i="36" s="1"/>
  <c r="E24" i="36"/>
  <c r="E31" i="36" s="1"/>
  <c r="D24" i="36"/>
  <c r="D31" i="36" s="1"/>
  <c r="C24" i="36"/>
  <c r="C31" i="36" s="1"/>
  <c r="P12" i="36"/>
  <c r="O12" i="36"/>
  <c r="N12" i="36"/>
  <c r="M12" i="36"/>
  <c r="L12" i="36"/>
  <c r="K12" i="36"/>
  <c r="J12" i="36"/>
  <c r="I12" i="36"/>
  <c r="H12" i="36"/>
  <c r="G12" i="36"/>
  <c r="F12" i="36"/>
  <c r="E12" i="36"/>
  <c r="D12" i="36"/>
  <c r="C12" i="36"/>
  <c r="A8" i="36"/>
  <c r="A9" i="36" s="1"/>
  <c r="A10" i="36" s="1"/>
  <c r="A11" i="36" s="1"/>
  <c r="A12" i="36" s="1"/>
  <c r="A13" i="36" s="1"/>
  <c r="A14" i="36" s="1"/>
  <c r="G43" i="36" l="1"/>
  <c r="K43" i="36"/>
  <c r="D43" i="36"/>
  <c r="H43" i="36"/>
  <c r="L43" i="36"/>
  <c r="E43" i="36"/>
  <c r="I43" i="36"/>
  <c r="M43" i="36"/>
  <c r="P44" i="36"/>
  <c r="C43" i="36"/>
  <c r="O43" i="36"/>
  <c r="F43" i="36"/>
  <c r="J43" i="36"/>
  <c r="N43" i="36"/>
  <c r="G20" i="48"/>
  <c r="C44" i="36"/>
  <c r="G44" i="36"/>
  <c r="G45" i="36" s="1"/>
  <c r="G11" i="48"/>
  <c r="D44" i="36"/>
  <c r="H44" i="36"/>
  <c r="H45" i="36" s="1"/>
  <c r="E44" i="36"/>
  <c r="E45" i="36" s="1"/>
  <c r="K44" i="36"/>
  <c r="L44" i="36"/>
  <c r="L45" i="36" s="1"/>
  <c r="G16" i="48"/>
  <c r="P43" i="36"/>
  <c r="D33" i="36"/>
  <c r="D41" i="36" s="1"/>
  <c r="H33" i="36"/>
  <c r="H41" i="36" s="1"/>
  <c r="L33" i="36"/>
  <c r="L41" i="36" s="1"/>
  <c r="P33" i="36"/>
  <c r="P41" i="36" s="1"/>
  <c r="E33" i="36"/>
  <c r="E41" i="36" s="1"/>
  <c r="A15" i="36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C33" i="36"/>
  <c r="G33" i="36"/>
  <c r="G41" i="36" s="1"/>
  <c r="K33" i="36"/>
  <c r="K41" i="36" s="1"/>
  <c r="O33" i="36"/>
  <c r="F33" i="36"/>
  <c r="K45" i="36" l="1"/>
  <c r="G9" i="48"/>
  <c r="G8" i="48"/>
  <c r="D45" i="36"/>
  <c r="D46" i="36" s="1"/>
  <c r="C45" i="36"/>
  <c r="G46" i="36"/>
  <c r="G15" i="48"/>
  <c r="G12" i="48"/>
  <c r="C41" i="36"/>
  <c r="H46" i="36"/>
  <c r="L46" i="36"/>
  <c r="G7" i="48"/>
  <c r="P45" i="36"/>
  <c r="P46" i="36" s="1"/>
  <c r="K46" i="36"/>
  <c r="E46" i="36"/>
  <c r="A34" i="36"/>
  <c r="A35" i="36" s="1"/>
  <c r="A36" i="36" s="1"/>
  <c r="A37" i="36" s="1"/>
  <c r="A38" i="36" s="1"/>
  <c r="A39" i="36" s="1"/>
  <c r="A40" i="36" s="1"/>
  <c r="A41" i="36" s="1"/>
  <c r="C46" i="36" l="1"/>
  <c r="I44" i="33"/>
  <c r="G56" i="33"/>
  <c r="F39" i="33" s="1"/>
  <c r="G35" i="33"/>
  <c r="H35" i="33"/>
  <c r="F35" i="33"/>
  <c r="G39" i="33" l="1"/>
  <c r="H39" i="33" l="1"/>
  <c r="G25" i="33" l="1"/>
  <c r="G27" i="33" s="1"/>
  <c r="H25" i="33"/>
  <c r="H27" i="33" s="1"/>
  <c r="F25" i="33"/>
  <c r="F27" i="33" s="1"/>
  <c r="F30" i="33" l="1"/>
  <c r="F31" i="33" s="1"/>
  <c r="F40" i="33" s="1"/>
  <c r="H30" i="33"/>
  <c r="H31" i="33" s="1"/>
  <c r="G30" i="33"/>
  <c r="G31" i="33" s="1"/>
  <c r="H40" i="33" l="1"/>
  <c r="H36" i="33"/>
  <c r="G36" i="33"/>
  <c r="G40" i="33"/>
  <c r="I31" i="33"/>
  <c r="F36" i="33"/>
  <c r="E17" i="28"/>
  <c r="E19" i="28" s="1"/>
  <c r="E23" i="28" s="1"/>
  <c r="E25" i="28" s="1"/>
  <c r="M24" i="36" l="1"/>
  <c r="M31" i="36" s="1"/>
  <c r="G17" i="48" s="1"/>
  <c r="I40" i="33"/>
  <c r="G46" i="33" s="1"/>
  <c r="G48" i="33" s="1"/>
  <c r="U16" i="36" s="1"/>
  <c r="W16" i="36" s="1"/>
  <c r="I36" i="33"/>
  <c r="F46" i="33" s="1"/>
  <c r="J24" i="36"/>
  <c r="J31" i="36" s="1"/>
  <c r="G14" i="48" s="1"/>
  <c r="E15" i="31"/>
  <c r="F10" i="48" s="1"/>
  <c r="H20" i="26"/>
  <c r="E13" i="48" s="1"/>
  <c r="D21" i="51" s="1"/>
  <c r="W19" i="36"/>
  <c r="F37" i="36" l="1"/>
  <c r="F39" i="36" s="1"/>
  <c r="D37" i="51"/>
  <c r="E37" i="51" s="1"/>
  <c r="E21" i="51"/>
  <c r="D22" i="51"/>
  <c r="D30" i="51" s="1"/>
  <c r="U23" i="36"/>
  <c r="W23" i="36" s="1"/>
  <c r="F48" i="33"/>
  <c r="U11" i="36" s="1"/>
  <c r="I46" i="33"/>
  <c r="I48" i="33" s="1"/>
  <c r="S24" i="36"/>
  <c r="S31" i="36" s="1"/>
  <c r="N24" i="36"/>
  <c r="N31" i="36" s="1"/>
  <c r="G10" i="48" s="1"/>
  <c r="M33" i="36"/>
  <c r="M41" i="36" s="1"/>
  <c r="M44" i="36"/>
  <c r="M45" i="36" s="1"/>
  <c r="J44" i="36"/>
  <c r="J45" i="36" s="1"/>
  <c r="J33" i="36"/>
  <c r="J41" i="36" s="1"/>
  <c r="U37" i="36"/>
  <c r="W37" i="36" s="1"/>
  <c r="I24" i="36"/>
  <c r="F21" i="51" l="1"/>
  <c r="F37" i="51"/>
  <c r="F48" i="51" s="1"/>
  <c r="G21" i="51"/>
  <c r="G22" i="51" s="1"/>
  <c r="G30" i="51" s="1"/>
  <c r="G37" i="51"/>
  <c r="G48" i="51" s="1"/>
  <c r="E48" i="51"/>
  <c r="F44" i="36"/>
  <c r="F45" i="36" s="1"/>
  <c r="F41" i="36"/>
  <c r="D32" i="51"/>
  <c r="E22" i="51"/>
  <c r="E30" i="51" s="1"/>
  <c r="S44" i="36"/>
  <c r="I31" i="36"/>
  <c r="S12" i="36"/>
  <c r="N44" i="36"/>
  <c r="N45" i="36" s="1"/>
  <c r="N33" i="36"/>
  <c r="N41" i="36" s="1"/>
  <c r="M46" i="36"/>
  <c r="J46" i="36"/>
  <c r="O39" i="36"/>
  <c r="O44" i="36" s="1"/>
  <c r="G49" i="51" l="1"/>
  <c r="F46" i="36"/>
  <c r="G32" i="51"/>
  <c r="G40" i="51" s="1"/>
  <c r="G50" i="51" s="1"/>
  <c r="E49" i="51"/>
  <c r="E32" i="51"/>
  <c r="F22" i="51"/>
  <c r="F30" i="51" s="1"/>
  <c r="F49" i="51" s="1"/>
  <c r="D40" i="51"/>
  <c r="G23" i="48"/>
  <c r="U39" i="36"/>
  <c r="I44" i="36"/>
  <c r="I33" i="36"/>
  <c r="S43" i="36"/>
  <c r="S45" i="36" s="1"/>
  <c r="S33" i="36"/>
  <c r="S41" i="36" s="1"/>
  <c r="N46" i="36"/>
  <c r="O41" i="36"/>
  <c r="O45" i="36"/>
  <c r="G43" i="51" l="1"/>
  <c r="G51" i="51" s="1"/>
  <c r="G44" i="51"/>
  <c r="G45" i="51"/>
  <c r="E40" i="51"/>
  <c r="E43" i="51"/>
  <c r="F25" i="48"/>
  <c r="F27" i="48" s="1"/>
  <c r="G13" i="48"/>
  <c r="I45" i="36"/>
  <c r="I41" i="36"/>
  <c r="S46" i="36"/>
  <c r="O46" i="36"/>
  <c r="E44" i="51" l="1"/>
  <c r="E45" i="51"/>
  <c r="E50" i="51"/>
  <c r="F54" i="51" s="1"/>
  <c r="E51" i="51"/>
  <c r="I46" i="36"/>
  <c r="F25" i="6"/>
  <c r="F55" i="51" l="1"/>
  <c r="F10" i="51"/>
  <c r="F12" i="51" s="1"/>
  <c r="H25" i="17"/>
  <c r="H27" i="17" s="1"/>
  <c r="H31" i="17" s="1"/>
  <c r="R24" i="36" s="1"/>
  <c r="R31" i="36" s="1"/>
  <c r="F25" i="17"/>
  <c r="F27" i="17" s="1"/>
  <c r="F31" i="17" s="1"/>
  <c r="R12" i="36" s="1"/>
  <c r="H25" i="6"/>
  <c r="H27" i="6" s="1"/>
  <c r="H31" i="6" s="1"/>
  <c r="F27" i="6"/>
  <c r="F31" i="6" s="1"/>
  <c r="F32" i="51" l="1"/>
  <c r="U17" i="36"/>
  <c r="U10" i="36"/>
  <c r="R44" i="36"/>
  <c r="G22" i="48"/>
  <c r="R33" i="36"/>
  <c r="R41" i="36" s="1"/>
  <c r="R43" i="36"/>
  <c r="Q24" i="36"/>
  <c r="Q12" i="36"/>
  <c r="F43" i="51" l="1"/>
  <c r="F51" i="51" s="1"/>
  <c r="F40" i="51"/>
  <c r="F50" i="51" s="1"/>
  <c r="R45" i="36"/>
  <c r="R46" i="36" s="1"/>
  <c r="Q31" i="36"/>
  <c r="U24" i="36"/>
  <c r="U12" i="36"/>
  <c r="W12" i="36" s="1"/>
  <c r="Q33" i="36"/>
  <c r="Q43" i="36"/>
  <c r="F44" i="51" l="1"/>
  <c r="F45" i="51"/>
  <c r="U43" i="36"/>
  <c r="D25" i="48"/>
  <c r="D27" i="48" s="1"/>
  <c r="Q41" i="36"/>
  <c r="U41" i="36" s="1"/>
  <c r="W41" i="36" s="1"/>
  <c r="U33" i="36"/>
  <c r="W33" i="36" s="1"/>
  <c r="Q44" i="36"/>
  <c r="U44" i="36" s="1"/>
  <c r="E25" i="48"/>
  <c r="E27" i="48" s="1"/>
  <c r="U31" i="36"/>
  <c r="W31" i="36" s="1"/>
  <c r="G21" i="48" l="1"/>
  <c r="G25" i="48" s="1"/>
  <c r="G27" i="48" s="1"/>
  <c r="Q45" i="36"/>
  <c r="U45" i="36" l="1"/>
  <c r="U46" i="36" s="1"/>
  <c r="Q46" i="36"/>
  <c r="A6" i="26"/>
</calcChain>
</file>

<file path=xl/sharedStrings.xml><?xml version="1.0" encoding="utf-8"?>
<sst xmlns="http://schemas.openxmlformats.org/spreadsheetml/2006/main" count="1799" uniqueCount="634">
  <si>
    <t>Line</t>
  </si>
  <si>
    <t>Description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</si>
  <si>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</si>
  <si>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</si>
  <si>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</si>
  <si>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</si>
  <si>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</si>
  <si>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</si>
  <si>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</si>
  <si>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</si>
  <si>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</si>
  <si>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</si>
  <si>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</si>
  <si>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</si>
  <si>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TOTAL</t>
  </si>
  <si>
    <t>Adjustment</t>
  </si>
  <si>
    <t>Year</t>
  </si>
  <si>
    <t>Month</t>
  </si>
  <si>
    <t>(1)</t>
  </si>
  <si>
    <t>(3)</t>
  </si>
  <si>
    <t>(2)</t>
  </si>
  <si>
    <t>#</t>
  </si>
  <si>
    <t>Subtotal</t>
  </si>
  <si>
    <t>Revenue</t>
  </si>
  <si>
    <t>Expense</t>
  </si>
  <si>
    <t>(4)</t>
  </si>
  <si>
    <t>Reference Schedule:  1.02</t>
  </si>
  <si>
    <t>Reference Schedule:  1.01</t>
  </si>
  <si>
    <t>Reference Schedule:  1.08</t>
  </si>
  <si>
    <t>BIG SANDY RECC</t>
  </si>
  <si>
    <t>For the 12 Months Ended July 31, 2016</t>
  </si>
  <si>
    <t>Depreciation</t>
  </si>
  <si>
    <t>Donations</t>
  </si>
  <si>
    <t>Rate Case Expenses</t>
  </si>
  <si>
    <t>G&amp;T Capital Credits</t>
  </si>
  <si>
    <t xml:space="preserve">Revenue </t>
  </si>
  <si>
    <t>Total Cost of Electric Service</t>
  </si>
  <si>
    <t>Non-Operating Margins - Interest</t>
  </si>
  <si>
    <t>Non-Operating Margins - Other</t>
  </si>
  <si>
    <t>Test Year Amount</t>
  </si>
  <si>
    <t>Pro Forma Year Amount</t>
  </si>
  <si>
    <t>This adjustment removes the FAC revenues and expenses from the test period.</t>
  </si>
  <si>
    <t>This adjustment removes the Envionmental Surcharge revenues and expenses from the test period.</t>
  </si>
  <si>
    <t>Other</t>
  </si>
  <si>
    <t>Item</t>
  </si>
  <si>
    <t>Account</t>
  </si>
  <si>
    <t>Advertising</t>
  </si>
  <si>
    <t>Supplies / Misc</t>
  </si>
  <si>
    <t>Total Amount</t>
  </si>
  <si>
    <t>Amortization Period (Years)</t>
  </si>
  <si>
    <t>Total</t>
  </si>
  <si>
    <t>Annual Amortization Amount</t>
  </si>
  <si>
    <t>This adjustment estimates the rate case costs amortized over a 3 year period, consistent with standard Commission practice.</t>
  </si>
  <si>
    <t>This adjustment removes the G&amp;T Capital Credits from the test period, consistent with Commission practice.</t>
  </si>
  <si>
    <t>Professional Services</t>
  </si>
  <si>
    <t>This adjustment removes certain outside professional services costs from the test period, consistent with Commission practice.</t>
  </si>
  <si>
    <t>Year-End Customers</t>
  </si>
  <si>
    <t>(5)</t>
  </si>
  <si>
    <t>(6)</t>
  </si>
  <si>
    <t>(7)</t>
  </si>
  <si>
    <t>(8)</t>
  </si>
  <si>
    <t>Average</t>
  </si>
  <si>
    <t>Total kWh</t>
  </si>
  <si>
    <t>Average kWh</t>
  </si>
  <si>
    <t>Year-End kWh Adjustment</t>
  </si>
  <si>
    <t>Current Base Rate Revenue</t>
  </si>
  <si>
    <t>Average Revenue per kWh</t>
  </si>
  <si>
    <t>Year End Revenue Adj</t>
  </si>
  <si>
    <t>Revenue Adjustment</t>
  </si>
  <si>
    <t>Expense Adjustment</t>
  </si>
  <si>
    <t>Year End Expense Adj</t>
  </si>
  <si>
    <t>Total Purchased Power Expense</t>
  </si>
  <si>
    <t>Less Environmental Surcharge</t>
  </si>
  <si>
    <t>Less Fuel Adjustment Clause</t>
  </si>
  <si>
    <t>Adjusted Purchased Power Expense</t>
  </si>
  <si>
    <t>Total Purchased Power kWh</t>
  </si>
  <si>
    <t>End of Period Increase over Avg</t>
  </si>
  <si>
    <t>For Expense Adjustment:</t>
  </si>
  <si>
    <t>Test Period Total</t>
  </si>
  <si>
    <t>Less DLC &amp; Green Power Charges</t>
  </si>
  <si>
    <t>Avg Adj Purchase Exp per kWh</t>
  </si>
  <si>
    <t>Sched A-2</t>
  </si>
  <si>
    <t>Sched A-1</t>
  </si>
  <si>
    <t>Sched LP</t>
  </si>
  <si>
    <t>Net Rev</t>
  </si>
  <si>
    <t>Interest on LTD</t>
  </si>
  <si>
    <t>TIER</t>
  </si>
  <si>
    <t>Operating Revenues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</si>
  <si>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</si>
  <si>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</si>
  <si>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</si>
  <si>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</si>
  <si>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</si>
  <si>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</si>
  <si>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</si>
  <si>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</si>
  <si>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</si>
  <si>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</si>
  <si>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</si>
  <si>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- Other</t>
  </si>
  <si>
    <t>Other Deductions</t>
  </si>
  <si>
    <t>Utility Operating Margins</t>
  </si>
  <si>
    <t>Other Capital Credits</t>
  </si>
  <si>
    <t>Net Margins</t>
  </si>
  <si>
    <t>TIER excluding GTCC</t>
  </si>
  <si>
    <t>OTIER</t>
  </si>
  <si>
    <t>Rate</t>
  </si>
  <si>
    <t>Operating Revenues:</t>
  </si>
  <si>
    <t xml:space="preserve">        FAC &amp; ES</t>
  </si>
  <si>
    <t>Services</t>
  </si>
  <si>
    <t>Total Revenues</t>
  </si>
  <si>
    <t xml:space="preserve">        Base Rates</t>
  </si>
  <si>
    <t xml:space="preserve">    Total Operating Expenses</t>
  </si>
  <si>
    <t>Total Non-Operating Margins</t>
  </si>
  <si>
    <t>Interest on Long Term Debt</t>
  </si>
  <si>
    <t>Interest Expense - Other</t>
  </si>
  <si>
    <t>Base Rates</t>
  </si>
  <si>
    <t>FAC &amp; ES</t>
  </si>
  <si>
    <t>Other Electric Revenue</t>
  </si>
  <si>
    <t>Distribution - Operations</t>
  </si>
  <si>
    <t>Distribution - Maintenance</t>
  </si>
  <si>
    <t>Consumer Accounts</t>
  </si>
  <si>
    <t>Sales</t>
  </si>
  <si>
    <t>Administrative and General</t>
  </si>
  <si>
    <t>Consulting - Catalyst Consulting LLC</t>
  </si>
  <si>
    <t>Actual Test Yr</t>
  </si>
  <si>
    <t>Present Rates</t>
  </si>
  <si>
    <t>Proposed Rates</t>
  </si>
  <si>
    <t>Pro Forma Test Yr</t>
  </si>
  <si>
    <t>Pro Forma</t>
  </si>
  <si>
    <t>Expense Adj</t>
  </si>
  <si>
    <t>Revenue Adj</t>
  </si>
  <si>
    <t>Net Adj</t>
  </si>
  <si>
    <t>Check</t>
  </si>
  <si>
    <t>Actual Rates</t>
  </si>
  <si>
    <t>Directors Fees</t>
  </si>
  <si>
    <t>Wages &amp; Salaries</t>
  </si>
  <si>
    <t>Reference Schedule:  1.05</t>
  </si>
  <si>
    <t>Reference Schedule:  1.03</t>
  </si>
  <si>
    <t>Reference Schedule:  1.06</t>
  </si>
  <si>
    <t>Reference Schedule:  1.07</t>
  </si>
  <si>
    <t>Reference Schedule:  1.09</t>
  </si>
  <si>
    <t>Reference Schedule:  1.10</t>
  </si>
  <si>
    <t>Environmental Surcharge</t>
  </si>
  <si>
    <t>Acct</t>
  </si>
  <si>
    <t>Labor Amt</t>
  </si>
  <si>
    <t>Share</t>
  </si>
  <si>
    <t>Construction Work In Progress</t>
  </si>
  <si>
    <t>Retirement Work In Prograss</t>
  </si>
  <si>
    <t>Stores</t>
  </si>
  <si>
    <t>Transportation</t>
  </si>
  <si>
    <t>Misc. Current / Accrued Liabilities</t>
  </si>
  <si>
    <t>Operation Supervision &amp; Engineering</t>
  </si>
  <si>
    <t>Overhead Lines</t>
  </si>
  <si>
    <t>Meters</t>
  </si>
  <si>
    <t>Customer Installations</t>
  </si>
  <si>
    <t>Miscellaneous Distribution</t>
  </si>
  <si>
    <t>Maintenance Supervision &amp; Engineering</t>
  </si>
  <si>
    <t>Maintenance Overhead Lines</t>
  </si>
  <si>
    <t>Maintenance Transformers</t>
  </si>
  <si>
    <t>Maintenance Meters</t>
  </si>
  <si>
    <t>Miscellaneous Maintenance</t>
  </si>
  <si>
    <t>Meter Reading</t>
  </si>
  <si>
    <t>Consumer Records &amp; Collection</t>
  </si>
  <si>
    <t>908.00</t>
  </si>
  <si>
    <t>Consumer Assistance</t>
  </si>
  <si>
    <t>Administrative &amp; General</t>
  </si>
  <si>
    <t>Employee Pensions &amp; Benefits</t>
  </si>
  <si>
    <t>Maintenance General Plant</t>
  </si>
  <si>
    <t>Labor Expense Summary</t>
  </si>
  <si>
    <t>101-120</t>
  </si>
  <si>
    <t>Utility Plant</t>
  </si>
  <si>
    <t>131-174</t>
  </si>
  <si>
    <t>Current &amp; Accrued Assets</t>
  </si>
  <si>
    <t>181-190</t>
  </si>
  <si>
    <t>Deferred Debits</t>
  </si>
  <si>
    <t>231-283</t>
  </si>
  <si>
    <t>Current &amp; Accrued Liabilities</t>
  </si>
  <si>
    <t>580-589</t>
  </si>
  <si>
    <t>Operations</t>
  </si>
  <si>
    <t>590-598</t>
  </si>
  <si>
    <t>Maintenance</t>
  </si>
  <si>
    <t>901-905</t>
  </si>
  <si>
    <t>907-910</t>
  </si>
  <si>
    <t>920-935</t>
  </si>
  <si>
    <t>Labor Expense Detail by Account</t>
  </si>
  <si>
    <t>Advertising Expense</t>
  </si>
  <si>
    <t>General Advertising Expense</t>
  </si>
  <si>
    <t>Pro Forma Adj</t>
  </si>
  <si>
    <t>Salary Employees</t>
  </si>
  <si>
    <t>Part Time  &amp; Summer Employees</t>
  </si>
  <si>
    <t>Retired Employees</t>
  </si>
  <si>
    <t>Actual Test Year Wages</t>
  </si>
  <si>
    <t>Wage</t>
  </si>
  <si>
    <t>Normalized Wages</t>
  </si>
  <si>
    <t>Hours Worked</t>
  </si>
  <si>
    <t>@ 2,080 Hours</t>
  </si>
  <si>
    <t>Reg Hrs</t>
  </si>
  <si>
    <t>OT Hrs</t>
  </si>
  <si>
    <t>Vacation Payout</t>
  </si>
  <si>
    <t>Regular</t>
  </si>
  <si>
    <t>Overtime</t>
  </si>
  <si>
    <t>Performance Compensation</t>
  </si>
  <si>
    <t>Current</t>
  </si>
  <si>
    <t>Employee ID</t>
  </si>
  <si>
    <t>Count</t>
  </si>
  <si>
    <t>Pro Forma Wages at 2,080 Hours</t>
  </si>
  <si>
    <t>Note</t>
  </si>
  <si>
    <t>A</t>
  </si>
  <si>
    <t>B</t>
  </si>
  <si>
    <t>No longer employed</t>
  </si>
  <si>
    <t>Employee</t>
  </si>
  <si>
    <t>ID</t>
  </si>
  <si>
    <t>Pro Forma Adjustment</t>
  </si>
  <si>
    <t>Hourly Employees</t>
  </si>
  <si>
    <t>This adjustment normalizes wages and salaries to account for changes due to wage increases, promotions, retirements, terminations, or new hires for standard year of 2,080 hours.</t>
  </si>
  <si>
    <t>Vac P.Out</t>
  </si>
  <si>
    <t>No.</t>
  </si>
  <si>
    <t>Alloc</t>
  </si>
  <si>
    <t>NOTES:</t>
  </si>
  <si>
    <t>Labor $</t>
  </si>
  <si>
    <t>Test Yr Ending Bal</t>
  </si>
  <si>
    <t>Normalized Expense</t>
  </si>
  <si>
    <t>Test Year Expense</t>
  </si>
  <si>
    <t>Acct #</t>
  </si>
  <si>
    <t>Fully Depr Items</t>
  </si>
  <si>
    <t>Distribution Plant</t>
  </si>
  <si>
    <t>Station equipment</t>
  </si>
  <si>
    <t>Poles, towers &amp; fixtures</t>
  </si>
  <si>
    <t>Overhead conductors &amp; devices</t>
  </si>
  <si>
    <t>Underground conduit</t>
  </si>
  <si>
    <t>Underground conductor &amp; devices</t>
  </si>
  <si>
    <t>Line transformers</t>
  </si>
  <si>
    <t>371</t>
  </si>
  <si>
    <t>Installations on customer premises</t>
  </si>
  <si>
    <t>Land</t>
  </si>
  <si>
    <t>Structures and improvements</t>
  </si>
  <si>
    <t>Office furn and eqt</t>
  </si>
  <si>
    <t>Tools, shop and garage</t>
  </si>
  <si>
    <t>Laboratory</t>
  </si>
  <si>
    <t>Power operated</t>
  </si>
  <si>
    <t>Communications</t>
  </si>
  <si>
    <t>Miscellaneous</t>
  </si>
  <si>
    <t>General Plant</t>
  </si>
  <si>
    <t>This adjustment normalizes depreciation expenses by replacing test year actual expenses with test year end balances (less any fully depreciated items) at approved depreciation rates.</t>
  </si>
  <si>
    <t>Transporation Charged to Clearing</t>
  </si>
  <si>
    <t>Allocation of Clearing to O&amp;M</t>
  </si>
  <si>
    <t>CWIP &amp; RWIP</t>
  </si>
  <si>
    <t>Depr $</t>
  </si>
  <si>
    <t>Distribution &amp; General Subtotal</t>
  </si>
  <si>
    <t>Total Operating Revenue</t>
  </si>
  <si>
    <t>Total Sales of Electric Energy</t>
  </si>
  <si>
    <t>Cash Receipts from Lenders</t>
  </si>
  <si>
    <t>Remove</t>
  </si>
  <si>
    <t>NATIONAL RURAL ELECTRIC COOP</t>
  </si>
  <si>
    <t>K-VA-T FOOD STORIES, INC</t>
  </si>
  <si>
    <t>KENTUCKY ASSN ELECTRIC COOP</t>
  </si>
  <si>
    <t>RURAL COOPERATIVES CREDIT UN</t>
  </si>
  <si>
    <t>Date</t>
  </si>
  <si>
    <t>Vendor Name</t>
  </si>
  <si>
    <t>Pro Forma Amount</t>
  </si>
  <si>
    <t>DANNY WALLEN</t>
  </si>
  <si>
    <t>GREG DAVIS</t>
  </si>
  <si>
    <t>VELMA MAY</t>
  </si>
  <si>
    <t>NRECA</t>
  </si>
  <si>
    <t>BOARD MEAL</t>
  </si>
  <si>
    <t>C</t>
  </si>
  <si>
    <t>D</t>
  </si>
  <si>
    <t>E</t>
  </si>
  <si>
    <t>This adjustment removes charitable donations, promotional advertising expenses, and dues from the revenue requirement consistent with standard Commission practices.</t>
  </si>
  <si>
    <t>Summary of Pro Forma Adjustments</t>
  </si>
  <si>
    <t>Fuel Adjustment Clause</t>
  </si>
  <si>
    <t>Non-Operating Income</t>
  </si>
  <si>
    <t>Net Margin</t>
  </si>
  <si>
    <t>F</t>
  </si>
  <si>
    <t>S01</t>
  </si>
  <si>
    <t>S02</t>
  </si>
  <si>
    <t>S03</t>
  </si>
  <si>
    <t>S05</t>
  </si>
  <si>
    <t>S06</t>
  </si>
  <si>
    <t>S07</t>
  </si>
  <si>
    <t>S08</t>
  </si>
  <si>
    <t>S09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</si>
  <si>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</si>
  <si>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</si>
  <si>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</si>
  <si>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</si>
  <si>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</si>
  <si>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</si>
  <si>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</si>
  <si>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</si>
  <si>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</si>
  <si>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</si>
  <si>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</si>
  <si>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</si>
  <si>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</si>
  <si>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</si>
  <si>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</si>
  <si>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</si>
  <si>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</si>
  <si>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</si>
  <si>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</si>
  <si>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</si>
  <si>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</si>
  <si>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</si>
  <si>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</si>
  <si>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</si>
  <si>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</si>
  <si>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</si>
  <si>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</si>
  <si>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</si>
  <si>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</si>
  <si>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P01</t>
  </si>
  <si>
    <t>P03</t>
  </si>
  <si>
    <t>R01</t>
  </si>
  <si>
    <t>R02</t>
  </si>
  <si>
    <t>G</t>
  </si>
  <si>
    <t>This adjustment adjusts the test year expenses and revenues to reflect the number of customers at the end of the test year.</t>
  </si>
  <si>
    <t xml:space="preserve">Reference Schedule     &gt;     </t>
  </si>
  <si>
    <t xml:space="preserve">Item     &gt;     </t>
  </si>
  <si>
    <t>Reference Schedule</t>
  </si>
  <si>
    <t>Summary of Adjustments to Test Year Statement of Operations</t>
  </si>
  <si>
    <t>Summary of Adjustments to Test Year Balance Sheet</t>
  </si>
  <si>
    <t>Assets and Other Debits</t>
  </si>
  <si>
    <t>Total Utility Plant in Service</t>
  </si>
  <si>
    <t>Construction Work in Progress</t>
  </si>
  <si>
    <t>Total Utility Plant</t>
  </si>
  <si>
    <t>Accum Provision for Depr and Amort</t>
  </si>
  <si>
    <t>Net Utility Plant</t>
  </si>
  <si>
    <t>Investment in Assoc Org - Patr Capital</t>
  </si>
  <si>
    <t>Investment in Assoc Org - Other Gen Fnd</t>
  </si>
  <si>
    <t>Investment in Assoc Org - Non Gen Fnd</t>
  </si>
  <si>
    <t>Other Investment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</si>
  <si>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</si>
  <si>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</si>
  <si>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</si>
  <si>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</si>
  <si>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</si>
  <si>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Other (Net)</t>
  </si>
  <si>
    <t>Accts Receivable - Sales Energy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</si>
  <si>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</si>
  <si>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</si>
  <si>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</si>
  <si>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</si>
  <si>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</si>
  <si>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</si>
  <si>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</si>
  <si>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</si>
  <si>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</si>
  <si>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</si>
  <si>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</si>
  <si>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Current Year</t>
  </si>
  <si>
    <t>Non-Operating Margins</t>
  </si>
  <si>
    <t>Other Margins &amp; Equities</t>
  </si>
  <si>
    <t>Total Margins &amp; Equities</t>
  </si>
  <si>
    <t>Long Term Debt - RUS (Net)</t>
  </si>
  <si>
    <t>Long Term Debt - FFB - RUS GUAR</t>
  </si>
  <si>
    <t>Long Term Debt - Other - RUS GUAR</t>
  </si>
  <si>
    <t>Long Term Debt - Other (Net)</t>
  </si>
  <si>
    <t>Long Term Debt - RUS -Econ Dev - Net</t>
  </si>
  <si>
    <t>Total Long Term Debt</t>
  </si>
  <si>
    <t>Accum Operating Provisions</t>
  </si>
  <si>
    <t>Notes Payable</t>
  </si>
  <si>
    <t>Accounts Payable</t>
  </si>
  <si>
    <t>Consumer Deposits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</si>
  <si>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</si>
  <si>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</si>
  <si>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</si>
  <si>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</si>
  <si>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</si>
  <si>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Pro Forma Adjs</t>
  </si>
  <si>
    <t>Statement of Operations &amp; Revenue Requirement</t>
  </si>
  <si>
    <t>Target OTIER</t>
  </si>
  <si>
    <t>Margins at Target OTIER</t>
  </si>
  <si>
    <t>For the 12 Months Ended December 31, 2022</t>
  </si>
  <si>
    <t>Based on OTIER</t>
  </si>
  <si>
    <t>Adj Test Yr</t>
  </si>
  <si>
    <t>26a</t>
  </si>
  <si>
    <t>Income(Loss) from Equity Investments</t>
  </si>
  <si>
    <t>Revenue Requirement at Target OTIER</t>
  </si>
  <si>
    <t>Revenue Deficiency at Target OTIER</t>
  </si>
  <si>
    <t xml:space="preserve">Variance from Target OTIER </t>
  </si>
  <si>
    <t>Depreciation Expense</t>
  </si>
  <si>
    <t>Legal - Honaker Law Office</t>
  </si>
  <si>
    <t>Life Insurance</t>
  </si>
  <si>
    <t>Total Premium</t>
  </si>
  <si>
    <t>Lesser of $50k or Salary</t>
  </si>
  <si>
    <t>Coverage - 2x Salary</t>
  </si>
  <si>
    <t>Amount to Exclude</t>
  </si>
  <si>
    <t>Allowed Total</t>
  </si>
  <si>
    <t>H</t>
  </si>
  <si>
    <t>Empl #</t>
  </si>
  <si>
    <t>(E * 2)</t>
  </si>
  <si>
    <t>((G-F)/G)*B</t>
  </si>
  <si>
    <t xml:space="preserve">Acct </t>
  </si>
  <si>
    <t>Ending 2021 Rate</t>
  </si>
  <si>
    <t>Ending 2021 Salary</t>
  </si>
  <si>
    <t>BENTON  T BOHANNON</t>
  </si>
  <si>
    <t>TRACY BOHANNON</t>
  </si>
  <si>
    <t>JACK  P BRAGG JR.</t>
  </si>
  <si>
    <t>PAMELA  A GOETZINGER</t>
  </si>
  <si>
    <t>JACOB  T CREWS</t>
  </si>
  <si>
    <t>JOSEPH  R CRENSHAW</t>
  </si>
  <si>
    <t>SHELLEY  A DAILY</t>
  </si>
  <si>
    <t>MARY BETH DENNIS</t>
  </si>
  <si>
    <t>DAVID  R GRAHAM</t>
  </si>
  <si>
    <t>JASON  A GINN</t>
  </si>
  <si>
    <t>BARBIE  K GOODWIN</t>
  </si>
  <si>
    <t>DALLAS  Q GIBSON</t>
  </si>
  <si>
    <t>MICHAELA  M DOWNING</t>
  </si>
  <si>
    <t>EMILY  R HARTGROVE</t>
  </si>
  <si>
    <t>CONSTANCE LAMB</t>
  </si>
  <si>
    <t>MARY  E LANCASTER</t>
  </si>
  <si>
    <t>JEFFREY  T LEA</t>
  </si>
  <si>
    <t>PHYLLIS  N MCCARTY</t>
  </si>
  <si>
    <t>KELLY  L MICHELS</t>
  </si>
  <si>
    <t>KEITH MILLER</t>
  </si>
  <si>
    <t>JEAN  C MCLAUGHLIN</t>
  </si>
  <si>
    <t>JOHNNA  N DEWITT</t>
  </si>
  <si>
    <t>WILLIAM  P MOORE</t>
  </si>
  <si>
    <t>EMMA  I REDMON</t>
  </si>
  <si>
    <t>EDGAR  B RICHARDSON</t>
  </si>
  <si>
    <t>MICHAEL  W MASON</t>
  </si>
  <si>
    <t>RANDY  K STEVENS</t>
  </si>
  <si>
    <t>MELANIE  B CROSSFIELD</t>
  </si>
  <si>
    <t>LUCAS  M MAKOWSKI</t>
  </si>
  <si>
    <t>MICHAEL  L MORIARTY</t>
  </si>
  <si>
    <t>MICHAEL  D NETHERY</t>
  </si>
  <si>
    <t>BLAKE  D NEWBY</t>
  </si>
  <si>
    <t>HUNTER  G NEW</t>
  </si>
  <si>
    <t>DUSTIN  S PEACH</t>
  </si>
  <si>
    <t>MICHAEL  C PING</t>
  </si>
  <si>
    <t>DUSTY PHELPS</t>
  </si>
  <si>
    <t>ANTHONY  N RAIZOR</t>
  </si>
  <si>
    <t>STEPHEN  D RAVENSCROFT</t>
  </si>
  <si>
    <t>MATTHEW  J REIDE</t>
  </si>
  <si>
    <t>RICHARD  L SPOONAMORE</t>
  </si>
  <si>
    <t>This adjustment removes Life insurance premiums for coverage above the lesser of an employee's annual salary or $50,000 from the test period.</t>
  </si>
  <si>
    <t>Donations &amp; Promotional Advertising</t>
  </si>
  <si>
    <t>Reference Schedule:  1.11</t>
  </si>
  <si>
    <t>Account Desc</t>
  </si>
  <si>
    <t>Reference</t>
  </si>
  <si>
    <t>Activity</t>
  </si>
  <si>
    <t>Debit</t>
  </si>
  <si>
    <t>Credit</t>
  </si>
  <si>
    <t>DIRECTORS PER DIEM</t>
  </si>
  <si>
    <t>DANNY REGULAR BOARD MTG PER DIE</t>
  </si>
  <si>
    <t>D WALLEN-NRECA ANNUAL MTG NASHVI</t>
  </si>
  <si>
    <t>DANNY ANNU MTG BOARD MTG PER DIE</t>
  </si>
  <si>
    <t>REGULAR BOARD MEETING</t>
  </si>
  <si>
    <t>KEC ANNUAL MEETING PER DIEM</t>
  </si>
  <si>
    <t>REGULAR BOARD MEETING PER DIEM</t>
  </si>
  <si>
    <t>BRD MTG PER DIEM</t>
  </si>
  <si>
    <t>GARY FRANCIS  BOARD MTG PER DIEM</t>
  </si>
  <si>
    <t>GARY D FRANCIS</t>
  </si>
  <si>
    <t>GARY FRANCIS NRECA ANN MTG NASHV</t>
  </si>
  <si>
    <t>GARY FRANCIS ANNU MTG BOARD MTG</t>
  </si>
  <si>
    <t>GREG KAEC MTG 1 MOS PER DIEM</t>
  </si>
  <si>
    <t>GREG REGULAR BOARD MTG PER DIEM</t>
  </si>
  <si>
    <t>GREG ANNU MTG BOARD MTG PER DIEM</t>
  </si>
  <si>
    <t>GREG KEC BOARD MTG PER DEIM</t>
  </si>
  <si>
    <t>JAMES VANHOOSE BRD MTG PER DIEM</t>
  </si>
  <si>
    <t>JAMES VANHOOSE</t>
  </si>
  <si>
    <t>J VANHOOSE ANN MTG PER DIEM</t>
  </si>
  <si>
    <t>JASON REGULAR BOARD MTG PER DIEM</t>
  </si>
  <si>
    <t>JASON HOLBROOK</t>
  </si>
  <si>
    <t>JASON ANNUAL MTG PER DIEM</t>
  </si>
  <si>
    <t>REGULAR BOARD MTG PIER DIEM</t>
  </si>
  <si>
    <t>JIMMIE MCKENZIE REG BRD PER DIE</t>
  </si>
  <si>
    <t>JIMMIE MCKENZIE</t>
  </si>
  <si>
    <t>JIMMIE MCKENZIE ANU MTG PER DIEM</t>
  </si>
  <si>
    <t>JIMMIE MCKENZIE EKPC ANN MTG PER</t>
  </si>
  <si>
    <t>MEETING TO OPEN 2023 SPRAY BIDS</t>
  </si>
  <si>
    <t>VELMA REGULAR BOARD MTG PER DIEM</t>
  </si>
  <si>
    <t>VELMA ANNUAL MEETING PER DIEM</t>
  </si>
  <si>
    <t>DIRECTORS MILEAGE</t>
  </si>
  <si>
    <t>DANNY REGULAR BOARD MTG MILEAGE</t>
  </si>
  <si>
    <t>DANNY ANNU MTG BOARD MTG MILEAGE</t>
  </si>
  <si>
    <t>REGULAR BOARD MEETING MILEAGE</t>
  </si>
  <si>
    <t>BRD MTG MILEAGE REIMBURSEMENT</t>
  </si>
  <si>
    <t>G FRANCIS MILEAGE BOARD MTG</t>
  </si>
  <si>
    <t>G FRANCIS MILEAGE ANNUAL MTG</t>
  </si>
  <si>
    <t>BRD MTG MILEAGE</t>
  </si>
  <si>
    <t>GREG KAEC MTG MILEAGE</t>
  </si>
  <si>
    <t>GREG REGULAR BOARD MTG MILEAGE</t>
  </si>
  <si>
    <t>GREG ANNU MTG BOARD MTG MILEAGE</t>
  </si>
  <si>
    <t>GREG KEC BOARD MTG MILEAGE</t>
  </si>
  <si>
    <t>JAMES VANHOOSE REG BRD MTG MILEA</t>
  </si>
  <si>
    <t>J VANHOOSE ANN MTG BRD MTG MILEA</t>
  </si>
  <si>
    <t>JASON REGULAR BOARD MTG MILEAGE</t>
  </si>
  <si>
    <t>JASON ANNUAL MTG MILEAGE</t>
  </si>
  <si>
    <t>REGULAR BOARD MTG MILEAGE</t>
  </si>
  <si>
    <t>JIMMIE MCKENZIE REG BRD MILEAGE</t>
  </si>
  <si>
    <t>JIMMIE MCKENZIE ANU MTG  MILEAGE</t>
  </si>
  <si>
    <t>JIMMIE MCKENZIE EKPC ANN MTG MIL</t>
  </si>
  <si>
    <t>MEETING TO OPEN 2023 SPRAY BIDS-MILEAGE</t>
  </si>
  <si>
    <t>VELMA REGULAR BOARD MTG MILEAGE</t>
  </si>
  <si>
    <t>VELMA ANNUAL MEETING MILEAGE</t>
  </si>
  <si>
    <t>DIRECTORS EXPENSES</t>
  </si>
  <si>
    <t>BACKGROUND CHECK ON DANNY WALLEN</t>
  </si>
  <si>
    <t>HIRERIGHT, LLC</t>
  </si>
  <si>
    <t>1030 - DIRECTOR'S FEES</t>
  </si>
  <si>
    <t>DIRECTOR TRAVEL INS</t>
  </si>
  <si>
    <t>THE HARTFORD</t>
  </si>
  <si>
    <t>1032 - DIRECTORS INSURANCE</t>
  </si>
  <si>
    <t>DIRC ACCDT INS PD 5 UNITES</t>
  </si>
  <si>
    <t>DIRECTOR ACCT INS PD 5 UNTIES</t>
  </si>
  <si>
    <t>DIRC ACCDT INS PD</t>
  </si>
  <si>
    <t>DIRC ACCDT INS PD-5 UNITES</t>
  </si>
  <si>
    <t>JAN 22 BOARD MEAL</t>
  </si>
  <si>
    <t>1034 - DIRECTOR'S MEALS</t>
  </si>
  <si>
    <t>BOARD MEAL FOOD</t>
  </si>
  <si>
    <t>LINDA'S CAFE</t>
  </si>
  <si>
    <t>DANNY WALLEN MEAL</t>
  </si>
  <si>
    <t>DANNY MEALS</t>
  </si>
  <si>
    <t>GARY MEALS</t>
  </si>
  <si>
    <t>DANNY WALLEN MEALS</t>
  </si>
  <si>
    <t>GARY FRANCIS MEALS</t>
  </si>
  <si>
    <t>BOARD MEETING SUPPLIES</t>
  </si>
  <si>
    <t>BOARD MEETING MEAL</t>
  </si>
  <si>
    <t>BOARD MTG MEAL</t>
  </si>
  <si>
    <t>BOARD MEAL DRINKS</t>
  </si>
  <si>
    <t>AARON &amp;DANNY MEAL</t>
  </si>
  <si>
    <t>JUNE BOARD MEAL</t>
  </si>
  <si>
    <t>DANNY MEALS KAEC</t>
  </si>
  <si>
    <t>GARY MEALS KAEC</t>
  </si>
  <si>
    <t>BOARD MEET MEAL</t>
  </si>
  <si>
    <t>AUG BOARD MEAL FOOD</t>
  </si>
  <si>
    <t>DANNY MEAL</t>
  </si>
  <si>
    <t>BOARD MEAL SUPPLIES</t>
  </si>
  <si>
    <t>BOARD MEAL OCT</t>
  </si>
  <si>
    <t>NOV BOARD MEAL</t>
  </si>
  <si>
    <t>OCT BOARD MEAL</t>
  </si>
  <si>
    <t>BOARD MEAL EXP</t>
  </si>
  <si>
    <t>DANNY WALLEN ROOM</t>
  </si>
  <si>
    <t>1035 - DIRECTOR'S LODGING</t>
  </si>
  <si>
    <t>GARY FRANCIS ROOM</t>
  </si>
  <si>
    <t>DANNY ROOM</t>
  </si>
  <si>
    <t>CREDIT GREG DAVIS ROOM</t>
  </si>
  <si>
    <t>DANNYS ROOM</t>
  </si>
  <si>
    <t>CORRECT VISA CR 5/22 GREG DAVIS ROOM CHG</t>
  </si>
  <si>
    <t>DANNY ROOM KAEC</t>
  </si>
  <si>
    <t>GARY ROOM KAEC</t>
  </si>
  <si>
    <t>JASON HOLBROOK ROOM CANCELATION</t>
  </si>
  <si>
    <t>DANNY NRECA REG</t>
  </si>
  <si>
    <t>1036 - REGISTRATION FEES - MEETINGS</t>
  </si>
  <si>
    <t>GARY NRECA REG</t>
  </si>
  <si>
    <t>AARON NRECA REG</t>
  </si>
  <si>
    <t>TO CORRECT VIA CHGE 1/22 AARON REGISTRAT</t>
  </si>
  <si>
    <t>7 DIRECTORS RURAL MAG SUB</t>
  </si>
  <si>
    <t>1038 - DIRECTORS MISCELLANEOUS EXPENSE</t>
  </si>
  <si>
    <t>2 YEARS-HONORARIUM</t>
  </si>
  <si>
    <t>TYLER GREEN</t>
  </si>
  <si>
    <t>REIMBURSEMENT FOR ATTORNEY KNIFE BOX</t>
  </si>
  <si>
    <t>KRAIG SHIREMAN</t>
  </si>
  <si>
    <t>GIFT CARD-BOARD MEMBER SURV</t>
  </si>
  <si>
    <t>MIKE SCGMITT WRAPPING PAPER</t>
  </si>
  <si>
    <t>DIRECTOR-NAME PLATE</t>
  </si>
  <si>
    <t>TO CORRECT T GREEN HONORARIUM</t>
  </si>
  <si>
    <t>PERSONALIZED KNIFE BOXES-BOARD MBRS</t>
  </si>
  <si>
    <t>1039 - DIRECTOR'S GIFTS</t>
  </si>
  <si>
    <t>KNIVES/BOARD GIFTS</t>
  </si>
  <si>
    <t>DIRECTORS CHRISTMAS GIFTS</t>
  </si>
  <si>
    <t>DIRECTORS FOOD CITY GIFT CARDS</t>
  </si>
  <si>
    <t>GREG CHRISTMAS GC</t>
  </si>
  <si>
    <t>JAMES/DANNY/GARY</t>
  </si>
  <si>
    <t>DIRECTORS PORTION DIR/MGR LIAB</t>
  </si>
  <si>
    <t>1213 - DIRECTORS LIABILITY</t>
  </si>
  <si>
    <t>EXPENSE DIRECTORS/MGR LIAB INS</t>
  </si>
  <si>
    <t>KAEC MTG-DANNY &amp; GREG DIRECTORS</t>
  </si>
  <si>
    <t>1317 - MEETINGS EXP</t>
  </si>
  <si>
    <t xml:space="preserve">This adjustment removes certain Director expenses, including directors' per diems, Christmas gifts, certain directors attending EKPC / KAEC / NRECA annual meeting(s).  Expenses that are not removed for rate-making purposes include costs of Liability Insurance that protects the directors for decisions they make on a routine basis. </t>
  </si>
  <si>
    <t>ATTNY ACCDT INS PD</t>
  </si>
  <si>
    <t>1311 - OUTSIDE SERVICES EMPLOYED</t>
  </si>
  <si>
    <t>DEC RETAINER FEE</t>
  </si>
  <si>
    <t>1309 - LEGAL SERVICES</t>
  </si>
  <si>
    <t>GENERAL RATE ADJUSTMENT CASE</t>
  </si>
  <si>
    <t>GOSS SAMFORD PLLC</t>
  </si>
  <si>
    <t>BACK PAY FOR JULY 21'</t>
  </si>
  <si>
    <t>JAN RETAINER FEE</t>
  </si>
  <si>
    <t>TYLER GREEN PAPAW FLOWERS</t>
  </si>
  <si>
    <t>CORRECT CK 65252 2/5/22 LEGAL FE</t>
  </si>
  <si>
    <t>1321 - LEGAL MEETINGS &amp; EXP</t>
  </si>
  <si>
    <t>2021 AUDIT FINANCIAL STAT</t>
  </si>
  <si>
    <t>1310 - AUDITOR'S FEE</t>
  </si>
  <si>
    <t>JONES, NALE &amp; MATTINGLY PLC</t>
  </si>
  <si>
    <t>FEB RETAINER FEE</t>
  </si>
  <si>
    <t>CORRECT CK# 25274 2/22 '21 AUDIT</t>
  </si>
  <si>
    <t>CORRECT CK#65538 CATALYST/LEGAL</t>
  </si>
  <si>
    <t>MARCH RETAINER FEE</t>
  </si>
  <si>
    <t>CPA FIRM IRS FORM 990</t>
  </si>
  <si>
    <t>APRIL RETAINER FEE</t>
  </si>
  <si>
    <t>PSC REPORT/PROPERTY TAX RETURN</t>
  </si>
  <si>
    <t>MAY RETAINER FEE</t>
  </si>
  <si>
    <t>NRECA ENGAGEMENT</t>
  </si>
  <si>
    <t>JUNE 2022 RETAINER FEE</t>
  </si>
  <si>
    <t>ATTNY ACCDT INS PD 8</t>
  </si>
  <si>
    <t>2019 CONTRACT NEGOTIATIONS</t>
  </si>
  <si>
    <t>FROST BROWN TODD ATTORNEYS</t>
  </si>
  <si>
    <t>JULY RETAINER FEE</t>
  </si>
  <si>
    <t>BROADBAND COST STUDY</t>
  </si>
  <si>
    <t>1142 - EMPLOYEE'S GROUP INSURANCE</t>
  </si>
  <si>
    <t>PULSE BROADBAND LLC,</t>
  </si>
  <si>
    <t>AUGUST RETAINER FEE</t>
  </si>
  <si>
    <t>SEPTEMBER RETAINER FEE</t>
  </si>
  <si>
    <t>OCTOBER RETAINER FEE</t>
  </si>
  <si>
    <t>2021 APPLE IPAD FOR LAWYER</t>
  </si>
  <si>
    <t>AMAZON CAPITAL SERVICES</t>
  </si>
  <si>
    <t>IPAD CASE-LAWYER</t>
  </si>
  <si>
    <t>IPAD SCREEN PROTECTOR-LAWYER</t>
  </si>
  <si>
    <t>NOVEMBER RETAINER FEE</t>
  </si>
  <si>
    <t>TYLER-KNIFE</t>
  </si>
  <si>
    <t>Test year amount</t>
  </si>
  <si>
    <t>Pro Forma amount</t>
  </si>
  <si>
    <t>Current Maturities LTD</t>
  </si>
  <si>
    <t xml:space="preserve">  </t>
  </si>
  <si>
    <t xml:space="preserve"> </t>
  </si>
  <si>
    <t>H32</t>
  </si>
  <si>
    <t>H33</t>
  </si>
  <si>
    <t>H34</t>
  </si>
  <si>
    <t>H35</t>
  </si>
  <si>
    <t>H36</t>
  </si>
  <si>
    <t>H37</t>
  </si>
  <si>
    <t>P04</t>
  </si>
  <si>
    <t>P05</t>
  </si>
  <si>
    <t>P06</t>
  </si>
  <si>
    <t>P07</t>
  </si>
  <si>
    <t>Current Wage Rate</t>
  </si>
  <si>
    <t>Hired post test year</t>
  </si>
  <si>
    <t>checks vs RevReq</t>
  </si>
  <si>
    <t>Reference Schedule:  1.04</t>
  </si>
  <si>
    <t>Increase $</t>
  </si>
  <si>
    <t>Increase %</t>
  </si>
  <si>
    <t>Based on 4%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</si>
</sst>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* #,##0.00000_);_(* \(#,##0.00000\);_(* &quot;-&quot;??_);_(@_)"/>
    <numFmt numFmtId="168" formatCode="0.0%"/>
    <numFmt numFmtId="169" formatCode="m/d/yy;@"/>
    <numFmt numFmtId="170" formatCode="\(#\)"/>
    <numFmt numFmtId="171" formatCode="###,###,###,###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2"/>
      <name val="P-TIMES"/>
    </font>
    <font>
      <sz val="11"/>
      <name val="P-TIMES"/>
    </font>
    <font>
      <u/>
      <sz val="11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color rgb="FF0000CC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1" fillId="0" borderId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</cellStyleXfs>
  <cellXfs count="34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4" fillId="0" borderId="0" xfId="3" applyFont="1" applyAlignment="1">
      <alignment horizontal="right"/>
    </xf>
    <xf numFmtId="0" fontId="5" fillId="0" borderId="0" xfId="3" applyFont="1"/>
    <xf numFmtId="0" fontId="4" fillId="0" borderId="0" xfId="3" applyFont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164" fontId="5" fillId="0" borderId="0" xfId="1" applyNumberFormat="1" applyFont="1"/>
    <xf numFmtId="0" fontId="5" fillId="0" borderId="0" xfId="0" applyFont="1" applyAlignment="1">
      <alignment horizontal="left"/>
    </xf>
    <xf numFmtId="0" fontId="5" fillId="0" borderId="3" xfId="0" applyFont="1" applyBorder="1"/>
    <xf numFmtId="164" fontId="5" fillId="0" borderId="3" xfId="1" applyNumberFormat="1" applyFont="1" applyBorder="1"/>
    <xf numFmtId="164" fontId="5" fillId="0" borderId="0" xfId="1" applyNumberFormat="1" applyFont="1" applyBorder="1"/>
    <xf numFmtId="164" fontId="5" fillId="0" borderId="0" xfId="1" applyNumberFormat="1" applyFont="1" applyFill="1" applyBorder="1"/>
    <xf numFmtId="0" fontId="5" fillId="0" borderId="2" xfId="0" applyFont="1" applyBorder="1"/>
    <xf numFmtId="164" fontId="5" fillId="0" borderId="2" xfId="0" applyNumberFormat="1" applyFont="1" applyBorder="1"/>
    <xf numFmtId="164" fontId="5" fillId="0" borderId="2" xfId="1" applyNumberFormat="1" applyFont="1" applyBorder="1"/>
    <xf numFmtId="165" fontId="5" fillId="0" borderId="0" xfId="2" applyNumberFormat="1" applyFont="1"/>
    <xf numFmtId="165" fontId="5" fillId="0" borderId="0" xfId="0" applyNumberFormat="1" applyFont="1"/>
    <xf numFmtId="165" fontId="5" fillId="0" borderId="0" xfId="2" applyNumberFormat="1" applyFont="1" applyFill="1"/>
    <xf numFmtId="0" fontId="9" fillId="0" borderId="0" xfId="0" applyFont="1"/>
    <xf numFmtId="164" fontId="5" fillId="0" borderId="0" xfId="0" applyNumberFormat="1" applyFont="1"/>
    <xf numFmtId="43" fontId="5" fillId="0" borderId="0" xfId="2" applyFont="1"/>
    <xf numFmtId="2" fontId="5" fillId="0" borderId="0" xfId="0" applyNumberFormat="1" applyFont="1" applyAlignment="1">
      <alignment horizontal="center"/>
    </xf>
    <xf numFmtId="164" fontId="5" fillId="0" borderId="0" xfId="1" applyNumberFormat="1" applyFont="1" applyFill="1"/>
    <xf numFmtId="0" fontId="5" fillId="0" borderId="0" xfId="0" applyFont="1" applyAlignment="1">
      <alignment horizontal="center" wrapText="1"/>
    </xf>
    <xf numFmtId="165" fontId="5" fillId="0" borderId="3" xfId="2" applyNumberFormat="1" applyFont="1" applyBorder="1"/>
    <xf numFmtId="165" fontId="5" fillId="0" borderId="0" xfId="2" applyNumberFormat="1" applyFont="1" applyBorder="1"/>
    <xf numFmtId="0" fontId="2" fillId="0" borderId="0" xfId="0" applyFont="1" applyAlignment="1">
      <alignment horizontal="left" vertical="center"/>
    </xf>
    <xf numFmtId="166" fontId="5" fillId="0" borderId="0" xfId="1" applyNumberFormat="1" applyFont="1" applyBorder="1"/>
    <xf numFmtId="0" fontId="4" fillId="0" borderId="0" xfId="0" applyFont="1"/>
    <xf numFmtId="167" fontId="5" fillId="0" borderId="0" xfId="2" applyNumberFormat="1" applyFont="1" applyBorder="1"/>
    <xf numFmtId="0" fontId="4" fillId="0" borderId="1" xfId="0" applyFont="1" applyBorder="1"/>
    <xf numFmtId="164" fontId="4" fillId="0" borderId="1" xfId="1" applyNumberFormat="1" applyFont="1" applyBorder="1" applyAlignment="1">
      <alignment horizontal="right"/>
    </xf>
    <xf numFmtId="0" fontId="5" fillId="0" borderId="4" xfId="0" applyFont="1" applyBorder="1"/>
    <xf numFmtId="0" fontId="2" fillId="0" borderId="4" xfId="0" applyFont="1" applyBorder="1" applyAlignment="1">
      <alignment horizontal="center"/>
    </xf>
    <xf numFmtId="164" fontId="5" fillId="0" borderId="4" xfId="1" applyNumberFormat="1" applyFont="1" applyBorder="1"/>
    <xf numFmtId="165" fontId="5" fillId="2" borderId="0" xfId="0" applyNumberFormat="1" applyFont="1" applyFill="1"/>
    <xf numFmtId="0" fontId="5" fillId="2" borderId="0" xfId="0" applyFont="1" applyFill="1"/>
    <xf numFmtId="164" fontId="5" fillId="0" borderId="3" xfId="1" applyNumberFormat="1" applyFont="1" applyFill="1" applyBorder="1"/>
    <xf numFmtId="165" fontId="2" fillId="0" borderId="0" xfId="2" applyNumberFormat="1" applyFont="1" applyFill="1"/>
    <xf numFmtId="2" fontId="2" fillId="0" borderId="0" xfId="0" applyNumberFormat="1" applyFont="1" applyAlignment="1">
      <alignment horizontal="center"/>
    </xf>
    <xf numFmtId="0" fontId="2" fillId="0" borderId="3" xfId="0" applyFont="1" applyBorder="1"/>
    <xf numFmtId="0" fontId="10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5" fillId="0" borderId="0" xfId="0" applyFont="1"/>
    <xf numFmtId="0" fontId="2" fillId="0" borderId="0" xfId="0" applyFont="1" applyAlignment="1">
      <alignment horizontal="left"/>
    </xf>
    <xf numFmtId="164" fontId="2" fillId="0" borderId="0" xfId="1" applyNumberFormat="1" applyFont="1" applyBorder="1" applyProtection="1"/>
    <xf numFmtId="168" fontId="2" fillId="0" borderId="0" xfId="5" applyNumberFormat="1" applyFont="1" applyBorder="1" applyProtection="1"/>
    <xf numFmtId="0" fontId="2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70" fontId="2" fillId="0" borderId="1" xfId="0" quotePrefix="1" applyNumberFormat="1" applyFont="1" applyBorder="1" applyAlignment="1">
      <alignment horizontal="center"/>
    </xf>
    <xf numFmtId="43" fontId="2" fillId="0" borderId="0" xfId="2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4" fillId="0" borderId="0" xfId="0" applyFont="1" applyAlignment="1">
      <alignment horizontal="left"/>
    </xf>
    <xf numFmtId="164" fontId="2" fillId="0" borderId="3" xfId="1" applyNumberFormat="1" applyFont="1" applyBorder="1" applyAlignment="1" applyProtection="1">
      <alignment horizontal="center"/>
    </xf>
    <xf numFmtId="164" fontId="2" fillId="0" borderId="0" xfId="1" applyNumberFormat="1" applyFont="1" applyBorder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center"/>
    </xf>
    <xf numFmtId="168" fontId="2" fillId="0" borderId="2" xfId="5" applyNumberFormat="1" applyFont="1" applyBorder="1" applyProtection="1"/>
    <xf numFmtId="0" fontId="14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41" fontId="2" fillId="0" borderId="0" xfId="0" applyNumberFormat="1" applyFont="1"/>
    <xf numFmtId="41" fontId="5" fillId="0" borderId="0" xfId="0" applyNumberFormat="1" applyFont="1"/>
    <xf numFmtId="41" fontId="5" fillId="0" borderId="3" xfId="0" applyNumberFormat="1" applyFont="1" applyBorder="1"/>
    <xf numFmtId="0" fontId="5" fillId="0" borderId="3" xfId="0" applyFont="1" applyBorder="1" applyAlignment="1">
      <alignment horizontal="right"/>
    </xf>
    <xf numFmtId="41" fontId="5" fillId="0" borderId="2" xfId="0" applyNumberFormat="1" applyFont="1" applyBorder="1"/>
    <xf numFmtId="0" fontId="5" fillId="0" borderId="0" xfId="0" applyFont="1" applyAlignment="1">
      <alignment horizontal="right"/>
    </xf>
    <xf numFmtId="164" fontId="2" fillId="0" borderId="27" xfId="1" applyNumberFormat="1" applyFont="1" applyBorder="1" applyAlignment="1" applyProtection="1">
      <alignment horizontal="center"/>
    </xf>
    <xf numFmtId="0" fontId="5" fillId="0" borderId="28" xfId="0" applyFont="1" applyBorder="1"/>
    <xf numFmtId="0" fontId="5" fillId="0" borderId="28" xfId="0" applyFont="1" applyBorder="1" applyAlignment="1">
      <alignment horizontal="right"/>
    </xf>
    <xf numFmtId="41" fontId="5" fillId="0" borderId="28" xfId="0" applyNumberFormat="1" applyFont="1" applyBorder="1"/>
    <xf numFmtId="41" fontId="4" fillId="0" borderId="2" xfId="0" applyNumberFormat="1" applyFont="1" applyBorder="1"/>
    <xf numFmtId="165" fontId="2" fillId="0" borderId="0" xfId="2" applyNumberFormat="1" applyFont="1"/>
    <xf numFmtId="0" fontId="2" fillId="0" borderId="0" xfId="0" quotePrefix="1" applyFont="1" applyAlignment="1">
      <alignment horizontal="left"/>
    </xf>
    <xf numFmtId="171" fontId="2" fillId="0" borderId="0" xfId="0" quotePrefix="1" applyNumberFormat="1" applyFont="1"/>
    <xf numFmtId="171" fontId="5" fillId="0" borderId="0" xfId="0" applyNumberFormat="1" applyFont="1"/>
    <xf numFmtId="14" fontId="2" fillId="0" borderId="0" xfId="0" quotePrefix="1" applyNumberFormat="1" applyFont="1" applyAlignment="1">
      <alignment horizontal="left"/>
    </xf>
    <xf numFmtId="37" fontId="7" fillId="0" borderId="0" xfId="4" applyNumberFormat="1" applyFont="1"/>
    <xf numFmtId="0" fontId="5" fillId="0" borderId="1" xfId="0" applyFont="1" applyBorder="1"/>
    <xf numFmtId="169" fontId="2" fillId="0" borderId="0" xfId="0" applyNumberFormat="1" applyFont="1" applyAlignment="1">
      <alignment horizontal="left"/>
    </xf>
    <xf numFmtId="171" fontId="2" fillId="0" borderId="0" xfId="2" applyNumberFormat="1" applyFont="1"/>
    <xf numFmtId="165" fontId="2" fillId="0" borderId="0" xfId="2" applyNumberFormat="1" applyFont="1" applyAlignment="1">
      <alignment horizontal="center"/>
    </xf>
    <xf numFmtId="165" fontId="2" fillId="0" borderId="0" xfId="2" quotePrefix="1" applyNumberFormat="1" applyFont="1"/>
    <xf numFmtId="43" fontId="2" fillId="0" borderId="0" xfId="2" applyFont="1" applyAlignment="1">
      <alignment horizontal="center"/>
    </xf>
    <xf numFmtId="165" fontId="2" fillId="0" borderId="2" xfId="2" applyNumberFormat="1" applyFont="1" applyFill="1" applyBorder="1"/>
    <xf numFmtId="0" fontId="5" fillId="0" borderId="0" xfId="0" applyFont="1" applyAlignment="1">
      <alignment vertical="center"/>
    </xf>
    <xf numFmtId="0" fontId="2" fillId="0" borderId="28" xfId="0" applyFont="1" applyBorder="1"/>
    <xf numFmtId="0" fontId="2" fillId="0" borderId="0" xfId="0" applyFont="1" applyAlignment="1">
      <alignment horizontal="right"/>
    </xf>
    <xf numFmtId="165" fontId="2" fillId="0" borderId="0" xfId="0" applyNumberFormat="1" applyFont="1"/>
    <xf numFmtId="170" fontId="2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2" fillId="0" borderId="3" xfId="2" applyNumberFormat="1" applyFont="1" applyFill="1" applyBorder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4" applyFont="1" applyAlignment="1">
      <alignment horizontal="centerContinuous"/>
    </xf>
    <xf numFmtId="0" fontId="7" fillId="0" borderId="0" xfId="4" applyFont="1" applyAlignment="1">
      <alignment horizontal="right"/>
    </xf>
    <xf numFmtId="0" fontId="7" fillId="0" borderId="0" xfId="4" applyFont="1"/>
    <xf numFmtId="0" fontId="12" fillId="0" borderId="0" xfId="4" applyFont="1"/>
    <xf numFmtId="0" fontId="7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2" fontId="7" fillId="0" borderId="0" xfId="4" applyNumberFormat="1" applyFont="1" applyAlignment="1">
      <alignment horizontal="center"/>
    </xf>
    <xf numFmtId="0" fontId="13" fillId="0" borderId="0" xfId="4" applyFont="1" applyAlignment="1">
      <alignment horizontal="centerContinuous"/>
    </xf>
    <xf numFmtId="0" fontId="7" fillId="0" borderId="1" xfId="4" applyFont="1" applyBorder="1" applyAlignment="1">
      <alignment horizontal="center" wrapText="1"/>
    </xf>
    <xf numFmtId="0" fontId="12" fillId="0" borderId="1" xfId="4" applyFont="1" applyBorder="1" applyAlignment="1">
      <alignment horizontal="center" wrapText="1"/>
    </xf>
    <xf numFmtId="0" fontId="13" fillId="0" borderId="0" xfId="4" applyFont="1"/>
    <xf numFmtId="165" fontId="7" fillId="0" borderId="0" xfId="2" applyNumberFormat="1" applyFont="1" applyFill="1"/>
    <xf numFmtId="37" fontId="7" fillId="0" borderId="1" xfId="4" applyNumberFormat="1" applyFont="1" applyBorder="1"/>
    <xf numFmtId="0" fontId="7" fillId="0" borderId="5" xfId="4" applyFont="1" applyBorder="1"/>
    <xf numFmtId="37" fontId="7" fillId="0" borderId="5" xfId="4" applyNumberFormat="1" applyFont="1" applyBorder="1"/>
    <xf numFmtId="37" fontId="7" fillId="0" borderId="0" xfId="4" applyNumberFormat="1" applyFont="1" applyAlignment="1">
      <alignment horizontal="right"/>
    </xf>
    <xf numFmtId="0" fontId="7" fillId="0" borderId="6" xfId="4" applyFont="1" applyBorder="1"/>
    <xf numFmtId="37" fontId="7" fillId="0" borderId="6" xfId="4" applyNumberFormat="1" applyFont="1" applyBorder="1"/>
    <xf numFmtId="0" fontId="20" fillId="0" borderId="0" xfId="4" applyFont="1" applyAlignment="1">
      <alignment horizontal="centerContinuous"/>
    </xf>
    <xf numFmtId="0" fontId="7" fillId="0" borderId="1" xfId="4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5" fillId="0" borderId="2" xfId="2" applyNumberFormat="1" applyFont="1" applyBorder="1" applyAlignment="1">
      <alignment vertical="center"/>
    </xf>
    <xf numFmtId="168" fontId="2" fillId="0" borderId="3" xfId="5" applyNumberFormat="1" applyFont="1" applyFill="1" applyBorder="1" applyProtection="1"/>
    <xf numFmtId="0" fontId="15" fillId="0" borderId="1" xfId="0" applyFont="1" applyBorder="1" applyAlignment="1">
      <alignment horizontal="center"/>
    </xf>
    <xf numFmtId="170" fontId="15" fillId="0" borderId="1" xfId="0" quotePrefix="1" applyNumberFormat="1" applyFont="1" applyBorder="1" applyAlignment="1">
      <alignment horizontal="center"/>
    </xf>
    <xf numFmtId="0" fontId="19" fillId="0" borderId="0" xfId="0" applyFont="1"/>
    <xf numFmtId="165" fontId="2" fillId="0" borderId="0" xfId="2" applyNumberFormat="1" applyFont="1" applyProtection="1"/>
    <xf numFmtId="0" fontId="21" fillId="0" borderId="0" xfId="0" applyFont="1" applyAlignment="1">
      <alignment horizontal="left"/>
    </xf>
    <xf numFmtId="0" fontId="21" fillId="0" borderId="0" xfId="0" applyFont="1"/>
    <xf numFmtId="165" fontId="4" fillId="0" borderId="0" xfId="2" applyNumberFormat="1" applyFont="1" applyFill="1" applyAlignment="1"/>
    <xf numFmtId="165" fontId="4" fillId="0" borderId="0" xfId="2" applyNumberFormat="1" applyFont="1" applyFill="1" applyAlignment="1">
      <alignment horizontal="center"/>
    </xf>
    <xf numFmtId="165" fontId="2" fillId="0" borderId="3" xfId="2" applyNumberFormat="1" applyFont="1" applyBorder="1" applyProtection="1"/>
    <xf numFmtId="165" fontId="0" fillId="0" borderId="0" xfId="2" applyNumberFormat="1" applyFont="1" applyFill="1"/>
    <xf numFmtId="165" fontId="2" fillId="0" borderId="0" xfId="2" applyNumberFormat="1" applyFont="1" applyFill="1" applyProtection="1"/>
    <xf numFmtId="165" fontId="2" fillId="0" borderId="0" xfId="2" applyNumberFormat="1" applyFont="1" applyBorder="1" applyProtection="1"/>
    <xf numFmtId="165" fontId="2" fillId="0" borderId="2" xfId="2" applyNumberFormat="1" applyFont="1" applyBorder="1" applyProtection="1"/>
    <xf numFmtId="43" fontId="2" fillId="0" borderId="0" xfId="2" applyFont="1" applyFill="1"/>
    <xf numFmtId="43" fontId="2" fillId="0" borderId="0" xfId="2" applyFont="1" applyFill="1" applyBorder="1"/>
    <xf numFmtId="0" fontId="15" fillId="0" borderId="0" xfId="0" applyFont="1" applyAlignment="1">
      <alignment horizontal="right"/>
    </xf>
    <xf numFmtId="10" fontId="2" fillId="0" borderId="0" xfId="5" applyNumberFormat="1" applyFont="1" applyAlignment="1">
      <alignment horizontal="right"/>
    </xf>
    <xf numFmtId="0" fontId="14" fillId="0" borderId="0" xfId="0" applyFont="1"/>
    <xf numFmtId="165" fontId="2" fillId="0" borderId="28" xfId="2" applyNumberFormat="1" applyFont="1" applyFill="1" applyBorder="1"/>
    <xf numFmtId="10" fontId="2" fillId="0" borderId="0" xfId="5" applyNumberFormat="1" applyFont="1" applyFill="1"/>
    <xf numFmtId="41" fontId="18" fillId="3" borderId="0" xfId="0" applyNumberFormat="1" applyFont="1" applyFill="1"/>
    <xf numFmtId="164" fontId="5" fillId="0" borderId="1" xfId="1" applyNumberFormat="1" applyFont="1" applyBorder="1" applyAlignment="1">
      <alignment horizontal="right"/>
    </xf>
    <xf numFmtId="165" fontId="2" fillId="0" borderId="0" xfId="2" applyNumberFormat="1" applyFont="1" applyBorder="1"/>
    <xf numFmtId="165" fontId="2" fillId="0" borderId="0" xfId="2" applyNumberFormat="1" applyFont="1" applyBorder="1" applyAlignment="1">
      <alignment horizontal="center"/>
    </xf>
    <xf numFmtId="165" fontId="2" fillId="0" borderId="0" xfId="2" quotePrefix="1" applyNumberFormat="1" applyFont="1" applyBorder="1"/>
    <xf numFmtId="165" fontId="2" fillId="0" borderId="0" xfId="2" quotePrefix="1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29" xfId="0" applyBorder="1"/>
    <xf numFmtId="14" fontId="0" fillId="0" borderId="2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Border="1"/>
    <xf numFmtId="14" fontId="0" fillId="0" borderId="3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/>
    <xf numFmtId="14" fontId="0" fillId="0" borderId="31" xfId="0" applyNumberFormat="1" applyBorder="1" applyAlignment="1">
      <alignment horizontal="center"/>
    </xf>
    <xf numFmtId="44" fontId="0" fillId="0" borderId="0" xfId="1" applyFont="1"/>
    <xf numFmtId="164" fontId="0" fillId="0" borderId="0" xfId="1" applyNumberFormat="1" applyFont="1"/>
    <xf numFmtId="0" fontId="0" fillId="0" borderId="2" xfId="0" applyBorder="1" applyAlignment="1">
      <alignment horizontal="center"/>
    </xf>
    <xf numFmtId="164" fontId="0" fillId="0" borderId="0" xfId="0" applyNumberFormat="1"/>
    <xf numFmtId="164" fontId="0" fillId="0" borderId="29" xfId="1" applyNumberFormat="1" applyFont="1" applyBorder="1" applyAlignment="1">
      <alignment horizontal="right"/>
    </xf>
    <xf numFmtId="164" fontId="0" fillId="0" borderId="29" xfId="1" applyNumberFormat="1" applyFont="1" applyBorder="1"/>
    <xf numFmtId="164" fontId="0" fillId="0" borderId="30" xfId="1" applyNumberFormat="1" applyFont="1" applyBorder="1" applyAlignment="1">
      <alignment horizontal="right"/>
    </xf>
    <xf numFmtId="164" fontId="0" fillId="0" borderId="30" xfId="1" applyNumberFormat="1" applyFont="1" applyBorder="1"/>
    <xf numFmtId="164" fontId="0" fillId="0" borderId="31" xfId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center"/>
    </xf>
    <xf numFmtId="44" fontId="5" fillId="0" borderId="0" xfId="1" applyFont="1" applyAlignment="1">
      <alignment horizontal="center"/>
    </xf>
    <xf numFmtId="44" fontId="5" fillId="0" borderId="0" xfId="1" applyFont="1" applyAlignment="1">
      <alignment horizontal="right"/>
    </xf>
    <xf numFmtId="0" fontId="5" fillId="0" borderId="2" xfId="0" applyFont="1" applyBorder="1" applyAlignment="1">
      <alignment horizontal="center"/>
    </xf>
    <xf numFmtId="44" fontId="5" fillId="0" borderId="2" xfId="1" applyFont="1" applyBorder="1" applyAlignment="1">
      <alignment horizontal="right"/>
    </xf>
    <xf numFmtId="164" fontId="4" fillId="0" borderId="0" xfId="0" applyNumberFormat="1" applyFont="1"/>
    <xf numFmtId="164" fontId="19" fillId="0" borderId="0" xfId="0" applyNumberFormat="1" applyFont="1"/>
    <xf numFmtId="0" fontId="2" fillId="0" borderId="0" xfId="0" applyFont="1" applyAlignment="1">
      <alignment horizontal="left" vertical="top"/>
    </xf>
    <xf numFmtId="14" fontId="5" fillId="0" borderId="0" xfId="0" applyNumberFormat="1" applyFont="1" applyAlignment="1">
      <alignment horizontal="center"/>
    </xf>
    <xf numFmtId="43" fontId="2" fillId="0" borderId="27" xfId="2" applyFont="1" applyFill="1" applyBorder="1"/>
    <xf numFmtId="0" fontId="4" fillId="0" borderId="0" xfId="0" applyFont="1" applyAlignment="1">
      <alignment horizontal="center"/>
    </xf>
    <xf numFmtId="0" fontId="20" fillId="0" borderId="0" xfId="4" applyFont="1" applyAlignment="1">
      <alignment horizontal="center"/>
    </xf>
    <xf numFmtId="0" fontId="4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9" fontId="2" fillId="0" borderId="0" xfId="5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"/>
    </xf>
    <xf numFmtId="170" fontId="23" fillId="0" borderId="1" xfId="0" quotePrefix="1" applyNumberFormat="1" applyFont="1" applyBorder="1" applyAlignment="1">
      <alignment horizontal="center"/>
    </xf>
    <xf numFmtId="165" fontId="24" fillId="0" borderId="0" xfId="0" applyNumberFormat="1" applyFont="1"/>
    <xf numFmtId="165" fontId="24" fillId="0" borderId="0" xfId="2" applyNumberFormat="1" applyFont="1" applyFill="1"/>
    <xf numFmtId="165" fontId="24" fillId="0" borderId="3" xfId="2" applyNumberFormat="1" applyFont="1" applyFill="1" applyBorder="1"/>
    <xf numFmtId="165" fontId="24" fillId="0" borderId="28" xfId="2" applyNumberFormat="1" applyFont="1" applyFill="1" applyBorder="1"/>
    <xf numFmtId="165" fontId="24" fillId="0" borderId="2" xfId="2" applyNumberFormat="1" applyFont="1" applyFill="1" applyBorder="1"/>
    <xf numFmtId="43" fontId="24" fillId="0" borderId="0" xfId="2" applyFont="1" applyFill="1"/>
    <xf numFmtId="164" fontId="24" fillId="0" borderId="0" xfId="1" applyNumberFormat="1" applyFont="1" applyFill="1" applyAlignment="1">
      <alignment horizontal="right"/>
    </xf>
    <xf numFmtId="0" fontId="2" fillId="0" borderId="27" xfId="0" applyFont="1" applyBorder="1"/>
    <xf numFmtId="165" fontId="2" fillId="0" borderId="0" xfId="0" applyNumberFormat="1" applyFont="1" applyFill="1" applyBorder="1"/>
    <xf numFmtId="0" fontId="6" fillId="0" borderId="0" xfId="0" applyFont="1" applyFill="1" applyAlignment="1">
      <alignment horizontal="right"/>
    </xf>
    <xf numFmtId="164" fontId="24" fillId="0" borderId="0" xfId="1" applyNumberFormat="1" applyFont="1"/>
    <xf numFmtId="41" fontId="24" fillId="0" borderId="0" xfId="0" applyNumberFormat="1" applyFont="1" applyFill="1"/>
    <xf numFmtId="10" fontId="24" fillId="0" borderId="0" xfId="0" applyNumberFormat="1" applyFont="1" applyFill="1"/>
    <xf numFmtId="41" fontId="24" fillId="0" borderId="3" xfId="0" applyNumberFormat="1" applyFont="1" applyFill="1" applyBorder="1"/>
    <xf numFmtId="0" fontId="24" fillId="0" borderId="0" xfId="0" applyFont="1" applyFill="1"/>
    <xf numFmtId="168" fontId="24" fillId="0" borderId="0" xfId="0" applyNumberFormat="1" applyFont="1" applyFill="1"/>
    <xf numFmtId="41" fontId="24" fillId="0" borderId="28" xfId="0" applyNumberFormat="1" applyFont="1" applyFill="1" applyBorder="1"/>
    <xf numFmtId="168" fontId="24" fillId="0" borderId="3" xfId="5" applyNumberFormat="1" applyFont="1" applyFill="1" applyBorder="1" applyProtection="1"/>
    <xf numFmtId="168" fontId="24" fillId="0" borderId="0" xfId="5" applyNumberFormat="1" applyFont="1" applyFill="1" applyBorder="1" applyProtection="1"/>
    <xf numFmtId="10" fontId="24" fillId="0" borderId="0" xfId="5" applyNumberFormat="1" applyFont="1" applyFill="1" applyBorder="1" applyProtection="1"/>
    <xf numFmtId="165" fontId="24" fillId="0" borderId="0" xfId="2" applyNumberFormat="1" applyFont="1"/>
    <xf numFmtId="165" fontId="24" fillId="0" borderId="0" xfId="2" applyNumberFormat="1" applyFont="1" applyBorder="1"/>
    <xf numFmtId="164" fontId="24" fillId="0" borderId="0" xfId="1" applyNumberFormat="1" applyFont="1" applyBorder="1"/>
    <xf numFmtId="164" fontId="24" fillId="0" borderId="0" xfId="1" applyNumberFormat="1" applyFont="1" applyFill="1"/>
    <xf numFmtId="164" fontId="24" fillId="0" borderId="0" xfId="1" applyNumberFormat="1" applyFont="1" applyFill="1" applyBorder="1"/>
    <xf numFmtId="2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3" applyFont="1" applyFill="1" applyAlignment="1">
      <alignment horizontal="right"/>
    </xf>
    <xf numFmtId="0" fontId="23" fillId="0" borderId="0" xfId="3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3" applyFont="1" applyFill="1"/>
    <xf numFmtId="0" fontId="24" fillId="0" borderId="1" xfId="0" applyFont="1" applyFill="1" applyBorder="1" applyAlignment="1">
      <alignment horizontal="center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0" borderId="0" xfId="3" applyFont="1" applyFill="1" applyAlignment="1">
      <alignment horizontal="center"/>
    </xf>
    <xf numFmtId="0" fontId="24" fillId="0" borderId="1" xfId="0" applyFont="1" applyFill="1" applyBorder="1" applyAlignment="1">
      <alignment horizontal="center"/>
    </xf>
    <xf numFmtId="170" fontId="24" fillId="0" borderId="1" xfId="0" quotePrefix="1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Continuous"/>
    </xf>
    <xf numFmtId="0" fontId="24" fillId="0" borderId="7" xfId="0" applyFont="1" applyFill="1" applyBorder="1" applyAlignment="1">
      <alignment horizontal="centerContinuous"/>
    </xf>
    <xf numFmtId="0" fontId="24" fillId="0" borderId="8" xfId="0" applyFont="1" applyFill="1" applyBorder="1" applyAlignment="1">
      <alignment horizontal="centerContinuous"/>
    </xf>
    <xf numFmtId="0" fontId="24" fillId="0" borderId="9" xfId="0" applyFont="1" applyFill="1" applyBorder="1" applyAlignment="1">
      <alignment horizontal="centerContinuous"/>
    </xf>
    <xf numFmtId="0" fontId="24" fillId="0" borderId="10" xfId="0" applyFont="1" applyFill="1" applyBorder="1" applyAlignment="1">
      <alignment horizontal="center" wrapText="1"/>
    </xf>
    <xf numFmtId="0" fontId="24" fillId="0" borderId="11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164" fontId="24" fillId="0" borderId="0" xfId="1" applyNumberFormat="1" applyFont="1" applyFill="1" applyAlignment="1">
      <alignment horizontal="center" wrapText="1"/>
    </xf>
    <xf numFmtId="168" fontId="24" fillId="0" borderId="0" xfId="5" applyNumberFormat="1" applyFont="1" applyFill="1"/>
    <xf numFmtId="14" fontId="24" fillId="0" borderId="0" xfId="0" applyNumberFormat="1" applyFont="1" applyFill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0" borderId="16" xfId="0" applyFont="1" applyFill="1" applyBorder="1"/>
    <xf numFmtId="0" fontId="24" fillId="0" borderId="17" xfId="0" applyFont="1" applyFill="1" applyBorder="1"/>
    <xf numFmtId="0" fontId="24" fillId="0" borderId="18" xfId="0" quotePrefix="1" applyFont="1" applyFill="1" applyBorder="1" applyAlignment="1">
      <alignment horizontal="left" wrapText="1"/>
    </xf>
    <xf numFmtId="0" fontId="24" fillId="0" borderId="19" xfId="0" quotePrefix="1" applyFont="1" applyFill="1" applyBorder="1" applyAlignment="1">
      <alignment horizontal="left" wrapText="1"/>
    </xf>
    <xf numFmtId="0" fontId="24" fillId="0" borderId="19" xfId="0" applyFont="1" applyFill="1" applyBorder="1" applyAlignment="1">
      <alignment horizontal="center" wrapText="1"/>
    </xf>
    <xf numFmtId="0" fontId="24" fillId="0" borderId="20" xfId="0" applyFont="1" applyFill="1" applyBorder="1" applyAlignment="1">
      <alignment horizontal="center" wrapText="1"/>
    </xf>
    <xf numFmtId="0" fontId="24" fillId="0" borderId="21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4" fillId="0" borderId="23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4" fillId="0" borderId="24" xfId="0" applyFont="1" applyFill="1" applyBorder="1" applyAlignment="1">
      <alignment horizontal="center"/>
    </xf>
    <xf numFmtId="37" fontId="24" fillId="0" borderId="24" xfId="0" applyNumberFormat="1" applyFont="1" applyFill="1" applyBorder="1" applyAlignment="1">
      <alignment horizontal="center" wrapText="1"/>
    </xf>
    <xf numFmtId="0" fontId="24" fillId="0" borderId="25" xfId="0" applyFont="1" applyFill="1" applyBorder="1" applyAlignment="1">
      <alignment horizontal="center"/>
    </xf>
    <xf numFmtId="169" fontId="24" fillId="0" borderId="0" xfId="0" applyNumberFormat="1" applyFont="1" applyFill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23" xfId="0" applyFont="1" applyFill="1" applyBorder="1" applyAlignment="1">
      <alignment horizontal="center"/>
    </xf>
    <xf numFmtId="164" fontId="24" fillId="0" borderId="0" xfId="1" applyNumberFormat="1" applyFont="1" applyFill="1" applyAlignment="1">
      <alignment horizontal="center"/>
    </xf>
    <xf numFmtId="169" fontId="24" fillId="0" borderId="0" xfId="0" applyNumberFormat="1" applyFont="1" applyFill="1" applyAlignment="1">
      <alignment horizontal="center" wrapText="1"/>
    </xf>
    <xf numFmtId="1" fontId="24" fillId="0" borderId="0" xfId="2" applyNumberFormat="1" applyFont="1" applyFill="1" applyAlignment="1">
      <alignment horizontal="center"/>
    </xf>
    <xf numFmtId="49" fontId="2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3" fillId="0" borderId="0" xfId="0" applyFont="1" applyFill="1" applyAlignment="1">
      <alignment horizontal="center"/>
    </xf>
    <xf numFmtId="41" fontId="24" fillId="0" borderId="0" xfId="2" applyNumberFormat="1" applyFont="1" applyFill="1"/>
    <xf numFmtId="44" fontId="24" fillId="0" borderId="0" xfId="1" applyFont="1" applyFill="1"/>
    <xf numFmtId="37" fontId="24" fillId="0" borderId="0" xfId="0" applyNumberFormat="1" applyFont="1" applyFill="1"/>
    <xf numFmtId="43" fontId="24" fillId="0" borderId="0" xfId="0" applyNumberFormat="1" applyFont="1" applyFill="1"/>
    <xf numFmtId="164" fontId="24" fillId="0" borderId="0" xfId="0" applyNumberFormat="1" applyFont="1" applyFill="1"/>
    <xf numFmtId="0" fontId="24" fillId="0" borderId="3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43" fontId="23" fillId="0" borderId="3" xfId="2" applyFont="1" applyFill="1" applyBorder="1"/>
    <xf numFmtId="41" fontId="23" fillId="0" borderId="3" xfId="2" applyNumberFormat="1" applyFont="1" applyFill="1" applyBorder="1"/>
    <xf numFmtId="0" fontId="23" fillId="0" borderId="3" xfId="0" applyFont="1" applyFill="1" applyBorder="1"/>
    <xf numFmtId="38" fontId="23" fillId="0" borderId="3" xfId="2" applyNumberFormat="1" applyFont="1" applyFill="1" applyBorder="1"/>
    <xf numFmtId="164" fontId="24" fillId="0" borderId="3" xfId="1" applyNumberFormat="1" applyFont="1" applyFill="1" applyBorder="1"/>
    <xf numFmtId="2" fontId="24" fillId="0" borderId="0" xfId="0" applyNumberFormat="1" applyFont="1" applyFill="1"/>
    <xf numFmtId="43" fontId="23" fillId="0" borderId="0" xfId="2" applyFont="1" applyFill="1"/>
    <xf numFmtId="41" fontId="23" fillId="0" borderId="0" xfId="2" applyNumberFormat="1" applyFont="1" applyFill="1"/>
    <xf numFmtId="0" fontId="23" fillId="0" borderId="0" xfId="0" applyFont="1" applyFill="1"/>
    <xf numFmtId="44" fontId="24" fillId="0" borderId="0" xfId="1" applyFont="1" applyFill="1" applyBorder="1"/>
    <xf numFmtId="165" fontId="23" fillId="0" borderId="3" xfId="2" applyNumberFormat="1" applyFont="1" applyFill="1" applyBorder="1"/>
    <xf numFmtId="43" fontId="23" fillId="0" borderId="0" xfId="2" applyFont="1" applyFill="1" applyBorder="1"/>
    <xf numFmtId="41" fontId="23" fillId="0" borderId="0" xfId="2" applyNumberFormat="1" applyFont="1" applyFill="1" applyBorder="1"/>
    <xf numFmtId="38" fontId="23" fillId="0" borderId="0" xfId="2" applyNumberFormat="1" applyFont="1" applyFill="1" applyBorder="1"/>
    <xf numFmtId="38" fontId="24" fillId="0" borderId="3" xfId="2" applyNumberFormat="1" applyFont="1" applyFill="1" applyBorder="1"/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43" fontId="23" fillId="0" borderId="0" xfId="2" applyFont="1" applyFill="1" applyAlignment="1">
      <alignment vertical="center"/>
    </xf>
    <xf numFmtId="43" fontId="24" fillId="0" borderId="0" xfId="2" applyFont="1" applyFill="1" applyAlignment="1">
      <alignment vertical="center"/>
    </xf>
    <xf numFmtId="41" fontId="23" fillId="0" borderId="0" xfId="2" applyNumberFormat="1" applyFont="1" applyFill="1" applyAlignment="1">
      <alignment vertical="center"/>
    </xf>
    <xf numFmtId="0" fontId="2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38" fontId="23" fillId="0" borderId="0" xfId="2" applyNumberFormat="1" applyFont="1" applyFill="1" applyAlignment="1">
      <alignment vertical="center"/>
    </xf>
    <xf numFmtId="0" fontId="24" fillId="0" borderId="0" xfId="3" applyFont="1" applyFill="1" applyAlignment="1">
      <alignment horizontal="center" vertical="center"/>
    </xf>
    <xf numFmtId="164" fontId="24" fillId="0" borderId="0" xfId="1" applyNumberFormat="1" applyFont="1" applyFill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vertic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 applyAlignment="1">
      <alignment vertical="top" wrapText="1"/>
    </xf>
    <xf numFmtId="0" fontId="24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 wrapText="1"/>
    </xf>
    <xf numFmtId="0" fontId="24" fillId="0" borderId="0" xfId="0" applyFont="1" applyFill="1" applyAlignment="1">
      <alignment wrapText="1"/>
    </xf>
    <xf numFmtId="164" fontId="24" fillId="0" borderId="0" xfId="1" applyNumberFormat="1" applyFont="1" applyFill="1" applyBorder="1" applyProtection="1"/>
    <xf numFmtId="0" fontId="24" fillId="0" borderId="3" xfId="0" applyFont="1" applyFill="1" applyBorder="1"/>
    <xf numFmtId="164" fontId="24" fillId="0" borderId="3" xfId="1" applyNumberFormat="1" applyFont="1" applyFill="1" applyBorder="1" applyAlignment="1" applyProtection="1">
      <alignment horizontal="center"/>
    </xf>
    <xf numFmtId="164" fontId="24" fillId="0" borderId="27" xfId="0" applyNumberFormat="1" applyFont="1" applyFill="1" applyBorder="1"/>
    <xf numFmtId="164" fontId="24" fillId="0" borderId="0" xfId="1" applyNumberFormat="1" applyFont="1" applyFill="1" applyBorder="1" applyAlignment="1" applyProtection="1">
      <alignment horizontal="center"/>
    </xf>
    <xf numFmtId="164" fontId="24" fillId="0" borderId="3" xfId="0" applyNumberFormat="1" applyFont="1" applyFill="1" applyBorder="1"/>
    <xf numFmtId="0" fontId="24" fillId="0" borderId="2" xfId="0" applyFont="1" applyFill="1" applyBorder="1" applyAlignment="1">
      <alignment horizontal="center"/>
    </xf>
    <xf numFmtId="0" fontId="24" fillId="0" borderId="2" xfId="0" applyFont="1" applyFill="1" applyBorder="1"/>
    <xf numFmtId="164" fontId="24" fillId="0" borderId="2" xfId="1" applyNumberFormat="1" applyFont="1" applyFill="1" applyBorder="1" applyAlignment="1" applyProtection="1">
      <alignment horizontal="center"/>
    </xf>
    <xf numFmtId="168" fontId="24" fillId="0" borderId="2" xfId="5" applyNumberFormat="1" applyFont="1" applyFill="1" applyBorder="1" applyProtection="1"/>
    <xf numFmtId="164" fontId="24" fillId="0" borderId="2" xfId="1" applyNumberFormat="1" applyFont="1" applyFill="1" applyBorder="1" applyAlignment="1" applyProtection="1"/>
    <xf numFmtId="0" fontId="26" fillId="0" borderId="0" xfId="0" applyFont="1" applyFill="1" applyAlignment="1">
      <alignment horizontal="right"/>
    </xf>
    <xf numFmtId="164" fontId="24" fillId="0" borderId="0" xfId="1" applyNumberFormat="1" applyFont="1" applyFill="1" applyProtection="1"/>
    <xf numFmtId="2" fontId="24" fillId="0" borderId="0" xfId="0" quotePrefix="1" applyNumberFormat="1" applyFont="1" applyFill="1" applyAlignment="1">
      <alignment horizontal="center"/>
    </xf>
    <xf numFmtId="168" fontId="24" fillId="0" borderId="3" xfId="5" applyNumberFormat="1" applyFont="1" applyFill="1" applyBorder="1"/>
    <xf numFmtId="167" fontId="24" fillId="0" borderId="0" xfId="2" applyNumberFormat="1" applyFont="1" applyFill="1"/>
    <xf numFmtId="0" fontId="23" fillId="0" borderId="0" xfId="3" applyFont="1" applyFill="1"/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wrapText="1"/>
    </xf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wrapText="1"/>
    </xf>
    <xf numFmtId="0" fontId="27" fillId="0" borderId="0" xfId="0" applyFont="1" applyFill="1" applyAlignment="1">
      <alignment horizontal="center"/>
    </xf>
    <xf numFmtId="44" fontId="27" fillId="0" borderId="0" xfId="1" applyFont="1" applyFill="1" applyAlignment="1">
      <alignment horizontal="center"/>
    </xf>
    <xf numFmtId="44" fontId="27" fillId="0" borderId="0" xfId="1" applyFont="1" applyFill="1"/>
    <xf numFmtId="44" fontId="27" fillId="0" borderId="0" xfId="0" applyNumberFormat="1" applyFont="1" applyFill="1"/>
    <xf numFmtId="43" fontId="27" fillId="0" borderId="0" xfId="2" applyFont="1" applyFill="1"/>
    <xf numFmtId="0" fontId="27" fillId="0" borderId="3" xfId="0" applyFont="1" applyFill="1" applyBorder="1" applyAlignment="1">
      <alignment horizontal="center"/>
    </xf>
    <xf numFmtId="44" fontId="27" fillId="0" borderId="3" xfId="1" applyFont="1" applyFill="1" applyBorder="1"/>
    <xf numFmtId="0" fontId="27" fillId="0" borderId="3" xfId="0" applyFont="1" applyFill="1" applyBorder="1"/>
    <xf numFmtId="44" fontId="27" fillId="0" borderId="3" xfId="0" applyNumberFormat="1" applyFont="1" applyFill="1" applyBorder="1"/>
    <xf numFmtId="0" fontId="27" fillId="0" borderId="0" xfId="0" applyFont="1" applyFill="1" applyAlignment="1">
      <alignment horizontal="right"/>
    </xf>
    <xf numFmtId="0" fontId="28" fillId="0" borderId="0" xfId="0" applyFont="1" applyFill="1" applyAlignment="1">
      <alignment horizontal="right"/>
    </xf>
    <xf numFmtId="44" fontId="28" fillId="0" borderId="0" xfId="0" applyNumberFormat="1" applyFont="1" applyFill="1"/>
    <xf numFmtId="0" fontId="24" fillId="0" borderId="0" xfId="0" applyFont="1" applyFill="1" applyAlignment="1">
      <alignment horizontal="left" wrapText="1"/>
    </xf>
  </cellXfs>
  <cellStyles count="9">
    <cellStyle name="Comma" xfId="2" builtinId="3"/>
    <cellStyle name="Comma 2" xfId="6" xr:uid="{00000000-0005-0000-0000-000001000000}"/>
    <cellStyle name="Currency" xfId="1" builtinId="4"/>
    <cellStyle name="Currency 2" xfId="7" xr:uid="{00000000-0005-0000-0000-000003000000}"/>
    <cellStyle name="Normal" xfId="0" builtinId="0"/>
    <cellStyle name="Normal 2" xfId="3" xr:uid="{00000000-0005-0000-0000-000005000000}"/>
    <cellStyle name="Normal 3" xfId="4" xr:uid="{00000000-0005-0000-0000-000006000000}"/>
    <cellStyle name="Normal 4" xfId="8" xr:uid="{00000000-0005-0000-0000-000007000000}"/>
    <cellStyle name="Percent" xfId="5" builtinId="5"/>
  </cellStyles>
  <dxfs count="0"/>
  <tableStyles count="0" defaultTableStyle="TableStyleMedium2" defaultPivotStyle="PivotStyleLight16"/>
  <colors>
    <mruColors>
      <color rgb="FF000000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hnw\AppData\Local\Microsoft\Windows\INetCache\Content.Outlook\FKJI5GP0\Big%20Sandy%202022%20Rev%20Req_v2.xlsx" TargetMode="External"/><Relationship Id="rId1" Type="http://schemas.openxmlformats.org/officeDocument/2006/relationships/externalLinkPath" Target="file:///C:\Users\johnw\AppData\Local\Microsoft\Windows\INetCache\Content.Outlook\FKJI5GP0\Big%20Sandy%202022%20Rev%20Req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Req"/>
      <sheetName val="Adj List"/>
      <sheetName val="Adj BS"/>
      <sheetName val="Adj IS"/>
      <sheetName val="1.01 FAC"/>
      <sheetName val="1.02 ES"/>
      <sheetName val="1.03Depr"/>
      <sheetName val="1.04 Interest"/>
      <sheetName val="1.05 Cust"/>
      <sheetName val="1.06 RC"/>
      <sheetName val="1.07 Donat&amp;Promo"/>
      <sheetName val="1.08 PROF"/>
      <sheetName val="1.08 Outside"/>
      <sheetName val="1.09 DIR"/>
      <sheetName val="1.10 Wage"/>
      <sheetName val="1.11 LifeInsur"/>
      <sheetName val="1.12 GTCC"/>
      <sheetName val="1.13 Right of Way"/>
    </sheetNames>
    <sheetDataSet>
      <sheetData sheetId="0">
        <row r="1">
          <cell r="A1" t="str">
            <v>BIG SANDY RECC</v>
          </cell>
        </row>
        <row r="3">
          <cell r="A3" t="str">
            <v>For the 12 Months Ended December 31,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B316F-25FA-46CB-B606-A70B15489A97}">
  <sheetPr>
    <pageSetUpPr fitToPage="1"/>
  </sheetPr>
  <dimension ref="A1:L66"/>
  <sheetViews>
    <sheetView tabSelected="1" view="pageBreakPreview" topLeftCell="A4" zoomScale="75" zoomScaleNormal="75" zoomScaleSheetLayoutView="75" workbookViewId="0">
      <selection activeCell="I13" sqref="I13"/>
    </sheetView>
  </sheetViews>
  <sheetFormatPr defaultColWidth="9.109375" defaultRowHeight="13.2"/>
  <cols>
    <col min="1" max="1" width="9.109375" style="1"/>
    <col min="2" max="2" width="35.5546875" style="2" customWidth="1"/>
    <col min="3" max="3" width="14" style="193" bestFit="1" customWidth="1"/>
    <col min="4" max="4" width="13.21875" style="2" customWidth="1"/>
    <col min="5" max="5" width="14" style="2" bestFit="1" customWidth="1"/>
    <col min="6" max="6" width="16.21875" style="2" bestFit="1" customWidth="1"/>
    <col min="7" max="7" width="19.33203125" style="2" customWidth="1"/>
    <col min="8" max="8" width="13.33203125" style="2" bestFit="1" customWidth="1"/>
    <col min="9" max="9" width="15.109375" style="2" bestFit="1" customWidth="1"/>
    <col min="10" max="10" width="12" style="2" customWidth="1"/>
    <col min="11" max="11" width="9.109375" style="2"/>
    <col min="12" max="12" width="14.44140625" style="2" bestFit="1" customWidth="1"/>
    <col min="13" max="16384" width="9.109375" style="2"/>
  </cols>
  <sheetData>
    <row r="1" spans="1:12">
      <c r="A1" s="52" t="s">
        <v>29</v>
      </c>
      <c r="B1" s="52"/>
      <c r="C1" s="192"/>
      <c r="D1" s="52"/>
      <c r="E1" s="52"/>
    </row>
    <row r="2" spans="1:12">
      <c r="A2" s="52" t="s">
        <v>371</v>
      </c>
      <c r="B2" s="52"/>
      <c r="C2" s="192"/>
      <c r="D2" s="52"/>
      <c r="E2" s="52"/>
    </row>
    <row r="3" spans="1:12">
      <c r="A3" s="52" t="s">
        <v>374</v>
      </c>
      <c r="B3" s="52"/>
      <c r="C3" s="192"/>
      <c r="D3" s="52"/>
      <c r="E3" s="52"/>
      <c r="H3" s="82"/>
      <c r="I3" s="82"/>
    </row>
    <row r="4" spans="1:12">
      <c r="A4" s="57"/>
      <c r="E4" s="143"/>
    </row>
    <row r="5" spans="1:12">
      <c r="A5" s="57"/>
      <c r="E5" s="143"/>
      <c r="F5" s="144"/>
      <c r="G5" s="144"/>
      <c r="I5" s="191"/>
    </row>
    <row r="6" spans="1:12">
      <c r="C6" s="194" t="s">
        <v>134</v>
      </c>
      <c r="D6" s="57" t="s">
        <v>129</v>
      </c>
      <c r="E6" s="57" t="s">
        <v>126</v>
      </c>
      <c r="F6" s="57" t="s">
        <v>127</v>
      </c>
      <c r="G6" s="57" t="s">
        <v>127</v>
      </c>
    </row>
    <row r="7" spans="1:12">
      <c r="A7" s="57" t="s">
        <v>0</v>
      </c>
      <c r="B7" s="57" t="s">
        <v>1</v>
      </c>
      <c r="C7" s="194" t="s">
        <v>125</v>
      </c>
      <c r="D7" s="57" t="s">
        <v>15</v>
      </c>
      <c r="E7" s="57" t="s">
        <v>376</v>
      </c>
      <c r="F7" s="57" t="s">
        <v>376</v>
      </c>
      <c r="G7" s="57" t="s">
        <v>376</v>
      </c>
    </row>
    <row r="8" spans="1:12" s="52" customFormat="1">
      <c r="A8" s="128" t="s">
        <v>21</v>
      </c>
      <c r="B8" s="129">
        <v>1</v>
      </c>
      <c r="C8" s="195">
        <f>B8+1</f>
        <v>2</v>
      </c>
      <c r="D8" s="129">
        <f>C8+1</f>
        <v>3</v>
      </c>
      <c r="E8" s="129" t="s">
        <v>25</v>
      </c>
      <c r="F8" s="129" t="s">
        <v>57</v>
      </c>
      <c r="G8" s="129" t="s">
        <v>58</v>
      </c>
    </row>
    <row r="9" spans="1:12">
      <c r="A9" s="1">
        <v>1</v>
      </c>
      <c r="B9" s="145" t="s">
        <v>87</v>
      </c>
      <c r="C9" s="196"/>
      <c r="K9" s="97"/>
    </row>
    <row r="10" spans="1:12">
      <c r="A10" s="1">
        <f>A9+1</f>
        <v>2</v>
      </c>
      <c r="B10" s="2" t="s">
        <v>251</v>
      </c>
      <c r="C10" s="197">
        <v>28470742</v>
      </c>
      <c r="D10" s="46">
        <f>'Adj List'!D7+'Adj List'!D8+'Adj List'!D11</f>
        <v>-6039567.0499999998</v>
      </c>
      <c r="E10" s="46">
        <f>C10+D10</f>
        <v>22431174.949999999</v>
      </c>
      <c r="F10" s="46">
        <f>E10+F54</f>
        <v>23746567.162666902</v>
      </c>
      <c r="G10" s="46">
        <f>E10+G54</f>
        <v>23570004.629999999</v>
      </c>
      <c r="I10" s="98"/>
      <c r="J10" s="98"/>
      <c r="K10" s="98"/>
      <c r="L10" s="98"/>
    </row>
    <row r="11" spans="1:12">
      <c r="A11" s="1">
        <f t="shared" ref="A11:A55" si="0">A10+1</f>
        <v>3</v>
      </c>
      <c r="B11" s="2" t="s">
        <v>118</v>
      </c>
      <c r="C11" s="197">
        <v>836258</v>
      </c>
      <c r="D11" s="46"/>
      <c r="E11" s="46">
        <f>C11+D11</f>
        <v>836258</v>
      </c>
      <c r="F11" s="46">
        <f>E11</f>
        <v>836258</v>
      </c>
      <c r="G11" s="46">
        <f>E11</f>
        <v>836258</v>
      </c>
      <c r="L11" s="98"/>
    </row>
    <row r="12" spans="1:12">
      <c r="A12" s="1">
        <f t="shared" si="0"/>
        <v>4</v>
      </c>
      <c r="B12" s="48" t="s">
        <v>250</v>
      </c>
      <c r="C12" s="198">
        <f t="shared" ref="C12:G12" si="1">SUM(C10:C11)</f>
        <v>29307000</v>
      </c>
      <c r="D12" s="101">
        <f t="shared" si="1"/>
        <v>-6039567.0499999998</v>
      </c>
      <c r="E12" s="101">
        <f t="shared" si="1"/>
        <v>23267432.949999999</v>
      </c>
      <c r="F12" s="101">
        <f t="shared" si="1"/>
        <v>24582825.162666902</v>
      </c>
      <c r="G12" s="101">
        <f t="shared" si="1"/>
        <v>24406262.629999999</v>
      </c>
      <c r="H12" s="98"/>
      <c r="I12" s="98"/>
      <c r="J12" s="98"/>
      <c r="K12" s="98"/>
      <c r="L12" s="98"/>
    </row>
    <row r="13" spans="1:12">
      <c r="A13" s="1">
        <f t="shared" si="0"/>
        <v>5</v>
      </c>
      <c r="C13" s="197"/>
      <c r="D13" s="46"/>
      <c r="E13" s="46"/>
      <c r="F13" s="46"/>
      <c r="G13" s="46"/>
      <c r="H13" s="98"/>
      <c r="I13" s="98"/>
      <c r="J13" s="98"/>
      <c r="K13" s="98"/>
      <c r="L13" s="98"/>
    </row>
    <row r="14" spans="1:12">
      <c r="A14" s="1">
        <f t="shared" si="0"/>
        <v>6</v>
      </c>
      <c r="B14" s="145" t="s">
        <v>88</v>
      </c>
      <c r="C14" s="197"/>
      <c r="D14" s="46"/>
      <c r="E14" s="46"/>
      <c r="F14" s="46"/>
      <c r="G14" s="46"/>
      <c r="H14" s="98"/>
      <c r="I14" s="98"/>
      <c r="J14" s="98"/>
      <c r="K14" s="98"/>
      <c r="L14" s="98"/>
    </row>
    <row r="15" spans="1:12">
      <c r="A15" s="1">
        <f t="shared" si="0"/>
        <v>7</v>
      </c>
      <c r="B15" s="2" t="s">
        <v>89</v>
      </c>
      <c r="C15" s="197">
        <v>20333030</v>
      </c>
      <c r="D15" s="46">
        <f>'Adj List'!E7+'Adj List'!E8+'Adj List'!E11</f>
        <v>-5571010.6900000004</v>
      </c>
      <c r="E15" s="46">
        <f>C15+D15</f>
        <v>14762019.309999999</v>
      </c>
      <c r="F15" s="46">
        <f>E15</f>
        <v>14762019.309999999</v>
      </c>
      <c r="G15" s="46">
        <f>E15</f>
        <v>14762019.309999999</v>
      </c>
      <c r="H15" s="98"/>
      <c r="I15" s="98"/>
      <c r="J15" s="98"/>
      <c r="K15" s="98"/>
      <c r="L15" s="98"/>
    </row>
    <row r="16" spans="1:12">
      <c r="A16" s="1">
        <f t="shared" si="0"/>
        <v>8</v>
      </c>
      <c r="B16" s="2" t="s">
        <v>90</v>
      </c>
      <c r="C16" s="197">
        <v>1254745</v>
      </c>
      <c r="D16" s="46"/>
      <c r="E16" s="46">
        <f t="shared" ref="E16:E21" si="2">C16+D16</f>
        <v>1254745</v>
      </c>
      <c r="F16" s="46">
        <f t="shared" ref="F16:F21" si="3">E16</f>
        <v>1254745</v>
      </c>
      <c r="G16" s="46">
        <f>E16</f>
        <v>1254745</v>
      </c>
      <c r="H16" s="98"/>
      <c r="I16" s="98"/>
      <c r="J16" s="98"/>
      <c r="K16" s="98"/>
      <c r="L16" s="98"/>
    </row>
    <row r="17" spans="1:12">
      <c r="A17" s="1">
        <f t="shared" si="0"/>
        <v>9</v>
      </c>
      <c r="B17" s="2" t="s">
        <v>91</v>
      </c>
      <c r="C17" s="197">
        <v>1788522</v>
      </c>
      <c r="D17" s="46"/>
      <c r="E17" s="46">
        <f t="shared" si="2"/>
        <v>1788522</v>
      </c>
      <c r="F17" s="46">
        <f t="shared" si="3"/>
        <v>1788522</v>
      </c>
      <c r="G17" s="46">
        <f>E17</f>
        <v>1788522</v>
      </c>
      <c r="H17" s="98"/>
      <c r="I17" s="98"/>
      <c r="J17" s="98"/>
      <c r="K17" s="98"/>
      <c r="L17" s="98"/>
    </row>
    <row r="18" spans="1:12">
      <c r="A18" s="1">
        <f t="shared" si="0"/>
        <v>10</v>
      </c>
      <c r="B18" s="2" t="s">
        <v>92</v>
      </c>
      <c r="C18" s="197">
        <v>1149635</v>
      </c>
      <c r="D18" s="46"/>
      <c r="E18" s="46">
        <f t="shared" si="2"/>
        <v>1149635</v>
      </c>
      <c r="F18" s="46">
        <f t="shared" si="3"/>
        <v>1149635</v>
      </c>
      <c r="G18" s="46">
        <f>E18</f>
        <v>1149635</v>
      </c>
      <c r="H18" s="98"/>
      <c r="I18" s="98"/>
      <c r="J18" s="98"/>
      <c r="K18" s="98"/>
      <c r="L18" s="98"/>
    </row>
    <row r="19" spans="1:12">
      <c r="A19" s="1">
        <f t="shared" si="0"/>
        <v>11</v>
      </c>
      <c r="B19" s="2" t="s">
        <v>93</v>
      </c>
      <c r="C19" s="197">
        <v>110293</v>
      </c>
      <c r="D19" s="46"/>
      <c r="E19" s="46">
        <f t="shared" si="2"/>
        <v>110293</v>
      </c>
      <c r="F19" s="46">
        <f t="shared" si="3"/>
        <v>110293</v>
      </c>
      <c r="G19" s="46">
        <f>E19</f>
        <v>110293</v>
      </c>
      <c r="H19" s="98"/>
      <c r="I19" s="98"/>
      <c r="J19" s="98"/>
      <c r="K19" s="98"/>
      <c r="L19" s="98"/>
    </row>
    <row r="20" spans="1:12">
      <c r="A20" s="1">
        <f t="shared" si="0"/>
        <v>12</v>
      </c>
      <c r="B20" s="2" t="s">
        <v>94</v>
      </c>
      <c r="C20" s="197">
        <v>185</v>
      </c>
      <c r="D20" s="46"/>
      <c r="E20" s="46">
        <f t="shared" si="2"/>
        <v>185</v>
      </c>
      <c r="F20" s="46">
        <f t="shared" si="3"/>
        <v>185</v>
      </c>
      <c r="G20" s="46">
        <f>E20</f>
        <v>185</v>
      </c>
      <c r="H20" s="98"/>
      <c r="I20" s="98"/>
      <c r="J20" s="98"/>
      <c r="K20" s="98"/>
      <c r="L20" s="98"/>
    </row>
    <row r="21" spans="1:12">
      <c r="A21" s="1">
        <f t="shared" si="0"/>
        <v>13</v>
      </c>
      <c r="B21" s="2" t="s">
        <v>95</v>
      </c>
      <c r="C21" s="197">
        <v>1582779</v>
      </c>
      <c r="D21" s="46">
        <f>'Adj List'!E12+'Adj List'!E13+'Adj List'!E14+'Adj List'!E15+'Adj List'!E16+'Adj List'!E17</f>
        <v>188452.50266690366</v>
      </c>
      <c r="E21" s="46">
        <f t="shared" si="2"/>
        <v>1771231.5026669037</v>
      </c>
      <c r="F21" s="46">
        <f t="shared" si="3"/>
        <v>1771231.5026669037</v>
      </c>
      <c r="G21" s="46">
        <f>E21</f>
        <v>1771231.5026669037</v>
      </c>
      <c r="H21" s="98"/>
      <c r="I21" s="98"/>
      <c r="J21" s="98"/>
      <c r="K21" s="98"/>
      <c r="L21" s="98"/>
    </row>
    <row r="22" spans="1:12">
      <c r="A22" s="1">
        <f t="shared" si="0"/>
        <v>14</v>
      </c>
      <c r="B22" s="48" t="s">
        <v>96</v>
      </c>
      <c r="C22" s="198">
        <f>SUM(C15:C21)</f>
        <v>26219189</v>
      </c>
      <c r="D22" s="101">
        <f t="shared" ref="D22:G22" si="4">SUM(D15:D21)</f>
        <v>-5382558.1873330968</v>
      </c>
      <c r="E22" s="101">
        <f>SUM(E15:E21)</f>
        <v>20836630.8126669</v>
      </c>
      <c r="F22" s="101">
        <f t="shared" si="4"/>
        <v>20836630.8126669</v>
      </c>
      <c r="G22" s="101">
        <f t="shared" si="4"/>
        <v>20836630.8126669</v>
      </c>
      <c r="H22" s="98"/>
      <c r="I22" s="98"/>
      <c r="J22" s="98"/>
      <c r="K22" s="98"/>
      <c r="L22" s="98"/>
    </row>
    <row r="23" spans="1:12">
      <c r="A23" s="1">
        <f t="shared" si="0"/>
        <v>15</v>
      </c>
      <c r="C23" s="197"/>
      <c r="D23" s="46"/>
      <c r="E23" s="46"/>
      <c r="F23" s="46"/>
      <c r="G23" s="46"/>
      <c r="H23" s="98"/>
      <c r="I23" s="98"/>
      <c r="J23" s="98"/>
      <c r="K23" s="98"/>
      <c r="L23" s="98"/>
    </row>
    <row r="24" spans="1:12">
      <c r="A24" s="1">
        <f t="shared" si="0"/>
        <v>16</v>
      </c>
      <c r="B24" s="2" t="s">
        <v>97</v>
      </c>
      <c r="C24" s="197">
        <v>2521208</v>
      </c>
      <c r="D24" s="46">
        <f>'Adj List'!E9</f>
        <v>-169792.70000000013</v>
      </c>
      <c r="E24" s="46">
        <f>C24+D24</f>
        <v>2351415.2999999998</v>
      </c>
      <c r="F24" s="46">
        <f>E24</f>
        <v>2351415.2999999998</v>
      </c>
      <c r="G24" s="46">
        <f>E24</f>
        <v>2351415.2999999998</v>
      </c>
      <c r="H24" s="98"/>
      <c r="I24" s="98"/>
      <c r="J24" s="98"/>
      <c r="K24" s="98"/>
      <c r="L24" s="98"/>
    </row>
    <row r="25" spans="1:12">
      <c r="A25" s="1">
        <f t="shared" si="0"/>
        <v>17</v>
      </c>
      <c r="B25" s="2" t="s">
        <v>98</v>
      </c>
      <c r="C25" s="197">
        <v>29260</v>
      </c>
      <c r="D25" s="46"/>
      <c r="E25" s="46">
        <f>C25+D25</f>
        <v>29260</v>
      </c>
      <c r="F25" s="46">
        <f t="shared" ref="F25:F28" si="5">E25</f>
        <v>29260</v>
      </c>
      <c r="G25" s="46">
        <f>E25</f>
        <v>29260</v>
      </c>
      <c r="H25" s="98"/>
      <c r="I25" s="98"/>
      <c r="J25" s="98"/>
      <c r="K25" s="98"/>
      <c r="L25" s="98"/>
    </row>
    <row r="26" spans="1:12">
      <c r="A26" s="1">
        <f t="shared" si="0"/>
        <v>18</v>
      </c>
      <c r="B26" s="2" t="s">
        <v>85</v>
      </c>
      <c r="C26" s="197">
        <v>672533</v>
      </c>
      <c r="D26" s="46"/>
      <c r="E26" s="46">
        <f>C26+D26</f>
        <v>672533</v>
      </c>
      <c r="F26" s="46">
        <f t="shared" si="5"/>
        <v>672533</v>
      </c>
      <c r="G26" s="46">
        <f>E26</f>
        <v>672533</v>
      </c>
      <c r="H26" s="98"/>
      <c r="I26" s="98"/>
      <c r="J26" s="98"/>
      <c r="K26" s="98"/>
      <c r="L26" s="98"/>
    </row>
    <row r="27" spans="1:12">
      <c r="A27" s="1">
        <f t="shared" si="0"/>
        <v>19</v>
      </c>
      <c r="B27" s="2" t="s">
        <v>99</v>
      </c>
      <c r="C27" s="197">
        <v>144434</v>
      </c>
      <c r="D27" s="46"/>
      <c r="E27" s="46">
        <f>C27+D27</f>
        <v>144434</v>
      </c>
      <c r="F27" s="46">
        <f t="shared" si="5"/>
        <v>144434</v>
      </c>
      <c r="G27" s="46">
        <f>E27</f>
        <v>144434</v>
      </c>
      <c r="H27" s="98"/>
      <c r="I27" s="98"/>
      <c r="J27" s="98"/>
      <c r="K27" s="98"/>
      <c r="L27" s="98"/>
    </row>
    <row r="28" spans="1:12">
      <c r="A28" s="1">
        <f t="shared" si="0"/>
        <v>20</v>
      </c>
      <c r="B28" s="2" t="s">
        <v>100</v>
      </c>
      <c r="C28" s="197">
        <v>21627</v>
      </c>
      <c r="D28" s="46"/>
      <c r="E28" s="46">
        <f>C28+D28</f>
        <v>21627</v>
      </c>
      <c r="F28" s="46">
        <f t="shared" si="5"/>
        <v>21627</v>
      </c>
      <c r="G28" s="46">
        <f>E28</f>
        <v>21627</v>
      </c>
      <c r="H28" s="98"/>
      <c r="I28" s="98"/>
      <c r="J28" s="98"/>
      <c r="K28" s="98"/>
      <c r="L28" s="98"/>
    </row>
    <row r="29" spans="1:12">
      <c r="A29" s="1">
        <f t="shared" si="0"/>
        <v>21</v>
      </c>
      <c r="C29" s="197"/>
      <c r="D29" s="46"/>
      <c r="E29" s="46"/>
      <c r="F29" s="46"/>
      <c r="G29" s="46"/>
      <c r="H29" s="98"/>
      <c r="I29" s="98"/>
      <c r="J29" s="98"/>
      <c r="K29" s="98"/>
      <c r="L29" s="98"/>
    </row>
    <row r="30" spans="1:12">
      <c r="A30" s="1">
        <f t="shared" si="0"/>
        <v>22</v>
      </c>
      <c r="B30" s="96" t="s">
        <v>36</v>
      </c>
      <c r="C30" s="199">
        <f t="shared" ref="C30:G30" si="6">SUM(C22:C28)</f>
        <v>29608251</v>
      </c>
      <c r="D30" s="146">
        <f t="shared" si="6"/>
        <v>-5552350.8873330969</v>
      </c>
      <c r="E30" s="146">
        <f t="shared" si="6"/>
        <v>24055900.112666901</v>
      </c>
      <c r="F30" s="146">
        <f t="shared" si="6"/>
        <v>24055900.112666901</v>
      </c>
      <c r="G30" s="146">
        <f t="shared" si="6"/>
        <v>24055900.112666901</v>
      </c>
      <c r="H30" s="98"/>
      <c r="I30" s="98"/>
      <c r="J30" s="98"/>
      <c r="K30" s="98"/>
      <c r="L30" s="98"/>
    </row>
    <row r="31" spans="1:12">
      <c r="A31" s="1">
        <f t="shared" si="0"/>
        <v>23</v>
      </c>
      <c r="C31" s="197"/>
      <c r="D31" s="46"/>
      <c r="E31" s="46"/>
      <c r="F31" s="46"/>
      <c r="G31" s="46"/>
      <c r="H31" s="98"/>
      <c r="I31" s="98"/>
      <c r="J31" s="98"/>
      <c r="K31" s="98"/>
      <c r="L31" s="98"/>
    </row>
    <row r="32" spans="1:12" ht="13.8" thickBot="1">
      <c r="A32" s="1">
        <f t="shared" si="0"/>
        <v>24</v>
      </c>
      <c r="B32" s="3" t="s">
        <v>101</v>
      </c>
      <c r="C32" s="200">
        <f t="shared" ref="C32:G32" si="7">C12-C30</f>
        <v>-301251</v>
      </c>
      <c r="D32" s="94">
        <f t="shared" si="7"/>
        <v>-487216.16266690288</v>
      </c>
      <c r="E32" s="94">
        <f t="shared" si="7"/>
        <v>-788467.16266690195</v>
      </c>
      <c r="F32" s="94">
        <f t="shared" si="7"/>
        <v>526925.05000000075</v>
      </c>
      <c r="G32" s="94">
        <f t="shared" si="7"/>
        <v>350362.51733309776</v>
      </c>
      <c r="H32" s="98"/>
      <c r="I32" s="98"/>
      <c r="J32" s="98"/>
      <c r="K32" s="98"/>
      <c r="L32" s="98"/>
    </row>
    <row r="33" spans="1:12" ht="13.8" thickTop="1">
      <c r="A33" s="1">
        <f t="shared" si="0"/>
        <v>25</v>
      </c>
      <c r="C33" s="197"/>
      <c r="D33" s="46"/>
      <c r="E33" s="46"/>
      <c r="F33" s="46"/>
      <c r="G33" s="46"/>
      <c r="H33" s="98"/>
      <c r="I33" s="98"/>
      <c r="J33" s="98"/>
      <c r="K33" s="98"/>
      <c r="L33" s="98"/>
    </row>
    <row r="34" spans="1:12">
      <c r="A34" s="1">
        <f t="shared" si="0"/>
        <v>26</v>
      </c>
      <c r="B34" s="2" t="s">
        <v>37</v>
      </c>
      <c r="C34" s="197">
        <v>227364</v>
      </c>
      <c r="D34" s="46"/>
      <c r="E34" s="46">
        <f>C34+D34</f>
        <v>227364</v>
      </c>
      <c r="F34" s="46">
        <f>E34</f>
        <v>227364</v>
      </c>
      <c r="G34" s="46">
        <f>E34</f>
        <v>227364</v>
      </c>
      <c r="H34" s="98"/>
      <c r="I34" s="98"/>
      <c r="J34" s="98"/>
      <c r="K34" s="98"/>
      <c r="L34" s="98"/>
    </row>
    <row r="35" spans="1:12">
      <c r="A35" s="1" t="s">
        <v>377</v>
      </c>
      <c r="B35" s="2" t="s">
        <v>378</v>
      </c>
      <c r="C35" s="197">
        <v>0</v>
      </c>
      <c r="D35" s="46"/>
      <c r="E35" s="46">
        <f>C35+D35</f>
        <v>0</v>
      </c>
      <c r="F35" s="46">
        <f t="shared" ref="F35:F38" si="8">E35</f>
        <v>0</v>
      </c>
      <c r="G35" s="46">
        <f>E35</f>
        <v>0</v>
      </c>
      <c r="H35" s="98"/>
      <c r="I35" s="98"/>
      <c r="J35" s="98"/>
      <c r="K35" s="98"/>
      <c r="L35" s="98"/>
    </row>
    <row r="36" spans="1:12">
      <c r="A36" s="1">
        <f>A34+1</f>
        <v>27</v>
      </c>
      <c r="B36" s="2" t="s">
        <v>38</v>
      </c>
      <c r="C36" s="197">
        <v>77285</v>
      </c>
      <c r="D36" s="46"/>
      <c r="E36" s="46">
        <f>C36+D36</f>
        <v>77285</v>
      </c>
      <c r="F36" s="46">
        <f t="shared" si="8"/>
        <v>77285</v>
      </c>
      <c r="G36" s="46">
        <f>E36</f>
        <v>77285</v>
      </c>
      <c r="H36" s="98"/>
      <c r="I36" s="98"/>
      <c r="J36" s="98"/>
      <c r="K36" s="98"/>
      <c r="L36" s="98"/>
    </row>
    <row r="37" spans="1:12">
      <c r="A37" s="1">
        <f t="shared" si="0"/>
        <v>28</v>
      </c>
      <c r="B37" s="2" t="s">
        <v>34</v>
      </c>
      <c r="C37" s="197">
        <v>323975</v>
      </c>
      <c r="D37" s="46">
        <f>'Adj List'!F10</f>
        <v>-323975</v>
      </c>
      <c r="E37" s="46">
        <f>C37+D37</f>
        <v>0</v>
      </c>
      <c r="F37" s="46">
        <f t="shared" si="8"/>
        <v>0</v>
      </c>
      <c r="G37" s="46">
        <f>E37</f>
        <v>0</v>
      </c>
      <c r="H37" s="98"/>
      <c r="I37" s="98"/>
      <c r="J37" s="98"/>
      <c r="K37" s="98"/>
      <c r="L37" s="98"/>
    </row>
    <row r="38" spans="1:12">
      <c r="A38" s="1">
        <f t="shared" si="0"/>
        <v>29</v>
      </c>
      <c r="B38" s="2" t="s">
        <v>102</v>
      </c>
      <c r="C38" s="197">
        <v>96547</v>
      </c>
      <c r="D38" s="46"/>
      <c r="E38" s="46">
        <f>C38+D38</f>
        <v>96547</v>
      </c>
      <c r="F38" s="46">
        <f t="shared" si="8"/>
        <v>96547</v>
      </c>
      <c r="G38" s="46">
        <f>E38</f>
        <v>96547</v>
      </c>
      <c r="H38" s="98"/>
      <c r="I38" s="98"/>
      <c r="J38" s="98"/>
      <c r="K38" s="98"/>
      <c r="L38" s="98"/>
    </row>
    <row r="39" spans="1:12">
      <c r="A39" s="1">
        <f t="shared" si="0"/>
        <v>30</v>
      </c>
      <c r="C39" s="197"/>
      <c r="D39" s="46"/>
      <c r="E39" s="46"/>
      <c r="F39" s="46"/>
      <c r="G39" s="46"/>
      <c r="H39" s="98"/>
      <c r="I39" s="98"/>
      <c r="J39" s="98"/>
      <c r="K39" s="98"/>
      <c r="L39" s="98"/>
    </row>
    <row r="40" spans="1:12" ht="13.8" thickBot="1">
      <c r="A40" s="1">
        <f t="shared" si="0"/>
        <v>31</v>
      </c>
      <c r="B40" s="3" t="s">
        <v>103</v>
      </c>
      <c r="C40" s="200">
        <f t="shared" ref="C40:E40" si="9">C32+SUM(C34:C38)</f>
        <v>423920</v>
      </c>
      <c r="D40" s="94">
        <f t="shared" si="9"/>
        <v>-811191.16266690288</v>
      </c>
      <c r="E40" s="94">
        <f t="shared" si="9"/>
        <v>-387271.16266690195</v>
      </c>
      <c r="F40" s="94">
        <f t="shared" ref="F40:G40" si="10">F32+SUM(F34:F38)</f>
        <v>928121.05000000075</v>
      </c>
      <c r="G40" s="94">
        <f t="shared" si="10"/>
        <v>751558.51733309776</v>
      </c>
      <c r="H40" s="98"/>
      <c r="I40" s="98"/>
      <c r="J40" s="98"/>
      <c r="K40" s="98"/>
      <c r="L40" s="98"/>
    </row>
    <row r="41" spans="1:12" ht="13.8" thickTop="1">
      <c r="A41" s="1">
        <f t="shared" si="0"/>
        <v>32</v>
      </c>
      <c r="C41" s="197"/>
      <c r="D41" s="46"/>
      <c r="E41" s="46"/>
      <c r="F41" s="46"/>
      <c r="G41" s="46"/>
      <c r="H41" s="98"/>
      <c r="I41" s="98"/>
    </row>
    <row r="42" spans="1:12">
      <c r="A42" s="1">
        <f t="shared" si="0"/>
        <v>33</v>
      </c>
      <c r="B42" s="2" t="s">
        <v>252</v>
      </c>
      <c r="C42" s="197">
        <v>44728</v>
      </c>
      <c r="D42" s="46"/>
      <c r="E42" s="46">
        <f>C42+D42</f>
        <v>44728</v>
      </c>
      <c r="F42" s="46">
        <f>E42</f>
        <v>44728</v>
      </c>
      <c r="G42" s="46">
        <f>E42</f>
        <v>44728</v>
      </c>
      <c r="H42" s="98"/>
      <c r="I42" s="98"/>
    </row>
    <row r="43" spans="1:12">
      <c r="A43" s="1">
        <f t="shared" si="0"/>
        <v>34</v>
      </c>
      <c r="B43" s="2" t="s">
        <v>105</v>
      </c>
      <c r="C43" s="201">
        <f>(C32+C42+C26)/C26</f>
        <v>0.61857187677035919</v>
      </c>
      <c r="D43" s="46"/>
      <c r="E43" s="141">
        <f>(E32+E42+E26)/E26</f>
        <v>-0.10587757428542829</v>
      </c>
      <c r="F43" s="184">
        <f>(F32+F42+F26)/F26</f>
        <v>1.8500000000000012</v>
      </c>
      <c r="G43" s="141">
        <f>(G32+G42+G26)/G26</f>
        <v>1.5874663657145416</v>
      </c>
      <c r="H43" s="60"/>
      <c r="I43" s="60"/>
    </row>
    <row r="44" spans="1:12">
      <c r="A44" s="1">
        <f t="shared" si="0"/>
        <v>35</v>
      </c>
      <c r="B44" s="2" t="s">
        <v>86</v>
      </c>
      <c r="C44" s="201">
        <f>(C40+C26)/C26</f>
        <v>1.6303333814102803</v>
      </c>
      <c r="D44" s="46"/>
      <c r="E44" s="141">
        <f>(E40+E26)/E26</f>
        <v>0.42416035693876442</v>
      </c>
      <c r="F44" s="142">
        <f>(F40+F26)/F26</f>
        <v>2.3800379312241939</v>
      </c>
      <c r="G44" s="141">
        <f>(G40+G26)/G26</f>
        <v>2.1175042969387343</v>
      </c>
      <c r="H44" s="60"/>
      <c r="I44" s="60"/>
    </row>
    <row r="45" spans="1:12">
      <c r="A45" s="1">
        <f t="shared" si="0"/>
        <v>36</v>
      </c>
      <c r="B45" s="2" t="s">
        <v>104</v>
      </c>
      <c r="C45" s="201">
        <f>(C26+C40-C37)/C26</f>
        <v>1.1486098079945519</v>
      </c>
      <c r="D45" s="46"/>
      <c r="E45" s="141">
        <f>(E26+E40-E37)/E26</f>
        <v>0.42416035693876442</v>
      </c>
      <c r="F45" s="141">
        <f>(F26+F40-F37)/F26</f>
        <v>2.3800379312241939</v>
      </c>
      <c r="G45" s="141">
        <f>(G26+G40-G37)/G26</f>
        <v>2.1175042969387343</v>
      </c>
      <c r="H45" s="60"/>
      <c r="I45" s="60"/>
    </row>
    <row r="46" spans="1:12">
      <c r="A46" s="1">
        <f t="shared" si="0"/>
        <v>37</v>
      </c>
      <c r="H46" s="98"/>
      <c r="I46" s="98"/>
    </row>
    <row r="47" spans="1:12">
      <c r="A47" s="1">
        <f t="shared" si="0"/>
        <v>38</v>
      </c>
      <c r="B47" s="2" t="s">
        <v>372</v>
      </c>
      <c r="C47" s="193">
        <v>1.85</v>
      </c>
      <c r="E47" s="203">
        <f>C47</f>
        <v>1.85</v>
      </c>
      <c r="F47" s="60">
        <f>C47</f>
        <v>1.85</v>
      </c>
      <c r="G47" s="2">
        <f t="shared" ref="F47:G47" si="11">E47</f>
        <v>1.85</v>
      </c>
      <c r="H47" s="60"/>
      <c r="I47" s="60"/>
    </row>
    <row r="48" spans="1:12">
      <c r="A48" s="1">
        <f t="shared" si="0"/>
        <v>39</v>
      </c>
      <c r="B48" s="2" t="s">
        <v>373</v>
      </c>
      <c r="C48" s="196">
        <f>C47*C26-C26-C42+SUM(C34:C38)</f>
        <v>1252096.05</v>
      </c>
      <c r="D48" s="98"/>
      <c r="E48" s="98">
        <f>E47*E26-E26-E42+SUM(E34:E38)</f>
        <v>928121.05</v>
      </c>
      <c r="F48" s="98">
        <f>F47*F26-F26-F42+SUM(F34:F38)</f>
        <v>928121.05</v>
      </c>
      <c r="G48" s="98">
        <f>G47*G26-G26-G42+SUM(G34:G38)</f>
        <v>928121.05</v>
      </c>
    </row>
    <row r="49" spans="1:7">
      <c r="A49" s="1">
        <f t="shared" si="0"/>
        <v>40</v>
      </c>
      <c r="B49" s="2" t="s">
        <v>379</v>
      </c>
      <c r="C49" s="196">
        <f>C30+C48</f>
        <v>30860347.050000001</v>
      </c>
      <c r="E49" s="98">
        <f>E30+E48</f>
        <v>24984021.162666902</v>
      </c>
      <c r="F49" s="98">
        <f>F30+F48</f>
        <v>24984021.162666902</v>
      </c>
      <c r="G49" s="98">
        <f>G30+G48</f>
        <v>24984021.162666902</v>
      </c>
    </row>
    <row r="50" spans="1:7">
      <c r="A50" s="1">
        <f t="shared" si="0"/>
        <v>41</v>
      </c>
      <c r="B50" s="2" t="s">
        <v>380</v>
      </c>
      <c r="C50" s="196">
        <f>C48-C40</f>
        <v>828176.05</v>
      </c>
      <c r="D50" s="98"/>
      <c r="E50" s="204">
        <f>E48-E40</f>
        <v>1315392.212666902</v>
      </c>
      <c r="F50" s="204">
        <f>F48-F40</f>
        <v>0</v>
      </c>
      <c r="G50" s="204">
        <f>G48-G40</f>
        <v>176562.53266690229</v>
      </c>
    </row>
    <row r="51" spans="1:7">
      <c r="A51" s="1">
        <f t="shared" si="0"/>
        <v>42</v>
      </c>
      <c r="B51" s="2" t="s">
        <v>381</v>
      </c>
      <c r="E51" s="60">
        <f>E43-E47</f>
        <v>-1.9558775742854284</v>
      </c>
      <c r="F51" s="60">
        <f>F43-F47</f>
        <v>0</v>
      </c>
      <c r="G51" s="60">
        <f>G43-G47</f>
        <v>-0.26253363428545851</v>
      </c>
    </row>
    <row r="52" spans="1:7">
      <c r="A52" s="1">
        <f t="shared" si="0"/>
        <v>43</v>
      </c>
    </row>
    <row r="53" spans="1:7">
      <c r="A53" s="1">
        <f t="shared" si="0"/>
        <v>44</v>
      </c>
      <c r="F53" s="205" t="s">
        <v>375</v>
      </c>
      <c r="G53" s="205" t="s">
        <v>633</v>
      </c>
    </row>
    <row r="54" spans="1:7">
      <c r="A54" s="1">
        <f t="shared" si="0"/>
        <v>45</v>
      </c>
      <c r="B54" s="2" t="s">
        <v>631</v>
      </c>
      <c r="F54" s="202">
        <f>E50</f>
        <v>1315392.212666902</v>
      </c>
      <c r="G54" s="202">
        <f>G55*C10</f>
        <v>1138829.68</v>
      </c>
    </row>
    <row r="55" spans="1:7">
      <c r="A55" s="1">
        <f t="shared" si="0"/>
        <v>46</v>
      </c>
      <c r="B55" s="2" t="s">
        <v>632</v>
      </c>
      <c r="F55" s="144">
        <f>F54/E10</f>
        <v>5.8641253327075586E-2</v>
      </c>
      <c r="G55" s="144">
        <v>0.04</v>
      </c>
    </row>
    <row r="56" spans="1:7">
      <c r="F56" s="147"/>
      <c r="G56" s="147"/>
    </row>
    <row r="58" spans="1:7">
      <c r="F58" s="147"/>
      <c r="G58" s="147"/>
    </row>
    <row r="60" spans="1:7">
      <c r="F60" s="147"/>
      <c r="G60" s="147"/>
    </row>
    <row r="62" spans="1:7">
      <c r="F62" s="147"/>
      <c r="G62" s="147"/>
    </row>
    <row r="64" spans="1:7">
      <c r="F64" s="147"/>
      <c r="G64" s="147"/>
    </row>
    <row r="66" spans="6:7">
      <c r="F66" s="147"/>
      <c r="G66" s="147"/>
    </row>
  </sheetData>
  <pageMargins left="0.7" right="0.7" top="0.75" bottom="0.75" header="0.3" footer="0.3"/>
  <pageSetup scale="74" orientation="portrait" r:id="rId1"/>
  <headerFooter>
    <oddFooter>&amp;RExhibit  JW-2
Page &amp;P of &amp;N</oddFooter>
  </headerFooter>
  <ignoredErrors>
    <ignoredError sqref="E8 F8:G8" numberStoredAsText="1"/>
    <ignoredError sqref="F4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28"/>
  <sheetViews>
    <sheetView view="pageBreakPreview" zoomScale="60" zoomScaleNormal="100" workbookViewId="0">
      <selection activeCell="H22" sqref="H22"/>
    </sheetView>
  </sheetViews>
  <sheetFormatPr defaultColWidth="9.109375" defaultRowHeight="13.2"/>
  <cols>
    <col min="1" max="1" width="5.88671875" style="11" customWidth="1"/>
    <col min="2" max="2" width="2.33203125" style="11" customWidth="1"/>
    <col min="3" max="3" width="37.6640625" style="11" bestFit="1" customWidth="1"/>
    <col min="4" max="4" width="2.44140625" style="11" customWidth="1"/>
    <col min="5" max="5" width="15.6640625" style="11" customWidth="1"/>
    <col min="6" max="16384" width="9.109375" style="11"/>
  </cols>
  <sheetData>
    <row r="1" spans="1:5">
      <c r="E1" s="5" t="s">
        <v>139</v>
      </c>
    </row>
    <row r="2" spans="1:5" ht="20.25" customHeight="1">
      <c r="E2" s="5"/>
    </row>
    <row r="3" spans="1:5">
      <c r="A3" s="187" t="s">
        <v>29</v>
      </c>
      <c r="B3" s="187"/>
      <c r="C3" s="187"/>
      <c r="D3" s="187"/>
      <c r="E3" s="187"/>
    </row>
    <row r="4" spans="1:5">
      <c r="A4" s="187" t="str">
        <f>RevReq!A3</f>
        <v>For the 12 Months Ended December 31, 2022</v>
      </c>
      <c r="B4" s="187"/>
      <c r="C4" s="187"/>
      <c r="D4" s="187"/>
      <c r="E4" s="187"/>
    </row>
    <row r="6" spans="1:5" s="6" customFormat="1" ht="15" customHeight="1">
      <c r="A6" s="188" t="str">
        <f>'Adj List'!C12</f>
        <v>Rate Case Expenses</v>
      </c>
      <c r="B6" s="188"/>
      <c r="C6" s="188"/>
      <c r="D6" s="188"/>
      <c r="E6" s="188"/>
    </row>
    <row r="8" spans="1:5">
      <c r="A8" s="10" t="s">
        <v>0</v>
      </c>
      <c r="C8" s="10" t="s">
        <v>44</v>
      </c>
      <c r="D8" s="10"/>
      <c r="E8" s="10" t="s">
        <v>24</v>
      </c>
    </row>
    <row r="9" spans="1:5">
      <c r="A9" s="12" t="s">
        <v>21</v>
      </c>
      <c r="C9" s="13" t="s">
        <v>18</v>
      </c>
      <c r="D9" s="13"/>
      <c r="E9" s="13" t="s">
        <v>20</v>
      </c>
    </row>
    <row r="10" spans="1:5">
      <c r="A10" s="10"/>
    </row>
    <row r="11" spans="1:5">
      <c r="A11" s="10">
        <v>1</v>
      </c>
      <c r="C11" s="15" t="s">
        <v>383</v>
      </c>
      <c r="E11" s="30">
        <v>50000</v>
      </c>
    </row>
    <row r="12" spans="1:5">
      <c r="A12" s="10">
        <f>A11+1</f>
        <v>2</v>
      </c>
      <c r="C12" s="15" t="s">
        <v>124</v>
      </c>
      <c r="E12" s="30">
        <v>20000</v>
      </c>
    </row>
    <row r="13" spans="1:5">
      <c r="A13" s="10">
        <f t="shared" ref="A13:A25" si="0">A12+1</f>
        <v>3</v>
      </c>
      <c r="C13" s="15" t="s">
        <v>46</v>
      </c>
      <c r="D13" s="1"/>
      <c r="E13" s="30">
        <v>5000</v>
      </c>
    </row>
    <row r="14" spans="1:5">
      <c r="A14" s="10">
        <f t="shared" si="0"/>
        <v>4</v>
      </c>
      <c r="C14" s="15" t="s">
        <v>47</v>
      </c>
      <c r="D14" s="1"/>
      <c r="E14" s="30">
        <v>1000</v>
      </c>
    </row>
    <row r="15" spans="1:5">
      <c r="A15" s="10">
        <f t="shared" si="0"/>
        <v>5</v>
      </c>
      <c r="C15" s="16" t="s">
        <v>22</v>
      </c>
      <c r="D15" s="4"/>
      <c r="E15" s="45">
        <f>SUM(E11:E14)</f>
        <v>76000</v>
      </c>
    </row>
    <row r="16" spans="1:5">
      <c r="A16" s="10">
        <f t="shared" si="0"/>
        <v>6</v>
      </c>
      <c r="D16" s="2"/>
    </row>
    <row r="17" spans="1:5">
      <c r="A17" s="10">
        <f t="shared" si="0"/>
        <v>7</v>
      </c>
      <c r="C17" s="2" t="s">
        <v>48</v>
      </c>
      <c r="D17" s="2"/>
      <c r="E17" s="19">
        <f>E15</f>
        <v>76000</v>
      </c>
    </row>
    <row r="18" spans="1:5">
      <c r="A18" s="10">
        <f t="shared" si="0"/>
        <v>8</v>
      </c>
      <c r="C18" s="2" t="s">
        <v>49</v>
      </c>
      <c r="D18" s="2"/>
      <c r="E18" s="19">
        <v>3</v>
      </c>
    </row>
    <row r="19" spans="1:5">
      <c r="A19" s="10">
        <f t="shared" si="0"/>
        <v>9</v>
      </c>
      <c r="C19" s="2" t="s">
        <v>51</v>
      </c>
      <c r="D19" s="2"/>
      <c r="E19" s="19">
        <f>E17/E18</f>
        <v>25333.333333333332</v>
      </c>
    </row>
    <row r="20" spans="1:5">
      <c r="A20" s="10">
        <f t="shared" si="0"/>
        <v>10</v>
      </c>
      <c r="C20" s="2"/>
      <c r="D20" s="2"/>
      <c r="E20" s="19"/>
    </row>
    <row r="21" spans="1:5">
      <c r="A21" s="10">
        <f t="shared" si="0"/>
        <v>11</v>
      </c>
      <c r="C21" s="2" t="s">
        <v>39</v>
      </c>
      <c r="D21" s="2"/>
      <c r="E21" s="19">
        <v>0</v>
      </c>
    </row>
    <row r="22" spans="1:5">
      <c r="A22" s="10">
        <f t="shared" si="0"/>
        <v>12</v>
      </c>
      <c r="C22" s="2"/>
      <c r="D22" s="2"/>
    </row>
    <row r="23" spans="1:5">
      <c r="A23" s="10">
        <f t="shared" si="0"/>
        <v>13</v>
      </c>
      <c r="C23" s="2" t="s">
        <v>40</v>
      </c>
      <c r="E23" s="14">
        <f>E19</f>
        <v>25333.333333333332</v>
      </c>
    </row>
    <row r="24" spans="1:5">
      <c r="A24" s="10">
        <f t="shared" si="0"/>
        <v>14</v>
      </c>
      <c r="C24" s="2"/>
    </row>
    <row r="25" spans="1:5" ht="13.8" thickBot="1">
      <c r="A25" s="10">
        <f t="shared" si="0"/>
        <v>15</v>
      </c>
      <c r="C25" s="3" t="s">
        <v>15</v>
      </c>
      <c r="D25" s="20"/>
      <c r="E25" s="22">
        <f>ROUND(E23-E21,2)</f>
        <v>25333.33</v>
      </c>
    </row>
    <row r="26" spans="1:5" ht="13.8" thickTop="1"/>
    <row r="28" spans="1:5" ht="30" customHeight="1">
      <c r="C28" s="189" t="s">
        <v>52</v>
      </c>
      <c r="D28" s="189"/>
      <c r="E28" s="189"/>
    </row>
  </sheetData>
  <mergeCells count="4">
    <mergeCell ref="C28:E28"/>
    <mergeCell ref="A3:E3"/>
    <mergeCell ref="A4:E4"/>
    <mergeCell ref="A6:E6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C9:E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9"/>
  <sheetViews>
    <sheetView view="pageBreakPreview" zoomScale="60" zoomScaleNormal="100" workbookViewId="0">
      <selection activeCell="J23" sqref="J23"/>
    </sheetView>
  </sheetViews>
  <sheetFormatPr defaultColWidth="9.109375" defaultRowHeight="13.2"/>
  <cols>
    <col min="1" max="1" width="5.88671875" style="11" customWidth="1"/>
    <col min="2" max="3" width="2.33203125" style="11" customWidth="1"/>
    <col min="4" max="4" width="12.5546875" style="11" customWidth="1"/>
    <col min="5" max="5" width="17.33203125" style="11" customWidth="1"/>
    <col min="6" max="6" width="16" style="11" customWidth="1"/>
    <col min="7" max="7" width="10.109375" style="11" bestFit="1" customWidth="1"/>
    <col min="8" max="8" width="30" style="11" customWidth="1"/>
    <col min="9" max="9" width="12.109375" style="11" customWidth="1"/>
    <col min="10" max="10" width="12" style="11" customWidth="1"/>
    <col min="11" max="17" width="9.109375" style="11"/>
    <col min="18" max="18" width="16.6640625" style="11" bestFit="1" customWidth="1"/>
    <col min="19" max="16384" width="9.109375" style="11"/>
  </cols>
  <sheetData>
    <row r="1" spans="1:10">
      <c r="H1" s="5" t="s">
        <v>140</v>
      </c>
    </row>
    <row r="2" spans="1:10" ht="20.25" customHeight="1">
      <c r="J2" s="5"/>
    </row>
    <row r="3" spans="1:10">
      <c r="A3" s="187" t="s">
        <v>29</v>
      </c>
      <c r="B3" s="187"/>
      <c r="C3" s="187"/>
      <c r="D3" s="187"/>
      <c r="E3" s="187"/>
      <c r="F3" s="187"/>
      <c r="G3" s="187"/>
      <c r="H3" s="187"/>
      <c r="I3" s="7"/>
      <c r="J3" s="7"/>
    </row>
    <row r="4" spans="1:10">
      <c r="A4" s="187" t="str">
        <f>RevReq!A3</f>
        <v>For the 12 Months Ended December 31, 2022</v>
      </c>
      <c r="B4" s="187"/>
      <c r="C4" s="187"/>
      <c r="D4" s="187"/>
      <c r="E4" s="187"/>
      <c r="F4" s="187"/>
      <c r="G4" s="187"/>
      <c r="H4" s="187"/>
      <c r="I4" s="7"/>
      <c r="J4" s="7"/>
    </row>
    <row r="6" spans="1:10" s="6" customFormat="1" ht="15" customHeight="1">
      <c r="A6" s="188" t="str">
        <f>'Adj List'!C13</f>
        <v>Donations &amp; Promotional Advertising</v>
      </c>
      <c r="B6" s="188"/>
      <c r="C6" s="188"/>
      <c r="D6" s="188"/>
      <c r="E6" s="188"/>
      <c r="F6" s="188"/>
      <c r="G6" s="188"/>
      <c r="H6" s="188"/>
      <c r="I6" s="8"/>
      <c r="J6" s="8"/>
    </row>
    <row r="8" spans="1:10">
      <c r="A8" s="10" t="s">
        <v>0</v>
      </c>
      <c r="D8" s="10" t="s">
        <v>44</v>
      </c>
      <c r="G8" s="10" t="s">
        <v>45</v>
      </c>
      <c r="H8" s="10" t="s">
        <v>24</v>
      </c>
    </row>
    <row r="9" spans="1:10">
      <c r="A9" s="12" t="s">
        <v>21</v>
      </c>
      <c r="D9" s="13" t="s">
        <v>18</v>
      </c>
      <c r="E9" s="88"/>
      <c r="F9" s="88"/>
      <c r="G9" s="13" t="s">
        <v>20</v>
      </c>
      <c r="H9" s="13" t="s">
        <v>25</v>
      </c>
    </row>
    <row r="10" spans="1:10">
      <c r="A10" s="10"/>
    </row>
    <row r="11" spans="1:10">
      <c r="A11" s="10"/>
      <c r="D11" s="2"/>
    </row>
    <row r="12" spans="1:10">
      <c r="A12" s="10">
        <v>1</v>
      </c>
      <c r="D12" s="2" t="s">
        <v>32</v>
      </c>
      <c r="G12" s="47">
        <v>426.1</v>
      </c>
      <c r="H12" s="219">
        <v>21626.7</v>
      </c>
    </row>
    <row r="13" spans="1:10">
      <c r="A13" s="10">
        <f>A12+1</f>
        <v>2</v>
      </c>
      <c r="D13" s="2" t="s">
        <v>186</v>
      </c>
      <c r="G13" s="47">
        <v>913</v>
      </c>
      <c r="H13" s="220">
        <v>184.97</v>
      </c>
    </row>
    <row r="14" spans="1:10">
      <c r="A14" s="10">
        <f t="shared" ref="A14:A20" si="0">A13+1</f>
        <v>3</v>
      </c>
      <c r="D14" s="2" t="s">
        <v>187</v>
      </c>
      <c r="G14" s="47">
        <v>930.1</v>
      </c>
      <c r="H14" s="220">
        <v>1233.0999999999999</v>
      </c>
    </row>
    <row r="15" spans="1:10">
      <c r="A15" s="10">
        <f t="shared" si="0"/>
        <v>4</v>
      </c>
      <c r="G15" s="29"/>
      <c r="H15" s="221"/>
    </row>
    <row r="16" spans="1:10">
      <c r="A16" s="10">
        <f t="shared" si="0"/>
        <v>5</v>
      </c>
      <c r="D16" s="48" t="s">
        <v>39</v>
      </c>
      <c r="E16" s="16"/>
      <c r="F16" s="16"/>
      <c r="G16" s="48"/>
      <c r="H16" s="45">
        <f>SUM(H12:H15)</f>
        <v>23044.77</v>
      </c>
    </row>
    <row r="17" spans="1:13">
      <c r="A17" s="10">
        <f t="shared" si="0"/>
        <v>6</v>
      </c>
      <c r="D17" s="2"/>
      <c r="G17" s="2"/>
    </row>
    <row r="18" spans="1:13">
      <c r="A18" s="10">
        <f t="shared" si="0"/>
        <v>7</v>
      </c>
      <c r="D18" s="2" t="s">
        <v>40</v>
      </c>
      <c r="H18" s="14">
        <v>0</v>
      </c>
    </row>
    <row r="19" spans="1:13">
      <c r="A19" s="10">
        <f t="shared" si="0"/>
        <v>8</v>
      </c>
      <c r="D19" s="2"/>
    </row>
    <row r="20" spans="1:13" ht="13.8" thickBot="1">
      <c r="A20" s="10">
        <f t="shared" si="0"/>
        <v>9</v>
      </c>
      <c r="D20" s="3" t="s">
        <v>15</v>
      </c>
      <c r="E20" s="20"/>
      <c r="F20" s="20"/>
      <c r="G20" s="20"/>
      <c r="H20" s="22">
        <f>ROUND(H18-H16,2)</f>
        <v>-23044.77</v>
      </c>
    </row>
    <row r="21" spans="1:13" ht="13.8" thickTop="1">
      <c r="G21" s="10"/>
    </row>
    <row r="23" spans="1:13" ht="30" customHeight="1">
      <c r="C23" s="189" t="s">
        <v>269</v>
      </c>
      <c r="D23" s="189"/>
      <c r="E23" s="189"/>
      <c r="F23" s="189"/>
      <c r="G23" s="189"/>
      <c r="H23" s="189"/>
      <c r="I23" s="9"/>
      <c r="J23" s="9"/>
    </row>
    <row r="24" spans="1:13">
      <c r="A24" s="10"/>
      <c r="C24" s="86"/>
      <c r="D24" s="53"/>
      <c r="E24" s="53"/>
      <c r="F24" s="53"/>
      <c r="G24" s="84"/>
      <c r="H24" s="83"/>
      <c r="I24" s="83"/>
      <c r="K24" s="85"/>
      <c r="L24" s="85"/>
      <c r="M24" s="85"/>
    </row>
    <row r="25" spans="1:13">
      <c r="A25" s="10"/>
      <c r="C25" s="86"/>
      <c r="D25" s="53"/>
      <c r="E25" s="53"/>
      <c r="F25" s="53"/>
      <c r="G25" s="84"/>
      <c r="H25" s="83"/>
      <c r="I25" s="83"/>
      <c r="K25" s="85"/>
      <c r="L25" s="85"/>
      <c r="M25" s="85"/>
    </row>
    <row r="26" spans="1:13">
      <c r="A26" s="10"/>
      <c r="C26" s="86"/>
      <c r="D26" s="53"/>
      <c r="E26" s="53"/>
      <c r="F26" s="53"/>
      <c r="G26" s="84"/>
      <c r="H26" s="83"/>
      <c r="I26" s="83"/>
      <c r="K26" s="85"/>
      <c r="L26" s="85"/>
      <c r="M26" s="85"/>
    </row>
    <row r="27" spans="1:13">
      <c r="A27" s="10"/>
      <c r="C27" s="86"/>
      <c r="D27" s="53"/>
      <c r="E27" s="53"/>
      <c r="F27" s="53"/>
      <c r="G27" s="84"/>
      <c r="H27" s="83"/>
      <c r="I27" s="83"/>
      <c r="K27" s="85"/>
      <c r="L27" s="85"/>
      <c r="M27" s="85"/>
    </row>
    <row r="28" spans="1:13">
      <c r="A28" s="10"/>
      <c r="C28" s="86"/>
      <c r="D28" s="53"/>
      <c r="E28" s="53"/>
      <c r="F28" s="53"/>
      <c r="G28" s="84"/>
      <c r="H28" s="83"/>
      <c r="I28" s="83"/>
    </row>
    <row r="29" spans="1:13">
      <c r="C29" s="86"/>
      <c r="D29" s="53"/>
      <c r="E29" s="53"/>
      <c r="F29" s="53"/>
      <c r="G29" s="84"/>
      <c r="H29" s="83"/>
      <c r="I29" s="83"/>
    </row>
  </sheetData>
  <mergeCells count="4">
    <mergeCell ref="C23:H23"/>
    <mergeCell ref="A3:H3"/>
    <mergeCell ref="A4:H4"/>
    <mergeCell ref="A6:H6"/>
  </mergeCells>
  <printOptions horizontalCentered="1"/>
  <pageMargins left="1" right="0.75" top="0.75" bottom="0.5" header="0.5" footer="0.5"/>
  <pageSetup scale="80" fitToHeight="4" orientation="portrait" r:id="rId1"/>
  <headerFooter alignWithMargins="0">
    <oddFooter>&amp;RExhibit JW-2
Page &amp;P of &amp;N</oddFooter>
  </headerFooter>
  <ignoredErrors>
    <ignoredError sqref="G9:H9 D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62"/>
  <sheetViews>
    <sheetView view="pageBreakPreview" zoomScale="60" zoomScaleNormal="100" workbookViewId="0">
      <selection activeCell="E63" sqref="E63"/>
    </sheetView>
  </sheetViews>
  <sheetFormatPr defaultColWidth="9.109375" defaultRowHeight="13.2"/>
  <cols>
    <col min="1" max="1" width="5.88671875" style="10" customWidth="1"/>
    <col min="2" max="2" width="2.33203125" style="11" customWidth="1"/>
    <col min="3" max="3" width="7.77734375" style="10" customWidth="1"/>
    <col min="4" max="4" width="10.109375" style="10" bestFit="1" customWidth="1"/>
    <col min="5" max="5" width="33.33203125" style="11" bestFit="1" customWidth="1"/>
    <col min="6" max="6" width="38.77734375" style="11" bestFit="1" customWidth="1"/>
    <col min="7" max="7" width="32.33203125" style="11" bestFit="1" customWidth="1"/>
    <col min="8" max="8" width="12.109375" style="11" bestFit="1" customWidth="1"/>
    <col min="9" max="9" width="10.33203125" style="11" customWidth="1"/>
    <col min="10" max="10" width="12.33203125" style="11" customWidth="1"/>
    <col min="11" max="16384" width="9.109375" style="11"/>
  </cols>
  <sheetData>
    <row r="1" spans="1:11">
      <c r="D1" s="70"/>
      <c r="J1" s="5" t="s">
        <v>28</v>
      </c>
    </row>
    <row r="2" spans="1:11" ht="20.25" customHeight="1">
      <c r="D2" s="70"/>
      <c r="F2" s="5"/>
      <c r="G2" s="5"/>
    </row>
    <row r="3" spans="1:11">
      <c r="A3" s="187" t="s">
        <v>29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1">
      <c r="A4" s="187" t="s">
        <v>30</v>
      </c>
      <c r="B4" s="187"/>
      <c r="C4" s="187"/>
      <c r="D4" s="187"/>
      <c r="E4" s="187"/>
      <c r="F4" s="187"/>
      <c r="G4" s="187"/>
      <c r="H4" s="187"/>
      <c r="I4" s="187"/>
      <c r="J4" s="187"/>
    </row>
    <row r="6" spans="1:11" s="6" customFormat="1" ht="15" customHeight="1">
      <c r="A6" s="188" t="s">
        <v>54</v>
      </c>
      <c r="B6" s="188"/>
      <c r="C6" s="188"/>
      <c r="D6" s="188"/>
      <c r="E6" s="188"/>
      <c r="F6" s="188"/>
      <c r="G6" s="188"/>
      <c r="H6" s="188"/>
      <c r="I6" s="188"/>
      <c r="J6" s="188"/>
    </row>
    <row r="7" spans="1:11">
      <c r="I7" s="10"/>
    </row>
    <row r="8" spans="1:11">
      <c r="A8" s="10" t="s">
        <v>0</v>
      </c>
      <c r="C8" s="10" t="s">
        <v>144</v>
      </c>
      <c r="D8" s="10" t="s">
        <v>258</v>
      </c>
      <c r="E8" s="10" t="s">
        <v>441</v>
      </c>
      <c r="F8" s="10" t="s">
        <v>442</v>
      </c>
      <c r="G8" s="10" t="s">
        <v>259</v>
      </c>
      <c r="H8" s="176" t="s">
        <v>443</v>
      </c>
      <c r="I8" s="176" t="s">
        <v>444</v>
      </c>
      <c r="J8" s="176" t="s">
        <v>253</v>
      </c>
      <c r="K8" s="6"/>
    </row>
    <row r="9" spans="1:11">
      <c r="A9" s="12" t="s">
        <v>21</v>
      </c>
      <c r="C9" s="13" t="s">
        <v>18</v>
      </c>
      <c r="D9" s="13" t="s">
        <v>20</v>
      </c>
      <c r="E9" s="13" t="s">
        <v>19</v>
      </c>
      <c r="F9" s="13" t="s">
        <v>25</v>
      </c>
      <c r="G9" s="13" t="s">
        <v>57</v>
      </c>
      <c r="H9" s="13" t="s">
        <v>58</v>
      </c>
      <c r="I9" s="13" t="s">
        <v>59</v>
      </c>
      <c r="J9" s="13" t="s">
        <v>60</v>
      </c>
    </row>
    <row r="10" spans="1:11">
      <c r="J10" s="6"/>
      <c r="K10" s="6"/>
    </row>
    <row r="11" spans="1:11" s="2" customFormat="1">
      <c r="A11" s="182">
        <v>1</v>
      </c>
      <c r="C11" s="10">
        <v>923</v>
      </c>
      <c r="D11" s="183">
        <v>44562</v>
      </c>
      <c r="E11" s="11" t="s">
        <v>572</v>
      </c>
      <c r="F11" s="11" t="s">
        <v>573</v>
      </c>
      <c r="G11" s="11" t="s">
        <v>254</v>
      </c>
      <c r="H11" s="177">
        <v>1.35</v>
      </c>
      <c r="I11" s="177">
        <v>0</v>
      </c>
      <c r="J11" s="177"/>
    </row>
    <row r="12" spans="1:11" s="2" customFormat="1">
      <c r="A12" s="182">
        <f t="shared" ref="A12:A60" si="0">A11+1</f>
        <v>2</v>
      </c>
      <c r="C12" s="10">
        <v>923</v>
      </c>
      <c r="D12" s="183">
        <v>44562</v>
      </c>
      <c r="E12" s="11" t="s">
        <v>574</v>
      </c>
      <c r="F12" s="11" t="s">
        <v>575</v>
      </c>
      <c r="G12" s="11" t="s">
        <v>552</v>
      </c>
      <c r="H12" s="177">
        <v>900</v>
      </c>
      <c r="I12" s="177">
        <v>0</v>
      </c>
      <c r="J12" s="177"/>
    </row>
    <row r="13" spans="1:11" s="2" customFormat="1">
      <c r="A13" s="182">
        <f t="shared" si="0"/>
        <v>3</v>
      </c>
      <c r="C13" s="10">
        <v>923</v>
      </c>
      <c r="D13" s="183">
        <v>44567</v>
      </c>
      <c r="E13" s="11" t="s">
        <v>576</v>
      </c>
      <c r="F13" s="11" t="s">
        <v>575</v>
      </c>
      <c r="G13" s="11" t="s">
        <v>577</v>
      </c>
      <c r="H13" s="177">
        <v>257.5</v>
      </c>
      <c r="I13" s="177">
        <v>0</v>
      </c>
      <c r="J13" s="177"/>
    </row>
    <row r="14" spans="1:11" s="2" customFormat="1">
      <c r="A14" s="182">
        <f t="shared" si="0"/>
        <v>4</v>
      </c>
      <c r="C14" s="10">
        <v>923</v>
      </c>
      <c r="D14" s="183">
        <v>44592</v>
      </c>
      <c r="E14" s="11" t="s">
        <v>578</v>
      </c>
      <c r="F14" s="11" t="s">
        <v>575</v>
      </c>
      <c r="G14" s="11" t="s">
        <v>552</v>
      </c>
      <c r="H14" s="177">
        <v>900</v>
      </c>
      <c r="I14" s="177">
        <v>0</v>
      </c>
      <c r="J14" s="177">
        <f>H14-I14</f>
        <v>900</v>
      </c>
    </row>
    <row r="15" spans="1:11" s="2" customFormat="1">
      <c r="A15" s="182">
        <f t="shared" si="0"/>
        <v>5</v>
      </c>
      <c r="C15" s="10">
        <v>923</v>
      </c>
      <c r="D15" s="183">
        <v>44592</v>
      </c>
      <c r="E15" s="11" t="s">
        <v>579</v>
      </c>
      <c r="F15" s="11" t="s">
        <v>575</v>
      </c>
      <c r="G15" s="11" t="s">
        <v>552</v>
      </c>
      <c r="H15" s="177">
        <v>900</v>
      </c>
      <c r="I15" s="177">
        <v>0</v>
      </c>
      <c r="J15" s="177"/>
    </row>
    <row r="16" spans="1:11" s="2" customFormat="1">
      <c r="A16" s="182">
        <f t="shared" si="0"/>
        <v>6</v>
      </c>
      <c r="C16" s="10">
        <v>923</v>
      </c>
      <c r="D16" s="183">
        <v>44593</v>
      </c>
      <c r="E16" s="11" t="s">
        <v>579</v>
      </c>
      <c r="F16" s="11" t="s">
        <v>575</v>
      </c>
      <c r="G16" s="11" t="s">
        <v>552</v>
      </c>
      <c r="H16" s="177">
        <v>0</v>
      </c>
      <c r="I16" s="177">
        <v>900</v>
      </c>
      <c r="J16" s="177">
        <f>H16-I16</f>
        <v>-900</v>
      </c>
    </row>
    <row r="17" spans="1:10" s="2" customFormat="1">
      <c r="A17" s="182">
        <f t="shared" si="0"/>
        <v>7</v>
      </c>
      <c r="C17" s="10">
        <v>923</v>
      </c>
      <c r="D17" s="183">
        <v>44593</v>
      </c>
      <c r="E17" s="11" t="s">
        <v>579</v>
      </c>
      <c r="F17" s="11" t="s">
        <v>575</v>
      </c>
      <c r="G17" s="11" t="s">
        <v>552</v>
      </c>
      <c r="H17" s="177">
        <v>900</v>
      </c>
      <c r="I17" s="177">
        <v>0</v>
      </c>
      <c r="J17" s="177">
        <f>H17-I17</f>
        <v>900</v>
      </c>
    </row>
    <row r="18" spans="1:10" s="2" customFormat="1">
      <c r="A18" s="182">
        <f t="shared" si="0"/>
        <v>8</v>
      </c>
      <c r="C18" s="10">
        <v>923</v>
      </c>
      <c r="D18" s="183">
        <v>44593</v>
      </c>
      <c r="E18" s="11" t="s">
        <v>572</v>
      </c>
      <c r="F18" s="11" t="s">
        <v>573</v>
      </c>
      <c r="G18" s="11" t="s">
        <v>254</v>
      </c>
      <c r="H18" s="177">
        <v>1.35</v>
      </c>
      <c r="I18" s="177">
        <v>0</v>
      </c>
      <c r="J18" s="177"/>
    </row>
    <row r="19" spans="1:10" s="2" customFormat="1">
      <c r="A19" s="182">
        <f t="shared" si="0"/>
        <v>9</v>
      </c>
      <c r="C19" s="10">
        <v>923</v>
      </c>
      <c r="D19" s="183">
        <v>44608</v>
      </c>
      <c r="E19" s="11" t="s">
        <v>580</v>
      </c>
      <c r="F19" s="11" t="s">
        <v>575</v>
      </c>
      <c r="G19" s="11" t="s">
        <v>257</v>
      </c>
      <c r="H19" s="177">
        <v>153.69999999999999</v>
      </c>
      <c r="I19" s="177">
        <v>0</v>
      </c>
      <c r="J19" s="177">
        <f>H19-I19</f>
        <v>153.69999999999999</v>
      </c>
    </row>
    <row r="20" spans="1:10" s="2" customFormat="1">
      <c r="A20" s="182">
        <f t="shared" si="0"/>
        <v>10</v>
      </c>
      <c r="C20" s="10">
        <v>923</v>
      </c>
      <c r="D20" s="183">
        <v>44620</v>
      </c>
      <c r="E20" s="11" t="s">
        <v>581</v>
      </c>
      <c r="F20" s="11" t="s">
        <v>582</v>
      </c>
      <c r="G20" s="11"/>
      <c r="H20" s="177">
        <v>300</v>
      </c>
      <c r="I20" s="177">
        <v>0</v>
      </c>
      <c r="J20" s="177"/>
    </row>
    <row r="21" spans="1:10" s="2" customFormat="1">
      <c r="A21" s="182">
        <f t="shared" si="0"/>
        <v>11</v>
      </c>
      <c r="C21" s="10">
        <v>923</v>
      </c>
      <c r="D21" s="183">
        <v>44620</v>
      </c>
      <c r="E21" s="11" t="s">
        <v>583</v>
      </c>
      <c r="F21" s="11" t="s">
        <v>584</v>
      </c>
      <c r="G21" s="11" t="s">
        <v>585</v>
      </c>
      <c r="H21" s="177">
        <v>7600</v>
      </c>
      <c r="I21" s="177">
        <v>0</v>
      </c>
      <c r="J21" s="177"/>
    </row>
    <row r="22" spans="1:10" s="2" customFormat="1">
      <c r="A22" s="182">
        <f t="shared" si="0"/>
        <v>12</v>
      </c>
      <c r="C22" s="10">
        <v>923</v>
      </c>
      <c r="D22" s="183">
        <v>44621</v>
      </c>
      <c r="E22" s="11" t="s">
        <v>572</v>
      </c>
      <c r="F22" s="11" t="s">
        <v>573</v>
      </c>
      <c r="G22" s="11" t="s">
        <v>254</v>
      </c>
      <c r="H22" s="177">
        <v>1.35</v>
      </c>
      <c r="I22" s="177">
        <v>0</v>
      </c>
      <c r="J22" s="177"/>
    </row>
    <row r="23" spans="1:10" s="2" customFormat="1">
      <c r="A23" s="182">
        <f t="shared" si="0"/>
        <v>13</v>
      </c>
      <c r="C23" s="10">
        <v>923</v>
      </c>
      <c r="D23" s="183">
        <v>44621</v>
      </c>
      <c r="E23" s="11" t="s">
        <v>586</v>
      </c>
      <c r="F23" s="11" t="s">
        <v>575</v>
      </c>
      <c r="G23" s="11" t="s">
        <v>552</v>
      </c>
      <c r="H23" s="177">
        <v>900</v>
      </c>
      <c r="I23" s="177">
        <v>0</v>
      </c>
      <c r="J23" s="177"/>
    </row>
    <row r="24" spans="1:10" s="2" customFormat="1">
      <c r="A24" s="182">
        <f t="shared" si="0"/>
        <v>14</v>
      </c>
      <c r="C24" s="10">
        <v>923</v>
      </c>
      <c r="D24" s="183">
        <v>44624</v>
      </c>
      <c r="E24" s="11" t="s">
        <v>587</v>
      </c>
      <c r="F24" s="11" t="s">
        <v>584</v>
      </c>
      <c r="G24" s="11"/>
      <c r="H24" s="177">
        <v>6000</v>
      </c>
      <c r="I24" s="177">
        <v>0</v>
      </c>
      <c r="J24" s="177"/>
    </row>
    <row r="25" spans="1:10" s="2" customFormat="1">
      <c r="A25" s="182">
        <f t="shared" si="0"/>
        <v>15</v>
      </c>
      <c r="C25" s="10">
        <v>923</v>
      </c>
      <c r="D25" s="183">
        <v>44651</v>
      </c>
      <c r="E25" s="11" t="s">
        <v>588</v>
      </c>
      <c r="F25" s="11" t="s">
        <v>582</v>
      </c>
      <c r="G25" s="11"/>
      <c r="H25" s="177">
        <v>225</v>
      </c>
      <c r="I25" s="177">
        <v>0</v>
      </c>
      <c r="J25" s="177">
        <f>H25-I25</f>
        <v>225</v>
      </c>
    </row>
    <row r="26" spans="1:10" s="2" customFormat="1">
      <c r="A26" s="182">
        <f t="shared" si="0"/>
        <v>16</v>
      </c>
      <c r="C26" s="10">
        <v>923</v>
      </c>
      <c r="D26" s="183">
        <v>44652</v>
      </c>
      <c r="E26" s="11" t="s">
        <v>572</v>
      </c>
      <c r="F26" s="11" t="s">
        <v>573</v>
      </c>
      <c r="G26" s="11" t="s">
        <v>254</v>
      </c>
      <c r="H26" s="177">
        <v>1.35</v>
      </c>
      <c r="I26" s="177">
        <v>0</v>
      </c>
      <c r="J26" s="177"/>
    </row>
    <row r="27" spans="1:10" s="2" customFormat="1">
      <c r="A27" s="182">
        <f t="shared" si="0"/>
        <v>17</v>
      </c>
      <c r="C27" s="10">
        <v>923</v>
      </c>
      <c r="D27" s="183">
        <v>44652</v>
      </c>
      <c r="E27" s="11" t="s">
        <v>589</v>
      </c>
      <c r="F27" s="11" t="s">
        <v>575</v>
      </c>
      <c r="G27" s="11" t="s">
        <v>552</v>
      </c>
      <c r="H27" s="177">
        <v>900</v>
      </c>
      <c r="I27" s="177">
        <v>0</v>
      </c>
      <c r="J27" s="177"/>
    </row>
    <row r="28" spans="1:10" s="2" customFormat="1">
      <c r="A28" s="182">
        <f t="shared" si="0"/>
        <v>18</v>
      </c>
      <c r="C28" s="10">
        <v>923</v>
      </c>
      <c r="D28" s="183">
        <v>44669</v>
      </c>
      <c r="E28" s="11" t="s">
        <v>590</v>
      </c>
      <c r="F28" s="11" t="s">
        <v>573</v>
      </c>
      <c r="G28" s="11" t="s">
        <v>585</v>
      </c>
      <c r="H28" s="177">
        <v>860</v>
      </c>
      <c r="I28" s="177">
        <v>0</v>
      </c>
      <c r="J28" s="177"/>
    </row>
    <row r="29" spans="1:10" s="2" customFormat="1">
      <c r="A29" s="182">
        <f t="shared" si="0"/>
        <v>19</v>
      </c>
      <c r="C29" s="10">
        <v>923</v>
      </c>
      <c r="D29" s="183">
        <v>44682</v>
      </c>
      <c r="E29" s="11" t="s">
        <v>572</v>
      </c>
      <c r="F29" s="11" t="s">
        <v>573</v>
      </c>
      <c r="G29" s="11" t="s">
        <v>254</v>
      </c>
      <c r="H29" s="177">
        <v>1.35</v>
      </c>
      <c r="I29" s="177">
        <v>0</v>
      </c>
      <c r="J29" s="177"/>
    </row>
    <row r="30" spans="1:10" s="2" customFormat="1">
      <c r="A30" s="182">
        <f t="shared" si="0"/>
        <v>20</v>
      </c>
      <c r="C30" s="10">
        <v>923</v>
      </c>
      <c r="D30" s="183">
        <v>44682</v>
      </c>
      <c r="E30" s="11" t="s">
        <v>591</v>
      </c>
      <c r="F30" s="11" t="s">
        <v>575</v>
      </c>
      <c r="G30" s="11" t="s">
        <v>552</v>
      </c>
      <c r="H30" s="177">
        <v>900</v>
      </c>
      <c r="I30" s="177">
        <v>0</v>
      </c>
      <c r="J30" s="177"/>
    </row>
    <row r="31" spans="1:10" s="2" customFormat="1">
      <c r="A31" s="182">
        <f t="shared" si="0"/>
        <v>21</v>
      </c>
      <c r="C31" s="10">
        <v>923</v>
      </c>
      <c r="D31" s="183">
        <v>44682</v>
      </c>
      <c r="E31" s="11" t="s">
        <v>592</v>
      </c>
      <c r="F31" s="11" t="s">
        <v>584</v>
      </c>
      <c r="G31" s="11" t="s">
        <v>585</v>
      </c>
      <c r="H31" s="177">
        <v>3000</v>
      </c>
      <c r="I31" s="177">
        <v>0</v>
      </c>
      <c r="J31" s="177"/>
    </row>
    <row r="32" spans="1:10" s="2" customFormat="1">
      <c r="A32" s="182">
        <f t="shared" si="0"/>
        <v>22</v>
      </c>
      <c r="C32" s="10">
        <v>923</v>
      </c>
      <c r="D32" s="183">
        <v>44713</v>
      </c>
      <c r="E32" s="11" t="s">
        <v>593</v>
      </c>
      <c r="F32" s="11" t="s">
        <v>575</v>
      </c>
      <c r="G32" s="11" t="s">
        <v>552</v>
      </c>
      <c r="H32" s="177">
        <v>900</v>
      </c>
      <c r="I32" s="177">
        <v>0</v>
      </c>
      <c r="J32" s="177"/>
    </row>
    <row r="33" spans="1:10" s="2" customFormat="1">
      <c r="A33" s="182">
        <f t="shared" si="0"/>
        <v>23</v>
      </c>
      <c r="C33" s="10">
        <v>923</v>
      </c>
      <c r="D33" s="183">
        <v>44713</v>
      </c>
      <c r="E33" s="11" t="s">
        <v>572</v>
      </c>
      <c r="F33" s="11" t="s">
        <v>573</v>
      </c>
      <c r="G33" s="11" t="s">
        <v>254</v>
      </c>
      <c r="H33" s="177">
        <v>1.35</v>
      </c>
      <c r="I33" s="177">
        <v>0</v>
      </c>
      <c r="J33" s="177"/>
    </row>
    <row r="34" spans="1:10" s="2" customFormat="1">
      <c r="A34" s="182">
        <f t="shared" si="0"/>
        <v>24</v>
      </c>
      <c r="C34" s="10">
        <v>923</v>
      </c>
      <c r="D34" s="183">
        <v>44742</v>
      </c>
      <c r="E34" s="11" t="s">
        <v>594</v>
      </c>
      <c r="F34" s="11" t="s">
        <v>584</v>
      </c>
      <c r="G34" s="11" t="s">
        <v>585</v>
      </c>
      <c r="H34" s="177">
        <v>4300</v>
      </c>
      <c r="I34" s="177">
        <v>0</v>
      </c>
      <c r="J34" s="177">
        <f>H34-I34</f>
        <v>4300</v>
      </c>
    </row>
    <row r="35" spans="1:10" s="2" customFormat="1">
      <c r="A35" s="182">
        <f t="shared" si="0"/>
        <v>25</v>
      </c>
      <c r="C35" s="10">
        <v>923</v>
      </c>
      <c r="D35" s="183">
        <v>44743</v>
      </c>
      <c r="E35" s="11" t="s">
        <v>595</v>
      </c>
      <c r="F35" s="11" t="s">
        <v>575</v>
      </c>
      <c r="G35" s="11" t="s">
        <v>552</v>
      </c>
      <c r="H35" s="177">
        <v>900</v>
      </c>
      <c r="I35" s="177">
        <v>0</v>
      </c>
      <c r="J35" s="177"/>
    </row>
    <row r="36" spans="1:10" s="2" customFormat="1">
      <c r="A36" s="182">
        <f t="shared" si="0"/>
        <v>26</v>
      </c>
      <c r="C36" s="10">
        <v>923</v>
      </c>
      <c r="D36" s="183">
        <v>44743</v>
      </c>
      <c r="E36" s="11" t="s">
        <v>596</v>
      </c>
      <c r="F36" s="11" t="s">
        <v>573</v>
      </c>
      <c r="G36" s="11" t="s">
        <v>254</v>
      </c>
      <c r="H36" s="177">
        <v>1.35</v>
      </c>
      <c r="I36" s="177">
        <v>0</v>
      </c>
      <c r="J36" s="177"/>
    </row>
    <row r="37" spans="1:10" s="2" customFormat="1">
      <c r="A37" s="182">
        <f t="shared" si="0"/>
        <v>27</v>
      </c>
      <c r="C37" s="10">
        <v>923</v>
      </c>
      <c r="D37" s="183">
        <v>44763</v>
      </c>
      <c r="E37" s="11" t="s">
        <v>597</v>
      </c>
      <c r="F37" s="11" t="s">
        <v>582</v>
      </c>
      <c r="G37" s="11" t="s">
        <v>598</v>
      </c>
      <c r="H37" s="177">
        <v>1658.5</v>
      </c>
      <c r="I37" s="177">
        <v>0</v>
      </c>
      <c r="J37" s="177">
        <f>H37-I37</f>
        <v>1658.5</v>
      </c>
    </row>
    <row r="38" spans="1:10" s="2" customFormat="1">
      <c r="A38" s="182">
        <f t="shared" si="0"/>
        <v>28</v>
      </c>
      <c r="C38" s="10">
        <v>923</v>
      </c>
      <c r="D38" s="183">
        <v>44774</v>
      </c>
      <c r="E38" s="11" t="s">
        <v>599</v>
      </c>
      <c r="F38" s="11" t="s">
        <v>575</v>
      </c>
      <c r="G38" s="11" t="s">
        <v>552</v>
      </c>
      <c r="H38" s="177">
        <v>900</v>
      </c>
      <c r="I38" s="177">
        <v>0</v>
      </c>
      <c r="J38" s="177"/>
    </row>
    <row r="39" spans="1:10" s="2" customFormat="1">
      <c r="A39" s="182">
        <f t="shared" si="0"/>
        <v>29</v>
      </c>
      <c r="C39" s="10">
        <v>923</v>
      </c>
      <c r="D39" s="183">
        <v>44774</v>
      </c>
      <c r="E39" s="11" t="s">
        <v>572</v>
      </c>
      <c r="F39" s="11" t="s">
        <v>573</v>
      </c>
      <c r="G39" s="11" t="s">
        <v>254</v>
      </c>
      <c r="H39" s="177">
        <v>1.35</v>
      </c>
      <c r="I39" s="177">
        <v>0</v>
      </c>
      <c r="J39" s="177"/>
    </row>
    <row r="40" spans="1:10" s="2" customFormat="1">
      <c r="A40" s="182">
        <f t="shared" si="0"/>
        <v>30</v>
      </c>
      <c r="C40" s="10">
        <v>923</v>
      </c>
      <c r="D40" s="183">
        <v>44805</v>
      </c>
      <c r="E40" s="11" t="s">
        <v>600</v>
      </c>
      <c r="F40" s="11" t="s">
        <v>601</v>
      </c>
      <c r="G40" s="11" t="s">
        <v>602</v>
      </c>
      <c r="H40" s="177">
        <v>25000</v>
      </c>
      <c r="I40" s="177">
        <v>0</v>
      </c>
      <c r="J40" s="177">
        <f>H40-I40</f>
        <v>25000</v>
      </c>
    </row>
    <row r="41" spans="1:10" s="2" customFormat="1">
      <c r="A41" s="182">
        <f t="shared" si="0"/>
        <v>31</v>
      </c>
      <c r="C41" s="10">
        <v>923</v>
      </c>
      <c r="D41" s="183">
        <v>44805</v>
      </c>
      <c r="E41" s="11" t="s">
        <v>572</v>
      </c>
      <c r="F41" s="11" t="s">
        <v>573</v>
      </c>
      <c r="G41" s="11" t="s">
        <v>254</v>
      </c>
      <c r="H41" s="177">
        <v>1.35</v>
      </c>
      <c r="I41" s="177">
        <v>0</v>
      </c>
      <c r="J41" s="177"/>
    </row>
    <row r="42" spans="1:10" s="2" customFormat="1">
      <c r="A42" s="182">
        <f t="shared" si="0"/>
        <v>32</v>
      </c>
      <c r="C42" s="10">
        <v>923</v>
      </c>
      <c r="D42" s="183">
        <v>44805</v>
      </c>
      <c r="E42" s="11" t="s">
        <v>603</v>
      </c>
      <c r="F42" s="11" t="s">
        <v>575</v>
      </c>
      <c r="G42" s="11" t="s">
        <v>552</v>
      </c>
      <c r="H42" s="177">
        <v>900</v>
      </c>
      <c r="I42" s="177">
        <v>0</v>
      </c>
      <c r="J42" s="177"/>
    </row>
    <row r="43" spans="1:10" s="2" customFormat="1">
      <c r="A43" s="182">
        <f t="shared" si="0"/>
        <v>33</v>
      </c>
      <c r="C43" s="10">
        <v>923</v>
      </c>
      <c r="D43" s="183">
        <v>44835</v>
      </c>
      <c r="E43" s="11" t="s">
        <v>604</v>
      </c>
      <c r="F43" s="11" t="s">
        <v>575</v>
      </c>
      <c r="G43" s="11" t="s">
        <v>552</v>
      </c>
      <c r="H43" s="177">
        <v>900</v>
      </c>
      <c r="I43" s="177">
        <v>0</v>
      </c>
      <c r="J43" s="177"/>
    </row>
    <row r="44" spans="1:10" s="2" customFormat="1">
      <c r="A44" s="182">
        <f t="shared" si="0"/>
        <v>34</v>
      </c>
      <c r="C44" s="10">
        <v>923</v>
      </c>
      <c r="D44" s="183">
        <v>44835</v>
      </c>
      <c r="E44" s="11" t="s">
        <v>572</v>
      </c>
      <c r="F44" s="11" t="s">
        <v>573</v>
      </c>
      <c r="G44" s="11" t="s">
        <v>254</v>
      </c>
      <c r="H44" s="177">
        <v>1.35</v>
      </c>
      <c r="I44" s="177">
        <v>0</v>
      </c>
      <c r="J44" s="177"/>
    </row>
    <row r="45" spans="1:10" s="2" customFormat="1">
      <c r="A45" s="182">
        <f t="shared" si="0"/>
        <v>35</v>
      </c>
      <c r="C45" s="10">
        <v>923</v>
      </c>
      <c r="D45" s="183">
        <v>44866</v>
      </c>
      <c r="E45" s="11" t="s">
        <v>572</v>
      </c>
      <c r="F45" s="11" t="s">
        <v>573</v>
      </c>
      <c r="G45" s="11" t="s">
        <v>254</v>
      </c>
      <c r="H45" s="177">
        <v>1.35</v>
      </c>
      <c r="I45" s="177">
        <v>0</v>
      </c>
      <c r="J45" s="177"/>
    </row>
    <row r="46" spans="1:10" s="2" customFormat="1">
      <c r="A46" s="182">
        <f t="shared" si="0"/>
        <v>36</v>
      </c>
      <c r="C46" s="10">
        <v>923</v>
      </c>
      <c r="D46" s="183">
        <v>44866</v>
      </c>
      <c r="E46" s="11" t="s">
        <v>605</v>
      </c>
      <c r="F46" s="11" t="s">
        <v>575</v>
      </c>
      <c r="G46" s="11" t="s">
        <v>552</v>
      </c>
      <c r="H46" s="177">
        <v>900</v>
      </c>
      <c r="I46" s="177">
        <v>0</v>
      </c>
      <c r="J46" s="177"/>
    </row>
    <row r="47" spans="1:10" s="2" customFormat="1">
      <c r="A47" s="182">
        <f t="shared" si="0"/>
        <v>37</v>
      </c>
      <c r="C47" s="10">
        <v>923</v>
      </c>
      <c r="D47" s="183">
        <v>44886</v>
      </c>
      <c r="E47" s="11" t="s">
        <v>606</v>
      </c>
      <c r="F47" s="11" t="s">
        <v>575</v>
      </c>
      <c r="G47" s="11" t="s">
        <v>607</v>
      </c>
      <c r="H47" s="177">
        <v>286.19</v>
      </c>
      <c r="I47" s="177">
        <v>0</v>
      </c>
      <c r="J47" s="177">
        <f>H47-I47</f>
        <v>286.19</v>
      </c>
    </row>
    <row r="48" spans="1:10">
      <c r="A48" s="182">
        <f t="shared" si="0"/>
        <v>38</v>
      </c>
      <c r="C48" s="10">
        <v>923</v>
      </c>
      <c r="D48" s="183">
        <v>44886</v>
      </c>
      <c r="E48" s="11" t="s">
        <v>608</v>
      </c>
      <c r="F48" s="11" t="s">
        <v>575</v>
      </c>
      <c r="G48" s="11" t="s">
        <v>607</v>
      </c>
      <c r="H48" s="177">
        <v>11.64</v>
      </c>
      <c r="I48" s="177">
        <v>0</v>
      </c>
      <c r="J48" s="177">
        <f>H48-I48</f>
        <v>11.64</v>
      </c>
    </row>
    <row r="49" spans="1:10">
      <c r="A49" s="182">
        <f t="shared" si="0"/>
        <v>39</v>
      </c>
      <c r="C49" s="10">
        <v>923</v>
      </c>
      <c r="D49" s="183">
        <v>44886</v>
      </c>
      <c r="E49" s="11" t="s">
        <v>609</v>
      </c>
      <c r="F49" s="11" t="s">
        <v>575</v>
      </c>
      <c r="G49" s="11" t="s">
        <v>607</v>
      </c>
      <c r="H49" s="177">
        <v>8.26</v>
      </c>
      <c r="I49" s="177">
        <v>0</v>
      </c>
      <c r="J49" s="177">
        <f>H49-I49</f>
        <v>8.26</v>
      </c>
    </row>
    <row r="50" spans="1:10">
      <c r="A50" s="182">
        <f t="shared" si="0"/>
        <v>40</v>
      </c>
      <c r="C50" s="10">
        <v>923</v>
      </c>
      <c r="D50" s="183">
        <v>44896</v>
      </c>
      <c r="E50" s="11" t="s">
        <v>572</v>
      </c>
      <c r="F50" s="11" t="s">
        <v>573</v>
      </c>
      <c r="G50" s="11" t="s">
        <v>254</v>
      </c>
      <c r="H50" s="177">
        <v>1.35</v>
      </c>
      <c r="I50" s="177">
        <v>0</v>
      </c>
      <c r="J50" s="177"/>
    </row>
    <row r="51" spans="1:10" ht="27.75" customHeight="1">
      <c r="A51" s="182">
        <f t="shared" si="0"/>
        <v>41</v>
      </c>
      <c r="C51" s="10">
        <v>923</v>
      </c>
      <c r="D51" s="183">
        <v>44896</v>
      </c>
      <c r="E51" s="11" t="s">
        <v>610</v>
      </c>
      <c r="F51" s="11" t="s">
        <v>575</v>
      </c>
      <c r="G51" s="11" t="s">
        <v>552</v>
      </c>
      <c r="H51" s="177">
        <v>900</v>
      </c>
      <c r="I51" s="177">
        <v>0</v>
      </c>
      <c r="J51" s="177"/>
    </row>
    <row r="52" spans="1:10">
      <c r="A52" s="182">
        <f t="shared" si="0"/>
        <v>42</v>
      </c>
      <c r="C52" s="10">
        <v>923</v>
      </c>
      <c r="D52" s="183">
        <v>44914</v>
      </c>
      <c r="E52" s="11" t="s">
        <v>611</v>
      </c>
      <c r="F52" s="11" t="s">
        <v>575</v>
      </c>
      <c r="G52" s="11" t="s">
        <v>257</v>
      </c>
      <c r="H52" s="177">
        <v>125.06</v>
      </c>
      <c r="I52" s="177">
        <v>0</v>
      </c>
      <c r="J52" s="177">
        <f>H52-I52</f>
        <v>125.06</v>
      </c>
    </row>
    <row r="53" spans="1:10">
      <c r="A53" s="182">
        <f t="shared" si="0"/>
        <v>43</v>
      </c>
      <c r="C53" s="10">
        <v>923</v>
      </c>
      <c r="D53" s="183">
        <v>44926</v>
      </c>
      <c r="E53" s="11" t="s">
        <v>558</v>
      </c>
      <c r="F53" s="11" t="s">
        <v>550</v>
      </c>
      <c r="H53" s="177">
        <v>600</v>
      </c>
      <c r="I53" s="177">
        <v>0</v>
      </c>
      <c r="J53" s="177">
        <f>H53-I53</f>
        <v>600</v>
      </c>
    </row>
    <row r="54" spans="1:10" ht="13.8" thickBot="1">
      <c r="A54" s="182">
        <f t="shared" si="0"/>
        <v>44</v>
      </c>
      <c r="C54" s="178"/>
      <c r="D54" s="178"/>
      <c r="E54" s="20"/>
      <c r="F54" s="20"/>
      <c r="G54" s="20"/>
      <c r="H54" s="179">
        <f>SUM(H11:H53)</f>
        <v>63002.049999999988</v>
      </c>
      <c r="I54" s="179">
        <f>SUM(I11:I53)</f>
        <v>900</v>
      </c>
      <c r="J54" s="179">
        <f>SUM(J11:J53)</f>
        <v>33268.35</v>
      </c>
    </row>
    <row r="55" spans="1:10" ht="13.8" thickTop="1">
      <c r="A55" s="182">
        <f t="shared" si="0"/>
        <v>45</v>
      </c>
    </row>
    <row r="56" spans="1:10">
      <c r="A56" s="182">
        <f t="shared" si="0"/>
        <v>46</v>
      </c>
      <c r="E56" s="11" t="s">
        <v>612</v>
      </c>
      <c r="H56" s="27">
        <f>H54-I54</f>
        <v>62102.049999999988</v>
      </c>
    </row>
    <row r="57" spans="1:10">
      <c r="A57" s="182">
        <f t="shared" si="0"/>
        <v>47</v>
      </c>
      <c r="C57" s="11"/>
      <c r="H57" s="27"/>
    </row>
    <row r="58" spans="1:10">
      <c r="A58" s="182">
        <f t="shared" si="0"/>
        <v>48</v>
      </c>
      <c r="E58" s="11" t="s">
        <v>613</v>
      </c>
      <c r="H58" s="27">
        <f>H54-I54-J54</f>
        <v>28833.69999999999</v>
      </c>
    </row>
    <row r="59" spans="1:10">
      <c r="A59" s="182">
        <f t="shared" si="0"/>
        <v>49</v>
      </c>
      <c r="H59" s="27"/>
    </row>
    <row r="60" spans="1:10">
      <c r="A60" s="182">
        <f t="shared" si="0"/>
        <v>50</v>
      </c>
      <c r="E60" s="11" t="s">
        <v>15</v>
      </c>
      <c r="H60" s="180">
        <f>H58-H56</f>
        <v>-33268.35</v>
      </c>
    </row>
    <row r="62" spans="1:10">
      <c r="C62" s="189" t="s">
        <v>55</v>
      </c>
      <c r="D62" s="189"/>
      <c r="E62" s="189"/>
      <c r="F62" s="189"/>
      <c r="G62" s="189"/>
      <c r="H62" s="189"/>
      <c r="I62" s="189"/>
    </row>
  </sheetData>
  <mergeCells count="4">
    <mergeCell ref="C62:I62"/>
    <mergeCell ref="A3:J3"/>
    <mergeCell ref="A4:J4"/>
    <mergeCell ref="A6:J6"/>
  </mergeCells>
  <printOptions horizontalCentered="1"/>
  <pageMargins left="1" right="0.75" top="0.75" bottom="0.5" header="0.5" footer="0.5"/>
  <pageSetup scale="61" orientation="landscape" r:id="rId1"/>
  <headerFooter alignWithMargins="0">
    <oddFooter>&amp;RExhibit JW-2
Page &amp;P of &amp;N</oddFooter>
  </headerFooter>
  <ignoredErrors>
    <ignoredError sqref="C9:F9 G9:J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325"/>
  <sheetViews>
    <sheetView view="pageBreakPreview" zoomScale="60" zoomScaleNormal="75" workbookViewId="0">
      <pane ySplit="7" topLeftCell="A8" activePane="bottomLeft" state="frozen"/>
      <selection activeCell="J16" sqref="J16"/>
      <selection pane="bottomLeft" activeCell="A6" sqref="A6:J6"/>
    </sheetView>
  </sheetViews>
  <sheetFormatPr defaultColWidth="9.109375" defaultRowHeight="13.2"/>
  <cols>
    <col min="1" max="1" width="5.88671875" style="11" customWidth="1"/>
    <col min="2" max="2" width="10.109375" style="11" customWidth="1"/>
    <col min="3" max="3" width="26.77734375" style="11" bestFit="1" customWidth="1"/>
    <col min="4" max="4" width="10.5546875" style="11" bestFit="1" customWidth="1"/>
    <col min="5" max="5" width="53.109375" style="11" bestFit="1" customWidth="1"/>
    <col min="6" max="6" width="39.33203125" style="11" bestFit="1" customWidth="1"/>
    <col min="7" max="7" width="51.21875" style="11" bestFit="1" customWidth="1"/>
    <col min="8" max="8" width="12.6640625" style="11" bestFit="1" customWidth="1"/>
    <col min="9" max="9" width="11.21875" style="11" bestFit="1" customWidth="1"/>
    <col min="10" max="10" width="12.33203125" style="11" bestFit="1" customWidth="1"/>
    <col min="11" max="12" width="7.5546875" style="11" bestFit="1" customWidth="1"/>
    <col min="13" max="13" width="8.33203125" style="11" bestFit="1" customWidth="1"/>
    <col min="14" max="14" width="10.5546875" style="11" bestFit="1" customWidth="1"/>
    <col min="15" max="15" width="12.6640625" style="28" customWidth="1"/>
    <col min="16" max="16" width="11.5546875" style="11" bestFit="1" customWidth="1"/>
    <col min="17" max="16384" width="9.109375" style="11"/>
  </cols>
  <sheetData>
    <row r="1" spans="1:16">
      <c r="J1" s="5" t="s">
        <v>141</v>
      </c>
    </row>
    <row r="2" spans="1:16" ht="20.25" customHeight="1">
      <c r="E2" s="5"/>
    </row>
    <row r="3" spans="1:16">
      <c r="A3" s="187" t="s">
        <v>29</v>
      </c>
      <c r="B3" s="187"/>
      <c r="C3" s="187"/>
      <c r="D3" s="187"/>
      <c r="E3" s="187"/>
      <c r="F3" s="187"/>
      <c r="G3" s="187"/>
      <c r="H3" s="187"/>
      <c r="I3" s="187"/>
      <c r="J3" s="187"/>
      <c r="K3" s="7"/>
      <c r="L3" s="7"/>
      <c r="M3" s="7"/>
      <c r="N3" s="7"/>
      <c r="O3" s="7"/>
    </row>
    <row r="4" spans="1:16">
      <c r="A4" s="187" t="s">
        <v>30</v>
      </c>
      <c r="B4" s="187"/>
      <c r="C4" s="187"/>
      <c r="D4" s="187"/>
      <c r="E4" s="187"/>
      <c r="F4" s="187"/>
      <c r="G4" s="187"/>
      <c r="H4" s="187"/>
      <c r="I4" s="187"/>
      <c r="J4" s="187"/>
      <c r="K4" s="7"/>
      <c r="L4" s="7"/>
      <c r="M4" s="7"/>
      <c r="N4" s="7"/>
      <c r="O4" s="7"/>
    </row>
    <row r="6" spans="1:16" s="6" customFormat="1" ht="15" customHeight="1">
      <c r="A6" s="188" t="s">
        <v>135</v>
      </c>
      <c r="B6" s="188"/>
      <c r="C6" s="188"/>
      <c r="D6" s="188"/>
      <c r="E6" s="188"/>
      <c r="F6" s="188"/>
      <c r="G6" s="188"/>
      <c r="H6" s="188"/>
      <c r="I6" s="188"/>
      <c r="J6" s="188"/>
      <c r="K6" s="8"/>
      <c r="L6" s="8"/>
      <c r="M6" s="8"/>
      <c r="N6" s="8"/>
      <c r="O6" s="8"/>
    </row>
    <row r="7" spans="1:16" s="6" customFormat="1" ht="15" customHeight="1">
      <c r="A7" s="69"/>
      <c r="B7" s="69"/>
      <c r="C7" s="69"/>
      <c r="D7" s="69"/>
      <c r="E7" s="69"/>
      <c r="O7" s="28"/>
    </row>
    <row r="8" spans="1:16">
      <c r="B8" s="53"/>
      <c r="C8" s="53"/>
      <c r="D8" s="53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1"/>
      <c r="P8" s="82"/>
    </row>
    <row r="9" spans="1:16" ht="14.4">
      <c r="A9" s="10" t="s">
        <v>21</v>
      </c>
      <c r="B9" s="154" t="s">
        <v>144</v>
      </c>
      <c r="C9" s="155" t="s">
        <v>440</v>
      </c>
      <c r="D9" s="154" t="s">
        <v>258</v>
      </c>
      <c r="E9" s="155" t="s">
        <v>441</v>
      </c>
      <c r="F9" s="155" t="s">
        <v>259</v>
      </c>
      <c r="G9" s="155" t="s">
        <v>442</v>
      </c>
      <c r="H9" s="156" t="s">
        <v>443</v>
      </c>
      <c r="I9" s="156" t="s">
        <v>444</v>
      </c>
      <c r="J9" s="156" t="s">
        <v>253</v>
      </c>
      <c r="K9" s="152"/>
      <c r="L9" s="152"/>
      <c r="M9" s="152"/>
      <c r="N9" s="152"/>
      <c r="O9" s="153"/>
      <c r="P9" s="92"/>
    </row>
    <row r="10" spans="1:16" ht="14.4">
      <c r="A10" s="10">
        <v>1</v>
      </c>
      <c r="B10" s="157">
        <v>930.11</v>
      </c>
      <c r="C10" s="158" t="s">
        <v>445</v>
      </c>
      <c r="D10" s="159">
        <v>44586</v>
      </c>
      <c r="E10" s="158" t="s">
        <v>446</v>
      </c>
      <c r="F10" s="158" t="s">
        <v>261</v>
      </c>
      <c r="G10" s="158" t="str">
        <f t="shared" ref="G10:G73" si="0">C10</f>
        <v>DIRECTORS PER DIEM</v>
      </c>
      <c r="H10" s="170">
        <v>500</v>
      </c>
      <c r="I10" s="170">
        <v>0</v>
      </c>
      <c r="J10" s="171"/>
      <c r="K10" s="152"/>
      <c r="L10" s="152"/>
      <c r="M10" s="152"/>
      <c r="N10" s="152"/>
      <c r="O10" s="153"/>
      <c r="P10" s="92"/>
    </row>
    <row r="11" spans="1:16" ht="14.4">
      <c r="A11" s="10">
        <f t="shared" ref="A10:A73" si="1">A10+1</f>
        <v>2</v>
      </c>
      <c r="B11" s="157">
        <v>930.11</v>
      </c>
      <c r="C11" s="158" t="s">
        <v>445</v>
      </c>
      <c r="D11" s="159">
        <v>44614</v>
      </c>
      <c r="E11" s="158" t="s">
        <v>446</v>
      </c>
      <c r="F11" s="158" t="s">
        <v>261</v>
      </c>
      <c r="G11" s="158" t="str">
        <f t="shared" si="0"/>
        <v>DIRECTORS PER DIEM</v>
      </c>
      <c r="H11" s="170">
        <v>500</v>
      </c>
      <c r="I11" s="170">
        <v>0</v>
      </c>
      <c r="J11" s="171"/>
      <c r="K11" s="152"/>
      <c r="L11" s="152"/>
      <c r="M11" s="152"/>
      <c r="N11" s="152"/>
      <c r="O11" s="153"/>
      <c r="P11" s="92"/>
    </row>
    <row r="12" spans="1:16" ht="14.4">
      <c r="A12" s="10">
        <f t="shared" si="1"/>
        <v>3</v>
      </c>
      <c r="B12" s="157">
        <v>930.11</v>
      </c>
      <c r="C12" s="158" t="s">
        <v>445</v>
      </c>
      <c r="D12" s="159">
        <v>44625</v>
      </c>
      <c r="E12" s="158" t="s">
        <v>447</v>
      </c>
      <c r="F12" s="158" t="s">
        <v>261</v>
      </c>
      <c r="G12" s="158" t="str">
        <f t="shared" si="0"/>
        <v>DIRECTORS PER DIEM</v>
      </c>
      <c r="H12" s="170">
        <v>1200</v>
      </c>
      <c r="I12" s="170">
        <v>0</v>
      </c>
      <c r="J12" s="171">
        <f>H12-I12</f>
        <v>1200</v>
      </c>
      <c r="K12" s="152"/>
      <c r="L12" s="152"/>
      <c r="M12" s="152"/>
      <c r="N12" s="152"/>
      <c r="O12" s="153"/>
      <c r="P12" s="92"/>
    </row>
    <row r="13" spans="1:16" ht="14.4">
      <c r="A13" s="10">
        <f t="shared" si="1"/>
        <v>4</v>
      </c>
      <c r="B13" s="157">
        <v>930.11</v>
      </c>
      <c r="C13" s="158" t="s">
        <v>445</v>
      </c>
      <c r="D13" s="159">
        <v>44642</v>
      </c>
      <c r="E13" s="158" t="s">
        <v>446</v>
      </c>
      <c r="F13" s="158" t="s">
        <v>261</v>
      </c>
      <c r="G13" s="158" t="str">
        <f t="shared" si="0"/>
        <v>DIRECTORS PER DIEM</v>
      </c>
      <c r="H13" s="170">
        <v>500</v>
      </c>
      <c r="I13" s="170">
        <v>0</v>
      </c>
      <c r="J13" s="171"/>
      <c r="K13" s="152"/>
      <c r="L13" s="152"/>
      <c r="M13" s="152"/>
      <c r="N13" s="152"/>
      <c r="O13" s="153"/>
      <c r="P13" s="92"/>
    </row>
    <row r="14" spans="1:16" ht="14.4">
      <c r="A14" s="10">
        <f t="shared" si="1"/>
        <v>5</v>
      </c>
      <c r="B14" s="157">
        <v>930.11</v>
      </c>
      <c r="C14" s="158" t="s">
        <v>445</v>
      </c>
      <c r="D14" s="159">
        <v>44677</v>
      </c>
      <c r="E14" s="158" t="s">
        <v>446</v>
      </c>
      <c r="F14" s="158" t="s">
        <v>261</v>
      </c>
      <c r="G14" s="158" t="str">
        <f t="shared" si="0"/>
        <v>DIRECTORS PER DIEM</v>
      </c>
      <c r="H14" s="170">
        <v>500</v>
      </c>
      <c r="I14" s="170">
        <v>0</v>
      </c>
      <c r="J14" s="171"/>
      <c r="K14" s="152"/>
      <c r="L14" s="152"/>
      <c r="M14" s="152"/>
      <c r="N14" s="152"/>
      <c r="O14" s="153"/>
      <c r="P14" s="92"/>
    </row>
    <row r="15" spans="1:16" ht="14.4">
      <c r="A15" s="10">
        <f t="shared" si="1"/>
        <v>6</v>
      </c>
      <c r="B15" s="157">
        <v>930.11</v>
      </c>
      <c r="C15" s="158" t="s">
        <v>445</v>
      </c>
      <c r="D15" s="159">
        <v>44698</v>
      </c>
      <c r="E15" s="158" t="s">
        <v>448</v>
      </c>
      <c r="F15" s="158" t="s">
        <v>261</v>
      </c>
      <c r="G15" s="158" t="str">
        <f t="shared" si="0"/>
        <v>DIRECTORS PER DIEM</v>
      </c>
      <c r="H15" s="170">
        <v>500</v>
      </c>
      <c r="I15" s="170">
        <v>0</v>
      </c>
      <c r="J15" s="171"/>
      <c r="K15" s="152"/>
      <c r="L15" s="152"/>
      <c r="M15" s="152"/>
      <c r="N15" s="152"/>
      <c r="O15" s="153"/>
      <c r="P15" s="92"/>
    </row>
    <row r="16" spans="1:16" ht="14.4">
      <c r="A16" s="10">
        <f t="shared" si="1"/>
        <v>7</v>
      </c>
      <c r="B16" s="157">
        <v>930.11</v>
      </c>
      <c r="C16" s="158" t="s">
        <v>445</v>
      </c>
      <c r="D16" s="159">
        <v>44705</v>
      </c>
      <c r="E16" s="158" t="s">
        <v>446</v>
      </c>
      <c r="F16" s="158" t="s">
        <v>261</v>
      </c>
      <c r="G16" s="158" t="str">
        <f t="shared" si="0"/>
        <v>DIRECTORS PER DIEM</v>
      </c>
      <c r="H16" s="170">
        <v>500</v>
      </c>
      <c r="I16" s="170">
        <v>0</v>
      </c>
      <c r="J16" s="171"/>
      <c r="K16" s="152"/>
      <c r="L16" s="152"/>
      <c r="M16" s="152"/>
      <c r="N16" s="152"/>
      <c r="O16" s="153"/>
      <c r="P16" s="92"/>
    </row>
    <row r="17" spans="1:16" ht="14.4">
      <c r="A17" s="10">
        <f t="shared" si="1"/>
        <v>8</v>
      </c>
      <c r="B17" s="157">
        <v>930.11</v>
      </c>
      <c r="C17" s="158" t="s">
        <v>445</v>
      </c>
      <c r="D17" s="159">
        <v>44733</v>
      </c>
      <c r="E17" s="158" t="s">
        <v>446</v>
      </c>
      <c r="F17" s="158" t="s">
        <v>261</v>
      </c>
      <c r="G17" s="158" t="str">
        <f t="shared" si="0"/>
        <v>DIRECTORS PER DIEM</v>
      </c>
      <c r="H17" s="170">
        <v>500</v>
      </c>
      <c r="I17" s="170">
        <v>0</v>
      </c>
      <c r="J17" s="171"/>
      <c r="K17" s="152"/>
      <c r="L17" s="152"/>
      <c r="M17" s="152"/>
      <c r="N17" s="152"/>
      <c r="O17" s="153"/>
      <c r="P17" s="92"/>
    </row>
    <row r="18" spans="1:16" ht="14.4">
      <c r="A18" s="10">
        <f t="shared" si="1"/>
        <v>9</v>
      </c>
      <c r="B18" s="157">
        <v>930.11</v>
      </c>
      <c r="C18" s="158" t="s">
        <v>445</v>
      </c>
      <c r="D18" s="159">
        <v>44768</v>
      </c>
      <c r="E18" s="158" t="s">
        <v>449</v>
      </c>
      <c r="F18" s="158" t="s">
        <v>261</v>
      </c>
      <c r="G18" s="158" t="str">
        <f t="shared" si="0"/>
        <v>DIRECTORS PER DIEM</v>
      </c>
      <c r="H18" s="170">
        <v>500</v>
      </c>
      <c r="I18" s="170">
        <v>0</v>
      </c>
      <c r="J18" s="171"/>
      <c r="K18" s="152"/>
      <c r="L18" s="152"/>
      <c r="M18" s="152"/>
      <c r="N18" s="152"/>
      <c r="O18" s="153"/>
      <c r="P18" s="92"/>
    </row>
    <row r="19" spans="1:16" ht="14.4">
      <c r="A19" s="10">
        <f t="shared" si="1"/>
        <v>10</v>
      </c>
      <c r="B19" s="157">
        <v>930.11</v>
      </c>
      <c r="C19" s="158" t="s">
        <v>445</v>
      </c>
      <c r="D19" s="159">
        <v>44789</v>
      </c>
      <c r="E19" s="158" t="s">
        <v>450</v>
      </c>
      <c r="F19" s="158" t="s">
        <v>261</v>
      </c>
      <c r="G19" s="158" t="str">
        <f t="shared" si="0"/>
        <v>DIRECTORS PER DIEM</v>
      </c>
      <c r="H19" s="170">
        <v>900</v>
      </c>
      <c r="I19" s="170">
        <v>0</v>
      </c>
      <c r="J19" s="171">
        <f>H19-I19</f>
        <v>900</v>
      </c>
      <c r="K19" s="152"/>
      <c r="L19" s="152"/>
      <c r="M19" s="152"/>
      <c r="N19" s="152"/>
      <c r="O19" s="153"/>
      <c r="P19" s="92"/>
    </row>
    <row r="20" spans="1:16" ht="14.4">
      <c r="A20" s="10">
        <f t="shared" si="1"/>
        <v>11</v>
      </c>
      <c r="B20" s="157">
        <v>930.11</v>
      </c>
      <c r="C20" s="158" t="s">
        <v>445</v>
      </c>
      <c r="D20" s="159">
        <v>44796</v>
      </c>
      <c r="E20" s="158" t="s">
        <v>451</v>
      </c>
      <c r="F20" s="158" t="s">
        <v>261</v>
      </c>
      <c r="G20" s="158" t="str">
        <f t="shared" si="0"/>
        <v>DIRECTORS PER DIEM</v>
      </c>
      <c r="H20" s="170">
        <v>500</v>
      </c>
      <c r="I20" s="170">
        <v>0</v>
      </c>
      <c r="J20" s="171"/>
      <c r="K20" s="152"/>
      <c r="L20" s="152"/>
      <c r="M20" s="152"/>
      <c r="N20" s="152"/>
      <c r="O20" s="153"/>
      <c r="P20" s="92"/>
    </row>
    <row r="21" spans="1:16" ht="14.4">
      <c r="A21" s="10">
        <f t="shared" si="1"/>
        <v>12</v>
      </c>
      <c r="B21" s="157">
        <v>930.11</v>
      </c>
      <c r="C21" s="158" t="s">
        <v>445</v>
      </c>
      <c r="D21" s="159">
        <v>44824</v>
      </c>
      <c r="E21" s="158" t="s">
        <v>451</v>
      </c>
      <c r="F21" s="158" t="s">
        <v>261</v>
      </c>
      <c r="G21" s="158" t="str">
        <f t="shared" si="0"/>
        <v>DIRECTORS PER DIEM</v>
      </c>
      <c r="H21" s="170">
        <v>500</v>
      </c>
      <c r="I21" s="170">
        <v>0</v>
      </c>
      <c r="J21" s="171"/>
      <c r="K21" s="152"/>
      <c r="L21" s="152"/>
      <c r="M21" s="152"/>
      <c r="N21" s="152"/>
      <c r="O21" s="153"/>
      <c r="P21" s="92"/>
    </row>
    <row r="22" spans="1:16" ht="14.4">
      <c r="A22" s="10">
        <f t="shared" si="1"/>
        <v>13</v>
      </c>
      <c r="B22" s="157">
        <v>930.11</v>
      </c>
      <c r="C22" s="158" t="s">
        <v>445</v>
      </c>
      <c r="D22" s="159">
        <v>44859</v>
      </c>
      <c r="E22" s="158" t="s">
        <v>452</v>
      </c>
      <c r="F22" s="158" t="s">
        <v>261</v>
      </c>
      <c r="G22" s="158" t="str">
        <f t="shared" si="0"/>
        <v>DIRECTORS PER DIEM</v>
      </c>
      <c r="H22" s="170">
        <v>500</v>
      </c>
      <c r="I22" s="170">
        <v>0</v>
      </c>
      <c r="J22" s="171"/>
      <c r="K22" s="152"/>
      <c r="L22" s="152"/>
      <c r="M22" s="152"/>
      <c r="N22" s="152"/>
      <c r="O22" s="153"/>
      <c r="P22" s="92"/>
    </row>
    <row r="23" spans="1:16" ht="14.4">
      <c r="A23" s="10">
        <f t="shared" si="1"/>
        <v>14</v>
      </c>
      <c r="B23" s="157">
        <v>930.11</v>
      </c>
      <c r="C23" s="158" t="s">
        <v>445</v>
      </c>
      <c r="D23" s="159">
        <v>44880</v>
      </c>
      <c r="E23" s="158" t="s">
        <v>452</v>
      </c>
      <c r="F23" s="158" t="s">
        <v>261</v>
      </c>
      <c r="G23" s="158" t="str">
        <f t="shared" si="0"/>
        <v>DIRECTORS PER DIEM</v>
      </c>
      <c r="H23" s="170">
        <v>500</v>
      </c>
      <c r="I23" s="170">
        <v>0</v>
      </c>
      <c r="J23" s="171"/>
      <c r="K23" s="152"/>
      <c r="L23" s="152"/>
      <c r="M23" s="152"/>
      <c r="N23" s="152"/>
      <c r="O23" s="153"/>
      <c r="P23" s="92"/>
    </row>
    <row r="24" spans="1:16" ht="14.4">
      <c r="A24" s="10">
        <f t="shared" si="1"/>
        <v>15</v>
      </c>
      <c r="B24" s="157">
        <v>930.11</v>
      </c>
      <c r="C24" s="158" t="s">
        <v>445</v>
      </c>
      <c r="D24" s="159">
        <v>44901</v>
      </c>
      <c r="E24" s="158" t="s">
        <v>452</v>
      </c>
      <c r="F24" s="158" t="s">
        <v>261</v>
      </c>
      <c r="G24" s="158" t="str">
        <f t="shared" si="0"/>
        <v>DIRECTORS PER DIEM</v>
      </c>
      <c r="H24" s="170">
        <v>500</v>
      </c>
      <c r="I24" s="170">
        <v>0</v>
      </c>
      <c r="J24" s="171"/>
      <c r="K24" s="152"/>
      <c r="L24" s="152"/>
      <c r="M24" s="152"/>
      <c r="N24" s="152"/>
      <c r="O24" s="153"/>
      <c r="P24" s="92"/>
    </row>
    <row r="25" spans="1:16" ht="14.4">
      <c r="A25" s="10">
        <f t="shared" si="1"/>
        <v>16</v>
      </c>
      <c r="B25" s="157">
        <v>930.11</v>
      </c>
      <c r="C25" s="158" t="s">
        <v>445</v>
      </c>
      <c r="D25" s="159">
        <v>44586</v>
      </c>
      <c r="E25" s="158" t="s">
        <v>453</v>
      </c>
      <c r="F25" s="158" t="s">
        <v>454</v>
      </c>
      <c r="G25" s="158" t="str">
        <f t="shared" si="0"/>
        <v>DIRECTORS PER DIEM</v>
      </c>
      <c r="H25" s="170">
        <v>500</v>
      </c>
      <c r="I25" s="170">
        <v>0</v>
      </c>
      <c r="J25" s="171"/>
      <c r="K25" s="152"/>
      <c r="L25" s="152"/>
      <c r="M25" s="152"/>
      <c r="N25" s="152"/>
      <c r="O25" s="153"/>
      <c r="P25" s="92"/>
    </row>
    <row r="26" spans="1:16" ht="14.4">
      <c r="A26" s="10">
        <f t="shared" si="1"/>
        <v>17</v>
      </c>
      <c r="B26" s="157">
        <v>930.11</v>
      </c>
      <c r="C26" s="158" t="s">
        <v>445</v>
      </c>
      <c r="D26" s="159">
        <v>44614</v>
      </c>
      <c r="E26" s="158" t="s">
        <v>453</v>
      </c>
      <c r="F26" s="158" t="s">
        <v>454</v>
      </c>
      <c r="G26" s="158" t="str">
        <f t="shared" si="0"/>
        <v>DIRECTORS PER DIEM</v>
      </c>
      <c r="H26" s="170">
        <v>500</v>
      </c>
      <c r="I26" s="170">
        <v>0</v>
      </c>
      <c r="J26" s="171"/>
      <c r="K26" s="152"/>
      <c r="L26" s="152"/>
      <c r="M26" s="152"/>
      <c r="N26" s="152"/>
      <c r="O26" s="153"/>
      <c r="P26" s="92"/>
    </row>
    <row r="27" spans="1:16" ht="14.4">
      <c r="A27" s="10">
        <f t="shared" si="1"/>
        <v>18</v>
      </c>
      <c r="B27" s="157">
        <v>930.11</v>
      </c>
      <c r="C27" s="158" t="s">
        <v>445</v>
      </c>
      <c r="D27" s="159">
        <v>44625</v>
      </c>
      <c r="E27" s="158" t="s">
        <v>455</v>
      </c>
      <c r="F27" s="158" t="s">
        <v>454</v>
      </c>
      <c r="G27" s="158" t="str">
        <f t="shared" si="0"/>
        <v>DIRECTORS PER DIEM</v>
      </c>
      <c r="H27" s="170">
        <v>1200</v>
      </c>
      <c r="I27" s="170">
        <v>0</v>
      </c>
      <c r="J27" s="171">
        <f>H27-I27</f>
        <v>1200</v>
      </c>
      <c r="K27" s="152"/>
      <c r="L27" s="152"/>
      <c r="M27" s="152"/>
      <c r="N27" s="152"/>
      <c r="O27" s="153"/>
      <c r="P27" s="92"/>
    </row>
    <row r="28" spans="1:16" ht="14.4">
      <c r="A28" s="10">
        <f t="shared" si="1"/>
        <v>19</v>
      </c>
      <c r="B28" s="157">
        <v>930.11</v>
      </c>
      <c r="C28" s="158" t="s">
        <v>445</v>
      </c>
      <c r="D28" s="159">
        <v>44642</v>
      </c>
      <c r="E28" s="158" t="s">
        <v>453</v>
      </c>
      <c r="F28" s="158" t="s">
        <v>454</v>
      </c>
      <c r="G28" s="158" t="str">
        <f t="shared" si="0"/>
        <v>DIRECTORS PER DIEM</v>
      </c>
      <c r="H28" s="170">
        <v>500</v>
      </c>
      <c r="I28" s="170">
        <v>0</v>
      </c>
      <c r="J28" s="171"/>
      <c r="K28" s="152"/>
      <c r="L28" s="152"/>
      <c r="M28" s="152"/>
      <c r="N28" s="152"/>
      <c r="O28" s="153"/>
      <c r="P28" s="92"/>
    </row>
    <row r="29" spans="1:16" ht="14.4">
      <c r="A29" s="10">
        <f t="shared" si="1"/>
        <v>20</v>
      </c>
      <c r="B29" s="157">
        <v>930.11</v>
      </c>
      <c r="C29" s="158" t="s">
        <v>445</v>
      </c>
      <c r="D29" s="159">
        <v>44677</v>
      </c>
      <c r="E29" s="158" t="s">
        <v>453</v>
      </c>
      <c r="F29" s="158" t="s">
        <v>454</v>
      </c>
      <c r="G29" s="158" t="str">
        <f t="shared" si="0"/>
        <v>DIRECTORS PER DIEM</v>
      </c>
      <c r="H29" s="170">
        <v>500</v>
      </c>
      <c r="I29" s="170">
        <v>0</v>
      </c>
      <c r="J29" s="171"/>
      <c r="K29" s="152"/>
      <c r="L29" s="152"/>
      <c r="M29" s="152"/>
      <c r="N29" s="152"/>
      <c r="O29" s="153"/>
      <c r="P29" s="92"/>
    </row>
    <row r="30" spans="1:16" ht="14.4">
      <c r="A30" s="10">
        <f t="shared" si="1"/>
        <v>21</v>
      </c>
      <c r="B30" s="157">
        <v>930.11</v>
      </c>
      <c r="C30" s="158" t="s">
        <v>445</v>
      </c>
      <c r="D30" s="159">
        <v>44698</v>
      </c>
      <c r="E30" s="158" t="s">
        <v>456</v>
      </c>
      <c r="F30" s="158" t="s">
        <v>454</v>
      </c>
      <c r="G30" s="158" t="str">
        <f t="shared" si="0"/>
        <v>DIRECTORS PER DIEM</v>
      </c>
      <c r="H30" s="170">
        <v>500</v>
      </c>
      <c r="I30" s="170">
        <v>0</v>
      </c>
      <c r="J30" s="171"/>
      <c r="K30" s="152"/>
      <c r="L30" s="152"/>
      <c r="M30" s="152"/>
      <c r="N30" s="152"/>
      <c r="O30" s="153"/>
      <c r="P30" s="92"/>
    </row>
    <row r="31" spans="1:16" ht="14.4">
      <c r="A31" s="10">
        <f t="shared" si="1"/>
        <v>22</v>
      </c>
      <c r="B31" s="157">
        <v>930.11</v>
      </c>
      <c r="C31" s="158" t="s">
        <v>445</v>
      </c>
      <c r="D31" s="159">
        <v>44705</v>
      </c>
      <c r="E31" s="158" t="s">
        <v>453</v>
      </c>
      <c r="F31" s="158" t="s">
        <v>454</v>
      </c>
      <c r="G31" s="158" t="str">
        <f t="shared" si="0"/>
        <v>DIRECTORS PER DIEM</v>
      </c>
      <c r="H31" s="170">
        <v>500</v>
      </c>
      <c r="I31" s="170">
        <v>0</v>
      </c>
      <c r="J31" s="171"/>
      <c r="K31" s="152"/>
      <c r="L31" s="152"/>
      <c r="M31" s="152"/>
      <c r="N31" s="152"/>
      <c r="O31" s="153"/>
      <c r="P31" s="92"/>
    </row>
    <row r="32" spans="1:16" ht="14.4">
      <c r="A32" s="10">
        <f t="shared" si="1"/>
        <v>23</v>
      </c>
      <c r="B32" s="157">
        <v>930.11</v>
      </c>
      <c r="C32" s="158" t="s">
        <v>445</v>
      </c>
      <c r="D32" s="159">
        <v>44733</v>
      </c>
      <c r="E32" s="158" t="s">
        <v>453</v>
      </c>
      <c r="F32" s="158" t="s">
        <v>454</v>
      </c>
      <c r="G32" s="158" t="str">
        <f t="shared" si="0"/>
        <v>DIRECTORS PER DIEM</v>
      </c>
      <c r="H32" s="170">
        <v>500</v>
      </c>
      <c r="I32" s="170">
        <v>0</v>
      </c>
      <c r="J32" s="171"/>
      <c r="K32" s="152"/>
      <c r="L32" s="152"/>
      <c r="M32" s="152"/>
      <c r="N32" s="152"/>
      <c r="O32" s="153"/>
      <c r="P32" s="92"/>
    </row>
    <row r="33" spans="1:16" ht="14.4">
      <c r="A33" s="10">
        <f t="shared" si="1"/>
        <v>24</v>
      </c>
      <c r="B33" s="157">
        <v>930.11</v>
      </c>
      <c r="C33" s="158" t="s">
        <v>445</v>
      </c>
      <c r="D33" s="159">
        <v>44768</v>
      </c>
      <c r="E33" s="158" t="s">
        <v>449</v>
      </c>
      <c r="F33" s="158" t="s">
        <v>454</v>
      </c>
      <c r="G33" s="158" t="str">
        <f t="shared" si="0"/>
        <v>DIRECTORS PER DIEM</v>
      </c>
      <c r="H33" s="170">
        <v>500</v>
      </c>
      <c r="I33" s="170">
        <v>0</v>
      </c>
      <c r="J33" s="171"/>
      <c r="K33" s="152"/>
      <c r="L33" s="152"/>
      <c r="M33" s="152"/>
      <c r="N33" s="152"/>
      <c r="O33" s="153"/>
      <c r="P33" s="92"/>
    </row>
    <row r="34" spans="1:16" ht="14.4">
      <c r="A34" s="10">
        <f t="shared" si="1"/>
        <v>25</v>
      </c>
      <c r="B34" s="157">
        <v>930.11</v>
      </c>
      <c r="C34" s="158" t="s">
        <v>445</v>
      </c>
      <c r="D34" s="159">
        <v>44789</v>
      </c>
      <c r="E34" s="158" t="s">
        <v>450</v>
      </c>
      <c r="F34" s="158" t="s">
        <v>454</v>
      </c>
      <c r="G34" s="158" t="str">
        <f t="shared" si="0"/>
        <v>DIRECTORS PER DIEM</v>
      </c>
      <c r="H34" s="170">
        <v>900</v>
      </c>
      <c r="I34" s="170">
        <v>0</v>
      </c>
      <c r="J34" s="171">
        <f>H34-I34</f>
        <v>900</v>
      </c>
      <c r="K34" s="152"/>
      <c r="L34" s="152"/>
      <c r="M34" s="152"/>
      <c r="N34" s="152"/>
      <c r="O34" s="153"/>
      <c r="P34" s="92"/>
    </row>
    <row r="35" spans="1:16" ht="14.4">
      <c r="A35" s="10">
        <f t="shared" si="1"/>
        <v>26</v>
      </c>
      <c r="B35" s="157">
        <v>930.11</v>
      </c>
      <c r="C35" s="158" t="s">
        <v>445</v>
      </c>
      <c r="D35" s="159">
        <v>44796</v>
      </c>
      <c r="E35" s="158" t="s">
        <v>451</v>
      </c>
      <c r="F35" s="158" t="s">
        <v>454</v>
      </c>
      <c r="G35" s="158" t="str">
        <f t="shared" si="0"/>
        <v>DIRECTORS PER DIEM</v>
      </c>
      <c r="H35" s="170">
        <v>500</v>
      </c>
      <c r="I35" s="170">
        <v>0</v>
      </c>
      <c r="J35" s="171"/>
      <c r="K35" s="152"/>
      <c r="L35" s="152"/>
      <c r="M35" s="152"/>
      <c r="N35" s="152"/>
      <c r="O35" s="153"/>
      <c r="P35" s="92"/>
    </row>
    <row r="36" spans="1:16" ht="14.4">
      <c r="A36" s="10">
        <f t="shared" si="1"/>
        <v>27</v>
      </c>
      <c r="B36" s="157">
        <v>930.11</v>
      </c>
      <c r="C36" s="158" t="s">
        <v>445</v>
      </c>
      <c r="D36" s="159">
        <v>44824</v>
      </c>
      <c r="E36" s="158" t="s">
        <v>451</v>
      </c>
      <c r="F36" s="158" t="s">
        <v>454</v>
      </c>
      <c r="G36" s="158" t="str">
        <f t="shared" si="0"/>
        <v>DIRECTORS PER DIEM</v>
      </c>
      <c r="H36" s="170">
        <v>500</v>
      </c>
      <c r="I36" s="170">
        <v>0</v>
      </c>
      <c r="J36" s="171"/>
      <c r="K36" s="152"/>
      <c r="L36" s="152"/>
      <c r="M36" s="152"/>
      <c r="N36" s="152"/>
      <c r="O36" s="153"/>
      <c r="P36" s="92"/>
    </row>
    <row r="37" spans="1:16" ht="14.4">
      <c r="A37" s="10">
        <f t="shared" si="1"/>
        <v>28</v>
      </c>
      <c r="B37" s="157">
        <v>930.11</v>
      </c>
      <c r="C37" s="158" t="s">
        <v>445</v>
      </c>
      <c r="D37" s="159">
        <v>44859</v>
      </c>
      <c r="E37" s="158" t="s">
        <v>452</v>
      </c>
      <c r="F37" s="158" t="s">
        <v>454</v>
      </c>
      <c r="G37" s="158" t="str">
        <f t="shared" si="0"/>
        <v>DIRECTORS PER DIEM</v>
      </c>
      <c r="H37" s="170">
        <v>500</v>
      </c>
      <c r="I37" s="170">
        <v>0</v>
      </c>
      <c r="J37" s="171"/>
      <c r="K37" s="152"/>
      <c r="L37" s="152"/>
      <c r="M37" s="152"/>
      <c r="N37" s="152"/>
      <c r="O37" s="153"/>
      <c r="P37" s="92"/>
    </row>
    <row r="38" spans="1:16" ht="14.4">
      <c r="A38" s="10">
        <f t="shared" si="1"/>
        <v>29</v>
      </c>
      <c r="B38" s="157">
        <v>930.11</v>
      </c>
      <c r="C38" s="158" t="s">
        <v>445</v>
      </c>
      <c r="D38" s="159">
        <v>44880</v>
      </c>
      <c r="E38" s="158" t="s">
        <v>452</v>
      </c>
      <c r="F38" s="158" t="s">
        <v>454</v>
      </c>
      <c r="G38" s="158" t="str">
        <f t="shared" si="0"/>
        <v>DIRECTORS PER DIEM</v>
      </c>
      <c r="H38" s="170">
        <v>500</v>
      </c>
      <c r="I38" s="170">
        <v>0</v>
      </c>
      <c r="J38" s="171"/>
      <c r="K38" s="152"/>
      <c r="L38" s="152"/>
      <c r="M38" s="152"/>
      <c r="N38" s="152"/>
      <c r="O38" s="153"/>
      <c r="P38" s="92"/>
    </row>
    <row r="39" spans="1:16" ht="14.4">
      <c r="A39" s="10">
        <f t="shared" si="1"/>
        <v>30</v>
      </c>
      <c r="B39" s="157">
        <v>930.11</v>
      </c>
      <c r="C39" s="158" t="s">
        <v>445</v>
      </c>
      <c r="D39" s="159">
        <v>44901</v>
      </c>
      <c r="E39" s="158" t="s">
        <v>452</v>
      </c>
      <c r="F39" s="158" t="s">
        <v>454</v>
      </c>
      <c r="G39" s="158" t="str">
        <f t="shared" si="0"/>
        <v>DIRECTORS PER DIEM</v>
      </c>
      <c r="H39" s="170">
        <v>500</v>
      </c>
      <c r="I39" s="170">
        <v>0</v>
      </c>
      <c r="J39" s="171"/>
      <c r="K39" s="152"/>
      <c r="L39" s="152"/>
      <c r="M39" s="152"/>
      <c r="N39" s="152"/>
      <c r="O39" s="153"/>
      <c r="P39" s="92"/>
    </row>
    <row r="40" spans="1:16" ht="14.4">
      <c r="A40" s="10">
        <f t="shared" si="1"/>
        <v>31</v>
      </c>
      <c r="B40" s="157">
        <v>930.11</v>
      </c>
      <c r="C40" s="158" t="s">
        <v>445</v>
      </c>
      <c r="D40" s="159">
        <v>44579</v>
      </c>
      <c r="E40" s="158" t="s">
        <v>457</v>
      </c>
      <c r="F40" s="158" t="s">
        <v>262</v>
      </c>
      <c r="G40" s="158" t="str">
        <f t="shared" si="0"/>
        <v>DIRECTORS PER DIEM</v>
      </c>
      <c r="H40" s="170">
        <v>300</v>
      </c>
      <c r="I40" s="170">
        <v>0</v>
      </c>
      <c r="J40" s="171">
        <f>H40-I40</f>
        <v>300</v>
      </c>
      <c r="K40" s="152"/>
      <c r="L40" s="152"/>
      <c r="M40" s="152"/>
      <c r="N40" s="152"/>
      <c r="O40" s="153"/>
      <c r="P40" s="92"/>
    </row>
    <row r="41" spans="1:16" ht="14.4">
      <c r="A41" s="10">
        <f t="shared" si="1"/>
        <v>32</v>
      </c>
      <c r="B41" s="157">
        <v>930.11</v>
      </c>
      <c r="C41" s="158" t="s">
        <v>445</v>
      </c>
      <c r="D41" s="159">
        <v>44586</v>
      </c>
      <c r="E41" s="158" t="s">
        <v>458</v>
      </c>
      <c r="F41" s="158" t="s">
        <v>262</v>
      </c>
      <c r="G41" s="158" t="str">
        <f t="shared" si="0"/>
        <v>DIRECTORS PER DIEM</v>
      </c>
      <c r="H41" s="170">
        <v>500</v>
      </c>
      <c r="I41" s="170">
        <v>0</v>
      </c>
      <c r="J41" s="171"/>
      <c r="K41" s="152"/>
      <c r="L41" s="152"/>
      <c r="M41" s="152"/>
      <c r="N41" s="152"/>
      <c r="O41" s="153"/>
      <c r="P41" s="92"/>
    </row>
    <row r="42" spans="1:16" ht="14.4">
      <c r="A42" s="10">
        <f t="shared" si="1"/>
        <v>33</v>
      </c>
      <c r="B42" s="157">
        <v>930.11</v>
      </c>
      <c r="C42" s="158" t="s">
        <v>445</v>
      </c>
      <c r="D42" s="159">
        <v>44614</v>
      </c>
      <c r="E42" s="158" t="s">
        <v>458</v>
      </c>
      <c r="F42" s="158" t="s">
        <v>262</v>
      </c>
      <c r="G42" s="158" t="str">
        <f t="shared" si="0"/>
        <v>DIRECTORS PER DIEM</v>
      </c>
      <c r="H42" s="170">
        <v>500</v>
      </c>
      <c r="I42" s="170">
        <v>0</v>
      </c>
      <c r="J42" s="171"/>
      <c r="K42" s="152"/>
      <c r="L42" s="152"/>
      <c r="M42" s="152"/>
      <c r="N42" s="152"/>
      <c r="O42" s="153"/>
      <c r="P42" s="92"/>
    </row>
    <row r="43" spans="1:16" ht="14.4">
      <c r="A43" s="10">
        <f t="shared" si="1"/>
        <v>34</v>
      </c>
      <c r="B43" s="157">
        <v>930.11</v>
      </c>
      <c r="C43" s="158" t="s">
        <v>445</v>
      </c>
      <c r="D43" s="159">
        <v>44642</v>
      </c>
      <c r="E43" s="158" t="s">
        <v>458</v>
      </c>
      <c r="F43" s="158" t="s">
        <v>262</v>
      </c>
      <c r="G43" s="158" t="str">
        <f t="shared" si="0"/>
        <v>DIRECTORS PER DIEM</v>
      </c>
      <c r="H43" s="170">
        <v>500</v>
      </c>
      <c r="I43" s="170">
        <v>0</v>
      </c>
      <c r="J43" s="171"/>
      <c r="K43" s="152"/>
      <c r="L43" s="152"/>
      <c r="M43" s="152"/>
      <c r="N43" s="152"/>
      <c r="O43" s="153"/>
      <c r="P43" s="92"/>
    </row>
    <row r="44" spans="1:16" ht="14.4">
      <c r="A44" s="10">
        <f t="shared" si="1"/>
        <v>35</v>
      </c>
      <c r="B44" s="157">
        <v>930.11</v>
      </c>
      <c r="C44" s="158" t="s">
        <v>445</v>
      </c>
      <c r="D44" s="159">
        <v>44677</v>
      </c>
      <c r="E44" s="158" t="s">
        <v>458</v>
      </c>
      <c r="F44" s="158" t="s">
        <v>262</v>
      </c>
      <c r="G44" s="158" t="str">
        <f t="shared" si="0"/>
        <v>DIRECTORS PER DIEM</v>
      </c>
      <c r="H44" s="170">
        <v>500</v>
      </c>
      <c r="I44" s="170">
        <v>0</v>
      </c>
      <c r="J44" s="171"/>
      <c r="K44" s="152"/>
      <c r="L44" s="152"/>
      <c r="M44" s="152"/>
      <c r="N44" s="152"/>
      <c r="O44" s="153"/>
      <c r="P44" s="92"/>
    </row>
    <row r="45" spans="1:16" ht="14.4">
      <c r="A45" s="10">
        <f t="shared" si="1"/>
        <v>36</v>
      </c>
      <c r="B45" s="157">
        <v>930.11</v>
      </c>
      <c r="C45" s="158" t="s">
        <v>445</v>
      </c>
      <c r="D45" s="159">
        <v>44698</v>
      </c>
      <c r="E45" s="158" t="s">
        <v>457</v>
      </c>
      <c r="F45" s="158" t="s">
        <v>262</v>
      </c>
      <c r="G45" s="158" t="str">
        <f t="shared" si="0"/>
        <v>DIRECTORS PER DIEM</v>
      </c>
      <c r="H45" s="170">
        <v>300</v>
      </c>
      <c r="I45" s="170">
        <v>0</v>
      </c>
      <c r="J45" s="171">
        <f>H45-I45</f>
        <v>300</v>
      </c>
      <c r="K45" s="152"/>
      <c r="L45" s="152"/>
      <c r="M45" s="152"/>
      <c r="N45" s="152"/>
      <c r="O45" s="153"/>
      <c r="P45" s="92"/>
    </row>
    <row r="46" spans="1:16" ht="14.4">
      <c r="A46" s="10">
        <f t="shared" si="1"/>
        <v>37</v>
      </c>
      <c r="B46" s="157">
        <v>930.11</v>
      </c>
      <c r="C46" s="158" t="s">
        <v>445</v>
      </c>
      <c r="D46" s="159">
        <v>44698</v>
      </c>
      <c r="E46" s="158" t="s">
        <v>459</v>
      </c>
      <c r="F46" s="158" t="s">
        <v>262</v>
      </c>
      <c r="G46" s="158" t="str">
        <f t="shared" si="0"/>
        <v>DIRECTORS PER DIEM</v>
      </c>
      <c r="H46" s="170">
        <v>500</v>
      </c>
      <c r="I46" s="170">
        <v>0</v>
      </c>
      <c r="J46" s="171"/>
      <c r="K46" s="152"/>
      <c r="L46" s="152"/>
      <c r="M46" s="152"/>
      <c r="N46" s="152"/>
      <c r="O46" s="153"/>
      <c r="P46" s="92"/>
    </row>
    <row r="47" spans="1:16" ht="14.4">
      <c r="A47" s="10">
        <f t="shared" si="1"/>
        <v>38</v>
      </c>
      <c r="B47" s="157">
        <v>930.11</v>
      </c>
      <c r="C47" s="158" t="s">
        <v>445</v>
      </c>
      <c r="D47" s="159">
        <v>44705</v>
      </c>
      <c r="E47" s="158" t="s">
        <v>458</v>
      </c>
      <c r="F47" s="158" t="s">
        <v>262</v>
      </c>
      <c r="G47" s="158" t="str">
        <f t="shared" si="0"/>
        <v>DIRECTORS PER DIEM</v>
      </c>
      <c r="H47" s="170">
        <v>500</v>
      </c>
      <c r="I47" s="170">
        <v>0</v>
      </c>
      <c r="J47" s="171"/>
      <c r="K47" s="152"/>
      <c r="L47" s="152"/>
      <c r="M47" s="152"/>
      <c r="N47" s="152"/>
      <c r="O47" s="153"/>
      <c r="P47" s="92"/>
    </row>
    <row r="48" spans="1:16" ht="14.4">
      <c r="A48" s="10">
        <f t="shared" si="1"/>
        <v>39</v>
      </c>
      <c r="B48" s="157">
        <v>930.11</v>
      </c>
      <c r="C48" s="158" t="s">
        <v>445</v>
      </c>
      <c r="D48" s="159">
        <v>44733</v>
      </c>
      <c r="E48" s="158" t="s">
        <v>458</v>
      </c>
      <c r="F48" s="158" t="s">
        <v>262</v>
      </c>
      <c r="G48" s="158" t="str">
        <f t="shared" si="0"/>
        <v>DIRECTORS PER DIEM</v>
      </c>
      <c r="H48" s="170">
        <v>500</v>
      </c>
      <c r="I48" s="170">
        <v>0</v>
      </c>
      <c r="J48" s="171"/>
      <c r="K48" s="152"/>
      <c r="L48" s="152"/>
      <c r="M48" s="152"/>
      <c r="N48" s="152"/>
      <c r="O48" s="153"/>
      <c r="P48" s="92"/>
    </row>
    <row r="49" spans="1:16" ht="14.4">
      <c r="A49" s="10">
        <f t="shared" si="1"/>
        <v>40</v>
      </c>
      <c r="B49" s="157">
        <v>930.11</v>
      </c>
      <c r="C49" s="158" t="s">
        <v>445</v>
      </c>
      <c r="D49" s="159">
        <v>44768</v>
      </c>
      <c r="E49" s="158" t="s">
        <v>460</v>
      </c>
      <c r="F49" s="158" t="s">
        <v>262</v>
      </c>
      <c r="G49" s="158" t="str">
        <f t="shared" si="0"/>
        <v>DIRECTORS PER DIEM</v>
      </c>
      <c r="H49" s="170">
        <v>300</v>
      </c>
      <c r="I49" s="170">
        <v>0</v>
      </c>
      <c r="J49" s="171">
        <f>H49-I49</f>
        <v>300</v>
      </c>
      <c r="K49" s="152"/>
      <c r="L49" s="152"/>
      <c r="M49" s="152"/>
      <c r="N49" s="152"/>
      <c r="O49" s="153"/>
      <c r="P49" s="92"/>
    </row>
    <row r="50" spans="1:16" ht="14.4">
      <c r="A50" s="10">
        <f t="shared" si="1"/>
        <v>41</v>
      </c>
      <c r="B50" s="157">
        <v>930.11</v>
      </c>
      <c r="C50" s="158" t="s">
        <v>445</v>
      </c>
      <c r="D50" s="159">
        <v>44768</v>
      </c>
      <c r="E50" s="158" t="s">
        <v>451</v>
      </c>
      <c r="F50" s="158" t="s">
        <v>262</v>
      </c>
      <c r="G50" s="158" t="str">
        <f t="shared" si="0"/>
        <v>DIRECTORS PER DIEM</v>
      </c>
      <c r="H50" s="170">
        <v>500</v>
      </c>
      <c r="I50" s="170">
        <v>0</v>
      </c>
      <c r="J50" s="171"/>
      <c r="K50" s="152"/>
      <c r="L50" s="152"/>
      <c r="M50" s="152"/>
      <c r="N50" s="152"/>
      <c r="O50" s="153"/>
      <c r="P50" s="92"/>
    </row>
    <row r="51" spans="1:16" ht="14.4">
      <c r="A51" s="10">
        <f t="shared" si="1"/>
        <v>42</v>
      </c>
      <c r="B51" s="157">
        <v>930.11</v>
      </c>
      <c r="C51" s="158" t="s">
        <v>445</v>
      </c>
      <c r="D51" s="159">
        <v>44796</v>
      </c>
      <c r="E51" s="158" t="s">
        <v>451</v>
      </c>
      <c r="F51" s="158" t="s">
        <v>262</v>
      </c>
      <c r="G51" s="158" t="str">
        <f t="shared" si="0"/>
        <v>DIRECTORS PER DIEM</v>
      </c>
      <c r="H51" s="170">
        <v>500</v>
      </c>
      <c r="I51" s="170">
        <v>0</v>
      </c>
      <c r="J51" s="171"/>
      <c r="K51" s="152"/>
      <c r="L51" s="152"/>
      <c r="M51" s="152"/>
      <c r="N51" s="152"/>
      <c r="O51" s="153"/>
      <c r="P51" s="92"/>
    </row>
    <row r="52" spans="1:16" ht="14.4">
      <c r="A52" s="10">
        <f t="shared" si="1"/>
        <v>43</v>
      </c>
      <c r="B52" s="157">
        <v>930.11</v>
      </c>
      <c r="C52" s="158" t="s">
        <v>445</v>
      </c>
      <c r="D52" s="159">
        <v>44824</v>
      </c>
      <c r="E52" s="158" t="s">
        <v>451</v>
      </c>
      <c r="F52" s="158" t="s">
        <v>262</v>
      </c>
      <c r="G52" s="158" t="str">
        <f t="shared" si="0"/>
        <v>DIRECTORS PER DIEM</v>
      </c>
      <c r="H52" s="170">
        <v>500</v>
      </c>
      <c r="I52" s="170">
        <v>0</v>
      </c>
      <c r="J52" s="171"/>
      <c r="K52" s="152"/>
      <c r="L52" s="152"/>
      <c r="M52" s="152"/>
      <c r="N52" s="152"/>
      <c r="O52" s="153"/>
      <c r="P52" s="92"/>
    </row>
    <row r="53" spans="1:16" ht="14.4">
      <c r="A53" s="10">
        <f t="shared" si="1"/>
        <v>44</v>
      </c>
      <c r="B53" s="157">
        <v>930.11</v>
      </c>
      <c r="C53" s="158" t="s">
        <v>445</v>
      </c>
      <c r="D53" s="159">
        <v>44859</v>
      </c>
      <c r="E53" s="158" t="s">
        <v>452</v>
      </c>
      <c r="F53" s="158" t="s">
        <v>262</v>
      </c>
      <c r="G53" s="158" t="str">
        <f t="shared" si="0"/>
        <v>DIRECTORS PER DIEM</v>
      </c>
      <c r="H53" s="170">
        <v>500</v>
      </c>
      <c r="I53" s="170">
        <v>0</v>
      </c>
      <c r="J53" s="171"/>
      <c r="K53" s="152"/>
      <c r="L53" s="152"/>
      <c r="M53" s="152"/>
      <c r="N53" s="152"/>
      <c r="O53" s="153"/>
      <c r="P53" s="92"/>
    </row>
    <row r="54" spans="1:16" ht="14.4">
      <c r="A54" s="10">
        <f t="shared" si="1"/>
        <v>45</v>
      </c>
      <c r="B54" s="157">
        <v>930.11</v>
      </c>
      <c r="C54" s="158" t="s">
        <v>445</v>
      </c>
      <c r="D54" s="159">
        <v>44880</v>
      </c>
      <c r="E54" s="158" t="s">
        <v>452</v>
      </c>
      <c r="F54" s="158" t="s">
        <v>262</v>
      </c>
      <c r="G54" s="158" t="str">
        <f t="shared" si="0"/>
        <v>DIRECTORS PER DIEM</v>
      </c>
      <c r="H54" s="170">
        <v>500</v>
      </c>
      <c r="I54" s="170">
        <v>0</v>
      </c>
      <c r="J54" s="171"/>
      <c r="K54" s="152"/>
      <c r="L54" s="152"/>
      <c r="M54" s="152"/>
      <c r="N54" s="152"/>
      <c r="O54" s="153"/>
      <c r="P54" s="92"/>
    </row>
    <row r="55" spans="1:16" ht="14.4">
      <c r="A55" s="10">
        <f t="shared" si="1"/>
        <v>46</v>
      </c>
      <c r="B55" s="157">
        <v>930.11</v>
      </c>
      <c r="C55" s="158" t="s">
        <v>445</v>
      </c>
      <c r="D55" s="159">
        <v>44901</v>
      </c>
      <c r="E55" s="158" t="s">
        <v>452</v>
      </c>
      <c r="F55" s="158" t="s">
        <v>262</v>
      </c>
      <c r="G55" s="158" t="str">
        <f t="shared" si="0"/>
        <v>DIRECTORS PER DIEM</v>
      </c>
      <c r="H55" s="170">
        <v>500</v>
      </c>
      <c r="I55" s="170">
        <v>0</v>
      </c>
      <c r="J55" s="171"/>
      <c r="K55" s="152"/>
      <c r="L55" s="152"/>
      <c r="M55" s="152"/>
      <c r="N55" s="152"/>
      <c r="O55" s="153"/>
      <c r="P55" s="92"/>
    </row>
    <row r="56" spans="1:16" ht="14.4">
      <c r="A56" s="10">
        <f t="shared" si="1"/>
        <v>47</v>
      </c>
      <c r="B56" s="157">
        <v>930.11</v>
      </c>
      <c r="C56" s="158" t="s">
        <v>445</v>
      </c>
      <c r="D56" s="159">
        <v>44586</v>
      </c>
      <c r="E56" s="158" t="s">
        <v>461</v>
      </c>
      <c r="F56" s="158" t="s">
        <v>462</v>
      </c>
      <c r="G56" s="158" t="str">
        <f t="shared" si="0"/>
        <v>DIRECTORS PER DIEM</v>
      </c>
      <c r="H56" s="170">
        <v>500</v>
      </c>
      <c r="I56" s="170">
        <v>0</v>
      </c>
      <c r="J56" s="171"/>
      <c r="K56" s="152"/>
      <c r="L56" s="152"/>
      <c r="M56" s="152"/>
      <c r="N56" s="152"/>
      <c r="O56" s="153"/>
      <c r="P56" s="92"/>
    </row>
    <row r="57" spans="1:16" ht="14.4">
      <c r="A57" s="10">
        <f t="shared" si="1"/>
        <v>48</v>
      </c>
      <c r="B57" s="157">
        <v>930.11</v>
      </c>
      <c r="C57" s="158" t="s">
        <v>445</v>
      </c>
      <c r="D57" s="159">
        <v>44614</v>
      </c>
      <c r="E57" s="158" t="s">
        <v>461</v>
      </c>
      <c r="F57" s="158" t="s">
        <v>462</v>
      </c>
      <c r="G57" s="158" t="str">
        <f t="shared" si="0"/>
        <v>DIRECTORS PER DIEM</v>
      </c>
      <c r="H57" s="170">
        <v>500</v>
      </c>
      <c r="I57" s="170">
        <v>0</v>
      </c>
      <c r="J57" s="171"/>
      <c r="K57" s="152"/>
      <c r="L57" s="152"/>
      <c r="M57" s="152"/>
      <c r="N57" s="152"/>
      <c r="O57" s="153"/>
      <c r="P57" s="92"/>
    </row>
    <row r="58" spans="1:16" ht="14.4">
      <c r="A58" s="10">
        <f t="shared" si="1"/>
        <v>49</v>
      </c>
      <c r="B58" s="157">
        <v>930.11</v>
      </c>
      <c r="C58" s="158" t="s">
        <v>445</v>
      </c>
      <c r="D58" s="159">
        <v>44642</v>
      </c>
      <c r="E58" s="158" t="s">
        <v>461</v>
      </c>
      <c r="F58" s="158" t="s">
        <v>462</v>
      </c>
      <c r="G58" s="158" t="str">
        <f t="shared" si="0"/>
        <v>DIRECTORS PER DIEM</v>
      </c>
      <c r="H58" s="170">
        <v>500</v>
      </c>
      <c r="I58" s="170">
        <v>0</v>
      </c>
      <c r="J58" s="171"/>
      <c r="K58" s="152"/>
      <c r="L58" s="152"/>
      <c r="M58" s="152"/>
      <c r="N58" s="152"/>
      <c r="O58" s="153"/>
      <c r="P58" s="92"/>
    </row>
    <row r="59" spans="1:16" ht="14.4">
      <c r="A59" s="10">
        <f t="shared" si="1"/>
        <v>50</v>
      </c>
      <c r="B59" s="157">
        <v>930.11</v>
      </c>
      <c r="C59" s="158" t="s">
        <v>445</v>
      </c>
      <c r="D59" s="159">
        <v>44677</v>
      </c>
      <c r="E59" s="158" t="s">
        <v>461</v>
      </c>
      <c r="F59" s="158" t="s">
        <v>462</v>
      </c>
      <c r="G59" s="158" t="str">
        <f t="shared" si="0"/>
        <v>DIRECTORS PER DIEM</v>
      </c>
      <c r="H59" s="170">
        <v>500</v>
      </c>
      <c r="I59" s="170">
        <v>0</v>
      </c>
      <c r="J59" s="171"/>
      <c r="K59" s="152"/>
      <c r="L59" s="152"/>
      <c r="M59" s="152"/>
      <c r="N59" s="152"/>
      <c r="O59" s="153"/>
      <c r="P59" s="92"/>
    </row>
    <row r="60" spans="1:16" ht="14.4">
      <c r="A60" s="10">
        <f t="shared" si="1"/>
        <v>51</v>
      </c>
      <c r="B60" s="157">
        <v>930.11</v>
      </c>
      <c r="C60" s="158" t="s">
        <v>445</v>
      </c>
      <c r="D60" s="159">
        <v>44698</v>
      </c>
      <c r="E60" s="158" t="s">
        <v>463</v>
      </c>
      <c r="F60" s="158" t="s">
        <v>462</v>
      </c>
      <c r="G60" s="158" t="str">
        <f t="shared" si="0"/>
        <v>DIRECTORS PER DIEM</v>
      </c>
      <c r="H60" s="170">
        <v>500</v>
      </c>
      <c r="I60" s="170">
        <v>0</v>
      </c>
      <c r="J60" s="171"/>
      <c r="K60" s="152"/>
      <c r="L60" s="152"/>
      <c r="M60" s="152"/>
      <c r="N60" s="152"/>
      <c r="O60" s="153"/>
      <c r="P60" s="92"/>
    </row>
    <row r="61" spans="1:16" ht="14.4">
      <c r="A61" s="10">
        <f t="shared" si="1"/>
        <v>52</v>
      </c>
      <c r="B61" s="157">
        <v>930.11</v>
      </c>
      <c r="C61" s="158" t="s">
        <v>445</v>
      </c>
      <c r="D61" s="159">
        <v>44705</v>
      </c>
      <c r="E61" s="158" t="s">
        <v>461</v>
      </c>
      <c r="F61" s="158" t="s">
        <v>462</v>
      </c>
      <c r="G61" s="158" t="str">
        <f t="shared" si="0"/>
        <v>DIRECTORS PER DIEM</v>
      </c>
      <c r="H61" s="170">
        <v>500</v>
      </c>
      <c r="I61" s="170">
        <v>0</v>
      </c>
      <c r="J61" s="171"/>
      <c r="K61" s="152"/>
      <c r="L61" s="152"/>
      <c r="M61" s="152"/>
      <c r="N61" s="152"/>
      <c r="O61" s="153"/>
      <c r="P61" s="92"/>
    </row>
    <row r="62" spans="1:16" ht="14.4">
      <c r="A62" s="10">
        <f t="shared" si="1"/>
        <v>53</v>
      </c>
      <c r="B62" s="157">
        <v>930.11</v>
      </c>
      <c r="C62" s="158" t="s">
        <v>445</v>
      </c>
      <c r="D62" s="159">
        <v>44733</v>
      </c>
      <c r="E62" s="158" t="s">
        <v>461</v>
      </c>
      <c r="F62" s="158" t="s">
        <v>462</v>
      </c>
      <c r="G62" s="158" t="str">
        <f t="shared" si="0"/>
        <v>DIRECTORS PER DIEM</v>
      </c>
      <c r="H62" s="170">
        <v>500</v>
      </c>
      <c r="I62" s="170">
        <v>0</v>
      </c>
      <c r="J62" s="171"/>
      <c r="K62" s="152"/>
      <c r="L62" s="152"/>
      <c r="M62" s="152"/>
      <c r="N62" s="152"/>
      <c r="O62" s="153"/>
      <c r="P62" s="92"/>
    </row>
    <row r="63" spans="1:16" ht="14.4">
      <c r="A63" s="10">
        <f t="shared" si="1"/>
        <v>54</v>
      </c>
      <c r="B63" s="157">
        <v>930.11</v>
      </c>
      <c r="C63" s="158" t="s">
        <v>445</v>
      </c>
      <c r="D63" s="159">
        <v>44768</v>
      </c>
      <c r="E63" s="158" t="s">
        <v>449</v>
      </c>
      <c r="F63" s="158" t="s">
        <v>462</v>
      </c>
      <c r="G63" s="158" t="str">
        <f t="shared" si="0"/>
        <v>DIRECTORS PER DIEM</v>
      </c>
      <c r="H63" s="170">
        <v>500</v>
      </c>
      <c r="I63" s="170">
        <v>0</v>
      </c>
      <c r="J63" s="171"/>
      <c r="K63" s="152"/>
      <c r="L63" s="152"/>
      <c r="M63" s="152"/>
      <c r="N63" s="152"/>
      <c r="O63" s="153"/>
      <c r="P63" s="92"/>
    </row>
    <row r="64" spans="1:16" ht="14.4">
      <c r="A64" s="10">
        <f t="shared" si="1"/>
        <v>55</v>
      </c>
      <c r="B64" s="157">
        <v>930.11</v>
      </c>
      <c r="C64" s="158" t="s">
        <v>445</v>
      </c>
      <c r="D64" s="159">
        <v>44796</v>
      </c>
      <c r="E64" s="158" t="s">
        <v>451</v>
      </c>
      <c r="F64" s="158" t="s">
        <v>462</v>
      </c>
      <c r="G64" s="158" t="str">
        <f t="shared" si="0"/>
        <v>DIRECTORS PER DIEM</v>
      </c>
      <c r="H64" s="170">
        <v>500</v>
      </c>
      <c r="I64" s="170">
        <v>0</v>
      </c>
      <c r="J64" s="171"/>
      <c r="K64" s="152"/>
      <c r="L64" s="152"/>
      <c r="M64" s="152"/>
      <c r="N64" s="152"/>
      <c r="O64" s="153"/>
      <c r="P64" s="92"/>
    </row>
    <row r="65" spans="1:16" ht="14.4">
      <c r="A65" s="10">
        <f t="shared" si="1"/>
        <v>56</v>
      </c>
      <c r="B65" s="157">
        <v>930.11</v>
      </c>
      <c r="C65" s="158" t="s">
        <v>445</v>
      </c>
      <c r="D65" s="159">
        <v>44824</v>
      </c>
      <c r="E65" s="158" t="s">
        <v>451</v>
      </c>
      <c r="F65" s="158" t="s">
        <v>462</v>
      </c>
      <c r="G65" s="158" t="str">
        <f t="shared" si="0"/>
        <v>DIRECTORS PER DIEM</v>
      </c>
      <c r="H65" s="170">
        <v>500</v>
      </c>
      <c r="I65" s="170">
        <v>0</v>
      </c>
      <c r="J65" s="171"/>
      <c r="K65" s="152"/>
      <c r="L65" s="152"/>
      <c r="M65" s="152"/>
      <c r="N65" s="152"/>
      <c r="O65" s="153"/>
      <c r="P65" s="92"/>
    </row>
    <row r="66" spans="1:16" ht="14.4">
      <c r="A66" s="10">
        <f t="shared" si="1"/>
        <v>57</v>
      </c>
      <c r="B66" s="157">
        <v>930.11</v>
      </c>
      <c r="C66" s="158" t="s">
        <v>445</v>
      </c>
      <c r="D66" s="159">
        <v>44859</v>
      </c>
      <c r="E66" s="158" t="s">
        <v>452</v>
      </c>
      <c r="F66" s="158" t="s">
        <v>462</v>
      </c>
      <c r="G66" s="158" t="str">
        <f t="shared" si="0"/>
        <v>DIRECTORS PER DIEM</v>
      </c>
      <c r="H66" s="170">
        <v>500</v>
      </c>
      <c r="I66" s="170">
        <v>0</v>
      </c>
      <c r="J66" s="171"/>
      <c r="K66" s="152"/>
      <c r="L66" s="152"/>
      <c r="M66" s="152"/>
      <c r="N66" s="152"/>
      <c r="O66" s="153"/>
      <c r="P66" s="92"/>
    </row>
    <row r="67" spans="1:16" ht="14.4">
      <c r="A67" s="10">
        <f t="shared" si="1"/>
        <v>58</v>
      </c>
      <c r="B67" s="157">
        <v>930.11</v>
      </c>
      <c r="C67" s="158" t="s">
        <v>445</v>
      </c>
      <c r="D67" s="159">
        <v>44859</v>
      </c>
      <c r="E67" s="158" t="s">
        <v>452</v>
      </c>
      <c r="F67" s="158" t="s">
        <v>462</v>
      </c>
      <c r="G67" s="158" t="str">
        <f t="shared" si="0"/>
        <v>DIRECTORS PER DIEM</v>
      </c>
      <c r="H67" s="170">
        <v>0</v>
      </c>
      <c r="I67" s="170">
        <v>500</v>
      </c>
      <c r="J67" s="171"/>
      <c r="K67" s="152"/>
      <c r="L67" s="152"/>
      <c r="M67" s="152"/>
      <c r="N67" s="152"/>
      <c r="O67" s="153"/>
      <c r="P67" s="92"/>
    </row>
    <row r="68" spans="1:16" ht="14.4">
      <c r="A68" s="10">
        <f t="shared" si="1"/>
        <v>59</v>
      </c>
      <c r="B68" s="157">
        <v>930.11</v>
      </c>
      <c r="C68" s="158" t="s">
        <v>445</v>
      </c>
      <c r="D68" s="159">
        <v>44859</v>
      </c>
      <c r="E68" s="158" t="s">
        <v>452</v>
      </c>
      <c r="F68" s="158" t="s">
        <v>462</v>
      </c>
      <c r="G68" s="158" t="str">
        <f t="shared" si="0"/>
        <v>DIRECTORS PER DIEM</v>
      </c>
      <c r="H68" s="170">
        <v>500</v>
      </c>
      <c r="I68" s="170">
        <v>0</v>
      </c>
      <c r="J68" s="171"/>
      <c r="K68" s="152"/>
      <c r="L68" s="152"/>
      <c r="M68" s="152"/>
      <c r="N68" s="152"/>
      <c r="O68" s="153"/>
      <c r="P68" s="92"/>
    </row>
    <row r="69" spans="1:16" ht="14.4">
      <c r="A69" s="10">
        <f t="shared" si="1"/>
        <v>60</v>
      </c>
      <c r="B69" s="157">
        <v>930.11</v>
      </c>
      <c r="C69" s="158" t="s">
        <v>445</v>
      </c>
      <c r="D69" s="159">
        <v>44880</v>
      </c>
      <c r="E69" s="158" t="s">
        <v>452</v>
      </c>
      <c r="F69" s="158" t="s">
        <v>462</v>
      </c>
      <c r="G69" s="158" t="str">
        <f t="shared" si="0"/>
        <v>DIRECTORS PER DIEM</v>
      </c>
      <c r="H69" s="170">
        <v>500</v>
      </c>
      <c r="I69" s="170">
        <v>0</v>
      </c>
      <c r="J69" s="171"/>
      <c r="K69" s="152"/>
      <c r="L69" s="152"/>
      <c r="M69" s="152"/>
      <c r="N69" s="152"/>
      <c r="O69" s="153"/>
      <c r="P69" s="92"/>
    </row>
    <row r="70" spans="1:16" ht="14.4">
      <c r="A70" s="10">
        <f t="shared" si="1"/>
        <v>61</v>
      </c>
      <c r="B70" s="157">
        <v>930.11</v>
      </c>
      <c r="C70" s="158" t="s">
        <v>445</v>
      </c>
      <c r="D70" s="159">
        <v>44901</v>
      </c>
      <c r="E70" s="158" t="s">
        <v>451</v>
      </c>
      <c r="F70" s="158" t="s">
        <v>462</v>
      </c>
      <c r="G70" s="158" t="str">
        <f t="shared" si="0"/>
        <v>DIRECTORS PER DIEM</v>
      </c>
      <c r="H70" s="170">
        <v>500</v>
      </c>
      <c r="I70" s="170">
        <v>0</v>
      </c>
      <c r="J70" s="171"/>
      <c r="K70" s="152"/>
      <c r="L70" s="152"/>
      <c r="M70" s="152"/>
      <c r="N70" s="152"/>
      <c r="O70" s="153"/>
      <c r="P70" s="92"/>
    </row>
    <row r="71" spans="1:16" ht="14.4">
      <c r="A71" s="10">
        <f t="shared" si="1"/>
        <v>62</v>
      </c>
      <c r="B71" s="157">
        <v>930.11</v>
      </c>
      <c r="C71" s="158" t="s">
        <v>445</v>
      </c>
      <c r="D71" s="159">
        <v>44586</v>
      </c>
      <c r="E71" s="158" t="s">
        <v>464</v>
      </c>
      <c r="F71" s="158" t="s">
        <v>465</v>
      </c>
      <c r="G71" s="158" t="str">
        <f t="shared" si="0"/>
        <v>DIRECTORS PER DIEM</v>
      </c>
      <c r="H71" s="170">
        <v>500</v>
      </c>
      <c r="I71" s="170">
        <v>0</v>
      </c>
      <c r="J71" s="171"/>
      <c r="K71" s="152"/>
      <c r="L71" s="152"/>
      <c r="M71" s="152"/>
      <c r="N71" s="152"/>
      <c r="O71" s="153"/>
      <c r="P71" s="92"/>
    </row>
    <row r="72" spans="1:16" ht="14.4">
      <c r="A72" s="10">
        <f t="shared" si="1"/>
        <v>63</v>
      </c>
      <c r="B72" s="157">
        <v>930.11</v>
      </c>
      <c r="C72" s="158" t="s">
        <v>445</v>
      </c>
      <c r="D72" s="159">
        <v>44614</v>
      </c>
      <c r="E72" s="158" t="s">
        <v>464</v>
      </c>
      <c r="F72" s="158" t="s">
        <v>465</v>
      </c>
      <c r="G72" s="158" t="str">
        <f t="shared" si="0"/>
        <v>DIRECTORS PER DIEM</v>
      </c>
      <c r="H72" s="170">
        <v>500</v>
      </c>
      <c r="I72" s="170">
        <v>0</v>
      </c>
      <c r="J72" s="171"/>
      <c r="K72" s="152"/>
      <c r="L72" s="152"/>
      <c r="M72" s="152"/>
      <c r="N72" s="152"/>
      <c r="O72" s="153"/>
      <c r="P72" s="92"/>
    </row>
    <row r="73" spans="1:16" ht="14.4">
      <c r="A73" s="10">
        <f t="shared" si="1"/>
        <v>64</v>
      </c>
      <c r="B73" s="157">
        <v>930.11</v>
      </c>
      <c r="C73" s="158" t="s">
        <v>445</v>
      </c>
      <c r="D73" s="159">
        <v>44642</v>
      </c>
      <c r="E73" s="158" t="s">
        <v>464</v>
      </c>
      <c r="F73" s="158" t="s">
        <v>465</v>
      </c>
      <c r="G73" s="158" t="str">
        <f t="shared" si="0"/>
        <v>DIRECTORS PER DIEM</v>
      </c>
      <c r="H73" s="170">
        <v>500</v>
      </c>
      <c r="I73" s="170">
        <v>0</v>
      </c>
      <c r="J73" s="171"/>
      <c r="K73" s="152"/>
      <c r="L73" s="152"/>
      <c r="M73" s="152"/>
      <c r="N73" s="152"/>
      <c r="O73" s="153"/>
      <c r="P73" s="92"/>
    </row>
    <row r="74" spans="1:16" ht="14.4">
      <c r="A74" s="10">
        <f t="shared" ref="A74:A137" si="2">A73+1</f>
        <v>65</v>
      </c>
      <c r="B74" s="157">
        <v>930.11</v>
      </c>
      <c r="C74" s="158" t="s">
        <v>445</v>
      </c>
      <c r="D74" s="159">
        <v>44677</v>
      </c>
      <c r="E74" s="158" t="s">
        <v>464</v>
      </c>
      <c r="F74" s="158" t="s">
        <v>465</v>
      </c>
      <c r="G74" s="158" t="str">
        <f t="shared" ref="G74:G137" si="3">C74</f>
        <v>DIRECTORS PER DIEM</v>
      </c>
      <c r="H74" s="170">
        <v>500</v>
      </c>
      <c r="I74" s="170">
        <v>0</v>
      </c>
      <c r="J74" s="171"/>
      <c r="K74" s="152"/>
      <c r="L74" s="152"/>
      <c r="M74" s="152"/>
      <c r="N74" s="152"/>
      <c r="O74" s="153"/>
      <c r="P74" s="92"/>
    </row>
    <row r="75" spans="1:16" ht="14.4">
      <c r="A75" s="10">
        <f t="shared" si="2"/>
        <v>66</v>
      </c>
      <c r="B75" s="157">
        <v>930.11</v>
      </c>
      <c r="C75" s="158" t="s">
        <v>445</v>
      </c>
      <c r="D75" s="159">
        <v>44698</v>
      </c>
      <c r="E75" s="158" t="s">
        <v>466</v>
      </c>
      <c r="F75" s="158" t="s">
        <v>465</v>
      </c>
      <c r="G75" s="158" t="str">
        <f t="shared" si="3"/>
        <v>DIRECTORS PER DIEM</v>
      </c>
      <c r="H75" s="170">
        <v>500</v>
      </c>
      <c r="I75" s="170">
        <v>0</v>
      </c>
      <c r="J75" s="171"/>
      <c r="K75" s="152"/>
      <c r="L75" s="152"/>
      <c r="M75" s="152"/>
      <c r="N75" s="152"/>
      <c r="O75" s="153"/>
      <c r="P75" s="92"/>
    </row>
    <row r="76" spans="1:16" ht="14.4">
      <c r="A76" s="10">
        <f t="shared" si="2"/>
        <v>67</v>
      </c>
      <c r="B76" s="157">
        <v>930.11</v>
      </c>
      <c r="C76" s="158" t="s">
        <v>445</v>
      </c>
      <c r="D76" s="159">
        <v>44705</v>
      </c>
      <c r="E76" s="158" t="s">
        <v>464</v>
      </c>
      <c r="F76" s="158" t="s">
        <v>465</v>
      </c>
      <c r="G76" s="158" t="str">
        <f t="shared" si="3"/>
        <v>DIRECTORS PER DIEM</v>
      </c>
      <c r="H76" s="170">
        <v>500</v>
      </c>
      <c r="I76" s="170">
        <v>0</v>
      </c>
      <c r="J76" s="171"/>
      <c r="K76" s="152"/>
      <c r="L76" s="152"/>
      <c r="M76" s="152"/>
      <c r="N76" s="152"/>
      <c r="O76" s="153"/>
      <c r="P76" s="92"/>
    </row>
    <row r="77" spans="1:16" ht="14.4">
      <c r="A77" s="10">
        <f t="shared" si="2"/>
        <v>68</v>
      </c>
      <c r="B77" s="157">
        <v>930.11</v>
      </c>
      <c r="C77" s="158" t="s">
        <v>445</v>
      </c>
      <c r="D77" s="159">
        <v>44733</v>
      </c>
      <c r="E77" s="158" t="s">
        <v>464</v>
      </c>
      <c r="F77" s="158" t="s">
        <v>465</v>
      </c>
      <c r="G77" s="158" t="str">
        <f t="shared" si="3"/>
        <v>DIRECTORS PER DIEM</v>
      </c>
      <c r="H77" s="170">
        <v>500</v>
      </c>
      <c r="I77" s="170">
        <v>0</v>
      </c>
      <c r="J77" s="171"/>
      <c r="K77" s="152"/>
      <c r="L77" s="152"/>
      <c r="M77" s="152"/>
      <c r="N77" s="152"/>
      <c r="O77" s="153"/>
      <c r="P77" s="92"/>
    </row>
    <row r="78" spans="1:16" ht="14.4">
      <c r="A78" s="10">
        <f t="shared" si="2"/>
        <v>69</v>
      </c>
      <c r="B78" s="157">
        <v>930.11</v>
      </c>
      <c r="C78" s="158" t="s">
        <v>445</v>
      </c>
      <c r="D78" s="159">
        <v>44768</v>
      </c>
      <c r="E78" s="158" t="s">
        <v>449</v>
      </c>
      <c r="F78" s="158" t="s">
        <v>465</v>
      </c>
      <c r="G78" s="158" t="str">
        <f t="shared" si="3"/>
        <v>DIRECTORS PER DIEM</v>
      </c>
      <c r="H78" s="170">
        <v>500</v>
      </c>
      <c r="I78" s="170">
        <v>0</v>
      </c>
      <c r="J78" s="171"/>
      <c r="K78" s="152"/>
      <c r="L78" s="152"/>
      <c r="M78" s="152"/>
      <c r="N78" s="152"/>
      <c r="O78" s="153"/>
      <c r="P78" s="92"/>
    </row>
    <row r="79" spans="1:16" ht="14.4">
      <c r="A79" s="10">
        <f t="shared" si="2"/>
        <v>70</v>
      </c>
      <c r="B79" s="157">
        <v>930.11</v>
      </c>
      <c r="C79" s="158" t="s">
        <v>445</v>
      </c>
      <c r="D79" s="159">
        <v>44796</v>
      </c>
      <c r="E79" s="158" t="s">
        <v>467</v>
      </c>
      <c r="F79" s="158" t="s">
        <v>465</v>
      </c>
      <c r="G79" s="158" t="str">
        <f t="shared" si="3"/>
        <v>DIRECTORS PER DIEM</v>
      </c>
      <c r="H79" s="170">
        <v>500</v>
      </c>
      <c r="I79" s="170">
        <v>0</v>
      </c>
      <c r="J79" s="171"/>
      <c r="K79" s="152"/>
      <c r="L79" s="152"/>
      <c r="M79" s="152"/>
      <c r="N79" s="152"/>
      <c r="O79" s="153"/>
      <c r="P79" s="92"/>
    </row>
    <row r="80" spans="1:16" ht="14.4">
      <c r="A80" s="10">
        <f t="shared" si="2"/>
        <v>71</v>
      </c>
      <c r="B80" s="157">
        <v>930.11</v>
      </c>
      <c r="C80" s="158" t="s">
        <v>445</v>
      </c>
      <c r="D80" s="159">
        <v>44824</v>
      </c>
      <c r="E80" s="158" t="s">
        <v>451</v>
      </c>
      <c r="F80" s="158" t="s">
        <v>465</v>
      </c>
      <c r="G80" s="158" t="str">
        <f t="shared" si="3"/>
        <v>DIRECTORS PER DIEM</v>
      </c>
      <c r="H80" s="170">
        <v>500</v>
      </c>
      <c r="I80" s="170">
        <v>0</v>
      </c>
      <c r="J80" s="171"/>
      <c r="K80" s="152"/>
      <c r="L80" s="152"/>
      <c r="M80" s="152"/>
      <c r="N80" s="152"/>
      <c r="O80" s="153"/>
      <c r="P80" s="92"/>
    </row>
    <row r="81" spans="1:16" ht="14.4">
      <c r="A81" s="10">
        <f t="shared" si="2"/>
        <v>72</v>
      </c>
      <c r="B81" s="157">
        <v>930.11</v>
      </c>
      <c r="C81" s="158" t="s">
        <v>445</v>
      </c>
      <c r="D81" s="159">
        <v>44859</v>
      </c>
      <c r="E81" s="158" t="s">
        <v>452</v>
      </c>
      <c r="F81" s="158" t="s">
        <v>465</v>
      </c>
      <c r="G81" s="158" t="str">
        <f t="shared" si="3"/>
        <v>DIRECTORS PER DIEM</v>
      </c>
      <c r="H81" s="170">
        <v>500</v>
      </c>
      <c r="I81" s="170">
        <v>0</v>
      </c>
      <c r="J81" s="171"/>
      <c r="K81" s="152"/>
      <c r="L81" s="152"/>
      <c r="M81" s="152"/>
      <c r="N81" s="152"/>
      <c r="O81" s="153"/>
      <c r="P81" s="92"/>
    </row>
    <row r="82" spans="1:16" ht="14.4">
      <c r="A82" s="10">
        <f t="shared" si="2"/>
        <v>73</v>
      </c>
      <c r="B82" s="157">
        <v>930.11</v>
      </c>
      <c r="C82" s="158" t="s">
        <v>445</v>
      </c>
      <c r="D82" s="159">
        <v>44880</v>
      </c>
      <c r="E82" s="158" t="s">
        <v>452</v>
      </c>
      <c r="F82" s="158" t="s">
        <v>465</v>
      </c>
      <c r="G82" s="158" t="str">
        <f t="shared" si="3"/>
        <v>DIRECTORS PER DIEM</v>
      </c>
      <c r="H82" s="170">
        <v>500</v>
      </c>
      <c r="I82" s="170">
        <v>0</v>
      </c>
      <c r="J82" s="171"/>
      <c r="K82" s="152"/>
      <c r="L82" s="152"/>
      <c r="M82" s="152"/>
      <c r="N82" s="152"/>
      <c r="O82" s="153"/>
      <c r="P82" s="92"/>
    </row>
    <row r="83" spans="1:16" ht="14.4">
      <c r="A83" s="10">
        <f t="shared" si="2"/>
        <v>74</v>
      </c>
      <c r="B83" s="157">
        <v>930.11</v>
      </c>
      <c r="C83" s="158" t="s">
        <v>445</v>
      </c>
      <c r="D83" s="159">
        <v>44901</v>
      </c>
      <c r="E83" s="158" t="s">
        <v>452</v>
      </c>
      <c r="F83" s="158" t="s">
        <v>465</v>
      </c>
      <c r="G83" s="158" t="str">
        <f t="shared" si="3"/>
        <v>DIRECTORS PER DIEM</v>
      </c>
      <c r="H83" s="170">
        <v>500</v>
      </c>
      <c r="I83" s="170">
        <v>0</v>
      </c>
      <c r="J83" s="171"/>
      <c r="K83" s="152"/>
      <c r="L83" s="152"/>
      <c r="M83" s="152"/>
      <c r="N83" s="152"/>
      <c r="O83" s="153"/>
      <c r="P83" s="92"/>
    </row>
    <row r="84" spans="1:16" ht="14.4">
      <c r="A84" s="10">
        <f t="shared" si="2"/>
        <v>75</v>
      </c>
      <c r="B84" s="157">
        <v>930.11</v>
      </c>
      <c r="C84" s="158" t="s">
        <v>445</v>
      </c>
      <c r="D84" s="159">
        <v>44586</v>
      </c>
      <c r="E84" s="158" t="s">
        <v>468</v>
      </c>
      <c r="F84" s="158" t="s">
        <v>469</v>
      </c>
      <c r="G84" s="158" t="str">
        <f t="shared" si="3"/>
        <v>DIRECTORS PER DIEM</v>
      </c>
      <c r="H84" s="170">
        <v>0</v>
      </c>
      <c r="I84" s="170">
        <v>500</v>
      </c>
      <c r="J84" s="171"/>
      <c r="K84" s="152"/>
      <c r="L84" s="152"/>
      <c r="M84" s="152"/>
      <c r="N84" s="152"/>
      <c r="O84" s="153"/>
      <c r="P84" s="92"/>
    </row>
    <row r="85" spans="1:16" ht="14.4">
      <c r="A85" s="10">
        <f t="shared" si="2"/>
        <v>76</v>
      </c>
      <c r="B85" s="157">
        <v>930.11</v>
      </c>
      <c r="C85" s="158" t="s">
        <v>445</v>
      </c>
      <c r="D85" s="159">
        <v>44586</v>
      </c>
      <c r="E85" s="158" t="s">
        <v>468</v>
      </c>
      <c r="F85" s="158" t="s">
        <v>469</v>
      </c>
      <c r="G85" s="158" t="str">
        <f t="shared" si="3"/>
        <v>DIRECTORS PER DIEM</v>
      </c>
      <c r="H85" s="170">
        <v>500</v>
      </c>
      <c r="I85" s="170">
        <v>0</v>
      </c>
      <c r="J85" s="171"/>
      <c r="K85" s="152"/>
      <c r="L85" s="152"/>
      <c r="M85" s="152"/>
      <c r="N85" s="152"/>
      <c r="O85" s="153"/>
      <c r="P85" s="92"/>
    </row>
    <row r="86" spans="1:16" ht="14.4">
      <c r="A86" s="10">
        <f t="shared" si="2"/>
        <v>77</v>
      </c>
      <c r="B86" s="157">
        <v>930.11</v>
      </c>
      <c r="C86" s="158" t="s">
        <v>445</v>
      </c>
      <c r="D86" s="159">
        <v>44586</v>
      </c>
      <c r="E86" s="158" t="s">
        <v>468</v>
      </c>
      <c r="F86" s="158" t="s">
        <v>469</v>
      </c>
      <c r="G86" s="158" t="str">
        <f t="shared" si="3"/>
        <v>DIRECTORS PER DIEM</v>
      </c>
      <c r="H86" s="170">
        <v>500</v>
      </c>
      <c r="I86" s="170">
        <v>0</v>
      </c>
      <c r="J86" s="171"/>
      <c r="K86" s="152"/>
      <c r="L86" s="152"/>
      <c r="M86" s="152"/>
      <c r="N86" s="152"/>
      <c r="O86" s="153"/>
      <c r="P86" s="92"/>
    </row>
    <row r="87" spans="1:16" ht="14.4">
      <c r="A87" s="10">
        <f t="shared" si="2"/>
        <v>78</v>
      </c>
      <c r="B87" s="157">
        <v>930.11</v>
      </c>
      <c r="C87" s="158" t="s">
        <v>445</v>
      </c>
      <c r="D87" s="159">
        <v>44614</v>
      </c>
      <c r="E87" s="158" t="s">
        <v>468</v>
      </c>
      <c r="F87" s="158" t="s">
        <v>469</v>
      </c>
      <c r="G87" s="158" t="str">
        <f t="shared" si="3"/>
        <v>DIRECTORS PER DIEM</v>
      </c>
      <c r="H87" s="170">
        <v>500</v>
      </c>
      <c r="I87" s="170">
        <v>0</v>
      </c>
      <c r="J87" s="171"/>
      <c r="K87" s="152"/>
      <c r="L87" s="152"/>
      <c r="M87" s="152"/>
      <c r="N87" s="152"/>
      <c r="O87" s="153"/>
      <c r="P87" s="92"/>
    </row>
    <row r="88" spans="1:16" ht="14.4">
      <c r="A88" s="10">
        <f t="shared" si="2"/>
        <v>79</v>
      </c>
      <c r="B88" s="157">
        <v>930.11</v>
      </c>
      <c r="C88" s="158" t="s">
        <v>445</v>
      </c>
      <c r="D88" s="159">
        <v>44642</v>
      </c>
      <c r="E88" s="158" t="s">
        <v>468</v>
      </c>
      <c r="F88" s="158" t="s">
        <v>469</v>
      </c>
      <c r="G88" s="158" t="str">
        <f t="shared" si="3"/>
        <v>DIRECTORS PER DIEM</v>
      </c>
      <c r="H88" s="170">
        <v>500</v>
      </c>
      <c r="I88" s="170">
        <v>0</v>
      </c>
      <c r="J88" s="171"/>
      <c r="K88" s="152"/>
      <c r="L88" s="152"/>
      <c r="M88" s="152"/>
      <c r="N88" s="152"/>
      <c r="O88" s="153"/>
      <c r="P88" s="92"/>
    </row>
    <row r="89" spans="1:16" ht="14.4">
      <c r="A89" s="10">
        <f t="shared" si="2"/>
        <v>80</v>
      </c>
      <c r="B89" s="157">
        <v>930.11</v>
      </c>
      <c r="C89" s="158" t="s">
        <v>445</v>
      </c>
      <c r="D89" s="159">
        <v>44677</v>
      </c>
      <c r="E89" s="158" t="s">
        <v>468</v>
      </c>
      <c r="F89" s="158" t="s">
        <v>469</v>
      </c>
      <c r="G89" s="158" t="str">
        <f t="shared" si="3"/>
        <v>DIRECTORS PER DIEM</v>
      </c>
      <c r="H89" s="170">
        <v>500</v>
      </c>
      <c r="I89" s="170">
        <v>0</v>
      </c>
      <c r="J89" s="171"/>
      <c r="K89" s="152"/>
      <c r="L89" s="152"/>
      <c r="M89" s="152"/>
      <c r="N89" s="152"/>
      <c r="O89" s="153"/>
      <c r="P89" s="92"/>
    </row>
    <row r="90" spans="1:16" ht="14.4">
      <c r="A90" s="10">
        <f t="shared" si="2"/>
        <v>81</v>
      </c>
      <c r="B90" s="157">
        <v>930.11</v>
      </c>
      <c r="C90" s="158" t="s">
        <v>445</v>
      </c>
      <c r="D90" s="159">
        <v>44698</v>
      </c>
      <c r="E90" s="158" t="s">
        <v>470</v>
      </c>
      <c r="F90" s="158" t="s">
        <v>469</v>
      </c>
      <c r="G90" s="158" t="str">
        <f t="shared" si="3"/>
        <v>DIRECTORS PER DIEM</v>
      </c>
      <c r="H90" s="170">
        <v>500</v>
      </c>
      <c r="I90" s="170">
        <v>0</v>
      </c>
      <c r="J90" s="171"/>
      <c r="K90" s="152"/>
      <c r="L90" s="152"/>
      <c r="M90" s="152"/>
      <c r="N90" s="152"/>
      <c r="O90" s="153"/>
      <c r="P90" s="92"/>
    </row>
    <row r="91" spans="1:16" ht="14.4">
      <c r="A91" s="10">
        <f t="shared" si="2"/>
        <v>82</v>
      </c>
      <c r="B91" s="157">
        <v>930.11</v>
      </c>
      <c r="C91" s="158" t="s">
        <v>445</v>
      </c>
      <c r="D91" s="159">
        <v>44705</v>
      </c>
      <c r="E91" s="158" t="s">
        <v>468</v>
      </c>
      <c r="F91" s="158" t="s">
        <v>469</v>
      </c>
      <c r="G91" s="158" t="str">
        <f t="shared" si="3"/>
        <v>DIRECTORS PER DIEM</v>
      </c>
      <c r="H91" s="170">
        <v>500</v>
      </c>
      <c r="I91" s="170">
        <v>0</v>
      </c>
      <c r="J91" s="171"/>
      <c r="K91" s="152"/>
      <c r="L91" s="152"/>
      <c r="M91" s="152"/>
      <c r="N91" s="152"/>
      <c r="O91" s="153"/>
      <c r="P91" s="92"/>
    </row>
    <row r="92" spans="1:16" ht="14.4">
      <c r="A92" s="10">
        <f t="shared" si="2"/>
        <v>83</v>
      </c>
      <c r="B92" s="157">
        <v>930.11</v>
      </c>
      <c r="C92" s="158" t="s">
        <v>445</v>
      </c>
      <c r="D92" s="159">
        <v>44726</v>
      </c>
      <c r="E92" s="158" t="s">
        <v>471</v>
      </c>
      <c r="F92" s="158" t="s">
        <v>469</v>
      </c>
      <c r="G92" s="158" t="str">
        <f t="shared" si="3"/>
        <v>DIRECTORS PER DIEM</v>
      </c>
      <c r="H92" s="170">
        <v>300</v>
      </c>
      <c r="I92" s="170">
        <v>0</v>
      </c>
      <c r="J92" s="171">
        <f>H92-I92</f>
        <v>300</v>
      </c>
      <c r="K92" s="152"/>
      <c r="L92" s="152"/>
      <c r="M92" s="152"/>
      <c r="N92" s="152"/>
      <c r="O92" s="153"/>
      <c r="P92" s="92"/>
    </row>
    <row r="93" spans="1:16" ht="14.4">
      <c r="A93" s="10">
        <f t="shared" si="2"/>
        <v>84</v>
      </c>
      <c r="B93" s="157">
        <v>930.11</v>
      </c>
      <c r="C93" s="158" t="s">
        <v>445</v>
      </c>
      <c r="D93" s="159">
        <v>44733</v>
      </c>
      <c r="E93" s="158" t="s">
        <v>468</v>
      </c>
      <c r="F93" s="158" t="s">
        <v>469</v>
      </c>
      <c r="G93" s="158" t="str">
        <f t="shared" si="3"/>
        <v>DIRECTORS PER DIEM</v>
      </c>
      <c r="H93" s="170">
        <v>500</v>
      </c>
      <c r="I93" s="170">
        <v>0</v>
      </c>
      <c r="J93" s="171"/>
      <c r="K93" s="152"/>
      <c r="L93" s="152"/>
      <c r="M93" s="152"/>
      <c r="N93" s="152"/>
      <c r="O93" s="153"/>
      <c r="P93" s="92"/>
    </row>
    <row r="94" spans="1:16" ht="14.4">
      <c r="A94" s="10">
        <f t="shared" si="2"/>
        <v>85</v>
      </c>
      <c r="B94" s="157">
        <v>930.11</v>
      </c>
      <c r="C94" s="158" t="s">
        <v>445</v>
      </c>
      <c r="D94" s="159">
        <v>44768</v>
      </c>
      <c r="E94" s="158" t="s">
        <v>449</v>
      </c>
      <c r="F94" s="158" t="s">
        <v>469</v>
      </c>
      <c r="G94" s="158" t="str">
        <f t="shared" si="3"/>
        <v>DIRECTORS PER DIEM</v>
      </c>
      <c r="H94" s="170">
        <v>500</v>
      </c>
      <c r="I94" s="170">
        <v>0</v>
      </c>
      <c r="J94" s="171"/>
      <c r="K94" s="152"/>
      <c r="L94" s="152"/>
      <c r="M94" s="152"/>
      <c r="N94" s="152"/>
      <c r="O94" s="153"/>
      <c r="P94" s="92"/>
    </row>
    <row r="95" spans="1:16" ht="14.4">
      <c r="A95" s="10">
        <f t="shared" si="2"/>
        <v>86</v>
      </c>
      <c r="B95" s="157">
        <v>930.11</v>
      </c>
      <c r="C95" s="158" t="s">
        <v>445</v>
      </c>
      <c r="D95" s="159">
        <v>44796</v>
      </c>
      <c r="E95" s="158" t="s">
        <v>451</v>
      </c>
      <c r="F95" s="158" t="s">
        <v>469</v>
      </c>
      <c r="G95" s="158" t="str">
        <f t="shared" si="3"/>
        <v>DIRECTORS PER DIEM</v>
      </c>
      <c r="H95" s="170">
        <v>500</v>
      </c>
      <c r="I95" s="170">
        <v>0</v>
      </c>
      <c r="J95" s="171"/>
      <c r="K95" s="152"/>
      <c r="L95" s="152"/>
      <c r="M95" s="152"/>
      <c r="N95" s="152"/>
      <c r="O95" s="153"/>
      <c r="P95" s="92"/>
    </row>
    <row r="96" spans="1:16" ht="14.4">
      <c r="A96" s="10">
        <f t="shared" si="2"/>
        <v>87</v>
      </c>
      <c r="B96" s="157">
        <v>930.11</v>
      </c>
      <c r="C96" s="158" t="s">
        <v>445</v>
      </c>
      <c r="D96" s="159">
        <v>44824</v>
      </c>
      <c r="E96" s="158" t="s">
        <v>451</v>
      </c>
      <c r="F96" s="158" t="s">
        <v>469</v>
      </c>
      <c r="G96" s="158" t="str">
        <f t="shared" si="3"/>
        <v>DIRECTORS PER DIEM</v>
      </c>
      <c r="H96" s="170">
        <v>500</v>
      </c>
      <c r="I96" s="170">
        <v>0</v>
      </c>
      <c r="J96" s="171"/>
      <c r="K96" s="152"/>
      <c r="L96" s="152"/>
      <c r="M96" s="152"/>
      <c r="N96" s="152"/>
      <c r="O96" s="153"/>
      <c r="P96" s="92"/>
    </row>
    <row r="97" spans="1:16" ht="14.4">
      <c r="A97" s="10">
        <f t="shared" si="2"/>
        <v>88</v>
      </c>
      <c r="B97" s="157">
        <v>930.11</v>
      </c>
      <c r="C97" s="158" t="s">
        <v>445</v>
      </c>
      <c r="D97" s="159">
        <v>44859</v>
      </c>
      <c r="E97" s="158" t="s">
        <v>452</v>
      </c>
      <c r="F97" s="158" t="s">
        <v>469</v>
      </c>
      <c r="G97" s="158" t="str">
        <f t="shared" si="3"/>
        <v>DIRECTORS PER DIEM</v>
      </c>
      <c r="H97" s="170">
        <v>500</v>
      </c>
      <c r="I97" s="170">
        <v>0</v>
      </c>
      <c r="J97" s="171"/>
      <c r="K97" s="152"/>
      <c r="L97" s="152"/>
      <c r="M97" s="152"/>
      <c r="N97" s="152"/>
      <c r="O97" s="153"/>
      <c r="P97" s="92"/>
    </row>
    <row r="98" spans="1:16" ht="14.4">
      <c r="A98" s="10">
        <f t="shared" si="2"/>
        <v>89</v>
      </c>
      <c r="B98" s="157">
        <v>930.11</v>
      </c>
      <c r="C98" s="158" t="s">
        <v>445</v>
      </c>
      <c r="D98" s="159">
        <v>44880</v>
      </c>
      <c r="E98" s="158" t="s">
        <v>452</v>
      </c>
      <c r="F98" s="158" t="s">
        <v>469</v>
      </c>
      <c r="G98" s="158" t="str">
        <f t="shared" si="3"/>
        <v>DIRECTORS PER DIEM</v>
      </c>
      <c r="H98" s="170">
        <v>500</v>
      </c>
      <c r="I98" s="170">
        <v>0</v>
      </c>
      <c r="J98" s="171"/>
      <c r="K98" s="152"/>
      <c r="L98" s="152"/>
      <c r="M98" s="152"/>
      <c r="N98" s="152"/>
      <c r="O98" s="153"/>
      <c r="P98" s="92"/>
    </row>
    <row r="99" spans="1:16" ht="14.4">
      <c r="A99" s="10">
        <f t="shared" si="2"/>
        <v>90</v>
      </c>
      <c r="B99" s="157">
        <v>930.11</v>
      </c>
      <c r="C99" s="158" t="s">
        <v>445</v>
      </c>
      <c r="D99" s="159">
        <v>44899</v>
      </c>
      <c r="E99" s="158" t="s">
        <v>472</v>
      </c>
      <c r="F99" s="158" t="s">
        <v>469</v>
      </c>
      <c r="G99" s="158" t="str">
        <f t="shared" si="3"/>
        <v>DIRECTORS PER DIEM</v>
      </c>
      <c r="H99" s="170">
        <v>300</v>
      </c>
      <c r="I99" s="170">
        <v>0</v>
      </c>
      <c r="J99" s="171"/>
      <c r="K99" s="152"/>
      <c r="L99" s="152"/>
      <c r="M99" s="152"/>
      <c r="N99" s="152"/>
      <c r="O99" s="153"/>
      <c r="P99" s="92"/>
    </row>
    <row r="100" spans="1:16" ht="14.4">
      <c r="A100" s="10">
        <f t="shared" si="2"/>
        <v>91</v>
      </c>
      <c r="B100" s="157">
        <v>930.11</v>
      </c>
      <c r="C100" s="158" t="s">
        <v>445</v>
      </c>
      <c r="D100" s="159">
        <v>44901</v>
      </c>
      <c r="E100" s="158" t="s">
        <v>452</v>
      </c>
      <c r="F100" s="158" t="s">
        <v>469</v>
      </c>
      <c r="G100" s="158" t="str">
        <f t="shared" si="3"/>
        <v>DIRECTORS PER DIEM</v>
      </c>
      <c r="H100" s="170">
        <v>500</v>
      </c>
      <c r="I100" s="170">
        <v>0</v>
      </c>
      <c r="J100" s="171"/>
      <c r="K100" s="152"/>
      <c r="L100" s="152"/>
      <c r="M100" s="152"/>
      <c r="N100" s="152"/>
      <c r="O100" s="153"/>
      <c r="P100" s="92"/>
    </row>
    <row r="101" spans="1:16" ht="14.4">
      <c r="A101" s="10">
        <f t="shared" si="2"/>
        <v>92</v>
      </c>
      <c r="B101" s="157">
        <v>930.11</v>
      </c>
      <c r="C101" s="158" t="s">
        <v>445</v>
      </c>
      <c r="D101" s="159">
        <v>44586</v>
      </c>
      <c r="E101" s="158" t="s">
        <v>473</v>
      </c>
      <c r="F101" s="158" t="s">
        <v>263</v>
      </c>
      <c r="G101" s="158" t="str">
        <f t="shared" si="3"/>
        <v>DIRECTORS PER DIEM</v>
      </c>
      <c r="H101" s="170">
        <v>500</v>
      </c>
      <c r="I101" s="170">
        <v>0</v>
      </c>
      <c r="J101" s="171"/>
      <c r="K101" s="152"/>
      <c r="L101" s="152"/>
      <c r="M101" s="152"/>
      <c r="N101" s="152"/>
      <c r="O101" s="153"/>
      <c r="P101" s="92"/>
    </row>
    <row r="102" spans="1:16" ht="14.4">
      <c r="A102" s="10">
        <f t="shared" si="2"/>
        <v>93</v>
      </c>
      <c r="B102" s="157">
        <v>930.11</v>
      </c>
      <c r="C102" s="158" t="s">
        <v>445</v>
      </c>
      <c r="D102" s="159">
        <v>44614</v>
      </c>
      <c r="E102" s="158" t="s">
        <v>473</v>
      </c>
      <c r="F102" s="158" t="s">
        <v>263</v>
      </c>
      <c r="G102" s="158" t="str">
        <f t="shared" si="3"/>
        <v>DIRECTORS PER DIEM</v>
      </c>
      <c r="H102" s="170">
        <v>500</v>
      </c>
      <c r="I102" s="170">
        <v>0</v>
      </c>
      <c r="J102" s="171"/>
      <c r="K102" s="152"/>
      <c r="L102" s="152"/>
      <c r="M102" s="152"/>
      <c r="N102" s="152"/>
      <c r="O102" s="153"/>
      <c r="P102" s="92"/>
    </row>
    <row r="103" spans="1:16" ht="14.4">
      <c r="A103" s="10">
        <f t="shared" si="2"/>
        <v>94</v>
      </c>
      <c r="B103" s="157">
        <v>930.11</v>
      </c>
      <c r="C103" s="158" t="s">
        <v>445</v>
      </c>
      <c r="D103" s="159">
        <v>44642</v>
      </c>
      <c r="E103" s="158" t="s">
        <v>473</v>
      </c>
      <c r="F103" s="158" t="s">
        <v>263</v>
      </c>
      <c r="G103" s="158" t="str">
        <f t="shared" si="3"/>
        <v>DIRECTORS PER DIEM</v>
      </c>
      <c r="H103" s="170">
        <v>500</v>
      </c>
      <c r="I103" s="170">
        <v>0</v>
      </c>
      <c r="J103" s="171"/>
      <c r="K103" s="152"/>
      <c r="L103" s="152"/>
      <c r="M103" s="152"/>
      <c r="N103" s="152"/>
      <c r="O103" s="153"/>
      <c r="P103" s="92"/>
    </row>
    <row r="104" spans="1:16" ht="14.4">
      <c r="A104" s="10">
        <f t="shared" si="2"/>
        <v>95</v>
      </c>
      <c r="B104" s="157">
        <v>930.11</v>
      </c>
      <c r="C104" s="158" t="s">
        <v>445</v>
      </c>
      <c r="D104" s="159">
        <v>44677</v>
      </c>
      <c r="E104" s="158" t="s">
        <v>473</v>
      </c>
      <c r="F104" s="158" t="s">
        <v>263</v>
      </c>
      <c r="G104" s="158" t="str">
        <f t="shared" si="3"/>
        <v>DIRECTORS PER DIEM</v>
      </c>
      <c r="H104" s="170">
        <v>500</v>
      </c>
      <c r="I104" s="170">
        <v>0</v>
      </c>
      <c r="J104" s="171"/>
      <c r="K104" s="152"/>
      <c r="L104" s="152"/>
      <c r="M104" s="152"/>
      <c r="N104" s="152"/>
      <c r="O104" s="153"/>
      <c r="P104" s="92"/>
    </row>
    <row r="105" spans="1:16" ht="14.4">
      <c r="A105" s="10">
        <f t="shared" si="2"/>
        <v>96</v>
      </c>
      <c r="B105" s="157">
        <v>930.11</v>
      </c>
      <c r="C105" s="158" t="s">
        <v>445</v>
      </c>
      <c r="D105" s="159">
        <v>44698</v>
      </c>
      <c r="E105" s="158" t="s">
        <v>474</v>
      </c>
      <c r="F105" s="158" t="s">
        <v>263</v>
      </c>
      <c r="G105" s="158" t="str">
        <f t="shared" si="3"/>
        <v>DIRECTORS PER DIEM</v>
      </c>
      <c r="H105" s="170">
        <v>500</v>
      </c>
      <c r="I105" s="170">
        <v>0</v>
      </c>
      <c r="J105" s="171"/>
      <c r="K105" s="152"/>
      <c r="L105" s="152"/>
      <c r="M105" s="152"/>
      <c r="N105" s="152"/>
      <c r="O105" s="153"/>
      <c r="P105" s="92"/>
    </row>
    <row r="106" spans="1:16" ht="14.4">
      <c r="A106" s="10">
        <f t="shared" si="2"/>
        <v>97</v>
      </c>
      <c r="B106" s="157">
        <v>930.11</v>
      </c>
      <c r="C106" s="158" t="s">
        <v>445</v>
      </c>
      <c r="D106" s="159">
        <v>44705</v>
      </c>
      <c r="E106" s="158" t="s">
        <v>473</v>
      </c>
      <c r="F106" s="158" t="s">
        <v>263</v>
      </c>
      <c r="G106" s="158" t="str">
        <f t="shared" si="3"/>
        <v>DIRECTORS PER DIEM</v>
      </c>
      <c r="H106" s="170">
        <v>500</v>
      </c>
      <c r="I106" s="170">
        <v>0</v>
      </c>
      <c r="J106" s="171"/>
      <c r="K106" s="152"/>
      <c r="L106" s="152"/>
      <c r="M106" s="152"/>
      <c r="N106" s="152"/>
      <c r="O106" s="153"/>
      <c r="P106" s="92"/>
    </row>
    <row r="107" spans="1:16" ht="14.4">
      <c r="A107" s="10">
        <f t="shared" si="2"/>
        <v>98</v>
      </c>
      <c r="B107" s="157">
        <v>930.11</v>
      </c>
      <c r="C107" s="158" t="s">
        <v>445</v>
      </c>
      <c r="D107" s="159">
        <v>44733</v>
      </c>
      <c r="E107" s="158" t="s">
        <v>473</v>
      </c>
      <c r="F107" s="158" t="s">
        <v>263</v>
      </c>
      <c r="G107" s="158" t="str">
        <f t="shared" si="3"/>
        <v>DIRECTORS PER DIEM</v>
      </c>
      <c r="H107" s="170">
        <v>500</v>
      </c>
      <c r="I107" s="170">
        <v>0</v>
      </c>
      <c r="J107" s="171"/>
      <c r="K107" s="152"/>
      <c r="L107" s="152"/>
      <c r="M107" s="152"/>
      <c r="N107" s="152"/>
      <c r="O107" s="153"/>
      <c r="P107" s="92"/>
    </row>
    <row r="108" spans="1:16" ht="14.4">
      <c r="A108" s="10">
        <f t="shared" si="2"/>
        <v>99</v>
      </c>
      <c r="B108" s="157">
        <v>930.11</v>
      </c>
      <c r="C108" s="158" t="s">
        <v>445</v>
      </c>
      <c r="D108" s="159">
        <v>44768</v>
      </c>
      <c r="E108" s="158" t="s">
        <v>449</v>
      </c>
      <c r="F108" s="158" t="s">
        <v>263</v>
      </c>
      <c r="G108" s="158" t="str">
        <f t="shared" si="3"/>
        <v>DIRECTORS PER DIEM</v>
      </c>
      <c r="H108" s="170">
        <v>500</v>
      </c>
      <c r="I108" s="170">
        <v>0</v>
      </c>
      <c r="J108" s="171"/>
      <c r="K108" s="152"/>
      <c r="L108" s="152"/>
      <c r="M108" s="152"/>
      <c r="N108" s="152"/>
      <c r="O108" s="153"/>
      <c r="P108" s="92"/>
    </row>
    <row r="109" spans="1:16" ht="14.4">
      <c r="A109" s="10">
        <f t="shared" si="2"/>
        <v>100</v>
      </c>
      <c r="B109" s="157">
        <v>930.11</v>
      </c>
      <c r="C109" s="158" t="s">
        <v>445</v>
      </c>
      <c r="D109" s="159">
        <v>44796</v>
      </c>
      <c r="E109" s="158" t="s">
        <v>451</v>
      </c>
      <c r="F109" s="158" t="s">
        <v>263</v>
      </c>
      <c r="G109" s="158" t="str">
        <f t="shared" si="3"/>
        <v>DIRECTORS PER DIEM</v>
      </c>
      <c r="H109" s="170">
        <v>500</v>
      </c>
      <c r="I109" s="170">
        <v>0</v>
      </c>
      <c r="J109" s="171"/>
      <c r="K109" s="152"/>
      <c r="L109" s="152"/>
      <c r="M109" s="152"/>
      <c r="N109" s="152"/>
      <c r="O109" s="153"/>
      <c r="P109" s="92"/>
    </row>
    <row r="110" spans="1:16" ht="14.4">
      <c r="A110" s="10">
        <f t="shared" si="2"/>
        <v>101</v>
      </c>
      <c r="B110" s="157">
        <v>930.11</v>
      </c>
      <c r="C110" s="158" t="s">
        <v>445</v>
      </c>
      <c r="D110" s="159">
        <v>44824</v>
      </c>
      <c r="E110" s="158" t="s">
        <v>451</v>
      </c>
      <c r="F110" s="158" t="s">
        <v>263</v>
      </c>
      <c r="G110" s="158" t="str">
        <f t="shared" si="3"/>
        <v>DIRECTORS PER DIEM</v>
      </c>
      <c r="H110" s="170">
        <v>500</v>
      </c>
      <c r="I110" s="170">
        <v>0</v>
      </c>
      <c r="J110" s="171"/>
      <c r="K110" s="152"/>
      <c r="L110" s="152"/>
      <c r="M110" s="152"/>
      <c r="N110" s="152"/>
      <c r="O110" s="153"/>
      <c r="P110" s="92"/>
    </row>
    <row r="111" spans="1:16" ht="14.4">
      <c r="A111" s="10">
        <f t="shared" si="2"/>
        <v>102</v>
      </c>
      <c r="B111" s="157">
        <v>930.11</v>
      </c>
      <c r="C111" s="158" t="s">
        <v>445</v>
      </c>
      <c r="D111" s="159">
        <v>44859</v>
      </c>
      <c r="E111" s="158" t="s">
        <v>452</v>
      </c>
      <c r="F111" s="158" t="s">
        <v>263</v>
      </c>
      <c r="G111" s="158" t="str">
        <f t="shared" si="3"/>
        <v>DIRECTORS PER DIEM</v>
      </c>
      <c r="H111" s="170">
        <v>500</v>
      </c>
      <c r="I111" s="170">
        <v>0</v>
      </c>
      <c r="J111" s="171"/>
      <c r="K111" s="152"/>
      <c r="L111" s="152"/>
      <c r="M111" s="152"/>
      <c r="N111" s="152"/>
      <c r="O111" s="153"/>
      <c r="P111" s="92"/>
    </row>
    <row r="112" spans="1:16" ht="14.4">
      <c r="A112" s="10">
        <f t="shared" si="2"/>
        <v>103</v>
      </c>
      <c r="B112" s="157">
        <v>930.11</v>
      </c>
      <c r="C112" s="158" t="s">
        <v>445</v>
      </c>
      <c r="D112" s="159">
        <v>44880</v>
      </c>
      <c r="E112" s="158" t="s">
        <v>452</v>
      </c>
      <c r="F112" s="158" t="s">
        <v>263</v>
      </c>
      <c r="G112" s="158" t="str">
        <f t="shared" si="3"/>
        <v>DIRECTORS PER DIEM</v>
      </c>
      <c r="H112" s="170">
        <v>500</v>
      </c>
      <c r="I112" s="170">
        <v>0</v>
      </c>
      <c r="J112" s="171"/>
      <c r="K112" s="152"/>
      <c r="L112" s="152"/>
      <c r="M112" s="152"/>
      <c r="N112" s="152"/>
      <c r="O112" s="153"/>
      <c r="P112" s="92"/>
    </row>
    <row r="113" spans="1:16" ht="14.4">
      <c r="A113" s="10">
        <f t="shared" si="2"/>
        <v>104</v>
      </c>
      <c r="B113" s="160">
        <v>930.11</v>
      </c>
      <c r="C113" s="161" t="s">
        <v>445</v>
      </c>
      <c r="D113" s="162">
        <v>44901</v>
      </c>
      <c r="E113" s="161" t="s">
        <v>452</v>
      </c>
      <c r="F113" s="161" t="s">
        <v>263</v>
      </c>
      <c r="G113" s="158" t="str">
        <f t="shared" si="3"/>
        <v>DIRECTORS PER DIEM</v>
      </c>
      <c r="H113" s="172">
        <v>500</v>
      </c>
      <c r="I113" s="172">
        <v>0</v>
      </c>
      <c r="J113" s="173"/>
      <c r="K113" s="152"/>
      <c r="L113" s="152"/>
      <c r="M113" s="152"/>
      <c r="N113" s="152"/>
      <c r="O113" s="153"/>
      <c r="P113" s="92"/>
    </row>
    <row r="114" spans="1:16" ht="14.4">
      <c r="A114" s="10">
        <f t="shared" si="2"/>
        <v>105</v>
      </c>
      <c r="B114" s="157">
        <v>930.12</v>
      </c>
      <c r="C114" s="158" t="s">
        <v>475</v>
      </c>
      <c r="D114" s="159">
        <v>44586</v>
      </c>
      <c r="E114" s="158" t="s">
        <v>476</v>
      </c>
      <c r="F114" s="158" t="s">
        <v>261</v>
      </c>
      <c r="G114" s="158" t="str">
        <f t="shared" si="3"/>
        <v>DIRECTORS MILEAGE</v>
      </c>
      <c r="H114" s="170">
        <v>9.59</v>
      </c>
      <c r="I114" s="170">
        <v>0</v>
      </c>
      <c r="J114" s="170"/>
      <c r="K114" s="152"/>
      <c r="L114" s="152"/>
      <c r="M114" s="152"/>
      <c r="N114" s="152"/>
      <c r="O114" s="153"/>
      <c r="P114" s="92"/>
    </row>
    <row r="115" spans="1:16" ht="14.4">
      <c r="A115" s="10">
        <f t="shared" si="2"/>
        <v>106</v>
      </c>
      <c r="B115" s="157">
        <v>930.12</v>
      </c>
      <c r="C115" s="158" t="s">
        <v>475</v>
      </c>
      <c r="D115" s="159">
        <v>44614</v>
      </c>
      <c r="E115" s="158" t="s">
        <v>476</v>
      </c>
      <c r="F115" s="158" t="s">
        <v>261</v>
      </c>
      <c r="G115" s="158" t="str">
        <f t="shared" si="3"/>
        <v>DIRECTORS MILEAGE</v>
      </c>
      <c r="H115" s="170">
        <v>9.59</v>
      </c>
      <c r="I115" s="170">
        <v>0</v>
      </c>
      <c r="J115" s="170"/>
      <c r="K115" s="152"/>
      <c r="L115" s="152"/>
      <c r="M115" s="152"/>
      <c r="N115" s="152"/>
      <c r="O115" s="153"/>
      <c r="P115" s="92"/>
    </row>
    <row r="116" spans="1:16" ht="14.4">
      <c r="A116" s="10">
        <f t="shared" si="2"/>
        <v>107</v>
      </c>
      <c r="B116" s="157">
        <v>930.12</v>
      </c>
      <c r="C116" s="158" t="s">
        <v>475</v>
      </c>
      <c r="D116" s="159">
        <v>44642</v>
      </c>
      <c r="E116" s="158" t="s">
        <v>476</v>
      </c>
      <c r="F116" s="158" t="s">
        <v>261</v>
      </c>
      <c r="G116" s="158" t="str">
        <f t="shared" si="3"/>
        <v>DIRECTORS MILEAGE</v>
      </c>
      <c r="H116" s="170">
        <v>9.59</v>
      </c>
      <c r="I116" s="170">
        <v>0</v>
      </c>
      <c r="J116" s="170"/>
      <c r="K116" s="152"/>
      <c r="L116" s="152"/>
      <c r="M116" s="152"/>
      <c r="N116" s="152"/>
      <c r="O116" s="153"/>
      <c r="P116" s="92"/>
    </row>
    <row r="117" spans="1:16" ht="14.4">
      <c r="A117" s="10">
        <f t="shared" si="2"/>
        <v>108</v>
      </c>
      <c r="B117" s="157">
        <v>930.12</v>
      </c>
      <c r="C117" s="158" t="s">
        <v>475</v>
      </c>
      <c r="D117" s="159">
        <v>44677</v>
      </c>
      <c r="E117" s="158" t="s">
        <v>476</v>
      </c>
      <c r="F117" s="158" t="s">
        <v>261</v>
      </c>
      <c r="G117" s="158" t="str">
        <f t="shared" si="3"/>
        <v>DIRECTORS MILEAGE</v>
      </c>
      <c r="H117" s="170">
        <v>9.59</v>
      </c>
      <c r="I117" s="170">
        <v>0</v>
      </c>
      <c r="J117" s="170"/>
      <c r="K117" s="152"/>
      <c r="L117" s="152"/>
      <c r="M117" s="152"/>
      <c r="N117" s="152"/>
      <c r="O117" s="153"/>
      <c r="P117" s="92"/>
    </row>
    <row r="118" spans="1:16" ht="14.4">
      <c r="A118" s="10">
        <f t="shared" si="2"/>
        <v>109</v>
      </c>
      <c r="B118" s="157">
        <v>930.12</v>
      </c>
      <c r="C118" s="158" t="s">
        <v>475</v>
      </c>
      <c r="D118" s="159">
        <v>44698</v>
      </c>
      <c r="E118" s="158" t="s">
        <v>477</v>
      </c>
      <c r="F118" s="158" t="s">
        <v>261</v>
      </c>
      <c r="G118" s="158" t="str">
        <f t="shared" si="3"/>
        <v>DIRECTORS MILEAGE</v>
      </c>
      <c r="H118" s="170">
        <v>9.59</v>
      </c>
      <c r="I118" s="170">
        <v>0</v>
      </c>
      <c r="J118" s="170"/>
      <c r="K118" s="152"/>
      <c r="L118" s="152"/>
      <c r="M118" s="152"/>
      <c r="N118" s="152"/>
      <c r="O118" s="153"/>
      <c r="P118" s="92"/>
    </row>
    <row r="119" spans="1:16" ht="14.4">
      <c r="A119" s="10">
        <f t="shared" si="2"/>
        <v>110</v>
      </c>
      <c r="B119" s="157">
        <v>930.12</v>
      </c>
      <c r="C119" s="158" t="s">
        <v>475</v>
      </c>
      <c r="D119" s="159">
        <v>44705</v>
      </c>
      <c r="E119" s="158" t="s">
        <v>476</v>
      </c>
      <c r="F119" s="158" t="s">
        <v>261</v>
      </c>
      <c r="G119" s="158" t="str">
        <f t="shared" si="3"/>
        <v>DIRECTORS MILEAGE</v>
      </c>
      <c r="H119" s="170">
        <v>9.59</v>
      </c>
      <c r="I119" s="170">
        <v>0</v>
      </c>
      <c r="J119" s="170"/>
      <c r="K119" s="152"/>
      <c r="L119" s="152"/>
      <c r="M119" s="152"/>
      <c r="N119" s="152"/>
      <c r="O119" s="153"/>
      <c r="P119" s="92"/>
    </row>
    <row r="120" spans="1:16" ht="14.4">
      <c r="A120" s="10">
        <f t="shared" si="2"/>
        <v>111</v>
      </c>
      <c r="B120" s="157">
        <v>930.12</v>
      </c>
      <c r="C120" s="158" t="s">
        <v>475</v>
      </c>
      <c r="D120" s="159">
        <v>44733</v>
      </c>
      <c r="E120" s="158" t="s">
        <v>476</v>
      </c>
      <c r="F120" s="158" t="s">
        <v>261</v>
      </c>
      <c r="G120" s="158" t="str">
        <f t="shared" si="3"/>
        <v>DIRECTORS MILEAGE</v>
      </c>
      <c r="H120" s="170">
        <v>9.59</v>
      </c>
      <c r="I120" s="170">
        <v>0</v>
      </c>
      <c r="J120" s="170"/>
      <c r="K120" s="152"/>
      <c r="L120" s="152"/>
      <c r="M120" s="152"/>
      <c r="N120" s="152"/>
      <c r="O120" s="153"/>
      <c r="P120" s="92"/>
    </row>
    <row r="121" spans="1:16" ht="14.4">
      <c r="A121" s="10">
        <f t="shared" si="2"/>
        <v>112</v>
      </c>
      <c r="B121" s="157">
        <v>930.12</v>
      </c>
      <c r="C121" s="158" t="s">
        <v>475</v>
      </c>
      <c r="D121" s="159">
        <v>44768</v>
      </c>
      <c r="E121" s="158" t="s">
        <v>478</v>
      </c>
      <c r="F121" s="158" t="s">
        <v>261</v>
      </c>
      <c r="G121" s="158" t="str">
        <f t="shared" si="3"/>
        <v>DIRECTORS MILEAGE</v>
      </c>
      <c r="H121" s="170">
        <v>10.25</v>
      </c>
      <c r="I121" s="170">
        <v>0</v>
      </c>
      <c r="J121" s="170"/>
      <c r="K121" s="152"/>
      <c r="L121" s="152"/>
      <c r="M121" s="152"/>
      <c r="N121" s="152"/>
      <c r="O121" s="153"/>
      <c r="P121" s="92"/>
    </row>
    <row r="122" spans="1:16" ht="14.4">
      <c r="A122" s="10">
        <f t="shared" si="2"/>
        <v>113</v>
      </c>
      <c r="B122" s="157">
        <v>930.12</v>
      </c>
      <c r="C122" s="158" t="s">
        <v>475</v>
      </c>
      <c r="D122" s="159">
        <v>44796</v>
      </c>
      <c r="E122" s="158" t="s">
        <v>478</v>
      </c>
      <c r="F122" s="158" t="s">
        <v>261</v>
      </c>
      <c r="G122" s="158" t="str">
        <f t="shared" si="3"/>
        <v>DIRECTORS MILEAGE</v>
      </c>
      <c r="H122" s="170">
        <v>10.25</v>
      </c>
      <c r="I122" s="170">
        <v>0</v>
      </c>
      <c r="J122" s="170"/>
      <c r="K122" s="152"/>
      <c r="L122" s="152"/>
      <c r="M122" s="152"/>
      <c r="N122" s="152"/>
      <c r="O122" s="153"/>
      <c r="P122" s="92"/>
    </row>
    <row r="123" spans="1:16" ht="14.4">
      <c r="A123" s="10">
        <f t="shared" si="2"/>
        <v>114</v>
      </c>
      <c r="B123" s="157">
        <v>930.12</v>
      </c>
      <c r="C123" s="158" t="s">
        <v>475</v>
      </c>
      <c r="D123" s="159">
        <v>44824</v>
      </c>
      <c r="E123" s="158" t="s">
        <v>478</v>
      </c>
      <c r="F123" s="158" t="s">
        <v>261</v>
      </c>
      <c r="G123" s="158" t="str">
        <f t="shared" si="3"/>
        <v>DIRECTORS MILEAGE</v>
      </c>
      <c r="H123" s="170">
        <v>10.25</v>
      </c>
      <c r="I123" s="170">
        <v>0</v>
      </c>
      <c r="J123" s="170"/>
      <c r="K123" s="152"/>
      <c r="L123" s="152"/>
      <c r="M123" s="152"/>
      <c r="N123" s="152"/>
      <c r="O123" s="153"/>
      <c r="P123" s="92"/>
    </row>
    <row r="124" spans="1:16" ht="14.4">
      <c r="A124" s="10">
        <f t="shared" si="2"/>
        <v>115</v>
      </c>
      <c r="B124" s="157">
        <v>930.12</v>
      </c>
      <c r="C124" s="158" t="s">
        <v>475</v>
      </c>
      <c r="D124" s="159">
        <v>44859</v>
      </c>
      <c r="E124" s="158" t="s">
        <v>479</v>
      </c>
      <c r="F124" s="158" t="s">
        <v>261</v>
      </c>
      <c r="G124" s="158" t="str">
        <f t="shared" si="3"/>
        <v>DIRECTORS MILEAGE</v>
      </c>
      <c r="H124" s="170">
        <v>10.25</v>
      </c>
      <c r="I124" s="170">
        <v>0</v>
      </c>
      <c r="J124" s="170"/>
      <c r="K124" s="152"/>
      <c r="L124" s="152"/>
      <c r="M124" s="152"/>
      <c r="N124" s="152"/>
      <c r="O124" s="153"/>
      <c r="P124" s="92"/>
    </row>
    <row r="125" spans="1:16" ht="14.4">
      <c r="A125" s="10">
        <f t="shared" si="2"/>
        <v>116</v>
      </c>
      <c r="B125" s="157">
        <v>930.12</v>
      </c>
      <c r="C125" s="158" t="s">
        <v>475</v>
      </c>
      <c r="D125" s="159">
        <v>44880</v>
      </c>
      <c r="E125" s="158" t="s">
        <v>479</v>
      </c>
      <c r="F125" s="158" t="s">
        <v>261</v>
      </c>
      <c r="G125" s="158" t="str">
        <f t="shared" si="3"/>
        <v>DIRECTORS MILEAGE</v>
      </c>
      <c r="H125" s="170">
        <v>10.25</v>
      </c>
      <c r="I125" s="170">
        <v>0</v>
      </c>
      <c r="J125" s="170"/>
      <c r="K125" s="152"/>
      <c r="L125" s="152"/>
      <c r="M125" s="152"/>
      <c r="N125" s="152"/>
      <c r="O125" s="153"/>
      <c r="P125" s="92"/>
    </row>
    <row r="126" spans="1:16" ht="14.4">
      <c r="A126" s="10">
        <f t="shared" si="2"/>
        <v>117</v>
      </c>
      <c r="B126" s="157">
        <v>930.12</v>
      </c>
      <c r="C126" s="158" t="s">
        <v>475</v>
      </c>
      <c r="D126" s="159">
        <v>44901</v>
      </c>
      <c r="E126" s="158" t="s">
        <v>479</v>
      </c>
      <c r="F126" s="158" t="s">
        <v>261</v>
      </c>
      <c r="G126" s="158" t="str">
        <f t="shared" si="3"/>
        <v>DIRECTORS MILEAGE</v>
      </c>
      <c r="H126" s="170">
        <v>10.25</v>
      </c>
      <c r="I126" s="170">
        <v>0</v>
      </c>
      <c r="J126" s="170"/>
      <c r="K126" s="152"/>
      <c r="L126" s="152"/>
      <c r="M126" s="152"/>
      <c r="N126" s="152"/>
      <c r="O126" s="153"/>
      <c r="P126" s="92"/>
    </row>
    <row r="127" spans="1:16" ht="14.4">
      <c r="A127" s="10">
        <f t="shared" si="2"/>
        <v>118</v>
      </c>
      <c r="B127" s="157">
        <v>930.12</v>
      </c>
      <c r="C127" s="158" t="s">
        <v>475</v>
      </c>
      <c r="D127" s="159">
        <v>44586</v>
      </c>
      <c r="E127" s="158" t="s">
        <v>480</v>
      </c>
      <c r="F127" s="158" t="s">
        <v>454</v>
      </c>
      <c r="G127" s="158" t="str">
        <f t="shared" si="3"/>
        <v>DIRECTORS MILEAGE</v>
      </c>
      <c r="H127" s="170">
        <v>14.04</v>
      </c>
      <c r="I127" s="170">
        <v>0</v>
      </c>
      <c r="J127" s="170"/>
      <c r="K127" s="152"/>
      <c r="L127" s="152"/>
      <c r="M127" s="152"/>
      <c r="N127" s="152"/>
      <c r="O127" s="153"/>
      <c r="P127" s="92"/>
    </row>
    <row r="128" spans="1:16" ht="14.4">
      <c r="A128" s="10">
        <f t="shared" si="2"/>
        <v>119</v>
      </c>
      <c r="B128" s="157">
        <v>930.12</v>
      </c>
      <c r="C128" s="158" t="s">
        <v>475</v>
      </c>
      <c r="D128" s="159">
        <v>44614</v>
      </c>
      <c r="E128" s="158" t="s">
        <v>480</v>
      </c>
      <c r="F128" s="158" t="s">
        <v>454</v>
      </c>
      <c r="G128" s="158" t="str">
        <f t="shared" si="3"/>
        <v>DIRECTORS MILEAGE</v>
      </c>
      <c r="H128" s="170">
        <v>14.04</v>
      </c>
      <c r="I128" s="170">
        <v>0</v>
      </c>
      <c r="J128" s="170"/>
      <c r="K128" s="152"/>
      <c r="L128" s="152"/>
      <c r="M128" s="152"/>
      <c r="N128" s="152"/>
      <c r="O128" s="153"/>
      <c r="P128" s="92"/>
    </row>
    <row r="129" spans="1:16" ht="14.4">
      <c r="A129" s="10">
        <f t="shared" si="2"/>
        <v>120</v>
      </c>
      <c r="B129" s="157">
        <v>930.12</v>
      </c>
      <c r="C129" s="158" t="s">
        <v>475</v>
      </c>
      <c r="D129" s="159">
        <v>44642</v>
      </c>
      <c r="E129" s="158" t="s">
        <v>480</v>
      </c>
      <c r="F129" s="158" t="s">
        <v>454</v>
      </c>
      <c r="G129" s="158" t="str">
        <f t="shared" si="3"/>
        <v>DIRECTORS MILEAGE</v>
      </c>
      <c r="H129" s="170">
        <v>14.04</v>
      </c>
      <c r="I129" s="170">
        <v>0</v>
      </c>
      <c r="J129" s="170"/>
      <c r="K129" s="152"/>
      <c r="L129" s="152"/>
      <c r="M129" s="152"/>
      <c r="N129" s="152"/>
      <c r="O129" s="153"/>
      <c r="P129" s="92"/>
    </row>
    <row r="130" spans="1:16" ht="14.4">
      <c r="A130" s="10">
        <f t="shared" si="2"/>
        <v>121</v>
      </c>
      <c r="B130" s="157">
        <v>930.12</v>
      </c>
      <c r="C130" s="158" t="s">
        <v>475</v>
      </c>
      <c r="D130" s="159">
        <v>44677</v>
      </c>
      <c r="E130" s="158" t="s">
        <v>480</v>
      </c>
      <c r="F130" s="158" t="s">
        <v>454</v>
      </c>
      <c r="G130" s="158" t="str">
        <f t="shared" si="3"/>
        <v>DIRECTORS MILEAGE</v>
      </c>
      <c r="H130" s="170">
        <v>14.04</v>
      </c>
      <c r="I130" s="170">
        <v>0</v>
      </c>
      <c r="J130" s="170"/>
      <c r="K130" s="152"/>
      <c r="L130" s="152"/>
      <c r="M130" s="152"/>
      <c r="N130" s="152"/>
      <c r="O130" s="153"/>
      <c r="P130" s="92"/>
    </row>
    <row r="131" spans="1:16" ht="14.4">
      <c r="A131" s="10">
        <f t="shared" si="2"/>
        <v>122</v>
      </c>
      <c r="B131" s="157">
        <v>930.12</v>
      </c>
      <c r="C131" s="158" t="s">
        <v>475</v>
      </c>
      <c r="D131" s="159">
        <v>44698</v>
      </c>
      <c r="E131" s="158" t="s">
        <v>481</v>
      </c>
      <c r="F131" s="158" t="s">
        <v>454</v>
      </c>
      <c r="G131" s="158" t="str">
        <f t="shared" si="3"/>
        <v>DIRECTORS MILEAGE</v>
      </c>
      <c r="H131" s="170">
        <v>14.04</v>
      </c>
      <c r="I131" s="170">
        <v>0</v>
      </c>
      <c r="J131" s="170"/>
      <c r="K131" s="152"/>
      <c r="L131" s="152"/>
      <c r="M131" s="152"/>
      <c r="N131" s="152"/>
      <c r="O131" s="153"/>
      <c r="P131" s="92"/>
    </row>
    <row r="132" spans="1:16" ht="14.4">
      <c r="A132" s="10">
        <f t="shared" si="2"/>
        <v>123</v>
      </c>
      <c r="B132" s="157">
        <v>930.12</v>
      </c>
      <c r="C132" s="158" t="s">
        <v>475</v>
      </c>
      <c r="D132" s="159">
        <v>44705</v>
      </c>
      <c r="E132" s="158" t="s">
        <v>480</v>
      </c>
      <c r="F132" s="158" t="s">
        <v>454</v>
      </c>
      <c r="G132" s="158" t="str">
        <f t="shared" si="3"/>
        <v>DIRECTORS MILEAGE</v>
      </c>
      <c r="H132" s="170">
        <v>14.04</v>
      </c>
      <c r="I132" s="170">
        <v>0</v>
      </c>
      <c r="J132" s="170"/>
      <c r="K132" s="152"/>
      <c r="L132" s="152"/>
      <c r="M132" s="152"/>
      <c r="N132" s="152"/>
      <c r="O132" s="153"/>
      <c r="P132" s="92"/>
    </row>
    <row r="133" spans="1:16" ht="14.4">
      <c r="A133" s="10">
        <f t="shared" si="2"/>
        <v>124</v>
      </c>
      <c r="B133" s="157">
        <v>930.12</v>
      </c>
      <c r="C133" s="158" t="s">
        <v>475</v>
      </c>
      <c r="D133" s="159">
        <v>44733</v>
      </c>
      <c r="E133" s="158" t="s">
        <v>480</v>
      </c>
      <c r="F133" s="158" t="s">
        <v>454</v>
      </c>
      <c r="G133" s="158" t="str">
        <f t="shared" si="3"/>
        <v>DIRECTORS MILEAGE</v>
      </c>
      <c r="H133" s="170">
        <v>14.04</v>
      </c>
      <c r="I133" s="170">
        <v>0</v>
      </c>
      <c r="J133" s="170"/>
      <c r="K133" s="152"/>
      <c r="L133" s="152"/>
      <c r="M133" s="152"/>
      <c r="N133" s="152"/>
      <c r="O133" s="153"/>
      <c r="P133" s="92"/>
    </row>
    <row r="134" spans="1:16" ht="14.4">
      <c r="A134" s="10">
        <f t="shared" si="2"/>
        <v>125</v>
      </c>
      <c r="B134" s="157">
        <v>930.12</v>
      </c>
      <c r="C134" s="158" t="s">
        <v>475</v>
      </c>
      <c r="D134" s="159">
        <v>44768</v>
      </c>
      <c r="E134" s="158" t="s">
        <v>478</v>
      </c>
      <c r="F134" s="158" t="s">
        <v>454</v>
      </c>
      <c r="G134" s="158" t="str">
        <f t="shared" si="3"/>
        <v>DIRECTORS MILEAGE</v>
      </c>
      <c r="H134" s="170">
        <v>15</v>
      </c>
      <c r="I134" s="170">
        <v>0</v>
      </c>
      <c r="J134" s="170"/>
      <c r="K134" s="152"/>
      <c r="L134" s="152"/>
      <c r="M134" s="152"/>
      <c r="N134" s="152"/>
      <c r="O134" s="153"/>
      <c r="P134" s="92"/>
    </row>
    <row r="135" spans="1:16" ht="14.4">
      <c r="A135" s="10">
        <f t="shared" si="2"/>
        <v>126</v>
      </c>
      <c r="B135" s="157">
        <v>930.12</v>
      </c>
      <c r="C135" s="158" t="s">
        <v>475</v>
      </c>
      <c r="D135" s="159">
        <v>44796</v>
      </c>
      <c r="E135" s="158" t="s">
        <v>478</v>
      </c>
      <c r="F135" s="158" t="s">
        <v>454</v>
      </c>
      <c r="G135" s="158" t="str">
        <f t="shared" si="3"/>
        <v>DIRECTORS MILEAGE</v>
      </c>
      <c r="H135" s="170">
        <v>15</v>
      </c>
      <c r="I135" s="170">
        <v>0</v>
      </c>
      <c r="J135" s="170"/>
      <c r="K135" s="152"/>
      <c r="L135" s="152"/>
      <c r="M135" s="152"/>
      <c r="N135" s="152"/>
      <c r="O135" s="153"/>
      <c r="P135" s="92"/>
    </row>
    <row r="136" spans="1:16" ht="14.4">
      <c r="A136" s="10">
        <f t="shared" si="2"/>
        <v>127</v>
      </c>
      <c r="B136" s="157">
        <v>930.12</v>
      </c>
      <c r="C136" s="158" t="s">
        <v>475</v>
      </c>
      <c r="D136" s="159">
        <v>44824</v>
      </c>
      <c r="E136" s="158" t="s">
        <v>478</v>
      </c>
      <c r="F136" s="158" t="s">
        <v>454</v>
      </c>
      <c r="G136" s="158" t="str">
        <f t="shared" si="3"/>
        <v>DIRECTORS MILEAGE</v>
      </c>
      <c r="H136" s="170">
        <v>15</v>
      </c>
      <c r="I136" s="170">
        <v>0</v>
      </c>
      <c r="J136" s="170"/>
      <c r="K136" s="152"/>
      <c r="L136" s="152"/>
      <c r="M136" s="152"/>
      <c r="N136" s="152"/>
      <c r="O136" s="153"/>
      <c r="P136" s="92"/>
    </row>
    <row r="137" spans="1:16" ht="14.4">
      <c r="A137" s="10">
        <f t="shared" si="2"/>
        <v>128</v>
      </c>
      <c r="B137" s="157">
        <v>930.12</v>
      </c>
      <c r="C137" s="158" t="s">
        <v>475</v>
      </c>
      <c r="D137" s="159">
        <v>44859</v>
      </c>
      <c r="E137" s="158" t="s">
        <v>482</v>
      </c>
      <c r="F137" s="158" t="s">
        <v>454</v>
      </c>
      <c r="G137" s="158" t="str">
        <f t="shared" si="3"/>
        <v>DIRECTORS MILEAGE</v>
      </c>
      <c r="H137" s="170">
        <v>15</v>
      </c>
      <c r="I137" s="170">
        <v>0</v>
      </c>
      <c r="J137" s="170"/>
      <c r="K137" s="152"/>
      <c r="L137" s="152"/>
      <c r="M137" s="152"/>
      <c r="N137" s="152"/>
      <c r="O137" s="153"/>
      <c r="P137" s="92"/>
    </row>
    <row r="138" spans="1:16" ht="14.4">
      <c r="A138" s="10">
        <f t="shared" ref="A138:A201" si="4">A137+1</f>
        <v>129</v>
      </c>
      <c r="B138" s="157">
        <v>930.12</v>
      </c>
      <c r="C138" s="158" t="s">
        <v>475</v>
      </c>
      <c r="D138" s="159">
        <v>44880</v>
      </c>
      <c r="E138" s="158" t="s">
        <v>482</v>
      </c>
      <c r="F138" s="158" t="s">
        <v>454</v>
      </c>
      <c r="G138" s="158" t="str">
        <f t="shared" ref="G138:G201" si="5">C138</f>
        <v>DIRECTORS MILEAGE</v>
      </c>
      <c r="H138" s="170">
        <v>15</v>
      </c>
      <c r="I138" s="170">
        <v>0</v>
      </c>
      <c r="J138" s="170"/>
      <c r="K138" s="152"/>
      <c r="L138" s="152"/>
      <c r="M138" s="152"/>
      <c r="N138" s="152"/>
      <c r="O138" s="153"/>
      <c r="P138" s="92"/>
    </row>
    <row r="139" spans="1:16" ht="14.4">
      <c r="A139" s="10">
        <f t="shared" si="4"/>
        <v>130</v>
      </c>
      <c r="B139" s="157">
        <v>930.12</v>
      </c>
      <c r="C139" s="158" t="s">
        <v>475</v>
      </c>
      <c r="D139" s="159">
        <v>44901</v>
      </c>
      <c r="E139" s="158" t="s">
        <v>482</v>
      </c>
      <c r="F139" s="158" t="s">
        <v>454</v>
      </c>
      <c r="G139" s="158" t="str">
        <f t="shared" si="5"/>
        <v>DIRECTORS MILEAGE</v>
      </c>
      <c r="H139" s="170">
        <v>15</v>
      </c>
      <c r="I139" s="170">
        <v>0</v>
      </c>
      <c r="J139" s="170"/>
      <c r="K139" s="152"/>
      <c r="L139" s="152"/>
      <c r="M139" s="152"/>
      <c r="N139" s="152"/>
      <c r="O139" s="153"/>
      <c r="P139" s="92"/>
    </row>
    <row r="140" spans="1:16" ht="14.4">
      <c r="A140" s="10">
        <f t="shared" si="4"/>
        <v>131</v>
      </c>
      <c r="B140" s="157">
        <v>930.12</v>
      </c>
      <c r="C140" s="158" t="s">
        <v>475</v>
      </c>
      <c r="D140" s="159">
        <v>44579</v>
      </c>
      <c r="E140" s="158" t="s">
        <v>483</v>
      </c>
      <c r="F140" s="158" t="s">
        <v>262</v>
      </c>
      <c r="G140" s="158" t="str">
        <f t="shared" si="5"/>
        <v>DIRECTORS MILEAGE</v>
      </c>
      <c r="H140" s="170">
        <v>23.4</v>
      </c>
      <c r="I140" s="170">
        <v>0</v>
      </c>
      <c r="J140" s="170"/>
      <c r="K140" s="152"/>
      <c r="L140" s="152"/>
      <c r="M140" s="152"/>
      <c r="N140" s="152"/>
      <c r="O140" s="153"/>
      <c r="P140" s="92"/>
    </row>
    <row r="141" spans="1:16" ht="14.4">
      <c r="A141" s="10">
        <f t="shared" si="4"/>
        <v>132</v>
      </c>
      <c r="B141" s="157">
        <v>930.12</v>
      </c>
      <c r="C141" s="158" t="s">
        <v>475</v>
      </c>
      <c r="D141" s="159">
        <v>44586</v>
      </c>
      <c r="E141" s="158" t="s">
        <v>484</v>
      </c>
      <c r="F141" s="158" t="s">
        <v>262</v>
      </c>
      <c r="G141" s="158" t="str">
        <f t="shared" si="5"/>
        <v>DIRECTORS MILEAGE</v>
      </c>
      <c r="H141" s="170">
        <v>23.4</v>
      </c>
      <c r="I141" s="170">
        <v>0</v>
      </c>
      <c r="J141" s="170"/>
      <c r="K141" s="152"/>
      <c r="L141" s="152"/>
      <c r="M141" s="152"/>
      <c r="N141" s="152"/>
      <c r="O141" s="153"/>
      <c r="P141" s="92"/>
    </row>
    <row r="142" spans="1:16" ht="14.4">
      <c r="A142" s="10">
        <f t="shared" si="4"/>
        <v>133</v>
      </c>
      <c r="B142" s="157">
        <v>930.12</v>
      </c>
      <c r="C142" s="158" t="s">
        <v>475</v>
      </c>
      <c r="D142" s="159">
        <v>44614</v>
      </c>
      <c r="E142" s="158" t="s">
        <v>484</v>
      </c>
      <c r="F142" s="158" t="s">
        <v>262</v>
      </c>
      <c r="G142" s="158" t="str">
        <f t="shared" si="5"/>
        <v>DIRECTORS MILEAGE</v>
      </c>
      <c r="H142" s="170">
        <v>23.4</v>
      </c>
      <c r="I142" s="170">
        <v>0</v>
      </c>
      <c r="J142" s="170"/>
      <c r="K142" s="152"/>
      <c r="L142" s="152"/>
      <c r="M142" s="152"/>
      <c r="N142" s="152"/>
      <c r="O142" s="153"/>
      <c r="P142" s="92"/>
    </row>
    <row r="143" spans="1:16" ht="14.4">
      <c r="A143" s="10">
        <f t="shared" si="4"/>
        <v>134</v>
      </c>
      <c r="B143" s="157">
        <v>930.12</v>
      </c>
      <c r="C143" s="158" t="s">
        <v>475</v>
      </c>
      <c r="D143" s="159">
        <v>44642</v>
      </c>
      <c r="E143" s="158" t="s">
        <v>484</v>
      </c>
      <c r="F143" s="158" t="s">
        <v>262</v>
      </c>
      <c r="G143" s="158" t="str">
        <f t="shared" si="5"/>
        <v>DIRECTORS MILEAGE</v>
      </c>
      <c r="H143" s="170">
        <v>23.4</v>
      </c>
      <c r="I143" s="170">
        <v>0</v>
      </c>
      <c r="J143" s="170"/>
      <c r="K143" s="152"/>
      <c r="L143" s="152"/>
      <c r="M143" s="152"/>
      <c r="N143" s="152"/>
      <c r="O143" s="153"/>
      <c r="P143" s="92"/>
    </row>
    <row r="144" spans="1:16" ht="14.4">
      <c r="A144" s="10">
        <f t="shared" si="4"/>
        <v>135</v>
      </c>
      <c r="B144" s="157">
        <v>930.12</v>
      </c>
      <c r="C144" s="158" t="s">
        <v>475</v>
      </c>
      <c r="D144" s="159">
        <v>44677</v>
      </c>
      <c r="E144" s="158" t="s">
        <v>484</v>
      </c>
      <c r="F144" s="158" t="s">
        <v>262</v>
      </c>
      <c r="G144" s="158" t="str">
        <f t="shared" si="5"/>
        <v>DIRECTORS MILEAGE</v>
      </c>
      <c r="H144" s="170">
        <v>23.4</v>
      </c>
      <c r="I144" s="170">
        <v>0</v>
      </c>
      <c r="J144" s="170"/>
      <c r="K144" s="152"/>
      <c r="L144" s="152"/>
      <c r="M144" s="152"/>
      <c r="N144" s="152"/>
      <c r="O144" s="153"/>
      <c r="P144" s="92"/>
    </row>
    <row r="145" spans="1:16" ht="14.4">
      <c r="A145" s="10">
        <f t="shared" si="4"/>
        <v>136</v>
      </c>
      <c r="B145" s="157">
        <v>930.12</v>
      </c>
      <c r="C145" s="158" t="s">
        <v>475</v>
      </c>
      <c r="D145" s="159">
        <v>44698</v>
      </c>
      <c r="E145" s="158" t="s">
        <v>483</v>
      </c>
      <c r="F145" s="158" t="s">
        <v>262</v>
      </c>
      <c r="G145" s="158" t="str">
        <f t="shared" si="5"/>
        <v>DIRECTORS MILEAGE</v>
      </c>
      <c r="H145" s="170">
        <v>23.4</v>
      </c>
      <c r="I145" s="170">
        <v>0</v>
      </c>
      <c r="J145" s="170"/>
      <c r="K145" s="152"/>
      <c r="L145" s="152"/>
      <c r="M145" s="152"/>
      <c r="N145" s="152"/>
      <c r="O145" s="153"/>
      <c r="P145" s="92"/>
    </row>
    <row r="146" spans="1:16" ht="14.4">
      <c r="A146" s="10">
        <f t="shared" si="4"/>
        <v>137</v>
      </c>
      <c r="B146" s="157">
        <v>930.12</v>
      </c>
      <c r="C146" s="158" t="s">
        <v>475</v>
      </c>
      <c r="D146" s="159">
        <v>44698</v>
      </c>
      <c r="E146" s="158" t="s">
        <v>485</v>
      </c>
      <c r="F146" s="158" t="s">
        <v>262</v>
      </c>
      <c r="G146" s="158" t="str">
        <f t="shared" si="5"/>
        <v>DIRECTORS MILEAGE</v>
      </c>
      <c r="H146" s="170">
        <v>23.4</v>
      </c>
      <c r="I146" s="170">
        <v>0</v>
      </c>
      <c r="J146" s="170"/>
      <c r="K146" s="152"/>
      <c r="L146" s="152"/>
      <c r="M146" s="152"/>
      <c r="N146" s="152"/>
      <c r="O146" s="153"/>
      <c r="P146" s="92"/>
    </row>
    <row r="147" spans="1:16" ht="14.4">
      <c r="A147" s="10">
        <f t="shared" si="4"/>
        <v>138</v>
      </c>
      <c r="B147" s="157">
        <v>930.12</v>
      </c>
      <c r="C147" s="158" t="s">
        <v>475</v>
      </c>
      <c r="D147" s="159">
        <v>44705</v>
      </c>
      <c r="E147" s="158" t="s">
        <v>484</v>
      </c>
      <c r="F147" s="158" t="s">
        <v>262</v>
      </c>
      <c r="G147" s="158" t="str">
        <f t="shared" si="5"/>
        <v>DIRECTORS MILEAGE</v>
      </c>
      <c r="H147" s="170">
        <v>23.4</v>
      </c>
      <c r="I147" s="170">
        <v>0</v>
      </c>
      <c r="J147" s="170"/>
      <c r="K147" s="152"/>
      <c r="L147" s="152"/>
      <c r="M147" s="152"/>
      <c r="N147" s="152"/>
      <c r="O147" s="153"/>
      <c r="P147" s="92"/>
    </row>
    <row r="148" spans="1:16" ht="14.4">
      <c r="A148" s="10">
        <f t="shared" si="4"/>
        <v>139</v>
      </c>
      <c r="B148" s="157">
        <v>930.12</v>
      </c>
      <c r="C148" s="158" t="s">
        <v>475</v>
      </c>
      <c r="D148" s="159">
        <v>44733</v>
      </c>
      <c r="E148" s="158" t="s">
        <v>484</v>
      </c>
      <c r="F148" s="158" t="s">
        <v>262</v>
      </c>
      <c r="G148" s="158" t="str">
        <f t="shared" si="5"/>
        <v>DIRECTORS MILEAGE</v>
      </c>
      <c r="H148" s="170">
        <v>23.4</v>
      </c>
      <c r="I148" s="170">
        <v>0</v>
      </c>
      <c r="J148" s="170"/>
      <c r="K148" s="152"/>
      <c r="L148" s="152"/>
      <c r="M148" s="152"/>
      <c r="N148" s="152"/>
      <c r="O148" s="153"/>
      <c r="P148" s="92"/>
    </row>
    <row r="149" spans="1:16" ht="14.4">
      <c r="A149" s="10">
        <f t="shared" si="4"/>
        <v>140</v>
      </c>
      <c r="B149" s="157">
        <v>930.12</v>
      </c>
      <c r="C149" s="158" t="s">
        <v>475</v>
      </c>
      <c r="D149" s="159">
        <v>44768</v>
      </c>
      <c r="E149" s="158" t="s">
        <v>486</v>
      </c>
      <c r="F149" s="158" t="s">
        <v>262</v>
      </c>
      <c r="G149" s="158" t="str">
        <f t="shared" si="5"/>
        <v>DIRECTORS MILEAGE</v>
      </c>
      <c r="H149" s="170">
        <v>25</v>
      </c>
      <c r="I149" s="170">
        <v>0</v>
      </c>
      <c r="J149" s="170"/>
      <c r="K149" s="152"/>
      <c r="L149" s="152"/>
      <c r="M149" s="152"/>
      <c r="N149" s="152"/>
      <c r="O149" s="153"/>
      <c r="P149" s="92"/>
    </row>
    <row r="150" spans="1:16" ht="14.4">
      <c r="A150" s="10">
        <f t="shared" si="4"/>
        <v>141</v>
      </c>
      <c r="B150" s="157">
        <v>930.12</v>
      </c>
      <c r="C150" s="158" t="s">
        <v>475</v>
      </c>
      <c r="D150" s="159">
        <v>44768</v>
      </c>
      <c r="E150" s="158" t="s">
        <v>478</v>
      </c>
      <c r="F150" s="158" t="s">
        <v>262</v>
      </c>
      <c r="G150" s="158" t="str">
        <f t="shared" si="5"/>
        <v>DIRECTORS MILEAGE</v>
      </c>
      <c r="H150" s="170">
        <v>25</v>
      </c>
      <c r="I150" s="170">
        <v>0</v>
      </c>
      <c r="J150" s="170"/>
      <c r="K150" s="152"/>
      <c r="L150" s="152"/>
      <c r="M150" s="152"/>
      <c r="N150" s="152"/>
      <c r="O150" s="153"/>
      <c r="P150" s="92"/>
    </row>
    <row r="151" spans="1:16" ht="14.4">
      <c r="A151" s="10">
        <f t="shared" si="4"/>
        <v>142</v>
      </c>
      <c r="B151" s="157">
        <v>930.12</v>
      </c>
      <c r="C151" s="158" t="s">
        <v>475</v>
      </c>
      <c r="D151" s="159">
        <v>44796</v>
      </c>
      <c r="E151" s="158" t="s">
        <v>478</v>
      </c>
      <c r="F151" s="158" t="s">
        <v>262</v>
      </c>
      <c r="G151" s="158" t="str">
        <f t="shared" si="5"/>
        <v>DIRECTORS MILEAGE</v>
      </c>
      <c r="H151" s="170">
        <v>25</v>
      </c>
      <c r="I151" s="170">
        <v>0</v>
      </c>
      <c r="J151" s="170"/>
      <c r="K151" s="152"/>
      <c r="L151" s="152"/>
      <c r="M151" s="152"/>
      <c r="N151" s="152"/>
      <c r="O151" s="153"/>
      <c r="P151" s="92"/>
    </row>
    <row r="152" spans="1:16" ht="14.4">
      <c r="A152" s="10">
        <f t="shared" si="4"/>
        <v>143</v>
      </c>
      <c r="B152" s="157">
        <v>930.12</v>
      </c>
      <c r="C152" s="158" t="s">
        <v>475</v>
      </c>
      <c r="D152" s="159">
        <v>44824</v>
      </c>
      <c r="E152" s="158" t="s">
        <v>478</v>
      </c>
      <c r="F152" s="158" t="s">
        <v>262</v>
      </c>
      <c r="G152" s="158" t="str">
        <f t="shared" si="5"/>
        <v>DIRECTORS MILEAGE</v>
      </c>
      <c r="H152" s="170">
        <v>25</v>
      </c>
      <c r="I152" s="170">
        <v>0</v>
      </c>
      <c r="J152" s="170"/>
      <c r="K152" s="152"/>
      <c r="L152" s="152"/>
      <c r="M152" s="152"/>
      <c r="N152" s="152"/>
      <c r="O152" s="153"/>
      <c r="P152" s="92"/>
    </row>
    <row r="153" spans="1:16" ht="14.4">
      <c r="A153" s="10">
        <f t="shared" si="4"/>
        <v>144</v>
      </c>
      <c r="B153" s="157">
        <v>930.12</v>
      </c>
      <c r="C153" s="158" t="s">
        <v>475</v>
      </c>
      <c r="D153" s="159">
        <v>44859</v>
      </c>
      <c r="E153" s="158" t="s">
        <v>482</v>
      </c>
      <c r="F153" s="158" t="s">
        <v>262</v>
      </c>
      <c r="G153" s="158" t="str">
        <f t="shared" si="5"/>
        <v>DIRECTORS MILEAGE</v>
      </c>
      <c r="H153" s="170">
        <v>25</v>
      </c>
      <c r="I153" s="170">
        <v>0</v>
      </c>
      <c r="J153" s="170"/>
      <c r="K153" s="152"/>
      <c r="L153" s="152"/>
      <c r="M153" s="152"/>
      <c r="N153" s="152"/>
      <c r="O153" s="153"/>
      <c r="P153" s="92"/>
    </row>
    <row r="154" spans="1:16" ht="14.4">
      <c r="A154" s="10">
        <f t="shared" si="4"/>
        <v>145</v>
      </c>
      <c r="B154" s="157">
        <v>930.12</v>
      </c>
      <c r="C154" s="158" t="s">
        <v>475</v>
      </c>
      <c r="D154" s="159">
        <v>44880</v>
      </c>
      <c r="E154" s="158" t="s">
        <v>482</v>
      </c>
      <c r="F154" s="158" t="s">
        <v>262</v>
      </c>
      <c r="G154" s="158" t="str">
        <f t="shared" si="5"/>
        <v>DIRECTORS MILEAGE</v>
      </c>
      <c r="H154" s="170">
        <v>25</v>
      </c>
      <c r="I154" s="170">
        <v>0</v>
      </c>
      <c r="J154" s="170"/>
      <c r="K154" s="152"/>
      <c r="L154" s="152"/>
      <c r="M154" s="152"/>
      <c r="N154" s="152"/>
      <c r="O154" s="153"/>
      <c r="P154" s="92"/>
    </row>
    <row r="155" spans="1:16" ht="14.4">
      <c r="A155" s="10">
        <f t="shared" si="4"/>
        <v>146</v>
      </c>
      <c r="B155" s="157">
        <v>930.12</v>
      </c>
      <c r="C155" s="158" t="s">
        <v>475</v>
      </c>
      <c r="D155" s="159">
        <v>44901</v>
      </c>
      <c r="E155" s="158" t="s">
        <v>482</v>
      </c>
      <c r="F155" s="158" t="s">
        <v>262</v>
      </c>
      <c r="G155" s="158" t="str">
        <f t="shared" si="5"/>
        <v>DIRECTORS MILEAGE</v>
      </c>
      <c r="H155" s="170">
        <v>25</v>
      </c>
      <c r="I155" s="170">
        <v>0</v>
      </c>
      <c r="J155" s="170"/>
      <c r="K155" s="152"/>
      <c r="L155" s="152"/>
      <c r="M155" s="152"/>
      <c r="N155" s="152"/>
      <c r="O155" s="153"/>
      <c r="P155" s="92"/>
    </row>
    <row r="156" spans="1:16" ht="14.4">
      <c r="A156" s="10">
        <f t="shared" si="4"/>
        <v>147</v>
      </c>
      <c r="B156" s="157">
        <v>930.12</v>
      </c>
      <c r="C156" s="158" t="s">
        <v>475</v>
      </c>
      <c r="D156" s="159">
        <v>44586</v>
      </c>
      <c r="E156" s="158" t="s">
        <v>487</v>
      </c>
      <c r="F156" s="158" t="s">
        <v>462</v>
      </c>
      <c r="G156" s="158" t="str">
        <f t="shared" si="5"/>
        <v>DIRECTORS MILEAGE</v>
      </c>
      <c r="H156" s="170">
        <v>16.38</v>
      </c>
      <c r="I156" s="170">
        <v>0</v>
      </c>
      <c r="J156" s="170"/>
      <c r="K156" s="152"/>
      <c r="L156" s="152"/>
      <c r="M156" s="152"/>
      <c r="N156" s="152"/>
      <c r="O156" s="153"/>
      <c r="P156" s="92"/>
    </row>
    <row r="157" spans="1:16" ht="14.4">
      <c r="A157" s="10">
        <f t="shared" si="4"/>
        <v>148</v>
      </c>
      <c r="B157" s="157">
        <v>930.12</v>
      </c>
      <c r="C157" s="158" t="s">
        <v>475</v>
      </c>
      <c r="D157" s="159">
        <v>44614</v>
      </c>
      <c r="E157" s="158" t="s">
        <v>487</v>
      </c>
      <c r="F157" s="158" t="s">
        <v>462</v>
      </c>
      <c r="G157" s="158" t="str">
        <f t="shared" si="5"/>
        <v>DIRECTORS MILEAGE</v>
      </c>
      <c r="H157" s="170">
        <v>16.38</v>
      </c>
      <c r="I157" s="170">
        <v>0</v>
      </c>
      <c r="J157" s="170"/>
      <c r="K157" s="152"/>
      <c r="L157" s="152"/>
      <c r="M157" s="152"/>
      <c r="N157" s="152"/>
      <c r="O157" s="153"/>
      <c r="P157" s="92"/>
    </row>
    <row r="158" spans="1:16" ht="14.4">
      <c r="A158" s="10">
        <f t="shared" si="4"/>
        <v>149</v>
      </c>
      <c r="B158" s="157">
        <v>930.12</v>
      </c>
      <c r="C158" s="158" t="s">
        <v>475</v>
      </c>
      <c r="D158" s="159">
        <v>44642</v>
      </c>
      <c r="E158" s="158" t="s">
        <v>487</v>
      </c>
      <c r="F158" s="158" t="s">
        <v>462</v>
      </c>
      <c r="G158" s="158" t="str">
        <f t="shared" si="5"/>
        <v>DIRECTORS MILEAGE</v>
      </c>
      <c r="H158" s="170">
        <v>16.38</v>
      </c>
      <c r="I158" s="170">
        <v>0</v>
      </c>
      <c r="J158" s="170"/>
      <c r="K158" s="152"/>
      <c r="L158" s="152"/>
      <c r="M158" s="152"/>
      <c r="N158" s="152"/>
      <c r="O158" s="153"/>
      <c r="P158" s="92"/>
    </row>
    <row r="159" spans="1:16" ht="14.4">
      <c r="A159" s="10">
        <f t="shared" si="4"/>
        <v>150</v>
      </c>
      <c r="B159" s="157">
        <v>930.12</v>
      </c>
      <c r="C159" s="158" t="s">
        <v>475</v>
      </c>
      <c r="D159" s="159">
        <v>44677</v>
      </c>
      <c r="E159" s="158" t="s">
        <v>487</v>
      </c>
      <c r="F159" s="158" t="s">
        <v>462</v>
      </c>
      <c r="G159" s="158" t="str">
        <f t="shared" si="5"/>
        <v>DIRECTORS MILEAGE</v>
      </c>
      <c r="H159" s="170">
        <v>16.38</v>
      </c>
      <c r="I159" s="170">
        <v>0</v>
      </c>
      <c r="J159" s="170"/>
      <c r="K159" s="152"/>
      <c r="L159" s="152"/>
      <c r="M159" s="152"/>
      <c r="N159" s="152"/>
      <c r="O159" s="153"/>
      <c r="P159" s="92"/>
    </row>
    <row r="160" spans="1:16" ht="14.4">
      <c r="A160" s="10">
        <f t="shared" si="4"/>
        <v>151</v>
      </c>
      <c r="B160" s="157">
        <v>930.12</v>
      </c>
      <c r="C160" s="158" t="s">
        <v>475</v>
      </c>
      <c r="D160" s="159">
        <v>44698</v>
      </c>
      <c r="E160" s="158" t="s">
        <v>488</v>
      </c>
      <c r="F160" s="158" t="s">
        <v>462</v>
      </c>
      <c r="G160" s="158" t="str">
        <f t="shared" si="5"/>
        <v>DIRECTORS MILEAGE</v>
      </c>
      <c r="H160" s="170">
        <v>16.38</v>
      </c>
      <c r="I160" s="170">
        <v>0</v>
      </c>
      <c r="J160" s="170"/>
      <c r="K160" s="152"/>
      <c r="L160" s="152"/>
      <c r="M160" s="152"/>
      <c r="N160" s="152"/>
      <c r="O160" s="153"/>
      <c r="P160" s="92"/>
    </row>
    <row r="161" spans="1:16" ht="14.4">
      <c r="A161" s="10">
        <f t="shared" si="4"/>
        <v>152</v>
      </c>
      <c r="B161" s="157">
        <v>930.12</v>
      </c>
      <c r="C161" s="158" t="s">
        <v>475</v>
      </c>
      <c r="D161" s="159">
        <v>44705</v>
      </c>
      <c r="E161" s="158" t="s">
        <v>487</v>
      </c>
      <c r="F161" s="158" t="s">
        <v>462</v>
      </c>
      <c r="G161" s="158" t="str">
        <f t="shared" si="5"/>
        <v>DIRECTORS MILEAGE</v>
      </c>
      <c r="H161" s="170">
        <v>16.38</v>
      </c>
      <c r="I161" s="170">
        <v>0</v>
      </c>
      <c r="J161" s="170"/>
      <c r="K161" s="152"/>
      <c r="L161" s="152"/>
      <c r="M161" s="152"/>
      <c r="N161" s="152"/>
      <c r="O161" s="153"/>
      <c r="P161" s="92"/>
    </row>
    <row r="162" spans="1:16" ht="14.4">
      <c r="A162" s="10">
        <f t="shared" si="4"/>
        <v>153</v>
      </c>
      <c r="B162" s="157">
        <v>930.12</v>
      </c>
      <c r="C162" s="158" t="s">
        <v>475</v>
      </c>
      <c r="D162" s="159">
        <v>44733</v>
      </c>
      <c r="E162" s="158" t="s">
        <v>487</v>
      </c>
      <c r="F162" s="158" t="s">
        <v>462</v>
      </c>
      <c r="G162" s="158" t="str">
        <f t="shared" si="5"/>
        <v>DIRECTORS MILEAGE</v>
      </c>
      <c r="H162" s="170">
        <v>16.38</v>
      </c>
      <c r="I162" s="170">
        <v>0</v>
      </c>
      <c r="J162" s="170"/>
      <c r="K162" s="152"/>
      <c r="L162" s="152"/>
      <c r="M162" s="152"/>
      <c r="N162" s="152"/>
      <c r="O162" s="153"/>
      <c r="P162" s="92"/>
    </row>
    <row r="163" spans="1:16" ht="14.4">
      <c r="A163" s="10">
        <f t="shared" si="4"/>
        <v>154</v>
      </c>
      <c r="B163" s="157">
        <v>930.12</v>
      </c>
      <c r="C163" s="158" t="s">
        <v>475</v>
      </c>
      <c r="D163" s="159">
        <v>44768</v>
      </c>
      <c r="E163" s="158" t="s">
        <v>478</v>
      </c>
      <c r="F163" s="158" t="s">
        <v>462</v>
      </c>
      <c r="G163" s="158" t="str">
        <f t="shared" si="5"/>
        <v>DIRECTORS MILEAGE</v>
      </c>
      <c r="H163" s="170">
        <v>17.5</v>
      </c>
      <c r="I163" s="170">
        <v>0</v>
      </c>
      <c r="J163" s="170"/>
      <c r="K163" s="152"/>
      <c r="L163" s="152"/>
      <c r="M163" s="152"/>
      <c r="N163" s="152"/>
      <c r="O163" s="153"/>
      <c r="P163" s="92"/>
    </row>
    <row r="164" spans="1:16" ht="14.4">
      <c r="A164" s="10">
        <f t="shared" si="4"/>
        <v>155</v>
      </c>
      <c r="B164" s="157">
        <v>930.12</v>
      </c>
      <c r="C164" s="158" t="s">
        <v>475</v>
      </c>
      <c r="D164" s="159">
        <v>44796</v>
      </c>
      <c r="E164" s="158" t="s">
        <v>478</v>
      </c>
      <c r="F164" s="158" t="s">
        <v>462</v>
      </c>
      <c r="G164" s="158" t="str">
        <f t="shared" si="5"/>
        <v>DIRECTORS MILEAGE</v>
      </c>
      <c r="H164" s="170">
        <v>17.5</v>
      </c>
      <c r="I164" s="170">
        <v>0</v>
      </c>
      <c r="J164" s="170"/>
      <c r="K164" s="152"/>
      <c r="L164" s="152"/>
      <c r="M164" s="152"/>
      <c r="N164" s="152"/>
      <c r="O164" s="153"/>
      <c r="P164" s="92"/>
    </row>
    <row r="165" spans="1:16" ht="14.4">
      <c r="A165" s="10">
        <f t="shared" si="4"/>
        <v>156</v>
      </c>
      <c r="B165" s="157">
        <v>930.12</v>
      </c>
      <c r="C165" s="158" t="s">
        <v>475</v>
      </c>
      <c r="D165" s="159">
        <v>44824</v>
      </c>
      <c r="E165" s="158" t="s">
        <v>478</v>
      </c>
      <c r="F165" s="158" t="s">
        <v>462</v>
      </c>
      <c r="G165" s="158" t="str">
        <f t="shared" si="5"/>
        <v>DIRECTORS MILEAGE</v>
      </c>
      <c r="H165" s="170">
        <v>17.5</v>
      </c>
      <c r="I165" s="170">
        <v>0</v>
      </c>
      <c r="J165" s="170"/>
      <c r="K165" s="152"/>
      <c r="L165" s="152"/>
      <c r="M165" s="152"/>
      <c r="N165" s="152"/>
      <c r="O165" s="153"/>
      <c r="P165" s="92"/>
    </row>
    <row r="166" spans="1:16" ht="14.4">
      <c r="A166" s="10">
        <f t="shared" si="4"/>
        <v>157</v>
      </c>
      <c r="B166" s="157">
        <v>930.12</v>
      </c>
      <c r="C166" s="158" t="s">
        <v>475</v>
      </c>
      <c r="D166" s="159">
        <v>44859</v>
      </c>
      <c r="E166" s="158" t="s">
        <v>479</v>
      </c>
      <c r="F166" s="158" t="s">
        <v>462</v>
      </c>
      <c r="G166" s="158" t="str">
        <f t="shared" si="5"/>
        <v>DIRECTORS MILEAGE</v>
      </c>
      <c r="H166" s="170">
        <v>17.5</v>
      </c>
      <c r="I166" s="170">
        <v>0</v>
      </c>
      <c r="J166" s="170"/>
      <c r="K166" s="152"/>
      <c r="L166" s="152"/>
      <c r="M166" s="152"/>
      <c r="N166" s="152"/>
      <c r="O166" s="153"/>
      <c r="P166" s="92"/>
    </row>
    <row r="167" spans="1:16" ht="14.4">
      <c r="A167" s="10">
        <f t="shared" si="4"/>
        <v>158</v>
      </c>
      <c r="B167" s="157">
        <v>930.12</v>
      </c>
      <c r="C167" s="158" t="s">
        <v>475</v>
      </c>
      <c r="D167" s="159">
        <v>44859</v>
      </c>
      <c r="E167" s="158" t="s">
        <v>479</v>
      </c>
      <c r="F167" s="158" t="s">
        <v>462</v>
      </c>
      <c r="G167" s="158" t="str">
        <f t="shared" si="5"/>
        <v>DIRECTORS MILEAGE</v>
      </c>
      <c r="H167" s="170">
        <v>0</v>
      </c>
      <c r="I167" s="170">
        <v>17.5</v>
      </c>
      <c r="J167" s="170"/>
      <c r="K167" s="152"/>
      <c r="L167" s="152"/>
      <c r="M167" s="152"/>
      <c r="N167" s="152"/>
      <c r="O167" s="153"/>
      <c r="P167" s="92"/>
    </row>
    <row r="168" spans="1:16" ht="14.4">
      <c r="A168" s="10">
        <f t="shared" si="4"/>
        <v>159</v>
      </c>
      <c r="B168" s="157">
        <v>930.12</v>
      </c>
      <c r="C168" s="158" t="s">
        <v>475</v>
      </c>
      <c r="D168" s="159">
        <v>44859</v>
      </c>
      <c r="E168" s="158" t="s">
        <v>479</v>
      </c>
      <c r="F168" s="158" t="s">
        <v>462</v>
      </c>
      <c r="G168" s="158" t="str">
        <f t="shared" si="5"/>
        <v>DIRECTORS MILEAGE</v>
      </c>
      <c r="H168" s="170">
        <v>17.5</v>
      </c>
      <c r="I168" s="170">
        <v>0</v>
      </c>
      <c r="J168" s="170"/>
      <c r="K168" s="152"/>
      <c r="L168" s="152"/>
      <c r="M168" s="152"/>
      <c r="N168" s="152"/>
      <c r="O168" s="153"/>
      <c r="P168" s="92"/>
    </row>
    <row r="169" spans="1:16" ht="14.4">
      <c r="A169" s="10">
        <f t="shared" si="4"/>
        <v>160</v>
      </c>
      <c r="B169" s="157">
        <v>930.12</v>
      </c>
      <c r="C169" s="158" t="s">
        <v>475</v>
      </c>
      <c r="D169" s="159">
        <v>44880</v>
      </c>
      <c r="E169" s="158" t="s">
        <v>479</v>
      </c>
      <c r="F169" s="158" t="s">
        <v>462</v>
      </c>
      <c r="G169" s="158" t="str">
        <f t="shared" si="5"/>
        <v>DIRECTORS MILEAGE</v>
      </c>
      <c r="H169" s="170">
        <v>17.5</v>
      </c>
      <c r="I169" s="170">
        <v>0</v>
      </c>
      <c r="J169" s="170"/>
      <c r="K169" s="152"/>
      <c r="L169" s="152"/>
      <c r="M169" s="152"/>
      <c r="N169" s="152"/>
      <c r="O169" s="153"/>
      <c r="P169" s="92"/>
    </row>
    <row r="170" spans="1:16" ht="14.4">
      <c r="A170" s="10">
        <f t="shared" si="4"/>
        <v>161</v>
      </c>
      <c r="B170" s="157">
        <v>930.12</v>
      </c>
      <c r="C170" s="158" t="s">
        <v>475</v>
      </c>
      <c r="D170" s="159">
        <v>44901</v>
      </c>
      <c r="E170" s="158" t="s">
        <v>479</v>
      </c>
      <c r="F170" s="158" t="s">
        <v>462</v>
      </c>
      <c r="G170" s="158" t="str">
        <f t="shared" si="5"/>
        <v>DIRECTORS MILEAGE</v>
      </c>
      <c r="H170" s="170">
        <v>17.5</v>
      </c>
      <c r="I170" s="170">
        <v>0</v>
      </c>
      <c r="J170" s="170"/>
      <c r="K170" s="152"/>
      <c r="L170" s="152"/>
      <c r="M170" s="152"/>
      <c r="N170" s="152"/>
      <c r="O170" s="153"/>
      <c r="P170" s="92"/>
    </row>
    <row r="171" spans="1:16" ht="14.4">
      <c r="A171" s="10">
        <f t="shared" si="4"/>
        <v>162</v>
      </c>
      <c r="B171" s="157">
        <v>930.12</v>
      </c>
      <c r="C171" s="158" t="s">
        <v>475</v>
      </c>
      <c r="D171" s="159">
        <v>44586</v>
      </c>
      <c r="E171" s="158" t="s">
        <v>489</v>
      </c>
      <c r="F171" s="158" t="s">
        <v>465</v>
      </c>
      <c r="G171" s="158" t="str">
        <f t="shared" si="5"/>
        <v>DIRECTORS MILEAGE</v>
      </c>
      <c r="H171" s="170">
        <v>25.74</v>
      </c>
      <c r="I171" s="170">
        <v>0</v>
      </c>
      <c r="J171" s="170"/>
      <c r="K171" s="152"/>
      <c r="L171" s="152"/>
      <c r="M171" s="152"/>
      <c r="N171" s="152"/>
      <c r="O171" s="153"/>
      <c r="P171" s="92"/>
    </row>
    <row r="172" spans="1:16" ht="14.4">
      <c r="A172" s="10">
        <f t="shared" si="4"/>
        <v>163</v>
      </c>
      <c r="B172" s="157">
        <v>930.12</v>
      </c>
      <c r="C172" s="158" t="s">
        <v>475</v>
      </c>
      <c r="D172" s="159">
        <v>44614</v>
      </c>
      <c r="E172" s="158" t="s">
        <v>489</v>
      </c>
      <c r="F172" s="158" t="s">
        <v>465</v>
      </c>
      <c r="G172" s="158" t="str">
        <f t="shared" si="5"/>
        <v>DIRECTORS MILEAGE</v>
      </c>
      <c r="H172" s="170">
        <v>25.74</v>
      </c>
      <c r="I172" s="170">
        <v>0</v>
      </c>
      <c r="J172" s="170"/>
      <c r="K172" s="152"/>
      <c r="L172" s="152"/>
      <c r="M172" s="152"/>
      <c r="N172" s="152"/>
      <c r="O172" s="153"/>
      <c r="P172" s="92"/>
    </row>
    <row r="173" spans="1:16" ht="14.4">
      <c r="A173" s="10">
        <f t="shared" si="4"/>
        <v>164</v>
      </c>
      <c r="B173" s="157">
        <v>930.12</v>
      </c>
      <c r="C173" s="158" t="s">
        <v>475</v>
      </c>
      <c r="D173" s="159">
        <v>44642</v>
      </c>
      <c r="E173" s="158" t="s">
        <v>489</v>
      </c>
      <c r="F173" s="158" t="s">
        <v>465</v>
      </c>
      <c r="G173" s="158" t="str">
        <f t="shared" si="5"/>
        <v>DIRECTORS MILEAGE</v>
      </c>
      <c r="H173" s="170">
        <v>25.74</v>
      </c>
      <c r="I173" s="170">
        <v>0</v>
      </c>
      <c r="J173" s="170"/>
      <c r="K173" s="152"/>
      <c r="L173" s="152"/>
      <c r="M173" s="152"/>
      <c r="N173" s="152"/>
      <c r="O173" s="153"/>
      <c r="P173" s="92"/>
    </row>
    <row r="174" spans="1:16" ht="14.4">
      <c r="A174" s="10">
        <f t="shared" si="4"/>
        <v>165</v>
      </c>
      <c r="B174" s="157">
        <v>930.12</v>
      </c>
      <c r="C174" s="158" t="s">
        <v>475</v>
      </c>
      <c r="D174" s="159">
        <v>44677</v>
      </c>
      <c r="E174" s="158" t="s">
        <v>489</v>
      </c>
      <c r="F174" s="158" t="s">
        <v>465</v>
      </c>
      <c r="G174" s="158" t="str">
        <f t="shared" si="5"/>
        <v>DIRECTORS MILEAGE</v>
      </c>
      <c r="H174" s="170">
        <v>25.74</v>
      </c>
      <c r="I174" s="170">
        <v>0</v>
      </c>
      <c r="J174" s="170"/>
      <c r="K174" s="152"/>
      <c r="L174" s="152"/>
      <c r="M174" s="152"/>
      <c r="N174" s="152"/>
      <c r="O174" s="153"/>
      <c r="P174" s="92"/>
    </row>
    <row r="175" spans="1:16" ht="14.4">
      <c r="A175" s="10">
        <f t="shared" si="4"/>
        <v>166</v>
      </c>
      <c r="B175" s="157">
        <v>930.12</v>
      </c>
      <c r="C175" s="158" t="s">
        <v>475</v>
      </c>
      <c r="D175" s="159">
        <v>44698</v>
      </c>
      <c r="E175" s="158" t="s">
        <v>490</v>
      </c>
      <c r="F175" s="158" t="s">
        <v>465</v>
      </c>
      <c r="G175" s="158" t="str">
        <f t="shared" si="5"/>
        <v>DIRECTORS MILEAGE</v>
      </c>
      <c r="H175" s="170">
        <v>25.74</v>
      </c>
      <c r="I175" s="170">
        <v>0</v>
      </c>
      <c r="J175" s="170"/>
      <c r="K175" s="152"/>
      <c r="L175" s="152"/>
      <c r="M175" s="152"/>
      <c r="N175" s="152"/>
      <c r="O175" s="153"/>
      <c r="P175" s="92"/>
    </row>
    <row r="176" spans="1:16" ht="14.4">
      <c r="A176" s="10">
        <f t="shared" si="4"/>
        <v>167</v>
      </c>
      <c r="B176" s="157">
        <v>930.12</v>
      </c>
      <c r="C176" s="158" t="s">
        <v>475</v>
      </c>
      <c r="D176" s="159">
        <v>44705</v>
      </c>
      <c r="E176" s="158" t="s">
        <v>489</v>
      </c>
      <c r="F176" s="158" t="s">
        <v>465</v>
      </c>
      <c r="G176" s="158" t="str">
        <f t="shared" si="5"/>
        <v>DIRECTORS MILEAGE</v>
      </c>
      <c r="H176" s="170">
        <v>25.74</v>
      </c>
      <c r="I176" s="170">
        <v>0</v>
      </c>
      <c r="J176" s="170"/>
      <c r="K176" s="152"/>
      <c r="L176" s="152"/>
      <c r="M176" s="152"/>
      <c r="N176" s="152"/>
      <c r="O176" s="153"/>
      <c r="P176" s="92"/>
    </row>
    <row r="177" spans="1:16" ht="14.4">
      <c r="A177" s="10">
        <f t="shared" si="4"/>
        <v>168</v>
      </c>
      <c r="B177" s="157">
        <v>930.12</v>
      </c>
      <c r="C177" s="158" t="s">
        <v>475</v>
      </c>
      <c r="D177" s="159">
        <v>44733</v>
      </c>
      <c r="E177" s="158" t="s">
        <v>489</v>
      </c>
      <c r="F177" s="158" t="s">
        <v>465</v>
      </c>
      <c r="G177" s="158" t="str">
        <f t="shared" si="5"/>
        <v>DIRECTORS MILEAGE</v>
      </c>
      <c r="H177" s="170">
        <v>25.74</v>
      </c>
      <c r="I177" s="170">
        <v>0</v>
      </c>
      <c r="J177" s="170"/>
      <c r="K177" s="152"/>
      <c r="L177" s="152"/>
      <c r="M177" s="152"/>
      <c r="N177" s="152"/>
      <c r="O177" s="153"/>
      <c r="P177" s="92"/>
    </row>
    <row r="178" spans="1:16" ht="14.4">
      <c r="A178" s="10">
        <f t="shared" si="4"/>
        <v>169</v>
      </c>
      <c r="B178" s="157">
        <v>930.12</v>
      </c>
      <c r="C178" s="158" t="s">
        <v>475</v>
      </c>
      <c r="D178" s="159">
        <v>44768</v>
      </c>
      <c r="E178" s="158" t="s">
        <v>478</v>
      </c>
      <c r="F178" s="158" t="s">
        <v>465</v>
      </c>
      <c r="G178" s="158" t="str">
        <f t="shared" si="5"/>
        <v>DIRECTORS MILEAGE</v>
      </c>
      <c r="H178" s="170">
        <v>27.5</v>
      </c>
      <c r="I178" s="170">
        <v>0</v>
      </c>
      <c r="J178" s="170"/>
      <c r="K178" s="152"/>
      <c r="L178" s="152"/>
      <c r="M178" s="152"/>
      <c r="N178" s="152"/>
      <c r="O178" s="153"/>
      <c r="P178" s="92"/>
    </row>
    <row r="179" spans="1:16" ht="14.4">
      <c r="A179" s="10">
        <f t="shared" si="4"/>
        <v>170</v>
      </c>
      <c r="B179" s="157">
        <v>930.12</v>
      </c>
      <c r="C179" s="158" t="s">
        <v>475</v>
      </c>
      <c r="D179" s="159">
        <v>44796</v>
      </c>
      <c r="E179" s="158" t="s">
        <v>491</v>
      </c>
      <c r="F179" s="158" t="s">
        <v>465</v>
      </c>
      <c r="G179" s="158" t="str">
        <f t="shared" si="5"/>
        <v>DIRECTORS MILEAGE</v>
      </c>
      <c r="H179" s="170">
        <v>27.5</v>
      </c>
      <c r="I179" s="170">
        <v>0</v>
      </c>
      <c r="J179" s="170"/>
      <c r="K179" s="152"/>
      <c r="L179" s="152"/>
      <c r="M179" s="152"/>
      <c r="N179" s="152"/>
      <c r="O179" s="153"/>
      <c r="P179" s="92"/>
    </row>
    <row r="180" spans="1:16" ht="14.4">
      <c r="A180" s="10">
        <f t="shared" si="4"/>
        <v>171</v>
      </c>
      <c r="B180" s="157">
        <v>930.12</v>
      </c>
      <c r="C180" s="158" t="s">
        <v>475</v>
      </c>
      <c r="D180" s="159">
        <v>44824</v>
      </c>
      <c r="E180" s="158" t="s">
        <v>478</v>
      </c>
      <c r="F180" s="158" t="s">
        <v>465</v>
      </c>
      <c r="G180" s="158" t="str">
        <f t="shared" si="5"/>
        <v>DIRECTORS MILEAGE</v>
      </c>
      <c r="H180" s="170">
        <v>27.5</v>
      </c>
      <c r="I180" s="170">
        <v>0</v>
      </c>
      <c r="J180" s="170"/>
      <c r="K180" s="152"/>
      <c r="L180" s="152"/>
      <c r="M180" s="152"/>
      <c r="N180" s="152"/>
      <c r="O180" s="153"/>
      <c r="P180" s="92"/>
    </row>
    <row r="181" spans="1:16" ht="14.4">
      <c r="A181" s="10">
        <f t="shared" si="4"/>
        <v>172</v>
      </c>
      <c r="B181" s="157">
        <v>930.12</v>
      </c>
      <c r="C181" s="158" t="s">
        <v>475</v>
      </c>
      <c r="D181" s="159">
        <v>44859</v>
      </c>
      <c r="E181" s="158" t="s">
        <v>479</v>
      </c>
      <c r="F181" s="158" t="s">
        <v>465</v>
      </c>
      <c r="G181" s="158" t="str">
        <f t="shared" si="5"/>
        <v>DIRECTORS MILEAGE</v>
      </c>
      <c r="H181" s="170">
        <v>27.5</v>
      </c>
      <c r="I181" s="170">
        <v>0</v>
      </c>
      <c r="J181" s="170"/>
      <c r="K181" s="152"/>
      <c r="L181" s="152"/>
      <c r="M181" s="152"/>
      <c r="N181" s="152"/>
      <c r="O181" s="153"/>
      <c r="P181" s="92"/>
    </row>
    <row r="182" spans="1:16" ht="14.4">
      <c r="A182" s="10">
        <f t="shared" si="4"/>
        <v>173</v>
      </c>
      <c r="B182" s="157">
        <v>930.12</v>
      </c>
      <c r="C182" s="158" t="s">
        <v>475</v>
      </c>
      <c r="D182" s="159">
        <v>44880</v>
      </c>
      <c r="E182" s="158" t="s">
        <v>479</v>
      </c>
      <c r="F182" s="158" t="s">
        <v>465</v>
      </c>
      <c r="G182" s="158" t="str">
        <f t="shared" si="5"/>
        <v>DIRECTORS MILEAGE</v>
      </c>
      <c r="H182" s="170">
        <v>27.5</v>
      </c>
      <c r="I182" s="170">
        <v>0</v>
      </c>
      <c r="J182" s="170"/>
      <c r="K182" s="152"/>
      <c r="L182" s="152"/>
      <c r="M182" s="152"/>
      <c r="N182" s="152"/>
      <c r="O182" s="153"/>
      <c r="P182" s="92"/>
    </row>
    <row r="183" spans="1:16" ht="14.4">
      <c r="A183" s="10">
        <f t="shared" si="4"/>
        <v>174</v>
      </c>
      <c r="B183" s="157">
        <v>930.12</v>
      </c>
      <c r="C183" s="158" t="s">
        <v>475</v>
      </c>
      <c r="D183" s="159">
        <v>44901</v>
      </c>
      <c r="E183" s="158" t="s">
        <v>479</v>
      </c>
      <c r="F183" s="158" t="s">
        <v>465</v>
      </c>
      <c r="G183" s="158" t="str">
        <f t="shared" si="5"/>
        <v>DIRECTORS MILEAGE</v>
      </c>
      <c r="H183" s="170">
        <v>27.5</v>
      </c>
      <c r="I183" s="170">
        <v>0</v>
      </c>
      <c r="J183" s="170"/>
      <c r="K183" s="152"/>
      <c r="L183" s="152"/>
      <c r="M183" s="152"/>
      <c r="N183" s="152"/>
      <c r="O183" s="153"/>
      <c r="P183" s="92"/>
    </row>
    <row r="184" spans="1:16" ht="14.4">
      <c r="A184" s="10">
        <f t="shared" si="4"/>
        <v>175</v>
      </c>
      <c r="B184" s="157">
        <v>930.12</v>
      </c>
      <c r="C184" s="158" t="s">
        <v>475</v>
      </c>
      <c r="D184" s="159">
        <v>44586</v>
      </c>
      <c r="E184" s="158" t="s">
        <v>492</v>
      </c>
      <c r="F184" s="158" t="s">
        <v>469</v>
      </c>
      <c r="G184" s="158" t="str">
        <f t="shared" si="5"/>
        <v>DIRECTORS MILEAGE</v>
      </c>
      <c r="H184" s="170">
        <v>0</v>
      </c>
      <c r="I184" s="170">
        <v>16.38</v>
      </c>
      <c r="J184" s="170"/>
      <c r="K184" s="152"/>
      <c r="L184" s="152"/>
      <c r="M184" s="152"/>
      <c r="N184" s="152"/>
      <c r="O184" s="153"/>
      <c r="P184" s="92"/>
    </row>
    <row r="185" spans="1:16" ht="14.4">
      <c r="A185" s="10">
        <f t="shared" si="4"/>
        <v>176</v>
      </c>
      <c r="B185" s="157">
        <v>930.12</v>
      </c>
      <c r="C185" s="158" t="s">
        <v>475</v>
      </c>
      <c r="D185" s="159">
        <v>44586</v>
      </c>
      <c r="E185" s="158" t="s">
        <v>492</v>
      </c>
      <c r="F185" s="158" t="s">
        <v>469</v>
      </c>
      <c r="G185" s="158" t="str">
        <f t="shared" si="5"/>
        <v>DIRECTORS MILEAGE</v>
      </c>
      <c r="H185" s="170">
        <v>16.38</v>
      </c>
      <c r="I185" s="170">
        <v>0</v>
      </c>
      <c r="J185" s="170"/>
      <c r="K185" s="152"/>
      <c r="L185" s="152"/>
      <c r="M185" s="152"/>
      <c r="N185" s="152"/>
      <c r="O185" s="153"/>
      <c r="P185" s="92"/>
    </row>
    <row r="186" spans="1:16" ht="14.4">
      <c r="A186" s="10">
        <f t="shared" si="4"/>
        <v>177</v>
      </c>
      <c r="B186" s="157">
        <v>930.12</v>
      </c>
      <c r="C186" s="158" t="s">
        <v>475</v>
      </c>
      <c r="D186" s="159">
        <v>44586</v>
      </c>
      <c r="E186" s="158" t="s">
        <v>492</v>
      </c>
      <c r="F186" s="158" t="s">
        <v>469</v>
      </c>
      <c r="G186" s="158" t="str">
        <f t="shared" si="5"/>
        <v>DIRECTORS MILEAGE</v>
      </c>
      <c r="H186" s="170">
        <v>16.38</v>
      </c>
      <c r="I186" s="170">
        <v>0</v>
      </c>
      <c r="J186" s="170"/>
      <c r="K186" s="152"/>
      <c r="L186" s="152"/>
      <c r="M186" s="152"/>
      <c r="N186" s="152"/>
      <c r="O186" s="153"/>
      <c r="P186" s="92"/>
    </row>
    <row r="187" spans="1:16" ht="14.4">
      <c r="A187" s="10">
        <f t="shared" si="4"/>
        <v>178</v>
      </c>
      <c r="B187" s="157">
        <v>930.12</v>
      </c>
      <c r="C187" s="158" t="s">
        <v>475</v>
      </c>
      <c r="D187" s="159">
        <v>44614</v>
      </c>
      <c r="E187" s="158" t="s">
        <v>492</v>
      </c>
      <c r="F187" s="158" t="s">
        <v>469</v>
      </c>
      <c r="G187" s="158" t="str">
        <f t="shared" si="5"/>
        <v>DIRECTORS MILEAGE</v>
      </c>
      <c r="H187" s="170">
        <v>16.38</v>
      </c>
      <c r="I187" s="170">
        <v>0</v>
      </c>
      <c r="J187" s="170"/>
      <c r="K187" s="152"/>
      <c r="L187" s="152"/>
      <c r="M187" s="152"/>
      <c r="N187" s="152"/>
      <c r="O187" s="153"/>
      <c r="P187" s="92"/>
    </row>
    <row r="188" spans="1:16" ht="14.4">
      <c r="A188" s="10">
        <f t="shared" si="4"/>
        <v>179</v>
      </c>
      <c r="B188" s="157">
        <v>930.12</v>
      </c>
      <c r="C188" s="158" t="s">
        <v>475</v>
      </c>
      <c r="D188" s="159">
        <v>44642</v>
      </c>
      <c r="E188" s="158" t="s">
        <v>492</v>
      </c>
      <c r="F188" s="158" t="s">
        <v>469</v>
      </c>
      <c r="G188" s="158" t="str">
        <f t="shared" si="5"/>
        <v>DIRECTORS MILEAGE</v>
      </c>
      <c r="H188" s="170">
        <v>16.38</v>
      </c>
      <c r="I188" s="170">
        <v>0</v>
      </c>
      <c r="J188" s="170"/>
      <c r="K188" s="152"/>
      <c r="L188" s="152"/>
      <c r="M188" s="152"/>
      <c r="N188" s="152"/>
      <c r="O188" s="153"/>
      <c r="P188" s="92"/>
    </row>
    <row r="189" spans="1:16" ht="14.4">
      <c r="A189" s="10">
        <f t="shared" si="4"/>
        <v>180</v>
      </c>
      <c r="B189" s="157">
        <v>930.12</v>
      </c>
      <c r="C189" s="158" t="s">
        <v>475</v>
      </c>
      <c r="D189" s="159">
        <v>44677</v>
      </c>
      <c r="E189" s="158" t="s">
        <v>492</v>
      </c>
      <c r="F189" s="158" t="s">
        <v>469</v>
      </c>
      <c r="G189" s="158" t="str">
        <f t="shared" si="5"/>
        <v>DIRECTORS MILEAGE</v>
      </c>
      <c r="H189" s="170">
        <v>16.38</v>
      </c>
      <c r="I189" s="170">
        <v>0</v>
      </c>
      <c r="J189" s="170"/>
      <c r="K189" s="152"/>
      <c r="L189" s="152"/>
      <c r="M189" s="152"/>
      <c r="N189" s="152"/>
      <c r="O189" s="153"/>
      <c r="P189" s="92"/>
    </row>
    <row r="190" spans="1:16" ht="14.4">
      <c r="A190" s="10">
        <f t="shared" si="4"/>
        <v>181</v>
      </c>
      <c r="B190" s="157">
        <v>930.12</v>
      </c>
      <c r="C190" s="158" t="s">
        <v>475</v>
      </c>
      <c r="D190" s="159">
        <v>44698</v>
      </c>
      <c r="E190" s="158" t="s">
        <v>493</v>
      </c>
      <c r="F190" s="158" t="s">
        <v>469</v>
      </c>
      <c r="G190" s="158" t="str">
        <f t="shared" si="5"/>
        <v>DIRECTORS MILEAGE</v>
      </c>
      <c r="H190" s="170">
        <v>16.38</v>
      </c>
      <c r="I190" s="170">
        <v>0</v>
      </c>
      <c r="J190" s="170"/>
      <c r="K190" s="152"/>
      <c r="L190" s="152"/>
      <c r="M190" s="152"/>
      <c r="N190" s="152"/>
      <c r="O190" s="153"/>
      <c r="P190" s="92"/>
    </row>
    <row r="191" spans="1:16" ht="14.4">
      <c r="A191" s="10">
        <f t="shared" si="4"/>
        <v>182</v>
      </c>
      <c r="B191" s="157">
        <v>930.12</v>
      </c>
      <c r="C191" s="158" t="s">
        <v>475</v>
      </c>
      <c r="D191" s="159">
        <v>44705</v>
      </c>
      <c r="E191" s="158" t="s">
        <v>492</v>
      </c>
      <c r="F191" s="158" t="s">
        <v>469</v>
      </c>
      <c r="G191" s="158" t="str">
        <f t="shared" si="5"/>
        <v>DIRECTORS MILEAGE</v>
      </c>
      <c r="H191" s="170">
        <v>16.38</v>
      </c>
      <c r="I191" s="170">
        <v>0</v>
      </c>
      <c r="J191" s="170"/>
      <c r="K191" s="152"/>
      <c r="L191" s="152"/>
      <c r="M191" s="152"/>
      <c r="N191" s="152"/>
      <c r="O191" s="153"/>
      <c r="P191" s="92"/>
    </row>
    <row r="192" spans="1:16" ht="14.4">
      <c r="A192" s="10">
        <f t="shared" si="4"/>
        <v>183</v>
      </c>
      <c r="B192" s="157">
        <v>930.12</v>
      </c>
      <c r="C192" s="158" t="s">
        <v>475</v>
      </c>
      <c r="D192" s="159">
        <v>44726</v>
      </c>
      <c r="E192" s="158" t="s">
        <v>494</v>
      </c>
      <c r="F192" s="158" t="s">
        <v>469</v>
      </c>
      <c r="G192" s="158" t="str">
        <f t="shared" si="5"/>
        <v>DIRECTORS MILEAGE</v>
      </c>
      <c r="H192" s="170">
        <v>16.38</v>
      </c>
      <c r="I192" s="170">
        <v>0</v>
      </c>
      <c r="J192" s="170"/>
      <c r="K192" s="152"/>
      <c r="L192" s="152"/>
      <c r="M192" s="152"/>
      <c r="N192" s="152"/>
      <c r="O192" s="153"/>
      <c r="P192" s="92"/>
    </row>
    <row r="193" spans="1:16" ht="14.4">
      <c r="A193" s="10">
        <f t="shared" si="4"/>
        <v>184</v>
      </c>
      <c r="B193" s="157">
        <v>930.12</v>
      </c>
      <c r="C193" s="158" t="s">
        <v>475</v>
      </c>
      <c r="D193" s="159">
        <v>44733</v>
      </c>
      <c r="E193" s="158" t="s">
        <v>492</v>
      </c>
      <c r="F193" s="158" t="s">
        <v>469</v>
      </c>
      <c r="G193" s="158" t="str">
        <f t="shared" si="5"/>
        <v>DIRECTORS MILEAGE</v>
      </c>
      <c r="H193" s="170">
        <v>16.38</v>
      </c>
      <c r="I193" s="170">
        <v>0</v>
      </c>
      <c r="J193" s="170"/>
      <c r="K193" s="152"/>
      <c r="L193" s="152"/>
      <c r="M193" s="152"/>
      <c r="N193" s="152"/>
      <c r="O193" s="153"/>
      <c r="P193" s="92"/>
    </row>
    <row r="194" spans="1:16" ht="14.4">
      <c r="A194" s="10">
        <f t="shared" si="4"/>
        <v>185</v>
      </c>
      <c r="B194" s="157">
        <v>930.12</v>
      </c>
      <c r="C194" s="158" t="s">
        <v>475</v>
      </c>
      <c r="D194" s="159">
        <v>44768</v>
      </c>
      <c r="E194" s="158" t="s">
        <v>478</v>
      </c>
      <c r="F194" s="158" t="s">
        <v>469</v>
      </c>
      <c r="G194" s="158" t="str">
        <f t="shared" si="5"/>
        <v>DIRECTORS MILEAGE</v>
      </c>
      <c r="H194" s="170">
        <v>17.5</v>
      </c>
      <c r="I194" s="170">
        <v>0</v>
      </c>
      <c r="J194" s="170"/>
      <c r="K194" s="152"/>
      <c r="L194" s="152"/>
      <c r="M194" s="152"/>
      <c r="N194" s="152"/>
      <c r="O194" s="153"/>
      <c r="P194" s="92"/>
    </row>
    <row r="195" spans="1:16" ht="14.4">
      <c r="A195" s="10">
        <f t="shared" si="4"/>
        <v>186</v>
      </c>
      <c r="B195" s="157">
        <v>930.12</v>
      </c>
      <c r="C195" s="158" t="s">
        <v>475</v>
      </c>
      <c r="D195" s="159">
        <v>44796</v>
      </c>
      <c r="E195" s="158" t="s">
        <v>478</v>
      </c>
      <c r="F195" s="158" t="s">
        <v>469</v>
      </c>
      <c r="G195" s="158" t="str">
        <f t="shared" si="5"/>
        <v>DIRECTORS MILEAGE</v>
      </c>
      <c r="H195" s="170">
        <v>17.5</v>
      </c>
      <c r="I195" s="170">
        <v>0</v>
      </c>
      <c r="J195" s="170"/>
      <c r="K195" s="152"/>
      <c r="L195" s="152"/>
      <c r="M195" s="152"/>
      <c r="N195" s="152"/>
      <c r="O195" s="153"/>
      <c r="P195" s="92"/>
    </row>
    <row r="196" spans="1:16" ht="14.4">
      <c r="A196" s="10">
        <f t="shared" si="4"/>
        <v>187</v>
      </c>
      <c r="B196" s="157">
        <v>930.12</v>
      </c>
      <c r="C196" s="158" t="s">
        <v>475</v>
      </c>
      <c r="D196" s="159">
        <v>44824</v>
      </c>
      <c r="E196" s="158" t="s">
        <v>478</v>
      </c>
      <c r="F196" s="158" t="s">
        <v>469</v>
      </c>
      <c r="G196" s="158" t="str">
        <f t="shared" si="5"/>
        <v>DIRECTORS MILEAGE</v>
      </c>
      <c r="H196" s="170">
        <v>17.5</v>
      </c>
      <c r="I196" s="170">
        <v>0</v>
      </c>
      <c r="J196" s="170"/>
      <c r="K196" s="152"/>
      <c r="L196" s="152"/>
      <c r="M196" s="152"/>
      <c r="N196" s="152"/>
      <c r="O196" s="153"/>
      <c r="P196" s="92"/>
    </row>
    <row r="197" spans="1:16" ht="14.4">
      <c r="A197" s="10">
        <f t="shared" si="4"/>
        <v>188</v>
      </c>
      <c r="B197" s="157">
        <v>930.12</v>
      </c>
      <c r="C197" s="158" t="s">
        <v>475</v>
      </c>
      <c r="D197" s="159">
        <v>44859</v>
      </c>
      <c r="E197" s="158" t="s">
        <v>479</v>
      </c>
      <c r="F197" s="158" t="s">
        <v>469</v>
      </c>
      <c r="G197" s="158" t="str">
        <f t="shared" si="5"/>
        <v>DIRECTORS MILEAGE</v>
      </c>
      <c r="H197" s="170">
        <v>17.5</v>
      </c>
      <c r="I197" s="170">
        <v>0</v>
      </c>
      <c r="J197" s="170"/>
      <c r="K197" s="152"/>
      <c r="L197" s="152"/>
      <c r="M197" s="152"/>
      <c r="N197" s="152"/>
      <c r="O197" s="153"/>
      <c r="P197" s="92"/>
    </row>
    <row r="198" spans="1:16" ht="14.4">
      <c r="A198" s="10">
        <f t="shared" si="4"/>
        <v>189</v>
      </c>
      <c r="B198" s="157">
        <v>930.12</v>
      </c>
      <c r="C198" s="158" t="s">
        <v>475</v>
      </c>
      <c r="D198" s="159">
        <v>44880</v>
      </c>
      <c r="E198" s="158" t="s">
        <v>479</v>
      </c>
      <c r="F198" s="158" t="s">
        <v>469</v>
      </c>
      <c r="G198" s="158" t="str">
        <f t="shared" si="5"/>
        <v>DIRECTORS MILEAGE</v>
      </c>
      <c r="H198" s="170">
        <v>17.5</v>
      </c>
      <c r="I198" s="170">
        <v>0</v>
      </c>
      <c r="J198" s="170"/>
      <c r="K198" s="152"/>
      <c r="L198" s="152"/>
      <c r="M198" s="152"/>
      <c r="N198" s="152"/>
      <c r="O198" s="153"/>
      <c r="P198" s="92"/>
    </row>
    <row r="199" spans="1:16" ht="14.4">
      <c r="A199" s="10">
        <f t="shared" si="4"/>
        <v>190</v>
      </c>
      <c r="B199" s="157">
        <v>930.12</v>
      </c>
      <c r="C199" s="158" t="s">
        <v>475</v>
      </c>
      <c r="D199" s="159">
        <v>44899</v>
      </c>
      <c r="E199" s="158" t="s">
        <v>495</v>
      </c>
      <c r="F199" s="158" t="s">
        <v>469</v>
      </c>
      <c r="G199" s="158" t="str">
        <f t="shared" si="5"/>
        <v>DIRECTORS MILEAGE</v>
      </c>
      <c r="H199" s="170">
        <v>17.5</v>
      </c>
      <c r="I199" s="170">
        <v>0</v>
      </c>
      <c r="J199" s="170"/>
      <c r="K199" s="152"/>
      <c r="L199" s="152"/>
      <c r="M199" s="152"/>
      <c r="N199" s="152"/>
      <c r="O199" s="153"/>
      <c r="P199" s="92"/>
    </row>
    <row r="200" spans="1:16" ht="14.4">
      <c r="A200" s="10">
        <f t="shared" si="4"/>
        <v>191</v>
      </c>
      <c r="B200" s="157">
        <v>930.12</v>
      </c>
      <c r="C200" s="158" t="s">
        <v>475</v>
      </c>
      <c r="D200" s="159">
        <v>44901</v>
      </c>
      <c r="E200" s="158" t="s">
        <v>479</v>
      </c>
      <c r="F200" s="158" t="s">
        <v>469</v>
      </c>
      <c r="G200" s="158" t="str">
        <f t="shared" si="5"/>
        <v>DIRECTORS MILEAGE</v>
      </c>
      <c r="H200" s="170">
        <v>17.5</v>
      </c>
      <c r="I200" s="170">
        <v>0</v>
      </c>
      <c r="J200" s="170"/>
      <c r="K200" s="152"/>
      <c r="L200" s="152"/>
      <c r="M200" s="152"/>
      <c r="N200" s="152"/>
      <c r="O200" s="153"/>
      <c r="P200" s="92"/>
    </row>
    <row r="201" spans="1:16" ht="14.4">
      <c r="A201" s="10">
        <f t="shared" si="4"/>
        <v>192</v>
      </c>
      <c r="B201" s="157">
        <v>930.12</v>
      </c>
      <c r="C201" s="158" t="s">
        <v>475</v>
      </c>
      <c r="D201" s="159">
        <v>44586</v>
      </c>
      <c r="E201" s="158" t="s">
        <v>496</v>
      </c>
      <c r="F201" s="158" t="s">
        <v>263</v>
      </c>
      <c r="G201" s="158" t="str">
        <f t="shared" si="5"/>
        <v>DIRECTORS MILEAGE</v>
      </c>
      <c r="H201" s="170">
        <v>10.41</v>
      </c>
      <c r="I201" s="170">
        <v>0</v>
      </c>
      <c r="J201" s="170"/>
      <c r="K201" s="152"/>
      <c r="L201" s="152"/>
      <c r="M201" s="152"/>
      <c r="N201" s="152"/>
      <c r="O201" s="153"/>
      <c r="P201" s="92"/>
    </row>
    <row r="202" spans="1:16" ht="14.4">
      <c r="A202" s="10">
        <f t="shared" ref="A202:A265" si="6">A201+1</f>
        <v>193</v>
      </c>
      <c r="B202" s="157">
        <v>930.12</v>
      </c>
      <c r="C202" s="158" t="s">
        <v>475</v>
      </c>
      <c r="D202" s="159">
        <v>44614</v>
      </c>
      <c r="E202" s="158" t="s">
        <v>496</v>
      </c>
      <c r="F202" s="158" t="s">
        <v>263</v>
      </c>
      <c r="G202" s="158" t="str">
        <f t="shared" ref="G202:G213" si="7">C202</f>
        <v>DIRECTORS MILEAGE</v>
      </c>
      <c r="H202" s="170">
        <v>10.41</v>
      </c>
      <c r="I202" s="170">
        <v>0</v>
      </c>
      <c r="J202" s="170"/>
      <c r="K202" s="152"/>
      <c r="L202" s="152"/>
      <c r="M202" s="152"/>
      <c r="N202" s="152"/>
      <c r="O202" s="153"/>
      <c r="P202" s="92"/>
    </row>
    <row r="203" spans="1:16" ht="14.4">
      <c r="A203" s="10">
        <f t="shared" si="6"/>
        <v>194</v>
      </c>
      <c r="B203" s="157">
        <v>930.12</v>
      </c>
      <c r="C203" s="158" t="s">
        <v>475</v>
      </c>
      <c r="D203" s="159">
        <v>44642</v>
      </c>
      <c r="E203" s="158" t="s">
        <v>496</v>
      </c>
      <c r="F203" s="158" t="s">
        <v>263</v>
      </c>
      <c r="G203" s="158" t="str">
        <f t="shared" si="7"/>
        <v>DIRECTORS MILEAGE</v>
      </c>
      <c r="H203" s="170">
        <v>10.41</v>
      </c>
      <c r="I203" s="170">
        <v>0</v>
      </c>
      <c r="J203" s="170"/>
      <c r="K203" s="152"/>
      <c r="L203" s="152"/>
      <c r="M203" s="152"/>
      <c r="N203" s="152"/>
      <c r="O203" s="153"/>
      <c r="P203" s="92"/>
    </row>
    <row r="204" spans="1:16" ht="14.4">
      <c r="A204" s="10">
        <f t="shared" si="6"/>
        <v>195</v>
      </c>
      <c r="B204" s="157">
        <v>930.12</v>
      </c>
      <c r="C204" s="158" t="s">
        <v>475</v>
      </c>
      <c r="D204" s="159">
        <v>44677</v>
      </c>
      <c r="E204" s="158" t="s">
        <v>496</v>
      </c>
      <c r="F204" s="158" t="s">
        <v>263</v>
      </c>
      <c r="G204" s="158" t="str">
        <f t="shared" si="7"/>
        <v>DIRECTORS MILEAGE</v>
      </c>
      <c r="H204" s="170">
        <v>10.41</v>
      </c>
      <c r="I204" s="170">
        <v>0</v>
      </c>
      <c r="J204" s="170"/>
      <c r="K204" s="152"/>
      <c r="L204" s="152"/>
      <c r="M204" s="152"/>
      <c r="N204" s="152"/>
      <c r="O204" s="153"/>
      <c r="P204" s="92"/>
    </row>
    <row r="205" spans="1:16" ht="14.4">
      <c r="A205" s="10">
        <f t="shared" si="6"/>
        <v>196</v>
      </c>
      <c r="B205" s="157">
        <v>930.12</v>
      </c>
      <c r="C205" s="158" t="s">
        <v>475</v>
      </c>
      <c r="D205" s="159">
        <v>44698</v>
      </c>
      <c r="E205" s="158" t="s">
        <v>497</v>
      </c>
      <c r="F205" s="158" t="s">
        <v>263</v>
      </c>
      <c r="G205" s="158" t="str">
        <f t="shared" si="7"/>
        <v>DIRECTORS MILEAGE</v>
      </c>
      <c r="H205" s="170">
        <v>10.41</v>
      </c>
      <c r="I205" s="170">
        <v>0</v>
      </c>
      <c r="J205" s="170"/>
      <c r="K205" s="152"/>
      <c r="L205" s="152"/>
      <c r="M205" s="152"/>
      <c r="N205" s="152"/>
      <c r="O205" s="153"/>
      <c r="P205" s="92"/>
    </row>
    <row r="206" spans="1:16" ht="14.4">
      <c r="A206" s="10">
        <f t="shared" si="6"/>
        <v>197</v>
      </c>
      <c r="B206" s="157">
        <v>930.12</v>
      </c>
      <c r="C206" s="158" t="s">
        <v>475</v>
      </c>
      <c r="D206" s="159">
        <v>44705</v>
      </c>
      <c r="E206" s="158" t="s">
        <v>496</v>
      </c>
      <c r="F206" s="158" t="s">
        <v>263</v>
      </c>
      <c r="G206" s="158" t="str">
        <f t="shared" si="7"/>
        <v>DIRECTORS MILEAGE</v>
      </c>
      <c r="H206" s="170">
        <v>10.41</v>
      </c>
      <c r="I206" s="170">
        <v>0</v>
      </c>
      <c r="J206" s="170"/>
      <c r="K206" s="152"/>
      <c r="L206" s="152"/>
      <c r="M206" s="152"/>
      <c r="N206" s="152"/>
      <c r="O206" s="153"/>
      <c r="P206" s="92"/>
    </row>
    <row r="207" spans="1:16" ht="14.4">
      <c r="A207" s="10">
        <f t="shared" si="6"/>
        <v>198</v>
      </c>
      <c r="B207" s="157">
        <v>930.12</v>
      </c>
      <c r="C207" s="158" t="s">
        <v>475</v>
      </c>
      <c r="D207" s="159">
        <v>44733</v>
      </c>
      <c r="E207" s="158" t="s">
        <v>496</v>
      </c>
      <c r="F207" s="158" t="s">
        <v>263</v>
      </c>
      <c r="G207" s="158" t="str">
        <f t="shared" si="7"/>
        <v>DIRECTORS MILEAGE</v>
      </c>
      <c r="H207" s="170">
        <v>10.41</v>
      </c>
      <c r="I207" s="170">
        <v>0</v>
      </c>
      <c r="J207" s="170"/>
      <c r="K207" s="152"/>
      <c r="L207" s="152"/>
      <c r="M207" s="152"/>
      <c r="N207" s="152"/>
      <c r="O207" s="153"/>
      <c r="P207" s="92"/>
    </row>
    <row r="208" spans="1:16" ht="14.4">
      <c r="A208" s="10">
        <f t="shared" si="6"/>
        <v>199</v>
      </c>
      <c r="B208" s="157">
        <v>930.12</v>
      </c>
      <c r="C208" s="158" t="s">
        <v>475</v>
      </c>
      <c r="D208" s="159">
        <v>44768</v>
      </c>
      <c r="E208" s="158" t="s">
        <v>478</v>
      </c>
      <c r="F208" s="158" t="s">
        <v>263</v>
      </c>
      <c r="G208" s="158" t="str">
        <f t="shared" si="7"/>
        <v>DIRECTORS MILEAGE</v>
      </c>
      <c r="H208" s="170">
        <v>11.13</v>
      </c>
      <c r="I208" s="170">
        <v>0</v>
      </c>
      <c r="J208" s="170"/>
      <c r="K208" s="152"/>
      <c r="L208" s="152"/>
      <c r="M208" s="152"/>
      <c r="N208" s="152"/>
      <c r="O208" s="153"/>
      <c r="P208" s="92"/>
    </row>
    <row r="209" spans="1:16" ht="14.4">
      <c r="A209" s="10">
        <f t="shared" si="6"/>
        <v>200</v>
      </c>
      <c r="B209" s="157">
        <v>930.12</v>
      </c>
      <c r="C209" s="158" t="s">
        <v>475</v>
      </c>
      <c r="D209" s="159">
        <v>44796</v>
      </c>
      <c r="E209" s="158" t="s">
        <v>478</v>
      </c>
      <c r="F209" s="158" t="s">
        <v>263</v>
      </c>
      <c r="G209" s="158" t="str">
        <f t="shared" si="7"/>
        <v>DIRECTORS MILEAGE</v>
      </c>
      <c r="H209" s="170">
        <v>11.13</v>
      </c>
      <c r="I209" s="170">
        <v>0</v>
      </c>
      <c r="J209" s="170"/>
      <c r="K209" s="152"/>
      <c r="L209" s="152"/>
      <c r="M209" s="152"/>
      <c r="N209" s="152"/>
      <c r="O209" s="153"/>
      <c r="P209" s="92"/>
    </row>
    <row r="210" spans="1:16" ht="14.4">
      <c r="A210" s="10">
        <f t="shared" si="6"/>
        <v>201</v>
      </c>
      <c r="B210" s="157">
        <v>930.12</v>
      </c>
      <c r="C210" s="158" t="s">
        <v>475</v>
      </c>
      <c r="D210" s="159">
        <v>44824</v>
      </c>
      <c r="E210" s="158" t="s">
        <v>478</v>
      </c>
      <c r="F210" s="158" t="s">
        <v>263</v>
      </c>
      <c r="G210" s="158" t="str">
        <f t="shared" si="7"/>
        <v>DIRECTORS MILEAGE</v>
      </c>
      <c r="H210" s="170">
        <v>11.13</v>
      </c>
      <c r="I210" s="170">
        <v>0</v>
      </c>
      <c r="J210" s="170"/>
      <c r="K210" s="152"/>
      <c r="L210" s="152"/>
      <c r="M210" s="152"/>
      <c r="N210" s="152"/>
      <c r="O210" s="153"/>
      <c r="P210" s="92"/>
    </row>
    <row r="211" spans="1:16" ht="14.4">
      <c r="A211" s="10">
        <f t="shared" si="6"/>
        <v>202</v>
      </c>
      <c r="B211" s="157">
        <v>930.12</v>
      </c>
      <c r="C211" s="158" t="s">
        <v>475</v>
      </c>
      <c r="D211" s="159">
        <v>44859</v>
      </c>
      <c r="E211" s="158" t="s">
        <v>482</v>
      </c>
      <c r="F211" s="158" t="s">
        <v>263</v>
      </c>
      <c r="G211" s="158" t="str">
        <f t="shared" si="7"/>
        <v>DIRECTORS MILEAGE</v>
      </c>
      <c r="H211" s="170">
        <v>11.13</v>
      </c>
      <c r="I211" s="170">
        <v>0</v>
      </c>
      <c r="J211" s="170"/>
      <c r="K211" s="152"/>
      <c r="L211" s="152"/>
      <c r="M211" s="152"/>
      <c r="N211" s="152"/>
      <c r="O211" s="153"/>
      <c r="P211" s="92"/>
    </row>
    <row r="212" spans="1:16" ht="14.4">
      <c r="A212" s="10">
        <f t="shared" si="6"/>
        <v>203</v>
      </c>
      <c r="B212" s="157">
        <v>930.12</v>
      </c>
      <c r="C212" s="158" t="s">
        <v>475</v>
      </c>
      <c r="D212" s="159">
        <v>44880</v>
      </c>
      <c r="E212" s="158" t="s">
        <v>482</v>
      </c>
      <c r="F212" s="158" t="s">
        <v>263</v>
      </c>
      <c r="G212" s="158" t="str">
        <f t="shared" si="7"/>
        <v>DIRECTORS MILEAGE</v>
      </c>
      <c r="H212" s="170">
        <v>11.13</v>
      </c>
      <c r="I212" s="170">
        <v>0</v>
      </c>
      <c r="J212" s="170"/>
      <c r="K212" s="152"/>
      <c r="L212" s="152"/>
      <c r="M212" s="152"/>
      <c r="N212" s="152"/>
      <c r="O212" s="153"/>
      <c r="P212" s="92"/>
    </row>
    <row r="213" spans="1:16" ht="14.4">
      <c r="A213" s="10">
        <f t="shared" si="6"/>
        <v>204</v>
      </c>
      <c r="B213" s="157">
        <v>930.12</v>
      </c>
      <c r="C213" s="158" t="s">
        <v>475</v>
      </c>
      <c r="D213" s="159">
        <v>44901</v>
      </c>
      <c r="E213" s="158" t="s">
        <v>482</v>
      </c>
      <c r="F213" s="158" t="s">
        <v>263</v>
      </c>
      <c r="G213" s="158" t="str">
        <f t="shared" si="7"/>
        <v>DIRECTORS MILEAGE</v>
      </c>
      <c r="H213" s="170">
        <v>11.13</v>
      </c>
      <c r="I213" s="170">
        <v>0</v>
      </c>
      <c r="J213" s="170"/>
      <c r="K213" s="152"/>
      <c r="L213" s="152"/>
      <c r="M213" s="152"/>
      <c r="N213" s="152"/>
      <c r="O213" s="153"/>
      <c r="P213" s="92"/>
    </row>
    <row r="214" spans="1:16" ht="14.4">
      <c r="A214" s="10">
        <f t="shared" si="6"/>
        <v>205</v>
      </c>
      <c r="B214" s="163">
        <v>930.13</v>
      </c>
      <c r="C214" s="164" t="s">
        <v>498</v>
      </c>
      <c r="D214" s="165">
        <v>44712</v>
      </c>
      <c r="E214" s="164" t="s">
        <v>499</v>
      </c>
      <c r="F214" s="164" t="s">
        <v>500</v>
      </c>
      <c r="G214" s="164" t="s">
        <v>501</v>
      </c>
      <c r="H214" s="174">
        <v>55.96</v>
      </c>
      <c r="I214" s="174">
        <v>0</v>
      </c>
      <c r="J214" s="174">
        <f t="shared" ref="J214" si="8">H214-I214</f>
        <v>55.96</v>
      </c>
      <c r="K214" s="152"/>
      <c r="L214" s="152"/>
      <c r="M214" s="152"/>
      <c r="N214" s="152"/>
      <c r="O214" s="153"/>
      <c r="P214" s="92"/>
    </row>
    <row r="215" spans="1:16" ht="14.4">
      <c r="A215" s="10">
        <f t="shared" si="6"/>
        <v>206</v>
      </c>
      <c r="B215" s="157">
        <v>930.13</v>
      </c>
      <c r="C215" s="158" t="s">
        <v>498</v>
      </c>
      <c r="D215" s="159">
        <v>44562</v>
      </c>
      <c r="E215" s="158" t="s">
        <v>502</v>
      </c>
      <c r="F215" s="158" t="s">
        <v>503</v>
      </c>
      <c r="G215" s="158" t="s">
        <v>504</v>
      </c>
      <c r="H215" s="170">
        <v>109.41</v>
      </c>
      <c r="I215" s="170">
        <v>0</v>
      </c>
      <c r="J215" s="170"/>
      <c r="K215" s="152"/>
      <c r="L215" s="152"/>
      <c r="M215" s="152"/>
      <c r="N215" s="152"/>
      <c r="O215" s="153"/>
      <c r="P215" s="92"/>
    </row>
    <row r="216" spans="1:16" ht="14.4">
      <c r="A216" s="10">
        <f t="shared" si="6"/>
        <v>207</v>
      </c>
      <c r="B216" s="157">
        <v>930.13</v>
      </c>
      <c r="C216" s="158" t="s">
        <v>498</v>
      </c>
      <c r="D216" s="159">
        <v>44562</v>
      </c>
      <c r="E216" s="158" t="s">
        <v>505</v>
      </c>
      <c r="F216" s="158" t="s">
        <v>254</v>
      </c>
      <c r="G216" s="158" t="s">
        <v>504</v>
      </c>
      <c r="H216" s="170">
        <v>9.4499999999999993</v>
      </c>
      <c r="I216" s="170">
        <v>0</v>
      </c>
      <c r="J216" s="170"/>
      <c r="K216" s="152"/>
      <c r="L216" s="152"/>
      <c r="M216" s="152"/>
      <c r="N216" s="152"/>
      <c r="O216" s="153"/>
      <c r="P216" s="92"/>
    </row>
    <row r="217" spans="1:16" ht="14.4">
      <c r="A217" s="10">
        <f t="shared" si="6"/>
        <v>208</v>
      </c>
      <c r="B217" s="157">
        <v>930.13</v>
      </c>
      <c r="C217" s="158" t="s">
        <v>498</v>
      </c>
      <c r="D217" s="159">
        <v>44593</v>
      </c>
      <c r="E217" s="158" t="s">
        <v>505</v>
      </c>
      <c r="F217" s="158" t="s">
        <v>254</v>
      </c>
      <c r="G217" s="158" t="s">
        <v>504</v>
      </c>
      <c r="H217" s="170">
        <v>9.4499999999999993</v>
      </c>
      <c r="I217" s="170">
        <v>0</v>
      </c>
      <c r="J217" s="170"/>
      <c r="K217" s="152"/>
      <c r="L217" s="152"/>
      <c r="M217" s="152"/>
      <c r="N217" s="152"/>
      <c r="O217" s="153"/>
      <c r="P217" s="92"/>
    </row>
    <row r="218" spans="1:16" ht="14.4">
      <c r="A218" s="10">
        <f t="shared" si="6"/>
        <v>209</v>
      </c>
      <c r="B218" s="157">
        <v>930.13</v>
      </c>
      <c r="C218" s="158" t="s">
        <v>498</v>
      </c>
      <c r="D218" s="159">
        <v>44621</v>
      </c>
      <c r="E218" s="158" t="s">
        <v>505</v>
      </c>
      <c r="F218" s="158" t="s">
        <v>254</v>
      </c>
      <c r="G218" s="158" t="s">
        <v>504</v>
      </c>
      <c r="H218" s="170">
        <v>9.4499999999999993</v>
      </c>
      <c r="I218" s="170">
        <v>0</v>
      </c>
      <c r="J218" s="170"/>
      <c r="K218" s="152"/>
      <c r="L218" s="152"/>
      <c r="M218" s="152"/>
      <c r="N218" s="152"/>
      <c r="O218" s="153"/>
      <c r="P218" s="92"/>
    </row>
    <row r="219" spans="1:16" ht="14.4">
      <c r="A219" s="10">
        <f t="shared" si="6"/>
        <v>210</v>
      </c>
      <c r="B219" s="157">
        <v>930.13</v>
      </c>
      <c r="C219" s="158" t="s">
        <v>498</v>
      </c>
      <c r="D219" s="159">
        <v>44652</v>
      </c>
      <c r="E219" s="158" t="s">
        <v>505</v>
      </c>
      <c r="F219" s="158" t="s">
        <v>254</v>
      </c>
      <c r="G219" s="158" t="s">
        <v>504</v>
      </c>
      <c r="H219" s="170">
        <v>9.4499999999999993</v>
      </c>
      <c r="I219" s="170">
        <v>0</v>
      </c>
      <c r="J219" s="170"/>
      <c r="K219" s="152"/>
      <c r="L219" s="152"/>
      <c r="M219" s="152"/>
      <c r="N219" s="152"/>
      <c r="O219" s="153"/>
      <c r="P219" s="92"/>
    </row>
    <row r="220" spans="1:16" ht="14.4">
      <c r="A220" s="10">
        <f t="shared" si="6"/>
        <v>211</v>
      </c>
      <c r="B220" s="157">
        <v>930.13</v>
      </c>
      <c r="C220" s="158" t="s">
        <v>498</v>
      </c>
      <c r="D220" s="159">
        <v>44682</v>
      </c>
      <c r="E220" s="158" t="s">
        <v>505</v>
      </c>
      <c r="F220" s="158" t="s">
        <v>254</v>
      </c>
      <c r="G220" s="158" t="s">
        <v>504</v>
      </c>
      <c r="H220" s="170">
        <v>9.4499999999999993</v>
      </c>
      <c r="I220" s="170">
        <v>0</v>
      </c>
      <c r="J220" s="170"/>
      <c r="K220" s="152"/>
      <c r="L220" s="152"/>
      <c r="M220" s="152"/>
      <c r="N220" s="152"/>
      <c r="O220" s="153"/>
      <c r="P220" s="92"/>
    </row>
    <row r="221" spans="1:16" ht="14.4">
      <c r="A221" s="10">
        <f t="shared" si="6"/>
        <v>212</v>
      </c>
      <c r="B221" s="157">
        <v>930.13</v>
      </c>
      <c r="C221" s="158" t="s">
        <v>498</v>
      </c>
      <c r="D221" s="159">
        <v>44713</v>
      </c>
      <c r="E221" s="158" t="s">
        <v>505</v>
      </c>
      <c r="F221" s="158" t="s">
        <v>254</v>
      </c>
      <c r="G221" s="158" t="s">
        <v>504</v>
      </c>
      <c r="H221" s="170">
        <v>9.4499999999999993</v>
      </c>
      <c r="I221" s="170">
        <v>0</v>
      </c>
      <c r="J221" s="170"/>
      <c r="K221" s="152"/>
      <c r="L221" s="152"/>
      <c r="M221" s="152"/>
      <c r="N221" s="152"/>
      <c r="O221" s="153"/>
      <c r="P221" s="92"/>
    </row>
    <row r="222" spans="1:16" ht="14.4">
      <c r="A222" s="10">
        <f t="shared" si="6"/>
        <v>213</v>
      </c>
      <c r="B222" s="157">
        <v>930.13</v>
      </c>
      <c r="C222" s="158" t="s">
        <v>498</v>
      </c>
      <c r="D222" s="159">
        <v>44743</v>
      </c>
      <c r="E222" s="158" t="s">
        <v>506</v>
      </c>
      <c r="F222" s="158" t="s">
        <v>254</v>
      </c>
      <c r="G222" s="158" t="s">
        <v>504</v>
      </c>
      <c r="H222" s="170">
        <v>9.4499999999999993</v>
      </c>
      <c r="I222" s="170">
        <v>0</v>
      </c>
      <c r="J222" s="170"/>
      <c r="K222" s="152"/>
      <c r="L222" s="152"/>
      <c r="M222" s="152"/>
      <c r="N222" s="152"/>
      <c r="O222" s="153"/>
      <c r="P222" s="92"/>
    </row>
    <row r="223" spans="1:16" ht="14.4">
      <c r="A223" s="10">
        <f t="shared" si="6"/>
        <v>214</v>
      </c>
      <c r="B223" s="157">
        <v>930.13</v>
      </c>
      <c r="C223" s="158" t="s">
        <v>498</v>
      </c>
      <c r="D223" s="159">
        <v>44774</v>
      </c>
      <c r="E223" s="158" t="s">
        <v>507</v>
      </c>
      <c r="F223" s="158" t="s">
        <v>254</v>
      </c>
      <c r="G223" s="158" t="s">
        <v>504</v>
      </c>
      <c r="H223" s="170">
        <v>9.4499999999999993</v>
      </c>
      <c r="I223" s="170">
        <v>0</v>
      </c>
      <c r="J223" s="170"/>
      <c r="K223" s="152"/>
      <c r="L223" s="152"/>
      <c r="M223" s="152"/>
      <c r="N223" s="152"/>
      <c r="O223" s="153"/>
      <c r="P223" s="92"/>
    </row>
    <row r="224" spans="1:16" ht="14.4">
      <c r="A224" s="10">
        <f t="shared" si="6"/>
        <v>215</v>
      </c>
      <c r="B224" s="157">
        <v>930.13</v>
      </c>
      <c r="C224" s="158" t="s">
        <v>498</v>
      </c>
      <c r="D224" s="159">
        <v>44805</v>
      </c>
      <c r="E224" s="158" t="s">
        <v>507</v>
      </c>
      <c r="F224" s="158" t="s">
        <v>254</v>
      </c>
      <c r="G224" s="158" t="s">
        <v>504</v>
      </c>
      <c r="H224" s="170">
        <v>9.4499999999999993</v>
      </c>
      <c r="I224" s="170">
        <v>0</v>
      </c>
      <c r="J224" s="170"/>
      <c r="K224" s="152"/>
      <c r="L224" s="152"/>
      <c r="M224" s="152"/>
      <c r="N224" s="152"/>
      <c r="O224" s="153"/>
      <c r="P224" s="92"/>
    </row>
    <row r="225" spans="1:16" ht="14.4">
      <c r="A225" s="10">
        <f t="shared" si="6"/>
        <v>216</v>
      </c>
      <c r="B225" s="157">
        <v>930.13</v>
      </c>
      <c r="C225" s="158" t="s">
        <v>498</v>
      </c>
      <c r="D225" s="159">
        <v>44835</v>
      </c>
      <c r="E225" s="158" t="s">
        <v>507</v>
      </c>
      <c r="F225" s="158" t="s">
        <v>254</v>
      </c>
      <c r="G225" s="158" t="s">
        <v>504</v>
      </c>
      <c r="H225" s="170">
        <v>9.4499999999999993</v>
      </c>
      <c r="I225" s="170">
        <v>0</v>
      </c>
      <c r="J225" s="170"/>
      <c r="K225" s="152"/>
      <c r="L225" s="152"/>
      <c r="M225" s="152"/>
      <c r="N225" s="152"/>
      <c r="O225" s="153"/>
      <c r="P225" s="92"/>
    </row>
    <row r="226" spans="1:16" ht="14.4">
      <c r="A226" s="10">
        <f t="shared" si="6"/>
        <v>217</v>
      </c>
      <c r="B226" s="157">
        <v>930.13</v>
      </c>
      <c r="C226" s="158" t="s">
        <v>498</v>
      </c>
      <c r="D226" s="159">
        <v>44866</v>
      </c>
      <c r="E226" s="158" t="s">
        <v>507</v>
      </c>
      <c r="F226" s="158" t="s">
        <v>254</v>
      </c>
      <c r="G226" s="158" t="s">
        <v>504</v>
      </c>
      <c r="H226" s="170">
        <v>9.4499999999999993</v>
      </c>
      <c r="I226" s="170">
        <v>0</v>
      </c>
      <c r="J226" s="170"/>
      <c r="K226" s="152"/>
      <c r="L226" s="152"/>
      <c r="M226" s="152"/>
      <c r="N226" s="152"/>
      <c r="O226" s="153"/>
      <c r="P226" s="92"/>
    </row>
    <row r="227" spans="1:16" ht="14.4">
      <c r="A227" s="10">
        <f t="shared" si="6"/>
        <v>218</v>
      </c>
      <c r="B227" s="157">
        <v>930.13</v>
      </c>
      <c r="C227" s="158" t="s">
        <v>498</v>
      </c>
      <c r="D227" s="159">
        <v>44896</v>
      </c>
      <c r="E227" s="158" t="s">
        <v>508</v>
      </c>
      <c r="F227" s="158" t="s">
        <v>254</v>
      </c>
      <c r="G227" s="158" t="s">
        <v>504</v>
      </c>
      <c r="H227" s="170">
        <v>9.4499999999999993</v>
      </c>
      <c r="I227" s="170">
        <v>0</v>
      </c>
      <c r="J227" s="170"/>
      <c r="K227" s="152"/>
      <c r="L227" s="152"/>
      <c r="M227" s="152"/>
      <c r="N227" s="152"/>
      <c r="O227" s="153"/>
      <c r="P227" s="92"/>
    </row>
    <row r="228" spans="1:16" ht="14.4">
      <c r="A228" s="10">
        <f t="shared" si="6"/>
        <v>219</v>
      </c>
      <c r="B228" s="157">
        <v>930.13</v>
      </c>
      <c r="C228" s="158" t="s">
        <v>498</v>
      </c>
      <c r="D228" s="159">
        <v>44608</v>
      </c>
      <c r="E228" s="158" t="s">
        <v>509</v>
      </c>
      <c r="F228" s="158" t="s">
        <v>257</v>
      </c>
      <c r="G228" s="158" t="s">
        <v>510</v>
      </c>
      <c r="H228" s="170">
        <v>161.65</v>
      </c>
      <c r="I228" s="170">
        <v>0</v>
      </c>
      <c r="J228" s="170"/>
      <c r="K228" s="152"/>
      <c r="L228" s="152"/>
      <c r="M228" s="152"/>
      <c r="N228" s="152"/>
      <c r="O228" s="153"/>
      <c r="P228" s="92"/>
    </row>
    <row r="229" spans="1:16" ht="14.4">
      <c r="A229" s="10">
        <f t="shared" si="6"/>
        <v>220</v>
      </c>
      <c r="B229" s="157">
        <v>930.13</v>
      </c>
      <c r="C229" s="158" t="s">
        <v>498</v>
      </c>
      <c r="D229" s="159">
        <v>44616</v>
      </c>
      <c r="E229" s="158" t="s">
        <v>511</v>
      </c>
      <c r="F229" s="158" t="s">
        <v>512</v>
      </c>
      <c r="G229" s="158" t="s">
        <v>510</v>
      </c>
      <c r="H229" s="170">
        <v>500</v>
      </c>
      <c r="I229" s="170">
        <v>0</v>
      </c>
      <c r="J229" s="170"/>
      <c r="K229" s="152"/>
      <c r="L229" s="152"/>
      <c r="M229" s="152"/>
      <c r="N229" s="152"/>
      <c r="O229" s="153"/>
      <c r="P229" s="92"/>
    </row>
    <row r="230" spans="1:16" ht="14.4">
      <c r="A230" s="10">
        <f t="shared" si="6"/>
        <v>221</v>
      </c>
      <c r="B230" s="157">
        <v>930.13</v>
      </c>
      <c r="C230" s="158" t="s">
        <v>498</v>
      </c>
      <c r="D230" s="159">
        <v>44640</v>
      </c>
      <c r="E230" s="158" t="s">
        <v>513</v>
      </c>
      <c r="F230" s="158" t="s">
        <v>257</v>
      </c>
      <c r="G230" s="158" t="s">
        <v>510</v>
      </c>
      <c r="H230" s="170">
        <v>84.51</v>
      </c>
      <c r="I230" s="170">
        <v>0</v>
      </c>
      <c r="J230" s="170"/>
      <c r="K230" s="152"/>
      <c r="L230" s="152"/>
      <c r="M230" s="152"/>
      <c r="N230" s="152"/>
      <c r="O230" s="153"/>
      <c r="P230" s="92"/>
    </row>
    <row r="231" spans="1:16" ht="14.4">
      <c r="A231" s="10">
        <f t="shared" si="6"/>
        <v>222</v>
      </c>
      <c r="B231" s="157">
        <v>930.13</v>
      </c>
      <c r="C231" s="158" t="s">
        <v>498</v>
      </c>
      <c r="D231" s="159">
        <v>44640</v>
      </c>
      <c r="E231" s="158" t="s">
        <v>514</v>
      </c>
      <c r="F231" s="158" t="s">
        <v>257</v>
      </c>
      <c r="G231" s="158" t="s">
        <v>510</v>
      </c>
      <c r="H231" s="170">
        <v>48.69</v>
      </c>
      <c r="I231" s="170">
        <v>0</v>
      </c>
      <c r="J231" s="170">
        <f t="shared" ref="J231" si="9">H231-I231</f>
        <v>48.69</v>
      </c>
      <c r="K231" s="152"/>
      <c r="L231" s="152"/>
      <c r="M231" s="152"/>
      <c r="N231" s="152"/>
      <c r="O231" s="153"/>
      <c r="P231" s="92"/>
    </row>
    <row r="232" spans="1:16" ht="14.4">
      <c r="A232" s="10">
        <f t="shared" si="6"/>
        <v>223</v>
      </c>
      <c r="B232" s="157">
        <v>930.13</v>
      </c>
      <c r="C232" s="158" t="s">
        <v>498</v>
      </c>
      <c r="D232" s="159">
        <v>44640</v>
      </c>
      <c r="E232" s="158" t="s">
        <v>515</v>
      </c>
      <c r="F232" s="158" t="s">
        <v>257</v>
      </c>
      <c r="G232" s="158" t="s">
        <v>510</v>
      </c>
      <c r="H232" s="170">
        <v>119.37</v>
      </c>
      <c r="I232" s="170">
        <v>0</v>
      </c>
      <c r="J232" s="170"/>
      <c r="K232" s="152"/>
      <c r="L232" s="152"/>
      <c r="M232" s="152"/>
      <c r="N232" s="152"/>
      <c r="O232" s="153"/>
      <c r="P232" s="92"/>
    </row>
    <row r="233" spans="1:16" ht="14.4">
      <c r="A233" s="10">
        <f t="shared" si="6"/>
        <v>224</v>
      </c>
      <c r="B233" s="157">
        <v>930.13</v>
      </c>
      <c r="C233" s="158" t="s">
        <v>498</v>
      </c>
      <c r="D233" s="159">
        <v>44640</v>
      </c>
      <c r="E233" s="158" t="s">
        <v>516</v>
      </c>
      <c r="F233" s="158" t="s">
        <v>257</v>
      </c>
      <c r="G233" s="158" t="s">
        <v>510</v>
      </c>
      <c r="H233" s="170">
        <v>136.47999999999999</v>
      </c>
      <c r="I233" s="170">
        <v>0</v>
      </c>
      <c r="J233" s="170">
        <f>H233-I233</f>
        <v>136.47999999999999</v>
      </c>
      <c r="K233" s="152"/>
      <c r="L233" s="152"/>
      <c r="M233" s="152"/>
      <c r="N233" s="152"/>
      <c r="O233" s="153"/>
      <c r="P233" s="92"/>
    </row>
    <row r="234" spans="1:16" ht="14.4">
      <c r="A234" s="10">
        <f t="shared" si="6"/>
        <v>225</v>
      </c>
      <c r="B234" s="157">
        <v>930.13</v>
      </c>
      <c r="C234" s="158" t="s">
        <v>498</v>
      </c>
      <c r="D234" s="159">
        <v>44640</v>
      </c>
      <c r="E234" s="158" t="s">
        <v>517</v>
      </c>
      <c r="F234" s="158" t="s">
        <v>257</v>
      </c>
      <c r="G234" s="158" t="s">
        <v>510</v>
      </c>
      <c r="H234" s="170">
        <v>288.2</v>
      </c>
      <c r="I234" s="170">
        <v>0</v>
      </c>
      <c r="J234" s="170">
        <f>H234-I234</f>
        <v>288.2</v>
      </c>
      <c r="K234" s="152"/>
      <c r="L234" s="152"/>
      <c r="M234" s="152"/>
      <c r="N234" s="152"/>
      <c r="O234" s="153"/>
      <c r="P234" s="92"/>
    </row>
    <row r="235" spans="1:16" ht="14.4">
      <c r="A235" s="10">
        <f t="shared" si="6"/>
        <v>226</v>
      </c>
      <c r="B235" s="157">
        <v>930.13</v>
      </c>
      <c r="C235" s="158" t="s">
        <v>498</v>
      </c>
      <c r="D235" s="159">
        <v>44669</v>
      </c>
      <c r="E235" s="158" t="s">
        <v>265</v>
      </c>
      <c r="F235" s="158" t="s">
        <v>257</v>
      </c>
      <c r="G235" s="158" t="s">
        <v>510</v>
      </c>
      <c r="H235" s="170">
        <v>194.27</v>
      </c>
      <c r="I235" s="170">
        <v>0</v>
      </c>
      <c r="J235" s="170"/>
      <c r="K235" s="152"/>
      <c r="L235" s="152"/>
      <c r="M235" s="152"/>
      <c r="N235" s="152"/>
      <c r="O235" s="153"/>
      <c r="P235" s="92"/>
    </row>
    <row r="236" spans="1:16" ht="14.4">
      <c r="A236" s="10">
        <f t="shared" si="6"/>
        <v>227</v>
      </c>
      <c r="B236" s="157">
        <v>930.13</v>
      </c>
      <c r="C236" s="158" t="s">
        <v>498</v>
      </c>
      <c r="D236" s="159">
        <v>44669</v>
      </c>
      <c r="E236" s="158" t="s">
        <v>518</v>
      </c>
      <c r="F236" s="158" t="s">
        <v>257</v>
      </c>
      <c r="G236" s="158" t="s">
        <v>510</v>
      </c>
      <c r="H236" s="170">
        <v>37.25</v>
      </c>
      <c r="I236" s="170">
        <v>0</v>
      </c>
      <c r="J236" s="170"/>
      <c r="K236" s="152"/>
      <c r="L236" s="152"/>
      <c r="M236" s="152"/>
      <c r="N236" s="152"/>
      <c r="O236" s="153"/>
      <c r="P236" s="92"/>
    </row>
    <row r="237" spans="1:16" ht="14.4">
      <c r="A237" s="10">
        <f t="shared" si="6"/>
        <v>228</v>
      </c>
      <c r="B237" s="157">
        <v>930.13</v>
      </c>
      <c r="C237" s="158" t="s">
        <v>498</v>
      </c>
      <c r="D237" s="159">
        <v>44669</v>
      </c>
      <c r="E237" s="158" t="s">
        <v>519</v>
      </c>
      <c r="F237" s="158" t="s">
        <v>257</v>
      </c>
      <c r="G237" s="158" t="s">
        <v>510</v>
      </c>
      <c r="H237" s="170">
        <v>19.079999999999998</v>
      </c>
      <c r="I237" s="170">
        <v>0</v>
      </c>
      <c r="J237" s="170"/>
      <c r="K237" s="152"/>
      <c r="L237" s="152"/>
      <c r="M237" s="152"/>
      <c r="N237" s="152"/>
      <c r="O237" s="153"/>
      <c r="P237" s="92"/>
    </row>
    <row r="238" spans="1:16" ht="14.4">
      <c r="A238" s="10">
        <f t="shared" si="6"/>
        <v>229</v>
      </c>
      <c r="B238" s="157">
        <v>930.13</v>
      </c>
      <c r="C238" s="158" t="s">
        <v>498</v>
      </c>
      <c r="D238" s="159">
        <v>44669</v>
      </c>
      <c r="E238" s="158" t="s">
        <v>518</v>
      </c>
      <c r="F238" s="158" t="s">
        <v>257</v>
      </c>
      <c r="G238" s="158" t="s">
        <v>510</v>
      </c>
      <c r="H238" s="170">
        <v>6.31</v>
      </c>
      <c r="I238" s="170">
        <v>0</v>
      </c>
      <c r="J238" s="170"/>
      <c r="K238" s="152"/>
      <c r="L238" s="152"/>
      <c r="M238" s="152"/>
      <c r="N238" s="152"/>
      <c r="O238" s="153"/>
      <c r="P238" s="92"/>
    </row>
    <row r="239" spans="1:16" ht="14.4">
      <c r="A239" s="10">
        <f t="shared" si="6"/>
        <v>230</v>
      </c>
      <c r="B239" s="157">
        <v>930.13</v>
      </c>
      <c r="C239" s="158" t="s">
        <v>498</v>
      </c>
      <c r="D239" s="159">
        <v>44711</v>
      </c>
      <c r="E239" s="158" t="s">
        <v>520</v>
      </c>
      <c r="F239" s="158" t="s">
        <v>257</v>
      </c>
      <c r="G239" s="158" t="s">
        <v>510</v>
      </c>
      <c r="H239" s="170">
        <v>155.68</v>
      </c>
      <c r="I239" s="170">
        <v>0</v>
      </c>
      <c r="J239" s="170"/>
      <c r="K239" s="152"/>
      <c r="L239" s="152"/>
      <c r="M239" s="152"/>
      <c r="N239" s="152"/>
      <c r="O239" s="153"/>
      <c r="P239" s="92"/>
    </row>
    <row r="240" spans="1:16" ht="14.4">
      <c r="A240" s="10">
        <f t="shared" si="6"/>
        <v>231</v>
      </c>
      <c r="B240" s="157">
        <v>930.13</v>
      </c>
      <c r="C240" s="158" t="s">
        <v>498</v>
      </c>
      <c r="D240" s="159">
        <v>44711</v>
      </c>
      <c r="E240" s="158" t="s">
        <v>520</v>
      </c>
      <c r="F240" s="158" t="s">
        <v>257</v>
      </c>
      <c r="G240" s="158" t="s">
        <v>510</v>
      </c>
      <c r="H240" s="170">
        <v>10</v>
      </c>
      <c r="I240" s="170">
        <v>0</v>
      </c>
      <c r="J240" s="170"/>
      <c r="K240" s="152"/>
      <c r="L240" s="152"/>
      <c r="M240" s="152"/>
      <c r="N240" s="152"/>
      <c r="O240" s="153"/>
      <c r="P240" s="92"/>
    </row>
    <row r="241" spans="1:16" ht="14.4">
      <c r="A241" s="10">
        <f t="shared" si="6"/>
        <v>232</v>
      </c>
      <c r="B241" s="157">
        <v>930.13</v>
      </c>
      <c r="C241" s="158" t="s">
        <v>498</v>
      </c>
      <c r="D241" s="159">
        <v>44731</v>
      </c>
      <c r="E241" s="158" t="s">
        <v>521</v>
      </c>
      <c r="F241" s="158" t="s">
        <v>257</v>
      </c>
      <c r="G241" s="158" t="s">
        <v>510</v>
      </c>
      <c r="H241" s="170">
        <v>38.799999999999997</v>
      </c>
      <c r="I241" s="170">
        <v>0</v>
      </c>
      <c r="J241" s="170"/>
      <c r="K241" s="152"/>
      <c r="L241" s="152"/>
      <c r="M241" s="152"/>
      <c r="N241" s="152"/>
      <c r="O241" s="153"/>
      <c r="P241" s="92"/>
    </row>
    <row r="242" spans="1:16" ht="14.4">
      <c r="A242" s="10">
        <f t="shared" si="6"/>
        <v>233</v>
      </c>
      <c r="B242" s="157">
        <v>930.13</v>
      </c>
      <c r="C242" s="158" t="s">
        <v>498</v>
      </c>
      <c r="D242" s="159">
        <v>44773</v>
      </c>
      <c r="E242" s="158" t="s">
        <v>522</v>
      </c>
      <c r="F242" s="158" t="s">
        <v>257</v>
      </c>
      <c r="G242" s="158" t="s">
        <v>510</v>
      </c>
      <c r="H242" s="170">
        <v>57.7</v>
      </c>
      <c r="I242" s="170">
        <v>0</v>
      </c>
      <c r="J242" s="170">
        <f t="shared" ref="J242" si="10">H242-I242</f>
        <v>57.7</v>
      </c>
      <c r="K242" s="152"/>
      <c r="L242" s="152"/>
      <c r="M242" s="152"/>
      <c r="N242" s="152"/>
      <c r="O242" s="153"/>
      <c r="P242" s="92"/>
    </row>
    <row r="243" spans="1:16" ht="14.4">
      <c r="A243" s="10">
        <f t="shared" si="6"/>
        <v>234</v>
      </c>
      <c r="B243" s="157">
        <v>930.13</v>
      </c>
      <c r="C243" s="158" t="s">
        <v>498</v>
      </c>
      <c r="D243" s="159">
        <v>44773</v>
      </c>
      <c r="E243" s="158" t="s">
        <v>523</v>
      </c>
      <c r="F243" s="158" t="s">
        <v>257</v>
      </c>
      <c r="G243" s="158" t="s">
        <v>510</v>
      </c>
      <c r="H243" s="170">
        <v>170.51</v>
      </c>
      <c r="I243" s="170">
        <v>0</v>
      </c>
      <c r="J243" s="170"/>
      <c r="K243" s="152"/>
      <c r="L243" s="152"/>
      <c r="M243" s="152"/>
      <c r="N243" s="152"/>
      <c r="O243" s="153"/>
      <c r="P243" s="92"/>
    </row>
    <row r="244" spans="1:16" ht="14.4">
      <c r="A244" s="10">
        <f t="shared" si="6"/>
        <v>235</v>
      </c>
      <c r="B244" s="157">
        <v>930.13</v>
      </c>
      <c r="C244" s="158" t="s">
        <v>498</v>
      </c>
      <c r="D244" s="159">
        <v>44792</v>
      </c>
      <c r="E244" s="158" t="s">
        <v>265</v>
      </c>
      <c r="F244" s="158" t="s">
        <v>257</v>
      </c>
      <c r="G244" s="158" t="s">
        <v>510</v>
      </c>
      <c r="H244" s="170">
        <v>139.47</v>
      </c>
      <c r="I244" s="170">
        <v>0</v>
      </c>
      <c r="J244" s="170"/>
      <c r="K244" s="152"/>
      <c r="L244" s="152"/>
      <c r="M244" s="152"/>
      <c r="N244" s="152"/>
      <c r="O244" s="153"/>
      <c r="P244" s="92"/>
    </row>
    <row r="245" spans="1:16" ht="14.4">
      <c r="A245" s="10">
        <f t="shared" si="6"/>
        <v>236</v>
      </c>
      <c r="B245" s="157">
        <v>930.13</v>
      </c>
      <c r="C245" s="158" t="s">
        <v>498</v>
      </c>
      <c r="D245" s="159">
        <v>44792</v>
      </c>
      <c r="E245" s="158" t="s">
        <v>524</v>
      </c>
      <c r="F245" s="158" t="s">
        <v>257</v>
      </c>
      <c r="G245" s="158" t="s">
        <v>510</v>
      </c>
      <c r="H245" s="170">
        <v>258.82</v>
      </c>
      <c r="I245" s="170">
        <v>0</v>
      </c>
      <c r="J245" s="170">
        <f t="shared" ref="J245:J247" si="11">H245-I245</f>
        <v>258.82</v>
      </c>
      <c r="K245" s="152"/>
      <c r="L245" s="152"/>
      <c r="M245" s="152"/>
      <c r="N245" s="152"/>
      <c r="O245" s="153"/>
      <c r="P245" s="92"/>
    </row>
    <row r="246" spans="1:16" ht="14.4">
      <c r="A246" s="10">
        <f t="shared" si="6"/>
        <v>237</v>
      </c>
      <c r="B246" s="157">
        <v>930.13</v>
      </c>
      <c r="C246" s="158" t="s">
        <v>498</v>
      </c>
      <c r="D246" s="159">
        <v>44792</v>
      </c>
      <c r="E246" s="158" t="s">
        <v>513</v>
      </c>
      <c r="F246" s="158" t="s">
        <v>257</v>
      </c>
      <c r="G246" s="158" t="s">
        <v>510</v>
      </c>
      <c r="H246" s="170">
        <v>50.04</v>
      </c>
      <c r="I246" s="170">
        <v>0</v>
      </c>
      <c r="J246" s="170">
        <f t="shared" si="11"/>
        <v>50.04</v>
      </c>
      <c r="K246" s="152"/>
      <c r="L246" s="152"/>
      <c r="M246" s="152"/>
      <c r="N246" s="152"/>
      <c r="O246" s="153"/>
      <c r="P246" s="92"/>
    </row>
    <row r="247" spans="1:16" ht="14.4">
      <c r="A247" s="10">
        <f t="shared" si="6"/>
        <v>238</v>
      </c>
      <c r="B247" s="157">
        <v>930.13</v>
      </c>
      <c r="C247" s="158" t="s">
        <v>498</v>
      </c>
      <c r="D247" s="159">
        <v>44792</v>
      </c>
      <c r="E247" s="158" t="s">
        <v>525</v>
      </c>
      <c r="F247" s="158" t="s">
        <v>257</v>
      </c>
      <c r="G247" s="158" t="s">
        <v>510</v>
      </c>
      <c r="H247" s="170">
        <v>258.82</v>
      </c>
      <c r="I247" s="170">
        <v>0</v>
      </c>
      <c r="J247" s="170">
        <f t="shared" si="11"/>
        <v>258.82</v>
      </c>
      <c r="K247" s="152"/>
      <c r="L247" s="152"/>
      <c r="M247" s="152"/>
      <c r="N247" s="152"/>
      <c r="O247" s="153"/>
      <c r="P247" s="92"/>
    </row>
    <row r="248" spans="1:16" ht="14.4">
      <c r="A248" s="10">
        <f t="shared" si="6"/>
        <v>239</v>
      </c>
      <c r="B248" s="157">
        <v>930.13</v>
      </c>
      <c r="C248" s="158" t="s">
        <v>498</v>
      </c>
      <c r="D248" s="159">
        <v>44822</v>
      </c>
      <c r="E248" s="158" t="s">
        <v>526</v>
      </c>
      <c r="F248" s="158" t="s">
        <v>257</v>
      </c>
      <c r="G248" s="158" t="s">
        <v>510</v>
      </c>
      <c r="H248" s="170">
        <v>29.15</v>
      </c>
      <c r="I248" s="170">
        <v>0</v>
      </c>
      <c r="J248" s="170"/>
      <c r="K248" s="152"/>
      <c r="L248" s="152"/>
      <c r="M248" s="152"/>
      <c r="N248" s="152"/>
      <c r="O248" s="153"/>
      <c r="P248" s="92"/>
    </row>
    <row r="249" spans="1:16" ht="14.4">
      <c r="A249" s="10">
        <f t="shared" si="6"/>
        <v>240</v>
      </c>
      <c r="B249" s="157">
        <v>930.13</v>
      </c>
      <c r="C249" s="158" t="s">
        <v>498</v>
      </c>
      <c r="D249" s="159">
        <v>44822</v>
      </c>
      <c r="E249" s="158" t="s">
        <v>527</v>
      </c>
      <c r="F249" s="158" t="s">
        <v>257</v>
      </c>
      <c r="G249" s="158" t="s">
        <v>510</v>
      </c>
      <c r="H249" s="170">
        <v>249.57</v>
      </c>
      <c r="I249" s="170">
        <v>0</v>
      </c>
      <c r="J249" s="170"/>
      <c r="K249" s="152"/>
      <c r="L249" s="152"/>
      <c r="M249" s="152"/>
      <c r="N249" s="152"/>
      <c r="O249" s="153"/>
      <c r="P249" s="92"/>
    </row>
    <row r="250" spans="1:16" ht="14.4">
      <c r="A250" s="10">
        <f t="shared" si="6"/>
        <v>241</v>
      </c>
      <c r="B250" s="157">
        <v>930.13</v>
      </c>
      <c r="C250" s="158" t="s">
        <v>498</v>
      </c>
      <c r="D250" s="159">
        <v>44822</v>
      </c>
      <c r="E250" s="158" t="s">
        <v>511</v>
      </c>
      <c r="F250" s="158" t="s">
        <v>257</v>
      </c>
      <c r="G250" s="158" t="s">
        <v>510</v>
      </c>
      <c r="H250" s="170">
        <v>84.11</v>
      </c>
      <c r="I250" s="170">
        <v>0</v>
      </c>
      <c r="J250" s="170"/>
      <c r="K250" s="152"/>
      <c r="L250" s="152"/>
      <c r="M250" s="152"/>
      <c r="N250" s="152"/>
      <c r="O250" s="153"/>
      <c r="P250" s="92"/>
    </row>
    <row r="251" spans="1:16" ht="14.4">
      <c r="A251" s="10">
        <f t="shared" si="6"/>
        <v>242</v>
      </c>
      <c r="B251" s="157">
        <v>930.13</v>
      </c>
      <c r="C251" s="158" t="s">
        <v>498</v>
      </c>
      <c r="D251" s="159">
        <v>44822</v>
      </c>
      <c r="E251" s="158" t="s">
        <v>528</v>
      </c>
      <c r="F251" s="158" t="s">
        <v>257</v>
      </c>
      <c r="G251" s="158" t="s">
        <v>510</v>
      </c>
      <c r="H251" s="170">
        <v>100.27</v>
      </c>
      <c r="I251" s="170">
        <v>0</v>
      </c>
      <c r="J251" s="170">
        <f t="shared" ref="J251" si="12">H251-I251</f>
        <v>100.27</v>
      </c>
      <c r="K251" s="152"/>
      <c r="L251" s="152"/>
      <c r="M251" s="152"/>
      <c r="N251" s="152"/>
      <c r="O251" s="153"/>
      <c r="P251" s="92"/>
    </row>
    <row r="252" spans="1:16" ht="14.4">
      <c r="A252" s="10">
        <f t="shared" si="6"/>
        <v>243</v>
      </c>
      <c r="B252" s="157">
        <v>930.13</v>
      </c>
      <c r="C252" s="158" t="s">
        <v>498</v>
      </c>
      <c r="D252" s="159">
        <v>44853</v>
      </c>
      <c r="E252" s="158" t="s">
        <v>265</v>
      </c>
      <c r="F252" s="158" t="s">
        <v>257</v>
      </c>
      <c r="G252" s="158" t="s">
        <v>510</v>
      </c>
      <c r="H252" s="170">
        <v>493.21</v>
      </c>
      <c r="I252" s="170">
        <v>0</v>
      </c>
      <c r="J252" s="170"/>
      <c r="K252" s="152"/>
      <c r="L252" s="152"/>
      <c r="M252" s="152"/>
      <c r="N252" s="152"/>
      <c r="O252" s="153"/>
      <c r="P252" s="92"/>
    </row>
    <row r="253" spans="1:16" ht="14.4">
      <c r="A253" s="10">
        <f t="shared" si="6"/>
        <v>244</v>
      </c>
      <c r="B253" s="157">
        <v>930.13</v>
      </c>
      <c r="C253" s="158" t="s">
        <v>498</v>
      </c>
      <c r="D253" s="159">
        <v>44853</v>
      </c>
      <c r="E253" s="158" t="s">
        <v>529</v>
      </c>
      <c r="F253" s="158" t="s">
        <v>257</v>
      </c>
      <c r="G253" s="158" t="s">
        <v>510</v>
      </c>
      <c r="H253" s="170">
        <v>7.5</v>
      </c>
      <c r="I253" s="170">
        <v>0</v>
      </c>
      <c r="J253" s="170"/>
      <c r="K253" s="152"/>
      <c r="L253" s="152"/>
      <c r="M253" s="152"/>
      <c r="N253" s="152"/>
      <c r="O253" s="153"/>
      <c r="P253" s="92"/>
    </row>
    <row r="254" spans="1:16" ht="14.4">
      <c r="A254" s="10">
        <f t="shared" si="6"/>
        <v>245</v>
      </c>
      <c r="B254" s="157">
        <v>930.13</v>
      </c>
      <c r="C254" s="158" t="s">
        <v>498</v>
      </c>
      <c r="D254" s="159">
        <v>44883</v>
      </c>
      <c r="E254" s="158" t="s">
        <v>265</v>
      </c>
      <c r="F254" s="158" t="s">
        <v>257</v>
      </c>
      <c r="G254" s="158" t="s">
        <v>510</v>
      </c>
      <c r="H254" s="170">
        <v>139.86000000000001</v>
      </c>
      <c r="I254" s="170">
        <v>0</v>
      </c>
      <c r="J254" s="170"/>
      <c r="K254" s="152"/>
      <c r="L254" s="152"/>
      <c r="M254" s="152"/>
      <c r="N254" s="152"/>
      <c r="O254" s="153"/>
      <c r="P254" s="92"/>
    </row>
    <row r="255" spans="1:16" ht="14.4">
      <c r="A255" s="10">
        <f t="shared" si="6"/>
        <v>246</v>
      </c>
      <c r="B255" s="157">
        <v>930.13</v>
      </c>
      <c r="C255" s="158" t="s">
        <v>498</v>
      </c>
      <c r="D255" s="159">
        <v>44883</v>
      </c>
      <c r="E255" s="158" t="s">
        <v>521</v>
      </c>
      <c r="F255" s="158" t="s">
        <v>257</v>
      </c>
      <c r="G255" s="158" t="s">
        <v>510</v>
      </c>
      <c r="H255" s="170">
        <v>33.39</v>
      </c>
      <c r="I255" s="170">
        <v>0</v>
      </c>
      <c r="J255" s="170"/>
      <c r="K255" s="152"/>
      <c r="L255" s="152"/>
      <c r="M255" s="152"/>
      <c r="N255" s="152"/>
      <c r="O255" s="153"/>
      <c r="P255" s="92"/>
    </row>
    <row r="256" spans="1:16" ht="14.4">
      <c r="A256" s="10">
        <f t="shared" si="6"/>
        <v>247</v>
      </c>
      <c r="B256" s="157">
        <v>930.13</v>
      </c>
      <c r="C256" s="158" t="s">
        <v>498</v>
      </c>
      <c r="D256" s="159">
        <v>44883</v>
      </c>
      <c r="E256" s="158" t="s">
        <v>530</v>
      </c>
      <c r="F256" s="158" t="s">
        <v>257</v>
      </c>
      <c r="G256" s="158" t="s">
        <v>510</v>
      </c>
      <c r="H256" s="170">
        <v>275.52999999999997</v>
      </c>
      <c r="I256" s="170">
        <v>0</v>
      </c>
      <c r="J256" s="170"/>
      <c r="K256" s="152"/>
      <c r="L256" s="152"/>
      <c r="M256" s="152"/>
      <c r="N256" s="152"/>
      <c r="O256" s="153"/>
      <c r="P256" s="92"/>
    </row>
    <row r="257" spans="1:16" ht="14.4">
      <c r="A257" s="10">
        <f t="shared" si="6"/>
        <v>248</v>
      </c>
      <c r="B257" s="157">
        <v>930.13</v>
      </c>
      <c r="C257" s="158" t="s">
        <v>498</v>
      </c>
      <c r="D257" s="159">
        <v>44883</v>
      </c>
      <c r="E257" s="158" t="s">
        <v>531</v>
      </c>
      <c r="F257" s="158" t="s">
        <v>257</v>
      </c>
      <c r="G257" s="158" t="s">
        <v>510</v>
      </c>
      <c r="H257" s="170">
        <v>272.7</v>
      </c>
      <c r="I257" s="170">
        <v>0</v>
      </c>
      <c r="J257" s="170"/>
      <c r="K257" s="152"/>
      <c r="L257" s="152"/>
      <c r="M257" s="152"/>
      <c r="N257" s="152"/>
      <c r="O257" s="153"/>
      <c r="P257" s="92"/>
    </row>
    <row r="258" spans="1:16" ht="14.4">
      <c r="A258" s="10">
        <f t="shared" si="6"/>
        <v>249</v>
      </c>
      <c r="B258" s="157">
        <v>930.13</v>
      </c>
      <c r="C258" s="158" t="s">
        <v>498</v>
      </c>
      <c r="D258" s="159">
        <v>44883</v>
      </c>
      <c r="E258" s="158" t="s">
        <v>532</v>
      </c>
      <c r="F258" s="158" t="s">
        <v>257</v>
      </c>
      <c r="G258" s="158" t="s">
        <v>510</v>
      </c>
      <c r="H258" s="170">
        <v>32.11</v>
      </c>
      <c r="I258" s="170">
        <v>0</v>
      </c>
      <c r="J258" s="170"/>
      <c r="K258" s="152"/>
      <c r="L258" s="152"/>
      <c r="M258" s="152"/>
      <c r="N258" s="152"/>
      <c r="O258" s="153"/>
      <c r="P258" s="92"/>
    </row>
    <row r="259" spans="1:16" ht="14.4">
      <c r="A259" s="10">
        <f t="shared" si="6"/>
        <v>250</v>
      </c>
      <c r="B259" s="157">
        <v>930.13</v>
      </c>
      <c r="C259" s="158" t="s">
        <v>498</v>
      </c>
      <c r="D259" s="159">
        <v>44883</v>
      </c>
      <c r="E259" s="158" t="s">
        <v>533</v>
      </c>
      <c r="F259" s="158" t="s">
        <v>257</v>
      </c>
      <c r="G259" s="158" t="s">
        <v>510</v>
      </c>
      <c r="H259" s="170">
        <v>9.2799999999999994</v>
      </c>
      <c r="I259" s="170">
        <v>0</v>
      </c>
      <c r="J259" s="170"/>
      <c r="K259" s="152"/>
      <c r="L259" s="152"/>
      <c r="M259" s="152"/>
      <c r="N259" s="152"/>
      <c r="O259" s="153"/>
      <c r="P259" s="92"/>
    </row>
    <row r="260" spans="1:16" ht="14.4">
      <c r="A260" s="10">
        <f t="shared" si="6"/>
        <v>251</v>
      </c>
      <c r="B260" s="157">
        <v>930.13</v>
      </c>
      <c r="C260" s="158" t="s">
        <v>498</v>
      </c>
      <c r="D260" s="159">
        <v>44914</v>
      </c>
      <c r="E260" s="158" t="s">
        <v>265</v>
      </c>
      <c r="F260" s="158" t="s">
        <v>257</v>
      </c>
      <c r="G260" s="158" t="s">
        <v>510</v>
      </c>
      <c r="H260" s="170">
        <v>7.98</v>
      </c>
      <c r="I260" s="170">
        <v>0</v>
      </c>
      <c r="J260" s="170"/>
      <c r="K260" s="152"/>
      <c r="L260" s="152"/>
      <c r="M260" s="152"/>
      <c r="N260" s="152"/>
      <c r="O260" s="153"/>
      <c r="P260" s="92"/>
    </row>
    <row r="261" spans="1:16" ht="14.4">
      <c r="A261" s="10">
        <f t="shared" si="6"/>
        <v>252</v>
      </c>
      <c r="B261" s="157">
        <v>930.13</v>
      </c>
      <c r="C261" s="158" t="s">
        <v>498</v>
      </c>
      <c r="D261" s="159">
        <v>44608</v>
      </c>
      <c r="E261" s="158" t="s">
        <v>534</v>
      </c>
      <c r="F261" s="158" t="s">
        <v>257</v>
      </c>
      <c r="G261" s="158" t="s">
        <v>535</v>
      </c>
      <c r="H261" s="170">
        <v>335.57</v>
      </c>
      <c r="I261" s="170">
        <v>0</v>
      </c>
      <c r="J261" s="170">
        <f>H261-I261</f>
        <v>335.57</v>
      </c>
      <c r="K261" s="152"/>
      <c r="L261" s="152"/>
      <c r="M261" s="152"/>
      <c r="N261" s="152"/>
      <c r="O261" s="153"/>
      <c r="P261" s="92"/>
    </row>
    <row r="262" spans="1:16" ht="14.4">
      <c r="A262" s="10">
        <f t="shared" si="6"/>
        <v>253</v>
      </c>
      <c r="B262" s="157">
        <v>930.13</v>
      </c>
      <c r="C262" s="158" t="s">
        <v>498</v>
      </c>
      <c r="D262" s="159">
        <v>44608</v>
      </c>
      <c r="E262" s="158" t="s">
        <v>536</v>
      </c>
      <c r="F262" s="158" t="s">
        <v>257</v>
      </c>
      <c r="G262" s="158" t="s">
        <v>535</v>
      </c>
      <c r="H262" s="170">
        <v>335.57</v>
      </c>
      <c r="I262" s="170">
        <v>0</v>
      </c>
      <c r="J262" s="170">
        <f t="shared" ref="J262:J277" si="13">H262-I262</f>
        <v>335.57</v>
      </c>
      <c r="K262" s="152"/>
      <c r="L262" s="152"/>
      <c r="M262" s="152"/>
      <c r="N262" s="152"/>
      <c r="O262" s="153"/>
      <c r="P262" s="92"/>
    </row>
    <row r="263" spans="1:16" ht="14.4">
      <c r="A263" s="10">
        <f t="shared" si="6"/>
        <v>254</v>
      </c>
      <c r="B263" s="157">
        <v>930.13</v>
      </c>
      <c r="C263" s="158" t="s">
        <v>498</v>
      </c>
      <c r="D263" s="159">
        <v>44640</v>
      </c>
      <c r="E263" s="158" t="s">
        <v>536</v>
      </c>
      <c r="F263" s="158" t="s">
        <v>257</v>
      </c>
      <c r="G263" s="158" t="s">
        <v>535</v>
      </c>
      <c r="H263" s="170">
        <v>671.14</v>
      </c>
      <c r="I263" s="170">
        <v>0</v>
      </c>
      <c r="J263" s="170">
        <f t="shared" si="13"/>
        <v>671.14</v>
      </c>
      <c r="K263" s="152"/>
      <c r="L263" s="152"/>
      <c r="M263" s="152"/>
      <c r="N263" s="152"/>
      <c r="O263" s="153"/>
      <c r="P263" s="92"/>
    </row>
    <row r="264" spans="1:16" ht="14.4">
      <c r="A264" s="10">
        <f t="shared" si="6"/>
        <v>255</v>
      </c>
      <c r="B264" s="157">
        <v>930.13</v>
      </c>
      <c r="C264" s="158" t="s">
        <v>498</v>
      </c>
      <c r="D264" s="159">
        <v>44640</v>
      </c>
      <c r="E264" s="158" t="s">
        <v>534</v>
      </c>
      <c r="F264" s="158" t="s">
        <v>257</v>
      </c>
      <c r="G264" s="158" t="s">
        <v>535</v>
      </c>
      <c r="H264" s="170">
        <v>841.57</v>
      </c>
      <c r="I264" s="170">
        <v>0</v>
      </c>
      <c r="J264" s="170">
        <f t="shared" si="13"/>
        <v>841.57</v>
      </c>
      <c r="K264" s="152"/>
      <c r="L264" s="152"/>
      <c r="M264" s="152"/>
      <c r="N264" s="152"/>
      <c r="O264" s="153"/>
      <c r="P264" s="92"/>
    </row>
    <row r="265" spans="1:16" ht="14.4">
      <c r="A265" s="10">
        <f t="shared" si="6"/>
        <v>256</v>
      </c>
      <c r="B265" s="157">
        <v>930.13</v>
      </c>
      <c r="C265" s="158" t="s">
        <v>498</v>
      </c>
      <c r="D265" s="159">
        <v>44711</v>
      </c>
      <c r="E265" s="158" t="s">
        <v>537</v>
      </c>
      <c r="F265" s="158" t="s">
        <v>257</v>
      </c>
      <c r="G265" s="158" t="s">
        <v>535</v>
      </c>
      <c r="H265" s="170">
        <v>126.52</v>
      </c>
      <c r="I265" s="170">
        <v>0</v>
      </c>
      <c r="J265" s="170">
        <f t="shared" si="13"/>
        <v>126.52</v>
      </c>
      <c r="K265" s="152"/>
      <c r="L265" s="152"/>
      <c r="M265" s="152"/>
      <c r="N265" s="152"/>
      <c r="O265" s="153"/>
      <c r="P265" s="92"/>
    </row>
    <row r="266" spans="1:16" ht="14.4">
      <c r="A266" s="10">
        <f t="shared" ref="A266:A318" si="14">A265+1</f>
        <v>257</v>
      </c>
      <c r="B266" s="157">
        <v>930.13</v>
      </c>
      <c r="C266" s="158" t="s">
        <v>498</v>
      </c>
      <c r="D266" s="159">
        <v>44711</v>
      </c>
      <c r="E266" s="158" t="s">
        <v>538</v>
      </c>
      <c r="F266" s="158" t="s">
        <v>257</v>
      </c>
      <c r="G266" s="158" t="s">
        <v>535</v>
      </c>
      <c r="H266" s="170">
        <v>0</v>
      </c>
      <c r="I266" s="170">
        <v>143.93</v>
      </c>
      <c r="J266" s="170">
        <f t="shared" si="13"/>
        <v>-143.93</v>
      </c>
      <c r="K266" s="152"/>
      <c r="L266" s="152"/>
      <c r="M266" s="152"/>
      <c r="N266" s="152"/>
      <c r="O266" s="153"/>
      <c r="P266" s="92"/>
    </row>
    <row r="267" spans="1:16" ht="14.4">
      <c r="A267" s="10">
        <f t="shared" si="14"/>
        <v>258</v>
      </c>
      <c r="B267" s="157">
        <v>930.13</v>
      </c>
      <c r="C267" s="158" t="s">
        <v>498</v>
      </c>
      <c r="D267" s="159">
        <v>44731</v>
      </c>
      <c r="E267" s="158" t="s">
        <v>265</v>
      </c>
      <c r="F267" s="158" t="s">
        <v>257</v>
      </c>
      <c r="G267" s="158" t="s">
        <v>535</v>
      </c>
      <c r="H267" s="170">
        <v>164.49</v>
      </c>
      <c r="I267" s="170">
        <v>0</v>
      </c>
      <c r="J267" s="170">
        <f t="shared" si="13"/>
        <v>164.49</v>
      </c>
      <c r="K267" s="152"/>
      <c r="L267" s="152"/>
      <c r="M267" s="152"/>
      <c r="N267" s="152"/>
      <c r="O267" s="153"/>
      <c r="P267" s="92"/>
    </row>
    <row r="268" spans="1:16" ht="14.4">
      <c r="A268" s="10">
        <f t="shared" si="14"/>
        <v>259</v>
      </c>
      <c r="B268" s="157">
        <v>930.13</v>
      </c>
      <c r="C268" s="158" t="s">
        <v>498</v>
      </c>
      <c r="D268" s="159">
        <v>44731</v>
      </c>
      <c r="E268" s="158" t="s">
        <v>539</v>
      </c>
      <c r="F268" s="158" t="s">
        <v>257</v>
      </c>
      <c r="G268" s="158" t="s">
        <v>535</v>
      </c>
      <c r="H268" s="170">
        <v>126.52</v>
      </c>
      <c r="I268" s="170">
        <v>0</v>
      </c>
      <c r="J268" s="170">
        <f t="shared" si="13"/>
        <v>126.52</v>
      </c>
      <c r="K268" s="152"/>
      <c r="L268" s="152"/>
      <c r="M268" s="152"/>
      <c r="N268" s="152"/>
      <c r="O268" s="153"/>
      <c r="P268" s="92"/>
    </row>
    <row r="269" spans="1:16" ht="14.4">
      <c r="A269" s="10">
        <f t="shared" si="14"/>
        <v>260</v>
      </c>
      <c r="B269" s="157">
        <v>930.13</v>
      </c>
      <c r="C269" s="158" t="s">
        <v>498</v>
      </c>
      <c r="D269" s="159">
        <v>44773</v>
      </c>
      <c r="E269" s="158" t="s">
        <v>537</v>
      </c>
      <c r="F269" s="158" t="s">
        <v>257</v>
      </c>
      <c r="G269" s="158" t="s">
        <v>535</v>
      </c>
      <c r="H269" s="170">
        <v>165.75</v>
      </c>
      <c r="I269" s="170">
        <v>0</v>
      </c>
      <c r="J269" s="170">
        <f t="shared" si="13"/>
        <v>165.75</v>
      </c>
      <c r="K269" s="152"/>
      <c r="L269" s="152"/>
      <c r="M269" s="152"/>
      <c r="N269" s="152"/>
      <c r="O269" s="153"/>
      <c r="P269" s="92"/>
    </row>
    <row r="270" spans="1:16" ht="14.4">
      <c r="A270" s="10">
        <f t="shared" si="14"/>
        <v>261</v>
      </c>
      <c r="B270" s="157">
        <v>930.13</v>
      </c>
      <c r="C270" s="158" t="s">
        <v>498</v>
      </c>
      <c r="D270" s="159">
        <v>44774</v>
      </c>
      <c r="E270" s="158" t="s">
        <v>540</v>
      </c>
      <c r="F270" s="158"/>
      <c r="G270" s="158" t="s">
        <v>535</v>
      </c>
      <c r="H270" s="170">
        <v>143.93</v>
      </c>
      <c r="I270" s="170">
        <v>0</v>
      </c>
      <c r="J270" s="170">
        <f t="shared" si="13"/>
        <v>143.93</v>
      </c>
      <c r="K270" s="152"/>
      <c r="L270" s="152"/>
      <c r="M270" s="152"/>
      <c r="N270" s="152"/>
      <c r="O270" s="153"/>
      <c r="P270" s="92"/>
    </row>
    <row r="271" spans="1:16" ht="14.4">
      <c r="A271" s="10">
        <f t="shared" si="14"/>
        <v>262</v>
      </c>
      <c r="B271" s="157">
        <v>930.13</v>
      </c>
      <c r="C271" s="158" t="s">
        <v>498</v>
      </c>
      <c r="D271" s="159">
        <v>44792</v>
      </c>
      <c r="E271" s="158" t="s">
        <v>541</v>
      </c>
      <c r="F271" s="158" t="s">
        <v>257</v>
      </c>
      <c r="G271" s="158" t="s">
        <v>535</v>
      </c>
      <c r="H271" s="170">
        <v>234.32</v>
      </c>
      <c r="I271" s="170">
        <v>0</v>
      </c>
      <c r="J271" s="170">
        <f t="shared" si="13"/>
        <v>234.32</v>
      </c>
      <c r="K271" s="152"/>
      <c r="L271" s="152"/>
      <c r="M271" s="152"/>
      <c r="N271" s="152"/>
      <c r="O271" s="153"/>
      <c r="P271" s="92"/>
    </row>
    <row r="272" spans="1:16" ht="14.4">
      <c r="A272" s="10">
        <f t="shared" si="14"/>
        <v>263</v>
      </c>
      <c r="B272" s="157">
        <v>930.13</v>
      </c>
      <c r="C272" s="158" t="s">
        <v>498</v>
      </c>
      <c r="D272" s="159">
        <v>44792</v>
      </c>
      <c r="E272" s="158" t="s">
        <v>534</v>
      </c>
      <c r="F272" s="158" t="s">
        <v>257</v>
      </c>
      <c r="G272" s="158" t="s">
        <v>535</v>
      </c>
      <c r="H272" s="170">
        <v>126.52</v>
      </c>
      <c r="I272" s="170">
        <v>0</v>
      </c>
      <c r="J272" s="170">
        <f t="shared" si="13"/>
        <v>126.52</v>
      </c>
      <c r="K272" s="152"/>
      <c r="L272" s="152"/>
      <c r="M272" s="152"/>
      <c r="N272" s="152"/>
      <c r="O272" s="153"/>
      <c r="P272" s="92"/>
    </row>
    <row r="273" spans="1:16" ht="14.4">
      <c r="A273" s="10">
        <f t="shared" si="14"/>
        <v>264</v>
      </c>
      <c r="B273" s="157">
        <v>930.13</v>
      </c>
      <c r="C273" s="158" t="s">
        <v>498</v>
      </c>
      <c r="D273" s="159">
        <v>44792</v>
      </c>
      <c r="E273" s="158" t="s">
        <v>542</v>
      </c>
      <c r="F273" s="158" t="s">
        <v>257</v>
      </c>
      <c r="G273" s="158" t="s">
        <v>535</v>
      </c>
      <c r="H273" s="170">
        <v>234.32</v>
      </c>
      <c r="I273" s="170">
        <v>0</v>
      </c>
      <c r="J273" s="170">
        <f t="shared" si="13"/>
        <v>234.32</v>
      </c>
      <c r="K273" s="152"/>
      <c r="L273" s="152"/>
      <c r="M273" s="152"/>
      <c r="N273" s="152"/>
      <c r="O273" s="153"/>
      <c r="P273" s="92"/>
    </row>
    <row r="274" spans="1:16" ht="14.4">
      <c r="A274" s="10">
        <f t="shared" si="14"/>
        <v>265</v>
      </c>
      <c r="B274" s="157">
        <v>930.13</v>
      </c>
      <c r="C274" s="158" t="s">
        <v>498</v>
      </c>
      <c r="D274" s="159">
        <v>44792</v>
      </c>
      <c r="E274" s="158" t="s">
        <v>543</v>
      </c>
      <c r="F274" s="158" t="s">
        <v>257</v>
      </c>
      <c r="G274" s="158" t="s">
        <v>535</v>
      </c>
      <c r="H274" s="170">
        <v>197.32</v>
      </c>
      <c r="I274" s="170">
        <v>0</v>
      </c>
      <c r="J274" s="170">
        <f t="shared" si="13"/>
        <v>197.32</v>
      </c>
      <c r="K274" s="152"/>
      <c r="L274" s="152"/>
      <c r="M274" s="152"/>
      <c r="N274" s="152"/>
      <c r="O274" s="153"/>
      <c r="P274" s="92"/>
    </row>
    <row r="275" spans="1:16" ht="14.4">
      <c r="A275" s="10">
        <f t="shared" si="14"/>
        <v>266</v>
      </c>
      <c r="B275" s="157">
        <v>930.13</v>
      </c>
      <c r="C275" s="158" t="s">
        <v>498</v>
      </c>
      <c r="D275" s="159">
        <v>44822</v>
      </c>
      <c r="E275" s="158" t="s">
        <v>537</v>
      </c>
      <c r="F275" s="158" t="s">
        <v>257</v>
      </c>
      <c r="G275" s="158" t="s">
        <v>535</v>
      </c>
      <c r="H275" s="170">
        <v>149.74</v>
      </c>
      <c r="I275" s="170">
        <v>0</v>
      </c>
      <c r="J275" s="170">
        <f t="shared" si="13"/>
        <v>149.74</v>
      </c>
      <c r="K275" s="152"/>
      <c r="L275" s="152"/>
      <c r="M275" s="152"/>
      <c r="N275" s="152"/>
      <c r="O275" s="153"/>
      <c r="P275" s="92"/>
    </row>
    <row r="276" spans="1:16" ht="14.4">
      <c r="A276" s="10">
        <f t="shared" si="14"/>
        <v>267</v>
      </c>
      <c r="B276" s="157">
        <v>930.13</v>
      </c>
      <c r="C276" s="158" t="s">
        <v>498</v>
      </c>
      <c r="D276" s="159">
        <v>44883</v>
      </c>
      <c r="E276" s="158" t="s">
        <v>537</v>
      </c>
      <c r="F276" s="158" t="s">
        <v>257</v>
      </c>
      <c r="G276" s="158" t="s">
        <v>535</v>
      </c>
      <c r="H276" s="170">
        <v>138.13</v>
      </c>
      <c r="I276" s="170">
        <v>0</v>
      </c>
      <c r="J276" s="170">
        <f t="shared" si="13"/>
        <v>138.13</v>
      </c>
      <c r="K276" s="152"/>
      <c r="L276" s="152"/>
      <c r="M276" s="152"/>
      <c r="N276" s="152"/>
      <c r="O276" s="153"/>
      <c r="P276" s="92"/>
    </row>
    <row r="277" spans="1:16" ht="14.4">
      <c r="A277" s="10">
        <f t="shared" si="14"/>
        <v>268</v>
      </c>
      <c r="B277" s="157">
        <v>930.13</v>
      </c>
      <c r="C277" s="158" t="s">
        <v>498</v>
      </c>
      <c r="D277" s="159">
        <v>44914</v>
      </c>
      <c r="E277" s="158" t="s">
        <v>537</v>
      </c>
      <c r="F277" s="158" t="s">
        <v>257</v>
      </c>
      <c r="G277" s="158" t="s">
        <v>535</v>
      </c>
      <c r="H277" s="170">
        <v>126.52</v>
      </c>
      <c r="I277" s="170">
        <v>0</v>
      </c>
      <c r="J277" s="170">
        <f t="shared" si="13"/>
        <v>126.52</v>
      </c>
      <c r="K277" s="152"/>
      <c r="L277" s="152"/>
      <c r="M277" s="152"/>
      <c r="N277" s="152"/>
      <c r="O277" s="153"/>
      <c r="P277" s="92"/>
    </row>
    <row r="278" spans="1:16" ht="14.4">
      <c r="A278" s="10">
        <f t="shared" si="14"/>
        <v>269</v>
      </c>
      <c r="B278" s="157">
        <v>930.13</v>
      </c>
      <c r="C278" s="158" t="s">
        <v>498</v>
      </c>
      <c r="D278" s="159">
        <v>44580</v>
      </c>
      <c r="E278" s="158" t="s">
        <v>544</v>
      </c>
      <c r="F278" s="158" t="s">
        <v>257</v>
      </c>
      <c r="G278" s="158" t="s">
        <v>545</v>
      </c>
      <c r="H278" s="170">
        <v>970</v>
      </c>
      <c r="I278" s="170">
        <v>0</v>
      </c>
      <c r="J278" s="170">
        <f>H278-I278</f>
        <v>970</v>
      </c>
      <c r="K278" s="152"/>
      <c r="L278" s="152"/>
      <c r="M278" s="152"/>
      <c r="N278" s="152"/>
      <c r="O278" s="153"/>
      <c r="P278" s="92"/>
    </row>
    <row r="279" spans="1:16" ht="14.4">
      <c r="A279" s="10">
        <f t="shared" si="14"/>
        <v>270</v>
      </c>
      <c r="B279" s="157">
        <v>930.13</v>
      </c>
      <c r="C279" s="158" t="s">
        <v>498</v>
      </c>
      <c r="D279" s="159">
        <v>44580</v>
      </c>
      <c r="E279" s="158" t="s">
        <v>546</v>
      </c>
      <c r="F279" s="158" t="s">
        <v>257</v>
      </c>
      <c r="G279" s="158" t="s">
        <v>545</v>
      </c>
      <c r="H279" s="170">
        <v>970</v>
      </c>
      <c r="I279" s="170">
        <v>0</v>
      </c>
      <c r="J279" s="170">
        <f t="shared" ref="J279:J294" si="15">H279-I279</f>
        <v>970</v>
      </c>
      <c r="K279" s="152"/>
      <c r="L279" s="152"/>
      <c r="M279" s="152"/>
      <c r="N279" s="152"/>
      <c r="O279" s="153"/>
      <c r="P279" s="92"/>
    </row>
    <row r="280" spans="1:16" ht="14.4">
      <c r="A280" s="10">
        <f t="shared" si="14"/>
        <v>271</v>
      </c>
      <c r="B280" s="157">
        <v>930.13</v>
      </c>
      <c r="C280" s="158" t="s">
        <v>498</v>
      </c>
      <c r="D280" s="159">
        <v>44580</v>
      </c>
      <c r="E280" s="158" t="s">
        <v>547</v>
      </c>
      <c r="F280" s="158" t="s">
        <v>257</v>
      </c>
      <c r="G280" s="158" t="s">
        <v>545</v>
      </c>
      <c r="H280" s="170">
        <v>970</v>
      </c>
      <c r="I280" s="170">
        <v>0</v>
      </c>
      <c r="J280" s="170">
        <f t="shared" si="15"/>
        <v>970</v>
      </c>
      <c r="K280" s="152"/>
      <c r="L280" s="152"/>
      <c r="M280" s="152"/>
      <c r="N280" s="152"/>
      <c r="O280" s="153"/>
      <c r="P280" s="92"/>
    </row>
    <row r="281" spans="1:16" ht="14.4">
      <c r="A281" s="10">
        <f t="shared" si="14"/>
        <v>272</v>
      </c>
      <c r="B281" s="157">
        <v>930.13</v>
      </c>
      <c r="C281" s="158" t="s">
        <v>498</v>
      </c>
      <c r="D281" s="159">
        <v>44774</v>
      </c>
      <c r="E281" s="158" t="s">
        <v>548</v>
      </c>
      <c r="F281" s="158"/>
      <c r="G281" s="158" t="s">
        <v>545</v>
      </c>
      <c r="H281" s="170">
        <v>0</v>
      </c>
      <c r="I281" s="170">
        <v>970</v>
      </c>
      <c r="J281" s="170">
        <f t="shared" si="15"/>
        <v>-970</v>
      </c>
      <c r="K281" s="152"/>
      <c r="L281" s="152"/>
      <c r="M281" s="152"/>
      <c r="N281" s="152"/>
      <c r="O281" s="153"/>
      <c r="P281" s="92"/>
    </row>
    <row r="282" spans="1:16" ht="14.4">
      <c r="A282" s="10">
        <f t="shared" si="14"/>
        <v>273</v>
      </c>
      <c r="B282" s="157">
        <v>930.13</v>
      </c>
      <c r="C282" s="158" t="s">
        <v>498</v>
      </c>
      <c r="D282" s="159">
        <v>44792</v>
      </c>
      <c r="E282" s="158" t="s">
        <v>549</v>
      </c>
      <c r="F282" s="158" t="s">
        <v>264</v>
      </c>
      <c r="G282" s="158" t="s">
        <v>550</v>
      </c>
      <c r="H282" s="170">
        <v>301</v>
      </c>
      <c r="I282" s="170">
        <v>0</v>
      </c>
      <c r="J282" s="170">
        <f t="shared" si="15"/>
        <v>301</v>
      </c>
      <c r="K282" s="152"/>
      <c r="L282" s="152"/>
      <c r="M282" s="152"/>
      <c r="N282" s="152"/>
      <c r="O282" s="153"/>
      <c r="P282" s="92"/>
    </row>
    <row r="283" spans="1:16" ht="14.4">
      <c r="A283" s="10">
        <f t="shared" si="14"/>
        <v>274</v>
      </c>
      <c r="B283" s="157">
        <v>930.13</v>
      </c>
      <c r="C283" s="158" t="s">
        <v>498</v>
      </c>
      <c r="D283" s="159">
        <v>44896</v>
      </c>
      <c r="E283" s="158" t="s">
        <v>551</v>
      </c>
      <c r="F283" s="158" t="s">
        <v>552</v>
      </c>
      <c r="G283" s="158" t="s">
        <v>550</v>
      </c>
      <c r="H283" s="170">
        <v>600</v>
      </c>
      <c r="I283" s="170">
        <v>0</v>
      </c>
      <c r="J283" s="170">
        <f t="shared" si="15"/>
        <v>600</v>
      </c>
      <c r="K283" s="152"/>
      <c r="L283" s="152"/>
      <c r="M283" s="152"/>
      <c r="N283" s="152"/>
      <c r="O283" s="153"/>
      <c r="P283" s="92"/>
    </row>
    <row r="284" spans="1:16" ht="14.4">
      <c r="A284" s="10">
        <f t="shared" si="14"/>
        <v>275</v>
      </c>
      <c r="B284" s="157">
        <v>930.13</v>
      </c>
      <c r="C284" s="158" t="s">
        <v>498</v>
      </c>
      <c r="D284" s="159">
        <v>44901</v>
      </c>
      <c r="E284" s="158" t="s">
        <v>553</v>
      </c>
      <c r="F284" s="158" t="s">
        <v>554</v>
      </c>
      <c r="G284" s="158" t="s">
        <v>550</v>
      </c>
      <c r="H284" s="170">
        <v>40</v>
      </c>
      <c r="I284" s="170">
        <v>0</v>
      </c>
      <c r="J284" s="170">
        <f t="shared" si="15"/>
        <v>40</v>
      </c>
      <c r="K284" s="152"/>
      <c r="L284" s="152"/>
      <c r="M284" s="152"/>
      <c r="N284" s="152"/>
      <c r="O284" s="153"/>
      <c r="P284" s="92"/>
    </row>
    <row r="285" spans="1:16" ht="14.4">
      <c r="A285" s="10">
        <f t="shared" si="14"/>
        <v>276</v>
      </c>
      <c r="B285" s="157">
        <v>930.13</v>
      </c>
      <c r="C285" s="158" t="s">
        <v>498</v>
      </c>
      <c r="D285" s="159">
        <v>44914</v>
      </c>
      <c r="E285" s="158" t="s">
        <v>555</v>
      </c>
      <c r="F285" s="158" t="s">
        <v>257</v>
      </c>
      <c r="G285" s="158" t="s">
        <v>550</v>
      </c>
      <c r="H285" s="170">
        <v>225</v>
      </c>
      <c r="I285" s="170">
        <v>0</v>
      </c>
      <c r="J285" s="170">
        <f t="shared" si="15"/>
        <v>225</v>
      </c>
      <c r="K285" s="152"/>
      <c r="L285" s="152"/>
      <c r="M285" s="152"/>
      <c r="N285" s="152"/>
      <c r="O285" s="153"/>
      <c r="P285" s="92"/>
    </row>
    <row r="286" spans="1:16" ht="14.4">
      <c r="A286" s="10">
        <f t="shared" si="14"/>
        <v>277</v>
      </c>
      <c r="B286" s="157">
        <v>930.13</v>
      </c>
      <c r="C286" s="158" t="s">
        <v>498</v>
      </c>
      <c r="D286" s="159">
        <v>44914</v>
      </c>
      <c r="E286" s="158" t="s">
        <v>556</v>
      </c>
      <c r="F286" s="158" t="s">
        <v>257</v>
      </c>
      <c r="G286" s="158" t="s">
        <v>550</v>
      </c>
      <c r="H286" s="170">
        <v>82.17</v>
      </c>
      <c r="I286" s="170">
        <v>0</v>
      </c>
      <c r="J286" s="170">
        <f t="shared" si="15"/>
        <v>82.17</v>
      </c>
      <c r="K286" s="152"/>
      <c r="L286" s="152"/>
      <c r="M286" s="152"/>
      <c r="N286" s="152"/>
      <c r="O286" s="153"/>
      <c r="P286" s="92"/>
    </row>
    <row r="287" spans="1:16" ht="14.4">
      <c r="A287" s="10">
        <f t="shared" si="14"/>
        <v>278</v>
      </c>
      <c r="B287" s="157">
        <v>930.13</v>
      </c>
      <c r="C287" s="158" t="s">
        <v>498</v>
      </c>
      <c r="D287" s="159">
        <v>44914</v>
      </c>
      <c r="E287" s="158" t="s">
        <v>557</v>
      </c>
      <c r="F287" s="158" t="s">
        <v>257</v>
      </c>
      <c r="G287" s="158" t="s">
        <v>550</v>
      </c>
      <c r="H287" s="170">
        <v>10</v>
      </c>
      <c r="I287" s="170">
        <v>0</v>
      </c>
      <c r="J287" s="170">
        <f t="shared" si="15"/>
        <v>10</v>
      </c>
      <c r="K287" s="152"/>
      <c r="L287" s="152"/>
      <c r="M287" s="152"/>
      <c r="N287" s="152"/>
      <c r="O287" s="153"/>
      <c r="P287" s="92"/>
    </row>
    <row r="288" spans="1:16" ht="14.4">
      <c r="A288" s="10">
        <f t="shared" si="14"/>
        <v>279</v>
      </c>
      <c r="B288" s="157">
        <v>930.13</v>
      </c>
      <c r="C288" s="158" t="s">
        <v>498</v>
      </c>
      <c r="D288" s="159">
        <v>44926</v>
      </c>
      <c r="E288" s="158" t="s">
        <v>558</v>
      </c>
      <c r="F288" s="158"/>
      <c r="G288" s="158" t="s">
        <v>550</v>
      </c>
      <c r="H288" s="170">
        <v>0</v>
      </c>
      <c r="I288" s="170">
        <v>600</v>
      </c>
      <c r="J288" s="170">
        <f t="shared" si="15"/>
        <v>-600</v>
      </c>
      <c r="K288" s="152"/>
      <c r="L288" s="152"/>
      <c r="M288" s="152"/>
      <c r="N288" s="152"/>
      <c r="O288" s="153"/>
      <c r="P288" s="92"/>
    </row>
    <row r="289" spans="1:16" ht="14.4">
      <c r="A289" s="10">
        <f t="shared" si="14"/>
        <v>280</v>
      </c>
      <c r="B289" s="157">
        <v>930.13</v>
      </c>
      <c r="C289" s="158" t="s">
        <v>498</v>
      </c>
      <c r="D289" s="159">
        <v>44875</v>
      </c>
      <c r="E289" s="158" t="s">
        <v>559</v>
      </c>
      <c r="F289" s="158" t="s">
        <v>554</v>
      </c>
      <c r="G289" s="158" t="s">
        <v>560</v>
      </c>
      <c r="H289" s="170">
        <v>350</v>
      </c>
      <c r="I289" s="170">
        <v>0</v>
      </c>
      <c r="J289" s="170">
        <f t="shared" si="15"/>
        <v>350</v>
      </c>
      <c r="K289" s="152"/>
      <c r="L289" s="152"/>
      <c r="M289" s="152"/>
      <c r="N289" s="152"/>
      <c r="O289" s="153"/>
      <c r="P289" s="92"/>
    </row>
    <row r="290" spans="1:16" ht="14.4">
      <c r="A290" s="10">
        <f t="shared" si="14"/>
        <v>281</v>
      </c>
      <c r="B290" s="157">
        <v>930.13</v>
      </c>
      <c r="C290" s="158" t="s">
        <v>498</v>
      </c>
      <c r="D290" s="159">
        <v>44883</v>
      </c>
      <c r="E290" s="158" t="s">
        <v>561</v>
      </c>
      <c r="F290" s="158" t="s">
        <v>257</v>
      </c>
      <c r="G290" s="158" t="s">
        <v>560</v>
      </c>
      <c r="H290" s="170">
        <v>148.02000000000001</v>
      </c>
      <c r="I290" s="170">
        <v>0</v>
      </c>
      <c r="J290" s="170">
        <f t="shared" si="15"/>
        <v>148.02000000000001</v>
      </c>
      <c r="K290" s="152"/>
      <c r="L290" s="152"/>
      <c r="M290" s="152"/>
      <c r="N290" s="152"/>
      <c r="O290" s="153"/>
      <c r="P290" s="92"/>
    </row>
    <row r="291" spans="1:16" ht="14.4">
      <c r="A291" s="10">
        <f t="shared" si="14"/>
        <v>282</v>
      </c>
      <c r="B291" s="157">
        <v>930.13</v>
      </c>
      <c r="C291" s="158" t="s">
        <v>498</v>
      </c>
      <c r="D291" s="159">
        <v>44883</v>
      </c>
      <c r="E291" s="158" t="s">
        <v>562</v>
      </c>
      <c r="F291" s="158" t="s">
        <v>257</v>
      </c>
      <c r="G291" s="158" t="s">
        <v>560</v>
      </c>
      <c r="H291" s="170">
        <v>534.16</v>
      </c>
      <c r="I291" s="170">
        <v>0</v>
      </c>
      <c r="J291" s="170">
        <f t="shared" si="15"/>
        <v>534.16</v>
      </c>
      <c r="K291" s="152"/>
      <c r="L291" s="152"/>
      <c r="M291" s="152"/>
      <c r="N291" s="152"/>
      <c r="O291" s="153"/>
      <c r="P291" s="92"/>
    </row>
    <row r="292" spans="1:16" ht="14.4">
      <c r="A292" s="10">
        <f t="shared" si="14"/>
        <v>283</v>
      </c>
      <c r="B292" s="157">
        <v>930.13</v>
      </c>
      <c r="C292" s="158" t="s">
        <v>498</v>
      </c>
      <c r="D292" s="159">
        <v>44883</v>
      </c>
      <c r="E292" s="158" t="s">
        <v>563</v>
      </c>
      <c r="F292" s="158" t="s">
        <v>255</v>
      </c>
      <c r="G292" s="158" t="s">
        <v>560</v>
      </c>
      <c r="H292" s="170">
        <v>650</v>
      </c>
      <c r="I292" s="170">
        <v>0</v>
      </c>
      <c r="J292" s="170">
        <f t="shared" si="15"/>
        <v>650</v>
      </c>
      <c r="K292" s="152"/>
      <c r="L292" s="152"/>
      <c r="M292" s="152"/>
      <c r="N292" s="152"/>
      <c r="O292" s="153"/>
      <c r="P292" s="92"/>
    </row>
    <row r="293" spans="1:16" ht="14.4">
      <c r="A293" s="10">
        <f t="shared" si="14"/>
        <v>284</v>
      </c>
      <c r="B293" s="157">
        <v>930.13</v>
      </c>
      <c r="C293" s="158" t="s">
        <v>498</v>
      </c>
      <c r="D293" s="159">
        <v>44914</v>
      </c>
      <c r="E293" s="158" t="s">
        <v>564</v>
      </c>
      <c r="F293" s="158" t="s">
        <v>257</v>
      </c>
      <c r="G293" s="158" t="s">
        <v>560</v>
      </c>
      <c r="H293" s="170">
        <v>200</v>
      </c>
      <c r="I293" s="170">
        <v>0</v>
      </c>
      <c r="J293" s="170">
        <f t="shared" si="15"/>
        <v>200</v>
      </c>
      <c r="K293" s="152"/>
      <c r="L293" s="152"/>
      <c r="M293" s="152"/>
      <c r="N293" s="152"/>
      <c r="O293" s="153"/>
      <c r="P293" s="92"/>
    </row>
    <row r="294" spans="1:16" ht="14.4">
      <c r="A294" s="10">
        <f t="shared" si="14"/>
        <v>285</v>
      </c>
      <c r="B294" s="157">
        <v>930.13</v>
      </c>
      <c r="C294" s="158" t="s">
        <v>498</v>
      </c>
      <c r="D294" s="159">
        <v>44914</v>
      </c>
      <c r="E294" s="158" t="s">
        <v>565</v>
      </c>
      <c r="F294" s="158" t="s">
        <v>257</v>
      </c>
      <c r="G294" s="158" t="s">
        <v>560</v>
      </c>
      <c r="H294" s="170">
        <v>1000</v>
      </c>
      <c r="I294" s="170">
        <v>0</v>
      </c>
      <c r="J294" s="170">
        <f t="shared" si="15"/>
        <v>1000</v>
      </c>
      <c r="K294" s="152"/>
      <c r="L294" s="152"/>
      <c r="M294" s="152"/>
      <c r="N294" s="152"/>
      <c r="O294" s="153"/>
      <c r="P294" s="92"/>
    </row>
    <row r="295" spans="1:16" ht="14.4">
      <c r="A295" s="10">
        <f t="shared" si="14"/>
        <v>286</v>
      </c>
      <c r="B295" s="157">
        <v>930.13</v>
      </c>
      <c r="C295" s="158" t="s">
        <v>498</v>
      </c>
      <c r="D295" s="159">
        <v>44592</v>
      </c>
      <c r="E295" s="158" t="s">
        <v>566</v>
      </c>
      <c r="F295" s="158"/>
      <c r="G295" s="158" t="s">
        <v>567</v>
      </c>
      <c r="H295" s="170">
        <v>723.2</v>
      </c>
      <c r="I295" s="170">
        <v>0</v>
      </c>
      <c r="J295" s="170"/>
      <c r="K295" s="152"/>
      <c r="L295" s="152"/>
      <c r="M295" s="152"/>
      <c r="N295" s="152"/>
      <c r="O295" s="153"/>
      <c r="P295" s="92"/>
    </row>
    <row r="296" spans="1:16" ht="14.4">
      <c r="A296" s="10">
        <f t="shared" si="14"/>
        <v>287</v>
      </c>
      <c r="B296" s="157">
        <v>930.13</v>
      </c>
      <c r="C296" s="158" t="s">
        <v>498</v>
      </c>
      <c r="D296" s="159">
        <v>44620</v>
      </c>
      <c r="E296" s="158" t="s">
        <v>566</v>
      </c>
      <c r="F296" s="158"/>
      <c r="G296" s="158" t="s">
        <v>567</v>
      </c>
      <c r="H296" s="170">
        <v>723.2</v>
      </c>
      <c r="I296" s="170">
        <v>0</v>
      </c>
      <c r="J296" s="170"/>
      <c r="K296" s="152"/>
      <c r="L296" s="152"/>
      <c r="M296" s="152"/>
      <c r="N296" s="152"/>
      <c r="O296" s="153"/>
      <c r="P296" s="92"/>
    </row>
    <row r="297" spans="1:16" ht="14.4">
      <c r="A297" s="10">
        <f t="shared" si="14"/>
        <v>288</v>
      </c>
      <c r="B297" s="157">
        <v>930.13</v>
      </c>
      <c r="C297" s="158" t="s">
        <v>498</v>
      </c>
      <c r="D297" s="159">
        <v>44651</v>
      </c>
      <c r="E297" s="158" t="s">
        <v>566</v>
      </c>
      <c r="F297" s="158"/>
      <c r="G297" s="158" t="s">
        <v>567</v>
      </c>
      <c r="H297" s="170">
        <v>723.2</v>
      </c>
      <c r="I297" s="170">
        <v>0</v>
      </c>
      <c r="J297" s="170"/>
      <c r="K297" s="152"/>
      <c r="L297" s="152"/>
      <c r="M297" s="152"/>
      <c r="N297" s="152"/>
      <c r="O297" s="153"/>
      <c r="P297" s="92"/>
    </row>
    <row r="298" spans="1:16" ht="14.4">
      <c r="A298" s="10">
        <f t="shared" si="14"/>
        <v>289</v>
      </c>
      <c r="B298" s="157">
        <v>930.13</v>
      </c>
      <c r="C298" s="158" t="s">
        <v>498</v>
      </c>
      <c r="D298" s="159">
        <v>44681</v>
      </c>
      <c r="E298" s="158" t="s">
        <v>566</v>
      </c>
      <c r="F298" s="158"/>
      <c r="G298" s="158" t="s">
        <v>567</v>
      </c>
      <c r="H298" s="170">
        <v>723.2</v>
      </c>
      <c r="I298" s="170">
        <v>0</v>
      </c>
      <c r="J298" s="170"/>
      <c r="K298" s="152"/>
      <c r="L298" s="152"/>
      <c r="M298" s="152"/>
      <c r="N298" s="152"/>
      <c r="O298" s="153"/>
      <c r="P298" s="92"/>
    </row>
    <row r="299" spans="1:16" ht="14.4">
      <c r="A299" s="10">
        <f t="shared" si="14"/>
        <v>290</v>
      </c>
      <c r="B299" s="157">
        <v>930.13</v>
      </c>
      <c r="C299" s="158" t="s">
        <v>498</v>
      </c>
      <c r="D299" s="159">
        <v>44712</v>
      </c>
      <c r="E299" s="158" t="s">
        <v>566</v>
      </c>
      <c r="F299" s="158"/>
      <c r="G299" s="158" t="s">
        <v>567</v>
      </c>
      <c r="H299" s="170">
        <v>723.2</v>
      </c>
      <c r="I299" s="170">
        <v>0</v>
      </c>
      <c r="J299" s="170"/>
      <c r="K299" s="152"/>
      <c r="L299" s="152"/>
      <c r="M299" s="152"/>
      <c r="N299" s="152"/>
      <c r="O299" s="153"/>
      <c r="P299" s="92"/>
    </row>
    <row r="300" spans="1:16" ht="14.4">
      <c r="A300" s="10">
        <f t="shared" si="14"/>
        <v>291</v>
      </c>
      <c r="B300" s="157">
        <v>930.13</v>
      </c>
      <c r="C300" s="158" t="s">
        <v>498</v>
      </c>
      <c r="D300" s="159">
        <v>44742</v>
      </c>
      <c r="E300" s="158" t="s">
        <v>568</v>
      </c>
      <c r="F300" s="158"/>
      <c r="G300" s="158" t="s">
        <v>567</v>
      </c>
      <c r="H300" s="170">
        <v>723.2</v>
      </c>
      <c r="I300" s="170">
        <v>0</v>
      </c>
      <c r="J300" s="170"/>
      <c r="K300" s="152"/>
      <c r="L300" s="152"/>
      <c r="M300" s="152"/>
      <c r="N300" s="152"/>
      <c r="O300" s="153"/>
      <c r="P300" s="92"/>
    </row>
    <row r="301" spans="1:16" ht="14.4">
      <c r="A301" s="10">
        <f t="shared" si="14"/>
        <v>292</v>
      </c>
      <c r="B301" s="157">
        <v>930.13</v>
      </c>
      <c r="C301" s="158" t="s">
        <v>498</v>
      </c>
      <c r="D301" s="159">
        <v>44773</v>
      </c>
      <c r="E301" s="158" t="s">
        <v>568</v>
      </c>
      <c r="F301" s="158"/>
      <c r="G301" s="158" t="s">
        <v>567</v>
      </c>
      <c r="H301" s="170">
        <v>723.2</v>
      </c>
      <c r="I301" s="170">
        <v>0</v>
      </c>
      <c r="J301" s="170"/>
      <c r="K301" s="152"/>
      <c r="L301" s="152"/>
      <c r="M301" s="152"/>
      <c r="N301" s="152"/>
      <c r="O301" s="153"/>
      <c r="P301" s="92"/>
    </row>
    <row r="302" spans="1:16" ht="14.4">
      <c r="A302" s="10">
        <f t="shared" si="14"/>
        <v>293</v>
      </c>
      <c r="B302" s="157">
        <v>930.13</v>
      </c>
      <c r="C302" s="158" t="s">
        <v>498</v>
      </c>
      <c r="D302" s="159">
        <v>44804</v>
      </c>
      <c r="E302" s="158" t="s">
        <v>568</v>
      </c>
      <c r="F302" s="158"/>
      <c r="G302" s="158" t="s">
        <v>567</v>
      </c>
      <c r="H302" s="170">
        <v>723.2</v>
      </c>
      <c r="I302" s="170">
        <v>0</v>
      </c>
      <c r="J302" s="170"/>
      <c r="K302" s="152"/>
      <c r="L302" s="152"/>
      <c r="M302" s="152"/>
      <c r="N302" s="152"/>
      <c r="O302" s="153"/>
      <c r="P302" s="92"/>
    </row>
    <row r="303" spans="1:16" ht="14.4">
      <c r="A303" s="10">
        <f t="shared" si="14"/>
        <v>294</v>
      </c>
      <c r="B303" s="157">
        <v>930.13</v>
      </c>
      <c r="C303" s="158" t="s">
        <v>498</v>
      </c>
      <c r="D303" s="159">
        <v>44834</v>
      </c>
      <c r="E303" s="158" t="s">
        <v>568</v>
      </c>
      <c r="F303" s="158"/>
      <c r="G303" s="158" t="s">
        <v>567</v>
      </c>
      <c r="H303" s="170">
        <v>723.2</v>
      </c>
      <c r="I303" s="170">
        <v>0</v>
      </c>
      <c r="J303" s="170"/>
      <c r="K303" s="152"/>
      <c r="L303" s="152"/>
      <c r="M303" s="152"/>
      <c r="N303" s="152"/>
      <c r="O303" s="153"/>
      <c r="P303" s="92"/>
    </row>
    <row r="304" spans="1:16" ht="14.4">
      <c r="A304" s="10">
        <f t="shared" si="14"/>
        <v>295</v>
      </c>
      <c r="B304" s="157">
        <v>930.13</v>
      </c>
      <c r="C304" s="158" t="s">
        <v>498</v>
      </c>
      <c r="D304" s="159">
        <v>44865</v>
      </c>
      <c r="E304" s="158" t="s">
        <v>568</v>
      </c>
      <c r="F304" s="158"/>
      <c r="G304" s="158" t="s">
        <v>567</v>
      </c>
      <c r="H304" s="170">
        <v>723.2</v>
      </c>
      <c r="I304" s="170">
        <v>0</v>
      </c>
      <c r="J304" s="170"/>
      <c r="K304" s="152"/>
      <c r="L304" s="152"/>
      <c r="M304" s="152"/>
      <c r="N304" s="152"/>
      <c r="O304" s="153"/>
      <c r="P304" s="92"/>
    </row>
    <row r="305" spans="1:16" ht="14.4">
      <c r="A305" s="10">
        <f t="shared" si="14"/>
        <v>296</v>
      </c>
      <c r="B305" s="157">
        <v>930.13</v>
      </c>
      <c r="C305" s="158" t="s">
        <v>498</v>
      </c>
      <c r="D305" s="159">
        <v>44895</v>
      </c>
      <c r="E305" s="158" t="s">
        <v>568</v>
      </c>
      <c r="F305" s="158"/>
      <c r="G305" s="158" t="s">
        <v>567</v>
      </c>
      <c r="H305" s="170">
        <v>723.2</v>
      </c>
      <c r="I305" s="170">
        <v>0</v>
      </c>
      <c r="J305" s="170"/>
      <c r="K305" s="152"/>
      <c r="L305" s="152"/>
      <c r="M305" s="152"/>
      <c r="N305" s="152"/>
      <c r="O305" s="153"/>
      <c r="P305" s="92"/>
    </row>
    <row r="306" spans="1:16" ht="14.4">
      <c r="A306" s="10">
        <f t="shared" si="14"/>
        <v>297</v>
      </c>
      <c r="B306" s="157">
        <v>930.13</v>
      </c>
      <c r="C306" s="158" t="s">
        <v>498</v>
      </c>
      <c r="D306" s="159">
        <v>44926</v>
      </c>
      <c r="E306" s="158" t="s">
        <v>568</v>
      </c>
      <c r="F306" s="158"/>
      <c r="G306" s="158" t="s">
        <v>567</v>
      </c>
      <c r="H306" s="170">
        <v>723.2</v>
      </c>
      <c r="I306" s="170">
        <v>0</v>
      </c>
      <c r="J306" s="170"/>
      <c r="K306" s="152"/>
      <c r="L306" s="152"/>
      <c r="M306" s="152"/>
      <c r="N306" s="152"/>
      <c r="O306" s="153"/>
      <c r="P306" s="92"/>
    </row>
    <row r="307" spans="1:16" ht="14.4">
      <c r="A307" s="10">
        <f t="shared" si="14"/>
        <v>298</v>
      </c>
      <c r="B307" s="160">
        <v>930.13</v>
      </c>
      <c r="C307" s="161" t="s">
        <v>498</v>
      </c>
      <c r="D307" s="162">
        <v>44910</v>
      </c>
      <c r="E307" s="161" t="s">
        <v>569</v>
      </c>
      <c r="F307" s="161" t="s">
        <v>256</v>
      </c>
      <c r="G307" s="161" t="s">
        <v>570</v>
      </c>
      <c r="H307" s="172">
        <v>479.33</v>
      </c>
      <c r="I307" s="172">
        <v>0</v>
      </c>
      <c r="J307" s="172"/>
      <c r="K307" s="152"/>
      <c r="L307" s="152"/>
      <c r="M307" s="152"/>
      <c r="N307" s="152"/>
      <c r="O307" s="153"/>
      <c r="P307" s="92"/>
    </row>
    <row r="308" spans="1:16" ht="14.4">
      <c r="A308" s="10">
        <f t="shared" si="14"/>
        <v>299</v>
      </c>
      <c r="B308"/>
      <c r="C308"/>
      <c r="D308"/>
      <c r="E308"/>
      <c r="F308"/>
      <c r="G308"/>
      <c r="H308" s="167"/>
      <c r="I308" s="167"/>
      <c r="J308" s="167"/>
      <c r="K308" s="152"/>
      <c r="L308" s="152"/>
      <c r="M308" s="152"/>
      <c r="N308" s="152"/>
      <c r="O308" s="153"/>
      <c r="P308" s="92"/>
    </row>
    <row r="309" spans="1:16" ht="14.4">
      <c r="A309" s="10">
        <f t="shared" si="14"/>
        <v>300</v>
      </c>
      <c r="B309" s="103">
        <v>930.11</v>
      </c>
      <c r="C309"/>
      <c r="D309"/>
      <c r="E309"/>
      <c r="F309" s="166"/>
      <c r="G309" s="166"/>
      <c r="H309" s="167">
        <f>SUM(H10:H113)</f>
        <v>52200</v>
      </c>
      <c r="I309" s="167">
        <f t="shared" ref="I309:J309" si="16">SUM(I10:I113)</f>
        <v>1000</v>
      </c>
      <c r="J309" s="167">
        <f t="shared" si="16"/>
        <v>5400</v>
      </c>
      <c r="K309" s="152"/>
      <c r="L309" s="152"/>
      <c r="M309" s="152"/>
      <c r="N309" s="152"/>
      <c r="O309" s="153"/>
      <c r="P309" s="92"/>
    </row>
    <row r="310" spans="1:16" ht="14.4">
      <c r="A310" s="10">
        <f t="shared" si="14"/>
        <v>301</v>
      </c>
      <c r="B310" s="103">
        <v>931.12</v>
      </c>
      <c r="C310"/>
      <c r="D310"/>
      <c r="E310"/>
      <c r="F310" s="166"/>
      <c r="G310" s="166"/>
      <c r="H310" s="167">
        <f>SUM(H114:H213)</f>
        <v>1694.4200000000019</v>
      </c>
      <c r="I310" s="167">
        <f t="shared" ref="I310:J310" si="17">SUM(I114:I213)</f>
        <v>33.879999999999995</v>
      </c>
      <c r="J310" s="167">
        <f t="shared" si="17"/>
        <v>0</v>
      </c>
      <c r="K310" s="152"/>
      <c r="L310" s="152"/>
      <c r="M310" s="152"/>
      <c r="N310" s="152"/>
      <c r="O310" s="153"/>
      <c r="P310" s="92"/>
    </row>
    <row r="311" spans="1:16" ht="14.4">
      <c r="A311" s="10">
        <f t="shared" si="14"/>
        <v>302</v>
      </c>
      <c r="B311" s="103">
        <v>930.13</v>
      </c>
      <c r="C311"/>
      <c r="D311"/>
      <c r="E311"/>
      <c r="F311" s="166"/>
      <c r="G311" s="166"/>
      <c r="H311" s="167">
        <f>SUM(H214:H307)</f>
        <v>25075.090000000007</v>
      </c>
      <c r="I311" s="167">
        <f t="shared" ref="I311:J311" si="18">SUM(I214:I307)</f>
        <v>1713.93</v>
      </c>
      <c r="J311" s="167">
        <f t="shared" si="18"/>
        <v>10709.33</v>
      </c>
      <c r="K311" s="152"/>
      <c r="L311" s="152"/>
      <c r="M311" s="152"/>
      <c r="N311" s="152"/>
      <c r="O311" s="153"/>
      <c r="P311" s="92"/>
    </row>
    <row r="312" spans="1:16" ht="15" thickBot="1">
      <c r="A312" s="10">
        <f t="shared" si="14"/>
        <v>303</v>
      </c>
      <c r="B312" s="168" t="s">
        <v>14</v>
      </c>
      <c r="C312" s="168"/>
      <c r="D312" s="168"/>
      <c r="E312" s="168"/>
      <c r="F312" s="168"/>
      <c r="G312" s="168"/>
      <c r="H312" s="175">
        <f>SUM(H309:H311)</f>
        <v>78969.510000000009</v>
      </c>
      <c r="I312" s="175">
        <f t="shared" ref="I312:J312" si="19">SUM(I309:I311)</f>
        <v>2747.8100000000004</v>
      </c>
      <c r="J312" s="175">
        <f t="shared" si="19"/>
        <v>16109.33</v>
      </c>
      <c r="K312" s="152"/>
      <c r="L312" s="152"/>
      <c r="M312" s="152"/>
      <c r="N312" s="152"/>
      <c r="O312" s="153"/>
      <c r="P312" s="92"/>
    </row>
    <row r="313" spans="1:16" ht="15" thickTop="1">
      <c r="A313" s="10">
        <f t="shared" si="14"/>
        <v>304</v>
      </c>
      <c r="B313"/>
      <c r="C313"/>
      <c r="D313"/>
      <c r="E313"/>
      <c r="F313"/>
      <c r="G313"/>
      <c r="H313"/>
      <c r="I313"/>
      <c r="J313"/>
      <c r="K313" s="152"/>
      <c r="L313" s="152"/>
      <c r="M313" s="152"/>
      <c r="N313" s="152"/>
      <c r="O313" s="153"/>
      <c r="P313" s="92"/>
    </row>
    <row r="314" spans="1:16" ht="14.4">
      <c r="A314" s="10">
        <f t="shared" si="14"/>
        <v>305</v>
      </c>
      <c r="B314" t="s">
        <v>39</v>
      </c>
      <c r="C314"/>
      <c r="D314"/>
      <c r="E314"/>
      <c r="F314"/>
      <c r="G314"/>
      <c r="H314" s="169">
        <f>H312-I312</f>
        <v>76221.700000000012</v>
      </c>
      <c r="I314"/>
      <c r="J314"/>
      <c r="K314" s="152"/>
      <c r="L314" s="152"/>
      <c r="M314" s="152"/>
      <c r="N314" s="152"/>
      <c r="O314" s="153"/>
      <c r="P314" s="92"/>
    </row>
    <row r="315" spans="1:16" ht="14.4">
      <c r="A315" s="10">
        <f t="shared" si="14"/>
        <v>306</v>
      </c>
      <c r="B315"/>
      <c r="C315"/>
      <c r="D315"/>
      <c r="E315"/>
      <c r="F315"/>
      <c r="G315"/>
      <c r="H315"/>
      <c r="I315"/>
      <c r="J315"/>
      <c r="K315" s="152"/>
      <c r="L315" s="152"/>
      <c r="M315" s="152"/>
      <c r="N315" s="152"/>
      <c r="O315" s="153"/>
      <c r="P315" s="92"/>
    </row>
    <row r="316" spans="1:16" ht="14.4">
      <c r="A316" s="10">
        <f t="shared" si="14"/>
        <v>307</v>
      </c>
      <c r="B316" t="s">
        <v>260</v>
      </c>
      <c r="C316"/>
      <c r="D316"/>
      <c r="E316"/>
      <c r="F316"/>
      <c r="G316"/>
      <c r="H316" s="169">
        <f>H312-I312-J312</f>
        <v>60112.37000000001</v>
      </c>
      <c r="I316"/>
      <c r="J316"/>
      <c r="K316" s="152"/>
      <c r="L316" s="152"/>
      <c r="M316" s="152"/>
      <c r="N316" s="152"/>
      <c r="O316" s="153"/>
      <c r="P316" s="92"/>
    </row>
    <row r="317" spans="1:16" ht="14.4">
      <c r="A317" s="10">
        <f t="shared" si="14"/>
        <v>308</v>
      </c>
      <c r="B317"/>
      <c r="C317"/>
      <c r="D317"/>
      <c r="E317"/>
      <c r="F317"/>
      <c r="G317"/>
      <c r="H317"/>
      <c r="I317"/>
      <c r="J317"/>
      <c r="K317" s="152"/>
      <c r="L317" s="152"/>
      <c r="M317" s="152"/>
      <c r="N317" s="152"/>
      <c r="O317" s="153"/>
      <c r="P317" s="92"/>
    </row>
    <row r="318" spans="1:16" ht="14.4">
      <c r="A318" s="10">
        <f t="shared" si="14"/>
        <v>309</v>
      </c>
      <c r="B318" t="s">
        <v>15</v>
      </c>
      <c r="C318"/>
      <c r="D318"/>
      <c r="E318"/>
      <c r="F318"/>
      <c r="G318"/>
      <c r="H318" s="181">
        <f>H316-H314</f>
        <v>-16109.330000000002</v>
      </c>
      <c r="I318"/>
      <c r="J318"/>
      <c r="K318" s="152"/>
      <c r="L318" s="152"/>
      <c r="M318" s="152"/>
      <c r="N318" s="152"/>
      <c r="O318" s="153"/>
      <c r="P318" s="92"/>
    </row>
    <row r="319" spans="1:16">
      <c r="A319" s="10"/>
      <c r="B319" s="53"/>
      <c r="C319" s="83"/>
      <c r="D319" s="83"/>
      <c r="E319" s="152"/>
      <c r="F319" s="150"/>
      <c r="G319" s="152"/>
      <c r="H319" s="152"/>
      <c r="I319" s="152"/>
      <c r="J319" s="152"/>
      <c r="K319" s="152"/>
      <c r="L319" s="152"/>
      <c r="M319" s="152"/>
      <c r="N319" s="152"/>
      <c r="O319" s="153"/>
      <c r="P319" s="92"/>
    </row>
    <row r="320" spans="1:16">
      <c r="A320" s="10"/>
      <c r="B320" s="53"/>
      <c r="C320" s="83"/>
      <c r="D320" s="83"/>
      <c r="E320" s="152"/>
      <c r="F320" s="150"/>
      <c r="G320" s="152"/>
      <c r="H320" s="152"/>
      <c r="I320" s="152"/>
      <c r="J320" s="152"/>
      <c r="K320" s="152"/>
      <c r="L320" s="152"/>
      <c r="M320" s="152"/>
      <c r="N320" s="152"/>
      <c r="O320" s="153"/>
      <c r="P320" s="92"/>
    </row>
    <row r="321" spans="1:23" ht="49.2" customHeight="1">
      <c r="A321" s="10"/>
      <c r="B321" s="189" t="s">
        <v>571</v>
      </c>
      <c r="C321" s="189"/>
      <c r="D321" s="189"/>
      <c r="E321" s="189"/>
      <c r="F321" s="189"/>
      <c r="G321" s="189"/>
      <c r="H321" s="189"/>
      <c r="I321" s="189"/>
      <c r="J321" s="189"/>
      <c r="K321" s="9"/>
      <c r="L321" s="9"/>
      <c r="M321" s="9"/>
      <c r="N321" s="9"/>
      <c r="O321" s="93"/>
      <c r="P321" s="82"/>
    </row>
    <row r="322" spans="1:23" ht="57.75" customHeight="1">
      <c r="A322" s="10"/>
      <c r="O322" s="93"/>
      <c r="P322" s="82"/>
    </row>
    <row r="323" spans="1:23">
      <c r="A323" s="10"/>
      <c r="E323" s="90"/>
      <c r="H323" s="89"/>
      <c r="I323" s="53"/>
      <c r="J323" s="53"/>
      <c r="K323" s="53"/>
      <c r="L323" s="90"/>
      <c r="M323" s="90"/>
      <c r="N323" s="90"/>
      <c r="O323" s="60"/>
      <c r="P323" s="90"/>
      <c r="Q323" s="90"/>
      <c r="R323" s="90"/>
      <c r="S323" s="90"/>
      <c r="T323" s="90"/>
      <c r="U323" s="90"/>
      <c r="V323" s="91"/>
      <c r="W323" s="82"/>
    </row>
    <row r="324" spans="1:23">
      <c r="E324" s="90"/>
      <c r="H324" s="89"/>
      <c r="I324" s="53"/>
      <c r="J324" s="53"/>
      <c r="K324" s="53"/>
      <c r="L324" s="90"/>
      <c r="M324" s="90"/>
      <c r="N324" s="90"/>
      <c r="O324" s="60"/>
      <c r="P324" s="90"/>
      <c r="Q324" s="90"/>
      <c r="R324" s="90"/>
      <c r="S324" s="90"/>
      <c r="T324" s="90"/>
      <c r="U324" s="90"/>
      <c r="V324" s="91"/>
      <c r="W324" s="82"/>
    </row>
    <row r="325" spans="1:23">
      <c r="H325" s="89"/>
      <c r="I325" s="53"/>
      <c r="J325" s="53"/>
      <c r="K325" s="53"/>
      <c r="L325" s="90"/>
      <c r="M325" s="90"/>
      <c r="N325" s="90"/>
      <c r="O325" s="60"/>
      <c r="P325" s="90"/>
      <c r="Q325" s="90"/>
      <c r="R325" s="90"/>
      <c r="S325" s="90"/>
      <c r="T325" s="90"/>
      <c r="U325" s="90"/>
      <c r="V325" s="91"/>
      <c r="W325" s="82"/>
    </row>
  </sheetData>
  <mergeCells count="4">
    <mergeCell ref="B321:J321"/>
    <mergeCell ref="A3:J3"/>
    <mergeCell ref="A4:J4"/>
    <mergeCell ref="A6:J6"/>
  </mergeCells>
  <printOptions horizontalCentered="1"/>
  <pageMargins left="0.25" right="0.25" top="0.75" bottom="0.75" header="0.5" footer="0.25"/>
  <pageSetup scale="57" fitToHeight="5" orientation="landscape" r:id="rId1"/>
  <headerFooter alignWithMargins="0">
    <oddFooter>&amp;RExhibit JW-2
Page &amp;P of &amp;N</oddFooter>
  </headerFooter>
  <rowBreaks count="1" manualBreakCount="1">
    <brk id="307" max="9" man="1"/>
  </rowBreaks>
  <colBreaks count="1" manualBreakCount="1">
    <brk id="10" max="32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FBDEB-1138-4E7C-9687-1A33B0EE1BD5}">
  <dimension ref="A1:AN147"/>
  <sheetViews>
    <sheetView view="pageBreakPreview" topLeftCell="A4" zoomScale="60" zoomScaleNormal="100" workbookViewId="0">
      <pane ySplit="7" topLeftCell="A64" activePane="bottomLeft" state="frozen"/>
      <selection activeCell="I69" sqref="I69"/>
      <selection pane="bottomLeft" activeCell="I92" sqref="I92"/>
    </sheetView>
  </sheetViews>
  <sheetFormatPr defaultColWidth="9.109375" defaultRowHeight="13.2"/>
  <cols>
    <col min="1" max="1" width="5.88671875" style="222" customWidth="1"/>
    <col min="2" max="2" width="1.33203125" style="210" customWidth="1"/>
    <col min="3" max="3" width="6.44140625" style="222" customWidth="1"/>
    <col min="4" max="4" width="8.88671875" style="222" customWidth="1"/>
    <col min="5" max="5" width="4.5546875" style="222" customWidth="1"/>
    <col min="6" max="6" width="1.44140625" style="222" customWidth="1"/>
    <col min="7" max="7" width="12.33203125" style="210" customWidth="1"/>
    <col min="8" max="8" width="10.6640625" style="210" customWidth="1"/>
    <col min="9" max="9" width="10" style="210" customWidth="1"/>
    <col min="10" max="10" width="1.33203125" style="210" customWidth="1"/>
    <col min="11" max="11" width="11.6640625" style="210" customWidth="1"/>
    <col min="12" max="12" width="8.88671875" style="210" customWidth="1"/>
    <col min="13" max="13" width="9.6640625" style="210" customWidth="1"/>
    <col min="14" max="14" width="8.33203125" style="210" customWidth="1"/>
    <col min="15" max="15" width="11.5546875" style="210" customWidth="1"/>
    <col min="16" max="16" width="1.109375" style="210" customWidth="1"/>
    <col min="17" max="17" width="9.33203125" style="210" bestFit="1" customWidth="1"/>
    <col min="18" max="18" width="0.88671875" style="210" customWidth="1"/>
    <col min="19" max="19" width="11" style="210" customWidth="1"/>
    <col min="20" max="20" width="9" style="210" customWidth="1"/>
    <col min="21" max="21" width="9.44140625" style="210" customWidth="1"/>
    <col min="22" max="22" width="10" style="210" customWidth="1"/>
    <col min="23" max="23" width="11.33203125" style="210" customWidth="1"/>
    <col min="24" max="24" width="1" style="210" customWidth="1"/>
    <col min="25" max="25" width="11.5546875" style="210" customWidth="1"/>
    <col min="26" max="26" width="9.109375" style="210"/>
    <col min="27" max="27" width="12.88671875" style="219" bestFit="1" customWidth="1"/>
    <col min="28" max="16384" width="9.109375" style="210"/>
  </cols>
  <sheetData>
    <row r="1" spans="1:40">
      <c r="Y1" s="223" t="s">
        <v>142</v>
      </c>
    </row>
    <row r="2" spans="1:40" ht="9.75" customHeight="1">
      <c r="K2" s="223"/>
    </row>
    <row r="3" spans="1:40">
      <c r="A3" s="224" t="s">
        <v>29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</row>
    <row r="4" spans="1:40">
      <c r="A4" s="224" t="s">
        <v>374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</row>
    <row r="6" spans="1:40" s="226" customFormat="1" ht="15" customHeight="1">
      <c r="A6" s="225" t="s">
        <v>136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AA6" s="219"/>
    </row>
    <row r="7" spans="1:40" ht="7.5" customHeight="1">
      <c r="X7" s="226"/>
    </row>
    <row r="8" spans="1:40" ht="27" customHeight="1">
      <c r="C8" s="227" t="s">
        <v>211</v>
      </c>
      <c r="D8" s="227"/>
      <c r="E8" s="227"/>
      <c r="G8" s="227" t="s">
        <v>195</v>
      </c>
      <c r="H8" s="227"/>
      <c r="I8" s="227"/>
      <c r="K8" s="227" t="s">
        <v>192</v>
      </c>
      <c r="L8" s="227"/>
      <c r="M8" s="227"/>
      <c r="N8" s="227"/>
      <c r="O8" s="227"/>
      <c r="P8" s="222"/>
      <c r="Q8" s="228" t="s">
        <v>627</v>
      </c>
      <c r="S8" s="227" t="s">
        <v>206</v>
      </c>
      <c r="T8" s="227"/>
      <c r="U8" s="227"/>
      <c r="V8" s="227"/>
      <c r="W8" s="227"/>
      <c r="X8" s="226"/>
      <c r="Y8" s="228" t="s">
        <v>213</v>
      </c>
    </row>
    <row r="9" spans="1:40" ht="16.5" customHeight="1">
      <c r="A9" s="222" t="s">
        <v>0</v>
      </c>
      <c r="C9" s="222" t="s">
        <v>205</v>
      </c>
      <c r="D9" s="222" t="s">
        <v>212</v>
      </c>
      <c r="E9" s="222" t="s">
        <v>207</v>
      </c>
      <c r="G9" s="229" t="s">
        <v>200</v>
      </c>
      <c r="H9" s="229" t="s">
        <v>201</v>
      </c>
      <c r="I9" s="229" t="s">
        <v>216</v>
      </c>
      <c r="J9" s="222"/>
      <c r="K9" s="229" t="s">
        <v>200</v>
      </c>
      <c r="L9" s="229" t="s">
        <v>201</v>
      </c>
      <c r="M9" s="229" t="s">
        <v>216</v>
      </c>
      <c r="N9" s="229" t="s">
        <v>43</v>
      </c>
      <c r="O9" s="229" t="s">
        <v>50</v>
      </c>
      <c r="P9" s="229"/>
      <c r="Q9" s="228"/>
      <c r="R9" s="229"/>
      <c r="S9" s="229" t="s">
        <v>200</v>
      </c>
      <c r="T9" s="229" t="s">
        <v>201</v>
      </c>
      <c r="U9" s="229" t="s">
        <v>216</v>
      </c>
      <c r="V9" s="229" t="s">
        <v>43</v>
      </c>
      <c r="W9" s="229" t="s">
        <v>50</v>
      </c>
      <c r="X9" s="230"/>
      <c r="Y9" s="228"/>
    </row>
    <row r="10" spans="1:40">
      <c r="A10" s="231" t="s">
        <v>21</v>
      </c>
      <c r="C10" s="232">
        <v>1</v>
      </c>
      <c r="D10" s="232">
        <f>C10+1</f>
        <v>2</v>
      </c>
      <c r="E10" s="232">
        <f>D10+1</f>
        <v>3</v>
      </c>
      <c r="G10" s="232">
        <f>E10+1</f>
        <v>4</v>
      </c>
      <c r="H10" s="232">
        <f>G10+1</f>
        <v>5</v>
      </c>
      <c r="I10" s="232">
        <f>H10+1</f>
        <v>6</v>
      </c>
      <c r="J10" s="222"/>
      <c r="K10" s="232">
        <f>I10+1</f>
        <v>7</v>
      </c>
      <c r="L10" s="232">
        <f>K10+1</f>
        <v>8</v>
      </c>
      <c r="M10" s="232">
        <f>L10+1</f>
        <v>9</v>
      </c>
      <c r="N10" s="232">
        <f>M10+1</f>
        <v>10</v>
      </c>
      <c r="O10" s="232">
        <f>N10+1</f>
        <v>11</v>
      </c>
      <c r="P10" s="229"/>
      <c r="Q10" s="232">
        <f>O10+1</f>
        <v>12</v>
      </c>
      <c r="R10" s="229"/>
      <c r="S10" s="232">
        <f>Q10+1</f>
        <v>13</v>
      </c>
      <c r="T10" s="232">
        <f>S10+1</f>
        <v>14</v>
      </c>
      <c r="U10" s="232">
        <f>T10+1</f>
        <v>15</v>
      </c>
      <c r="V10" s="232">
        <f>U10+1</f>
        <v>16</v>
      </c>
      <c r="W10" s="232">
        <f>V10+1</f>
        <v>17</v>
      </c>
      <c r="X10" s="230"/>
      <c r="Y10" s="232">
        <f>W10+1</f>
        <v>18</v>
      </c>
    </row>
    <row r="11" spans="1:40">
      <c r="J11" s="222"/>
      <c r="P11" s="229"/>
      <c r="R11" s="229"/>
      <c r="X11" s="230"/>
    </row>
    <row r="12" spans="1:40" ht="20.100000000000001" hidden="1" customHeight="1">
      <c r="H12" s="233"/>
      <c r="I12" s="233"/>
      <c r="J12" s="233"/>
      <c r="K12" s="234" t="s">
        <v>192</v>
      </c>
      <c r="L12" s="235"/>
      <c r="M12" s="235"/>
      <c r="N12" s="235"/>
      <c r="O12" s="236"/>
      <c r="P12" s="229"/>
      <c r="Q12" s="229" t="s">
        <v>193</v>
      </c>
      <c r="R12" s="229"/>
      <c r="S12" s="237" t="s">
        <v>194</v>
      </c>
      <c r="T12" s="238"/>
      <c r="U12" s="238"/>
      <c r="V12" s="238"/>
      <c r="W12" s="239"/>
      <c r="X12" s="230"/>
      <c r="Z12" s="229"/>
      <c r="AA12" s="240"/>
      <c r="AB12" s="229"/>
      <c r="AC12" s="229"/>
      <c r="AL12" s="241"/>
      <c r="AN12" s="241"/>
    </row>
    <row r="13" spans="1:40" ht="20.100000000000001" hidden="1" customHeight="1">
      <c r="D13" s="242"/>
      <c r="E13" s="242"/>
      <c r="F13" s="242"/>
      <c r="G13" s="243" t="s">
        <v>195</v>
      </c>
      <c r="H13" s="244"/>
      <c r="I13" s="245"/>
      <c r="J13" s="222"/>
      <c r="K13" s="246"/>
      <c r="O13" s="247"/>
      <c r="P13" s="229"/>
      <c r="Q13" s="229" t="s">
        <v>106</v>
      </c>
      <c r="R13" s="229"/>
      <c r="S13" s="248" t="s">
        <v>196</v>
      </c>
      <c r="T13" s="249"/>
      <c r="U13" s="250"/>
      <c r="V13" s="250"/>
      <c r="W13" s="251"/>
      <c r="X13" s="230"/>
      <c r="Z13" s="229"/>
      <c r="AA13" s="240"/>
      <c r="AB13" s="229"/>
      <c r="AC13" s="229"/>
      <c r="AD13" s="222"/>
      <c r="AE13" s="222"/>
      <c r="AF13" s="222"/>
      <c r="AG13" s="222"/>
      <c r="AH13" s="222"/>
      <c r="AL13" s="241"/>
      <c r="AN13" s="241"/>
    </row>
    <row r="14" spans="1:40" s="222" customFormat="1" ht="53.4" hidden="1" thickBot="1">
      <c r="C14" s="222" t="s">
        <v>205</v>
      </c>
      <c r="D14" s="222" t="s">
        <v>204</v>
      </c>
      <c r="G14" s="252" t="s">
        <v>197</v>
      </c>
      <c r="H14" s="253" t="s">
        <v>198</v>
      </c>
      <c r="I14" s="254" t="s">
        <v>199</v>
      </c>
      <c r="J14" s="255"/>
      <c r="K14" s="252" t="s">
        <v>200</v>
      </c>
      <c r="L14" s="256" t="s">
        <v>201</v>
      </c>
      <c r="M14" s="254" t="s">
        <v>199</v>
      </c>
      <c r="N14" s="257" t="s">
        <v>202</v>
      </c>
      <c r="O14" s="258" t="s">
        <v>50</v>
      </c>
      <c r="P14" s="229"/>
      <c r="Q14" s="259" t="s">
        <v>203</v>
      </c>
      <c r="R14" s="229"/>
      <c r="S14" s="260" t="s">
        <v>200</v>
      </c>
      <c r="T14" s="260" t="s">
        <v>201</v>
      </c>
      <c r="U14" s="254" t="s">
        <v>199</v>
      </c>
      <c r="V14" s="257" t="s">
        <v>202</v>
      </c>
      <c r="W14" s="261" t="s">
        <v>50</v>
      </c>
      <c r="X14" s="230"/>
      <c r="Z14" s="259"/>
      <c r="AA14" s="262"/>
      <c r="AC14" s="259"/>
      <c r="AD14" s="263"/>
      <c r="AE14" s="263"/>
      <c r="AF14" s="242"/>
      <c r="AG14" s="242"/>
      <c r="AH14" s="242"/>
      <c r="AK14" s="264"/>
      <c r="AM14" s="265"/>
    </row>
    <row r="15" spans="1:40">
      <c r="C15" s="266" t="s">
        <v>189</v>
      </c>
      <c r="E15" s="267"/>
      <c r="F15" s="267"/>
      <c r="G15" s="201"/>
      <c r="H15" s="201"/>
      <c r="I15" s="201"/>
      <c r="J15" s="201"/>
      <c r="K15" s="268"/>
      <c r="L15" s="268"/>
      <c r="M15" s="268"/>
      <c r="N15" s="268"/>
      <c r="O15" s="268"/>
      <c r="P15" s="229"/>
      <c r="R15" s="229"/>
      <c r="X15" s="230"/>
    </row>
    <row r="16" spans="1:40">
      <c r="A16" s="222">
        <f>A15+1</f>
        <v>1</v>
      </c>
      <c r="C16" s="222">
        <v>1</v>
      </c>
      <c r="D16" s="222" t="s">
        <v>275</v>
      </c>
      <c r="G16" s="201">
        <f>2111.04-H16-I16</f>
        <v>2080</v>
      </c>
      <c r="H16" s="201">
        <v>0</v>
      </c>
      <c r="I16" s="201">
        <f>2111.04-2080</f>
        <v>31.039999999999964</v>
      </c>
      <c r="J16" s="201"/>
      <c r="K16" s="268">
        <f>125024.64-L16-M16-N16</f>
        <v>123824.64</v>
      </c>
      <c r="L16" s="268">
        <v>0</v>
      </c>
      <c r="M16" s="268">
        <v>0</v>
      </c>
      <c r="N16" s="268">
        <v>1200</v>
      </c>
      <c r="O16" s="268">
        <f>SUM(K16:N16)</f>
        <v>125024.64</v>
      </c>
      <c r="P16" s="229"/>
      <c r="Q16" s="269">
        <v>59.62</v>
      </c>
      <c r="R16" s="229"/>
      <c r="S16" s="270">
        <f t="shared" ref="S16:S22" si="0">2080*Q16</f>
        <v>124009.59999999999</v>
      </c>
      <c r="T16" s="270"/>
      <c r="U16" s="270" t="str">
        <f>IF(M16=0," ",+I16*Q16)</f>
        <v xml:space="preserve"> </v>
      </c>
      <c r="V16" s="270"/>
      <c r="W16" s="270">
        <f t="shared" ref="W16:W22" si="1">SUM(S16:V16)</f>
        <v>124009.59999999999</v>
      </c>
      <c r="X16" s="230"/>
      <c r="Y16" s="219">
        <f>W16-O16</f>
        <v>-1015.0400000000081</v>
      </c>
      <c r="Z16" s="271"/>
      <c r="AB16" s="272"/>
    </row>
    <row r="17" spans="1:28" ht="15.75" customHeight="1">
      <c r="A17" s="222">
        <f t="shared" ref="A17:A80" si="2">A16+1</f>
        <v>2</v>
      </c>
      <c r="C17" s="222">
        <v>1</v>
      </c>
      <c r="D17" s="222" t="s">
        <v>276</v>
      </c>
      <c r="G17" s="201">
        <f>2135-H17-I17</f>
        <v>2080</v>
      </c>
      <c r="H17" s="201">
        <v>40</v>
      </c>
      <c r="I17" s="201">
        <v>15</v>
      </c>
      <c r="J17" s="201"/>
      <c r="K17" s="268">
        <f>102988.8-L17-M17-N17</f>
        <v>79258.349999999991</v>
      </c>
      <c r="L17" s="268">
        <v>21788.400000000001</v>
      </c>
      <c r="M17" s="268">
        <v>742.05</v>
      </c>
      <c r="N17" s="268">
        <v>1200</v>
      </c>
      <c r="O17" s="268">
        <f t="shared" ref="O17:O23" si="3">SUM(K17:N17)</f>
        <v>102988.8</v>
      </c>
      <c r="P17" s="229"/>
      <c r="Q17" s="269">
        <v>49.47</v>
      </c>
      <c r="R17" s="229"/>
      <c r="S17" s="270">
        <f t="shared" si="0"/>
        <v>102897.59999999999</v>
      </c>
      <c r="T17" s="270"/>
      <c r="U17" s="270">
        <f t="shared" ref="U17:U22" si="4">IF(M17=0," ",+I17*Q17)</f>
        <v>742.05</v>
      </c>
      <c r="V17" s="270"/>
      <c r="W17" s="270">
        <f t="shared" si="1"/>
        <v>103639.65</v>
      </c>
      <c r="X17" s="230"/>
      <c r="Y17" s="219">
        <f t="shared" ref="Y17:Y23" si="5">W17-O17</f>
        <v>650.84999999999127</v>
      </c>
      <c r="Z17" s="271"/>
      <c r="AB17" s="272"/>
    </row>
    <row r="18" spans="1:28" ht="15.75" customHeight="1">
      <c r="A18" s="222">
        <f t="shared" si="2"/>
        <v>3</v>
      </c>
      <c r="C18" s="222">
        <v>1</v>
      </c>
      <c r="D18" s="222" t="s">
        <v>277</v>
      </c>
      <c r="G18" s="201">
        <f>2125-H18-I18</f>
        <v>2080</v>
      </c>
      <c r="H18" s="201">
        <v>45</v>
      </c>
      <c r="I18" s="201">
        <v>0</v>
      </c>
      <c r="J18" s="201"/>
      <c r="K18" s="268">
        <f>95538.3-L18-M18-N18</f>
        <v>91486.2</v>
      </c>
      <c r="L18" s="268">
        <v>2852.1</v>
      </c>
      <c r="M18" s="268">
        <v>0</v>
      </c>
      <c r="N18" s="268">
        <v>1200</v>
      </c>
      <c r="O18" s="268">
        <f t="shared" si="3"/>
        <v>95538.3</v>
      </c>
      <c r="P18" s="229"/>
      <c r="Q18" s="269">
        <v>45.25</v>
      </c>
      <c r="R18" s="229"/>
      <c r="S18" s="270">
        <f t="shared" si="0"/>
        <v>94120</v>
      </c>
      <c r="T18" s="270"/>
      <c r="U18" s="270" t="str">
        <f t="shared" si="4"/>
        <v xml:space="preserve"> </v>
      </c>
      <c r="V18" s="270"/>
      <c r="W18" s="270">
        <f t="shared" si="1"/>
        <v>94120</v>
      </c>
      <c r="X18" s="230"/>
      <c r="Y18" s="219">
        <f t="shared" si="5"/>
        <v>-1418.3000000000029</v>
      </c>
      <c r="Z18" s="271"/>
      <c r="AB18" s="272"/>
    </row>
    <row r="19" spans="1:28">
      <c r="A19" s="222">
        <f>A18+1</f>
        <v>4</v>
      </c>
      <c r="C19" s="222">
        <v>1</v>
      </c>
      <c r="D19" s="222" t="s">
        <v>278</v>
      </c>
      <c r="G19" s="201">
        <f>2120-H19-I19</f>
        <v>2080</v>
      </c>
      <c r="H19" s="201">
        <v>0</v>
      </c>
      <c r="I19" s="201">
        <v>40</v>
      </c>
      <c r="J19" s="201"/>
      <c r="K19" s="268">
        <f>87174.56-L19-M19-N19</f>
        <v>84264.959999999992</v>
      </c>
      <c r="L19" s="268">
        <v>0</v>
      </c>
      <c r="M19" s="268">
        <v>1709.6</v>
      </c>
      <c r="N19" s="268">
        <v>1200</v>
      </c>
      <c r="O19" s="268">
        <f t="shared" si="3"/>
        <v>87174.56</v>
      </c>
      <c r="P19" s="229"/>
      <c r="Q19" s="269">
        <v>42.74</v>
      </c>
      <c r="R19" s="229"/>
      <c r="S19" s="270">
        <f t="shared" si="0"/>
        <v>88899.199999999997</v>
      </c>
      <c r="T19" s="270"/>
      <c r="U19" s="270">
        <f t="shared" si="4"/>
        <v>1709.6000000000001</v>
      </c>
      <c r="V19" s="270"/>
      <c r="W19" s="270">
        <f t="shared" si="1"/>
        <v>90608.8</v>
      </c>
      <c r="X19" s="230"/>
      <c r="Y19" s="219">
        <f t="shared" si="5"/>
        <v>3434.2400000000052</v>
      </c>
      <c r="Z19" s="271"/>
      <c r="AB19" s="272"/>
    </row>
    <row r="20" spans="1:28">
      <c r="A20" s="222">
        <f t="shared" si="2"/>
        <v>5</v>
      </c>
      <c r="C20" s="222">
        <v>1</v>
      </c>
      <c r="D20" s="222" t="s">
        <v>279</v>
      </c>
      <c r="G20" s="201">
        <f>2184-H20-I20</f>
        <v>2080</v>
      </c>
      <c r="H20" s="201">
        <v>64</v>
      </c>
      <c r="I20" s="201">
        <v>40</v>
      </c>
      <c r="J20" s="201"/>
      <c r="K20" s="268">
        <f>73122.67-L20-M20-N20</f>
        <v>67425.62</v>
      </c>
      <c r="L20" s="268">
        <v>3110.25</v>
      </c>
      <c r="M20" s="268">
        <v>1386.8</v>
      </c>
      <c r="N20" s="268">
        <v>1200</v>
      </c>
      <c r="O20" s="268">
        <f t="shared" si="3"/>
        <v>73122.67</v>
      </c>
      <c r="P20" s="229"/>
      <c r="Q20" s="269">
        <v>34.67</v>
      </c>
      <c r="R20" s="229"/>
      <c r="S20" s="270">
        <f t="shared" si="0"/>
        <v>72113.600000000006</v>
      </c>
      <c r="T20" s="270"/>
      <c r="U20" s="270">
        <f t="shared" si="4"/>
        <v>1386.8000000000002</v>
      </c>
      <c r="V20" s="270"/>
      <c r="W20" s="270">
        <f t="shared" si="1"/>
        <v>73500.400000000009</v>
      </c>
      <c r="X20" s="230"/>
      <c r="Y20" s="219">
        <f t="shared" si="5"/>
        <v>377.73000000001048</v>
      </c>
      <c r="Z20" s="271"/>
      <c r="AB20" s="272"/>
    </row>
    <row r="21" spans="1:28">
      <c r="A21" s="222">
        <f t="shared" si="2"/>
        <v>6</v>
      </c>
      <c r="C21" s="222">
        <v>1</v>
      </c>
      <c r="D21" s="222" t="s">
        <v>282</v>
      </c>
      <c r="G21" s="201">
        <f>2138-H21-I21</f>
        <v>2080</v>
      </c>
      <c r="H21" s="201">
        <v>18</v>
      </c>
      <c r="I21" s="201">
        <v>40</v>
      </c>
      <c r="J21" s="201"/>
      <c r="K21" s="268">
        <f>78382.36-L21-M21-N21</f>
        <v>74664.319999999992</v>
      </c>
      <c r="L21" s="268">
        <v>993.24</v>
      </c>
      <c r="M21" s="268">
        <v>1524.8</v>
      </c>
      <c r="N21" s="268">
        <v>1200</v>
      </c>
      <c r="O21" s="268">
        <f t="shared" si="3"/>
        <v>78382.36</v>
      </c>
      <c r="P21" s="229"/>
      <c r="Q21" s="269">
        <v>38.119999999999997</v>
      </c>
      <c r="R21" s="229"/>
      <c r="S21" s="270">
        <f t="shared" si="0"/>
        <v>79289.599999999991</v>
      </c>
      <c r="T21" s="270"/>
      <c r="U21" s="270">
        <f t="shared" si="4"/>
        <v>1524.8</v>
      </c>
      <c r="V21" s="270"/>
      <c r="W21" s="270">
        <f t="shared" si="1"/>
        <v>80814.399999999994</v>
      </c>
      <c r="X21" s="230"/>
      <c r="Y21" s="219">
        <f t="shared" si="5"/>
        <v>2432.0399999999936</v>
      </c>
      <c r="Z21" s="271"/>
      <c r="AB21" s="272"/>
    </row>
    <row r="22" spans="1:28">
      <c r="A22" s="222">
        <f t="shared" si="2"/>
        <v>7</v>
      </c>
      <c r="C22" s="222">
        <v>1</v>
      </c>
      <c r="D22" s="222" t="s">
        <v>280</v>
      </c>
      <c r="G22" s="201">
        <f>2105.5-H22-I22</f>
        <v>2080</v>
      </c>
      <c r="H22" s="201">
        <v>25.5</v>
      </c>
      <c r="I22" s="201">
        <v>0</v>
      </c>
      <c r="J22" s="201"/>
      <c r="K22" s="268">
        <f>64992.67-L22-M22-N22</f>
        <v>62964.17</v>
      </c>
      <c r="L22" s="268">
        <v>828.5</v>
      </c>
      <c r="M22" s="268">
        <v>0</v>
      </c>
      <c r="N22" s="268">
        <v>1200</v>
      </c>
      <c r="O22" s="268">
        <f t="shared" si="3"/>
        <v>64992.67</v>
      </c>
      <c r="P22" s="229"/>
      <c r="Q22" s="269">
        <v>32.39</v>
      </c>
      <c r="R22" s="229"/>
      <c r="S22" s="270">
        <f t="shared" si="0"/>
        <v>67371.199999999997</v>
      </c>
      <c r="T22" s="270"/>
      <c r="U22" s="270" t="str">
        <f t="shared" si="4"/>
        <v xml:space="preserve"> </v>
      </c>
      <c r="V22" s="270"/>
      <c r="W22" s="270">
        <f t="shared" si="1"/>
        <v>67371.199999999997</v>
      </c>
      <c r="X22" s="230"/>
      <c r="Y22" s="219">
        <f t="shared" si="5"/>
        <v>2378.5299999999988</v>
      </c>
      <c r="Z22" s="271"/>
      <c r="AB22" s="272"/>
    </row>
    <row r="23" spans="1:28">
      <c r="A23" s="222">
        <f t="shared" si="2"/>
        <v>8</v>
      </c>
      <c r="C23" s="222">
        <v>1</v>
      </c>
      <c r="D23" s="222" t="s">
        <v>281</v>
      </c>
      <c r="G23" s="201">
        <f>2120.5-H23-I23</f>
        <v>2080</v>
      </c>
      <c r="H23" s="201">
        <v>40.5</v>
      </c>
      <c r="I23" s="201">
        <v>0</v>
      </c>
      <c r="J23" s="201">
        <v>58512.57</v>
      </c>
      <c r="K23" s="268">
        <f>58412.47-L23-M23-N23</f>
        <v>55632.160000000003</v>
      </c>
      <c r="L23" s="268">
        <v>1580.31</v>
      </c>
      <c r="M23" s="268">
        <v>0</v>
      </c>
      <c r="N23" s="268">
        <v>1200</v>
      </c>
      <c r="O23" s="268">
        <f t="shared" si="3"/>
        <v>58412.47</v>
      </c>
      <c r="P23" s="229"/>
      <c r="Q23" s="269">
        <v>29.01</v>
      </c>
      <c r="R23" s="229"/>
      <c r="S23" s="270">
        <f>2080*Q23</f>
        <v>60340.800000000003</v>
      </c>
      <c r="T23" s="270"/>
      <c r="U23" s="270" t="str">
        <f>IF(M23=0," ",+I23*Q23)</f>
        <v xml:space="preserve"> </v>
      </c>
      <c r="V23" s="270"/>
      <c r="W23" s="270">
        <f>SUM(S23:V23)</f>
        <v>60340.800000000003</v>
      </c>
      <c r="X23" s="230"/>
      <c r="Y23" s="219">
        <f t="shared" si="5"/>
        <v>1928.3300000000017</v>
      </c>
      <c r="Z23" s="271"/>
      <c r="AB23" s="272"/>
    </row>
    <row r="24" spans="1:28">
      <c r="A24" s="222" t="s">
        <v>615</v>
      </c>
      <c r="C24" s="273">
        <f>SUM(C16:C23)</f>
        <v>8</v>
      </c>
      <c r="D24" s="274" t="s">
        <v>22</v>
      </c>
      <c r="E24" s="274"/>
      <c r="G24" s="275">
        <f>SUM(G16:G23)</f>
        <v>16640</v>
      </c>
      <c r="H24" s="275">
        <f t="shared" ref="H24:I24" si="6">SUM(H16:H23)</f>
        <v>233</v>
      </c>
      <c r="I24" s="275">
        <f t="shared" si="6"/>
        <v>166.03999999999996</v>
      </c>
      <c r="J24" s="201"/>
      <c r="K24" s="276">
        <f>SUM(K16:K23)</f>
        <v>639520.42000000004</v>
      </c>
      <c r="L24" s="276">
        <f t="shared" ref="L24:O24" si="7">SUM(L16:L23)</f>
        <v>31152.800000000003</v>
      </c>
      <c r="M24" s="276">
        <f t="shared" si="7"/>
        <v>5363.25</v>
      </c>
      <c r="N24" s="276">
        <f t="shared" si="7"/>
        <v>9600</v>
      </c>
      <c r="O24" s="276">
        <f t="shared" si="7"/>
        <v>685636.47</v>
      </c>
      <c r="P24" s="229"/>
      <c r="Q24" s="277"/>
      <c r="R24" s="229"/>
      <c r="S24" s="278">
        <f>SUM(S16:S23)</f>
        <v>689041.6</v>
      </c>
      <c r="T24" s="278">
        <f>SUM(T16:T23)</f>
        <v>0</v>
      </c>
      <c r="U24" s="278">
        <f>SUM(U16:U23)</f>
        <v>5363.25</v>
      </c>
      <c r="V24" s="278">
        <f>SUM(V16:V23)</f>
        <v>0</v>
      </c>
      <c r="W24" s="278">
        <f>SUM(W16:W23)</f>
        <v>694404.85</v>
      </c>
      <c r="X24" s="230"/>
      <c r="Y24" s="279">
        <f>W24-O24</f>
        <v>8768.3800000000047</v>
      </c>
      <c r="Z24" s="271"/>
      <c r="AB24" s="272"/>
    </row>
    <row r="25" spans="1:28">
      <c r="A25" s="222" t="s">
        <v>616</v>
      </c>
      <c r="G25" s="201"/>
      <c r="H25" s="201"/>
      <c r="I25" s="201"/>
      <c r="J25" s="201"/>
      <c r="K25" s="268"/>
      <c r="L25" s="268"/>
      <c r="M25" s="268"/>
      <c r="N25" s="268"/>
      <c r="O25" s="268"/>
      <c r="P25" s="229"/>
      <c r="Q25" s="280"/>
      <c r="R25" s="229"/>
      <c r="S25" s="280"/>
      <c r="T25" s="280"/>
      <c r="U25" s="280"/>
      <c r="V25" s="280"/>
      <c r="W25" s="280"/>
      <c r="X25" s="230"/>
      <c r="Z25" s="271"/>
      <c r="AB25" s="272"/>
    </row>
    <row r="26" spans="1:28">
      <c r="A26" s="222" t="s">
        <v>616</v>
      </c>
      <c r="C26" s="266" t="s">
        <v>214</v>
      </c>
      <c r="E26" s="267"/>
      <c r="F26" s="267"/>
      <c r="G26" s="281"/>
      <c r="H26" s="281"/>
      <c r="I26" s="281"/>
      <c r="J26" s="281"/>
      <c r="K26" s="282"/>
      <c r="L26" s="282"/>
      <c r="M26" s="282"/>
      <c r="N26" s="282"/>
      <c r="O26" s="282"/>
      <c r="P26" s="229"/>
      <c r="Q26" s="283"/>
      <c r="R26" s="229"/>
      <c r="S26" s="283"/>
      <c r="T26" s="283"/>
      <c r="U26" s="283"/>
      <c r="V26" s="283"/>
      <c r="W26" s="283"/>
      <c r="X26" s="230"/>
      <c r="Z26" s="271"/>
      <c r="AB26" s="272"/>
    </row>
    <row r="27" spans="1:28">
      <c r="A27" s="222">
        <v>9</v>
      </c>
      <c r="C27" s="222">
        <v>1</v>
      </c>
      <c r="D27" s="222" t="s">
        <v>283</v>
      </c>
      <c r="G27" s="201">
        <f>2139-H27</f>
        <v>2080</v>
      </c>
      <c r="H27" s="201">
        <v>59</v>
      </c>
      <c r="I27" s="201"/>
      <c r="J27" s="201"/>
      <c r="K27" s="268">
        <f>82263.87-L27-M27-N27</f>
        <v>79439.87</v>
      </c>
      <c r="L27" s="268">
        <v>1624</v>
      </c>
      <c r="M27" s="268">
        <v>0</v>
      </c>
      <c r="N27" s="268">
        <v>1200</v>
      </c>
      <c r="O27" s="268">
        <f>SUM(K27:N27)</f>
        <v>82263.87</v>
      </c>
      <c r="P27" s="229"/>
      <c r="Q27" s="269">
        <v>38.409999999999997</v>
      </c>
      <c r="R27" s="229"/>
      <c r="S27" s="270">
        <f t="shared" ref="S27" si="8">2080*Q27</f>
        <v>79892.799999999988</v>
      </c>
      <c r="T27" s="270">
        <f>(+H27*Q27)*1.5</f>
        <v>3399.2849999999994</v>
      </c>
      <c r="U27" s="270" t="str">
        <f t="shared" ref="U27" si="9">IF(M27=0," ",+I27*Q27)</f>
        <v xml:space="preserve"> </v>
      </c>
      <c r="V27" s="270">
        <f t="shared" ref="V27" si="10">IF(N27=0," ",+N27)</f>
        <v>1200</v>
      </c>
      <c r="W27" s="270">
        <f t="shared" ref="W27" si="11">SUM(S27:V27)</f>
        <v>84492.084999999992</v>
      </c>
      <c r="X27" s="230"/>
      <c r="Y27" s="219">
        <f>W27-O27</f>
        <v>2228.2149999999965</v>
      </c>
      <c r="Z27" s="271"/>
      <c r="AB27" s="272"/>
    </row>
    <row r="28" spans="1:28">
      <c r="A28" s="222">
        <f t="shared" si="2"/>
        <v>10</v>
      </c>
      <c r="C28" s="222">
        <v>1</v>
      </c>
      <c r="D28" s="222" t="s">
        <v>284</v>
      </c>
      <c r="G28" s="201">
        <f>3592-H28-I28</f>
        <v>2070</v>
      </c>
      <c r="H28" s="201">
        <v>1482</v>
      </c>
      <c r="I28" s="201">
        <v>40</v>
      </c>
      <c r="J28" s="201"/>
      <c r="K28" s="268">
        <f>162503.55-L28-M28-N28</f>
        <v>77048.229999999981</v>
      </c>
      <c r="L28" s="268">
        <v>82765.320000000007</v>
      </c>
      <c r="M28" s="268">
        <v>1490</v>
      </c>
      <c r="N28" s="268">
        <v>1200</v>
      </c>
      <c r="O28" s="268">
        <f t="shared" ref="O28:O61" si="12">SUM(K28:N28)</f>
        <v>162503.54999999999</v>
      </c>
      <c r="P28" s="229"/>
      <c r="Q28" s="269">
        <v>38.25</v>
      </c>
      <c r="R28" s="229"/>
      <c r="S28" s="270">
        <f t="shared" ref="S28:S61" si="13">2080*Q28</f>
        <v>79560</v>
      </c>
      <c r="T28" s="270">
        <f t="shared" ref="T28:T61" si="14">(+H28*Q28)*1.5</f>
        <v>85029.75</v>
      </c>
      <c r="U28" s="270">
        <f t="shared" ref="U28:U61" si="15">IF(M28=0," ",+I28*Q28)</f>
        <v>1530</v>
      </c>
      <c r="V28" s="270">
        <f t="shared" ref="V28:V61" si="16">IF(N28=0," ",+N28)</f>
        <v>1200</v>
      </c>
      <c r="W28" s="270">
        <f t="shared" ref="W28:W61" si="17">SUM(S28:V28)</f>
        <v>167319.75</v>
      </c>
      <c r="X28" s="230"/>
      <c r="Y28" s="219">
        <f>W28-O28</f>
        <v>4816.2000000000116</v>
      </c>
      <c r="Z28" s="271"/>
      <c r="AB28" s="272"/>
    </row>
    <row r="29" spans="1:28">
      <c r="A29" s="222">
        <f t="shared" si="2"/>
        <v>11</v>
      </c>
      <c r="C29" s="222">
        <v>1</v>
      </c>
      <c r="D29" s="222" t="s">
        <v>285</v>
      </c>
      <c r="G29" s="201">
        <f>3023.5-H29-I29</f>
        <v>2068</v>
      </c>
      <c r="H29" s="201">
        <v>915.5</v>
      </c>
      <c r="I29" s="201">
        <v>40</v>
      </c>
      <c r="J29" s="201"/>
      <c r="K29" s="268">
        <f>130800.86-L29-M29-N29</f>
        <v>76973.75</v>
      </c>
      <c r="L29" s="268">
        <v>51137.11</v>
      </c>
      <c r="M29" s="268">
        <v>1490</v>
      </c>
      <c r="N29" s="268">
        <v>1200</v>
      </c>
      <c r="O29" s="268">
        <f t="shared" si="12"/>
        <v>130800.86</v>
      </c>
      <c r="P29" s="229"/>
      <c r="Q29" s="269">
        <v>38.25</v>
      </c>
      <c r="R29" s="229"/>
      <c r="S29" s="270">
        <f t="shared" si="13"/>
        <v>79560</v>
      </c>
      <c r="T29" s="270">
        <f t="shared" si="14"/>
        <v>52526.8125</v>
      </c>
      <c r="U29" s="270">
        <f t="shared" si="15"/>
        <v>1530</v>
      </c>
      <c r="V29" s="270">
        <f t="shared" si="16"/>
        <v>1200</v>
      </c>
      <c r="W29" s="270">
        <f t="shared" si="17"/>
        <v>134816.8125</v>
      </c>
      <c r="X29" s="230"/>
      <c r="Y29" s="219">
        <f>W29-O29</f>
        <v>4015.9524999999994</v>
      </c>
      <c r="Z29" s="271"/>
      <c r="AB29" s="272"/>
    </row>
    <row r="30" spans="1:28">
      <c r="A30" s="222">
        <f t="shared" si="2"/>
        <v>12</v>
      </c>
      <c r="C30" s="222">
        <v>1</v>
      </c>
      <c r="D30" s="222" t="s">
        <v>286</v>
      </c>
      <c r="G30" s="201">
        <f>2775.5-H30-I30</f>
        <v>2066</v>
      </c>
      <c r="H30" s="201">
        <v>696.5</v>
      </c>
      <c r="I30" s="201">
        <v>13</v>
      </c>
      <c r="J30" s="201"/>
      <c r="K30" s="268">
        <f>124452.9-L30-M30-N30</f>
        <v>80317.419999999984</v>
      </c>
      <c r="L30" s="268">
        <v>41233.980000000003</v>
      </c>
      <c r="M30" s="268">
        <v>1701.5</v>
      </c>
      <c r="N30" s="268">
        <v>1200</v>
      </c>
      <c r="O30" s="268">
        <f>SUM(K30:N30)</f>
        <v>124452.9</v>
      </c>
      <c r="P30" s="229"/>
      <c r="Q30" s="269">
        <v>44.48</v>
      </c>
      <c r="R30" s="229"/>
      <c r="S30" s="270">
        <f t="shared" si="13"/>
        <v>92518.399999999994</v>
      </c>
      <c r="T30" s="270">
        <f t="shared" si="14"/>
        <v>46470.479999999996</v>
      </c>
      <c r="U30" s="270">
        <f t="shared" si="15"/>
        <v>578.24</v>
      </c>
      <c r="V30" s="270">
        <f t="shared" si="16"/>
        <v>1200</v>
      </c>
      <c r="W30" s="270">
        <f t="shared" si="17"/>
        <v>140767.12</v>
      </c>
      <c r="X30" s="230"/>
      <c r="Y30" s="219">
        <f t="shared" ref="Y30:Y61" si="18">W30-O30</f>
        <v>16314.220000000001</v>
      </c>
      <c r="Z30" s="271"/>
      <c r="AB30" s="272"/>
    </row>
    <row r="31" spans="1:28">
      <c r="A31" s="222">
        <f t="shared" si="2"/>
        <v>13</v>
      </c>
      <c r="C31" s="222">
        <v>1</v>
      </c>
      <c r="D31" s="222" t="s">
        <v>287</v>
      </c>
      <c r="G31" s="201">
        <f>2380-H31-I31</f>
        <v>2080</v>
      </c>
      <c r="H31" s="201">
        <v>300</v>
      </c>
      <c r="I31" s="201"/>
      <c r="J31" s="201"/>
      <c r="K31" s="268">
        <f>98166.41-L31-M31-N31</f>
        <v>95238.010000000009</v>
      </c>
      <c r="L31" s="268">
        <v>1728.4</v>
      </c>
      <c r="M31" s="268"/>
      <c r="N31" s="268">
        <v>1200</v>
      </c>
      <c r="O31" s="268">
        <f t="shared" si="12"/>
        <v>98166.41</v>
      </c>
      <c r="P31" s="229"/>
      <c r="Q31" s="269">
        <v>39.35</v>
      </c>
      <c r="R31" s="229"/>
      <c r="S31" s="270">
        <f t="shared" si="13"/>
        <v>81848</v>
      </c>
      <c r="T31" s="270">
        <f t="shared" si="14"/>
        <v>17707.5</v>
      </c>
      <c r="U31" s="270" t="str">
        <f t="shared" si="15"/>
        <v xml:space="preserve"> </v>
      </c>
      <c r="V31" s="270">
        <f t="shared" si="16"/>
        <v>1200</v>
      </c>
      <c r="W31" s="270">
        <f t="shared" si="17"/>
        <v>100755.5</v>
      </c>
      <c r="X31" s="230"/>
      <c r="Y31" s="219">
        <f t="shared" si="18"/>
        <v>2589.0899999999965</v>
      </c>
      <c r="Z31" s="271"/>
      <c r="AB31" s="272"/>
    </row>
    <row r="32" spans="1:28">
      <c r="A32" s="222">
        <f t="shared" si="2"/>
        <v>14</v>
      </c>
      <c r="C32" s="222">
        <v>1</v>
      </c>
      <c r="D32" s="222" t="s">
        <v>288</v>
      </c>
      <c r="G32" s="201">
        <f>2191-H32-I32</f>
        <v>2080</v>
      </c>
      <c r="H32" s="201">
        <v>79.5</v>
      </c>
      <c r="I32" s="201">
        <v>31.5</v>
      </c>
      <c r="J32" s="201"/>
      <c r="K32" s="268">
        <f>86689.68-L32-M32-N32</f>
        <v>79708</v>
      </c>
      <c r="L32" s="268">
        <v>4573.6499999999996</v>
      </c>
      <c r="M32" s="268">
        <v>1208.03</v>
      </c>
      <c r="N32" s="268">
        <v>1200</v>
      </c>
      <c r="O32" s="268">
        <f t="shared" si="12"/>
        <v>86689.68</v>
      </c>
      <c r="P32" s="229"/>
      <c r="Q32" s="269">
        <v>37.450000000000003</v>
      </c>
      <c r="R32" s="229"/>
      <c r="S32" s="270">
        <f t="shared" si="13"/>
        <v>77896</v>
      </c>
      <c r="T32" s="270">
        <f t="shared" si="14"/>
        <v>4465.9125000000004</v>
      </c>
      <c r="U32" s="270">
        <f t="shared" si="15"/>
        <v>1179.6750000000002</v>
      </c>
      <c r="V32" s="270">
        <f t="shared" si="16"/>
        <v>1200</v>
      </c>
      <c r="W32" s="270">
        <f t="shared" si="17"/>
        <v>84741.587500000009</v>
      </c>
      <c r="X32" s="230"/>
      <c r="Y32" s="219">
        <f t="shared" si="18"/>
        <v>-1948.0924999999843</v>
      </c>
      <c r="Z32" s="271"/>
      <c r="AB32" s="272"/>
    </row>
    <row r="33" spans="1:28">
      <c r="A33" s="222">
        <f t="shared" si="2"/>
        <v>15</v>
      </c>
      <c r="C33" s="222">
        <v>1</v>
      </c>
      <c r="D33" s="222" t="s">
        <v>289</v>
      </c>
      <c r="G33" s="201">
        <f>2269-H33-I33</f>
        <v>2063</v>
      </c>
      <c r="H33" s="201">
        <v>206</v>
      </c>
      <c r="I33" s="201"/>
      <c r="J33" s="201"/>
      <c r="K33" s="268">
        <f>89523.56-L33-M33--N33</f>
        <v>79212.600000000006</v>
      </c>
      <c r="L33" s="268">
        <v>11510.96</v>
      </c>
      <c r="M33" s="268"/>
      <c r="N33" s="268">
        <v>1200</v>
      </c>
      <c r="O33" s="268">
        <f t="shared" si="12"/>
        <v>91923.56</v>
      </c>
      <c r="P33" s="229"/>
      <c r="Q33" s="269">
        <v>38.409999999999997</v>
      </c>
      <c r="R33" s="229"/>
      <c r="S33" s="270">
        <f t="shared" si="13"/>
        <v>79892.799999999988</v>
      </c>
      <c r="T33" s="270">
        <f t="shared" si="14"/>
        <v>11868.689999999999</v>
      </c>
      <c r="U33" s="270" t="str">
        <f t="shared" si="15"/>
        <v xml:space="preserve"> </v>
      </c>
      <c r="V33" s="270">
        <f t="shared" si="16"/>
        <v>1200</v>
      </c>
      <c r="W33" s="270">
        <f t="shared" si="17"/>
        <v>92961.489999999991</v>
      </c>
      <c r="X33" s="230"/>
      <c r="Y33" s="219">
        <f t="shared" si="18"/>
        <v>1037.929999999993</v>
      </c>
      <c r="Z33" s="271"/>
      <c r="AB33" s="272"/>
    </row>
    <row r="34" spans="1:28">
      <c r="A34" s="222">
        <f t="shared" si="2"/>
        <v>16</v>
      </c>
      <c r="C34" s="222">
        <v>1</v>
      </c>
      <c r="D34" s="222" t="s">
        <v>290</v>
      </c>
      <c r="G34" s="201">
        <f>2187.5-H34-I34</f>
        <v>2080</v>
      </c>
      <c r="H34" s="201">
        <v>107.5</v>
      </c>
      <c r="I34" s="201">
        <v>0</v>
      </c>
      <c r="J34" s="201"/>
      <c r="K34" s="268">
        <f>89624.55-L34-M34-N34</f>
        <v>82058.400000000009</v>
      </c>
      <c r="L34" s="268">
        <v>6366.15</v>
      </c>
      <c r="M34" s="268">
        <v>0</v>
      </c>
      <c r="N34" s="268">
        <v>1200</v>
      </c>
      <c r="O34" s="268">
        <f t="shared" si="12"/>
        <v>89624.55</v>
      </c>
      <c r="P34" s="229"/>
      <c r="Q34" s="269">
        <v>40.479999999999997</v>
      </c>
      <c r="R34" s="229"/>
      <c r="S34" s="270">
        <f t="shared" si="13"/>
        <v>84198.399999999994</v>
      </c>
      <c r="T34" s="270">
        <f t="shared" si="14"/>
        <v>6527.4</v>
      </c>
      <c r="U34" s="270" t="str">
        <f t="shared" si="15"/>
        <v xml:space="preserve"> </v>
      </c>
      <c r="V34" s="270">
        <f t="shared" si="16"/>
        <v>1200</v>
      </c>
      <c r="W34" s="270">
        <f t="shared" si="17"/>
        <v>91925.799999999988</v>
      </c>
      <c r="X34" s="230"/>
      <c r="Y34" s="219">
        <f t="shared" si="18"/>
        <v>2301.2499999999854</v>
      </c>
      <c r="Z34" s="271"/>
      <c r="AB34" s="272"/>
    </row>
    <row r="35" spans="1:28">
      <c r="A35" s="222">
        <f t="shared" si="2"/>
        <v>17</v>
      </c>
      <c r="C35" s="222">
        <v>1</v>
      </c>
      <c r="D35" s="222" t="s">
        <v>291</v>
      </c>
      <c r="G35" s="201">
        <f>2220-H35-I35</f>
        <v>2080</v>
      </c>
      <c r="H35" s="201">
        <v>140</v>
      </c>
      <c r="I35" s="201"/>
      <c r="J35" s="201"/>
      <c r="K35" s="268">
        <f>86571.39-L35-M35-N35</f>
        <v>77549.009999999995</v>
      </c>
      <c r="L35" s="268">
        <v>7822.38</v>
      </c>
      <c r="M35" s="268"/>
      <c r="N35" s="268">
        <v>1200</v>
      </c>
      <c r="O35" s="268">
        <f t="shared" si="12"/>
        <v>86571.39</v>
      </c>
      <c r="P35" s="229"/>
      <c r="Q35" s="269">
        <v>38.25</v>
      </c>
      <c r="R35" s="229"/>
      <c r="S35" s="270">
        <f t="shared" si="13"/>
        <v>79560</v>
      </c>
      <c r="T35" s="270">
        <f t="shared" si="14"/>
        <v>8032.5</v>
      </c>
      <c r="U35" s="270" t="str">
        <f t="shared" si="15"/>
        <v xml:space="preserve"> </v>
      </c>
      <c r="V35" s="270">
        <f t="shared" si="16"/>
        <v>1200</v>
      </c>
      <c r="W35" s="270">
        <f t="shared" si="17"/>
        <v>88792.5</v>
      </c>
      <c r="X35" s="230"/>
      <c r="Y35" s="219">
        <f t="shared" si="18"/>
        <v>2221.1100000000006</v>
      </c>
      <c r="Z35" s="271"/>
      <c r="AB35" s="272"/>
    </row>
    <row r="36" spans="1:28">
      <c r="A36" s="222">
        <f t="shared" si="2"/>
        <v>18</v>
      </c>
      <c r="C36" s="222">
        <v>1</v>
      </c>
      <c r="D36" s="222" t="s">
        <v>292</v>
      </c>
      <c r="G36" s="201">
        <f>2323.5-H36-I36</f>
        <v>2073</v>
      </c>
      <c r="H36" s="201">
        <v>250.5</v>
      </c>
      <c r="I36" s="201"/>
      <c r="J36" s="201"/>
      <c r="K36" s="268">
        <f>92379.01-L36-M36-N36</f>
        <v>77181.659999999989</v>
      </c>
      <c r="L36" s="268">
        <v>13997.35</v>
      </c>
      <c r="M36" s="268"/>
      <c r="N36" s="268">
        <v>1200</v>
      </c>
      <c r="O36" s="268">
        <f t="shared" si="12"/>
        <v>92379.01</v>
      </c>
      <c r="P36" s="229"/>
      <c r="Q36" s="269">
        <v>38.25</v>
      </c>
      <c r="R36" s="229"/>
      <c r="S36" s="270">
        <f t="shared" si="13"/>
        <v>79560</v>
      </c>
      <c r="T36" s="270">
        <f t="shared" si="14"/>
        <v>14372.4375</v>
      </c>
      <c r="U36" s="270" t="str">
        <f t="shared" si="15"/>
        <v xml:space="preserve"> </v>
      </c>
      <c r="V36" s="270">
        <f t="shared" si="16"/>
        <v>1200</v>
      </c>
      <c r="W36" s="270">
        <f t="shared" si="17"/>
        <v>95132.4375</v>
      </c>
      <c r="X36" s="230"/>
      <c r="Y36" s="219">
        <f t="shared" si="18"/>
        <v>2753.4275000000052</v>
      </c>
      <c r="Z36" s="271"/>
      <c r="AB36" s="272"/>
    </row>
    <row r="37" spans="1:28">
      <c r="A37" s="222">
        <f t="shared" si="2"/>
        <v>19</v>
      </c>
      <c r="C37" s="222">
        <v>1</v>
      </c>
      <c r="D37" s="222" t="s">
        <v>293</v>
      </c>
      <c r="G37" s="201">
        <f>2306-H37-I37</f>
        <v>1970</v>
      </c>
      <c r="H37" s="201">
        <v>296</v>
      </c>
      <c r="I37" s="201">
        <v>40</v>
      </c>
      <c r="J37" s="201"/>
      <c r="K37" s="268">
        <f>89632.35-L37-M37-N37</f>
        <v>72817.8</v>
      </c>
      <c r="L37" s="268">
        <v>14124.55</v>
      </c>
      <c r="M37" s="268">
        <v>1490</v>
      </c>
      <c r="N37" s="268">
        <v>1200</v>
      </c>
      <c r="O37" s="268">
        <f t="shared" si="12"/>
        <v>89632.35</v>
      </c>
      <c r="P37" s="229"/>
      <c r="Q37" s="269">
        <v>38.25</v>
      </c>
      <c r="R37" s="229"/>
      <c r="S37" s="270">
        <f t="shared" si="13"/>
        <v>79560</v>
      </c>
      <c r="T37" s="270">
        <f t="shared" si="14"/>
        <v>16983</v>
      </c>
      <c r="U37" s="270">
        <f t="shared" si="15"/>
        <v>1530</v>
      </c>
      <c r="V37" s="270">
        <f t="shared" si="16"/>
        <v>1200</v>
      </c>
      <c r="W37" s="270">
        <f t="shared" si="17"/>
        <v>99273</v>
      </c>
      <c r="X37" s="230"/>
      <c r="Y37" s="219">
        <f t="shared" si="18"/>
        <v>9640.6499999999942</v>
      </c>
      <c r="Z37" s="271"/>
      <c r="AB37" s="272"/>
    </row>
    <row r="38" spans="1:28">
      <c r="A38" s="222">
        <f t="shared" si="2"/>
        <v>20</v>
      </c>
      <c r="C38" s="222">
        <v>1</v>
      </c>
      <c r="D38" s="222" t="s">
        <v>294</v>
      </c>
      <c r="G38" s="201">
        <f>2251.5-H38-I38</f>
        <v>2080</v>
      </c>
      <c r="H38" s="201">
        <v>171.5</v>
      </c>
      <c r="I38" s="201"/>
      <c r="J38" s="201"/>
      <c r="K38" s="268">
        <f>87903.45-L38-M38-N38</f>
        <v>77170.319999999992</v>
      </c>
      <c r="L38" s="268">
        <v>9533.1299999999992</v>
      </c>
      <c r="M38" s="268"/>
      <c r="N38" s="268">
        <v>1200</v>
      </c>
      <c r="O38" s="268">
        <f t="shared" si="12"/>
        <v>87903.45</v>
      </c>
      <c r="P38" s="229"/>
      <c r="Q38" s="269">
        <v>38</v>
      </c>
      <c r="R38" s="229"/>
      <c r="S38" s="270">
        <f t="shared" si="13"/>
        <v>79040</v>
      </c>
      <c r="T38" s="270">
        <f t="shared" si="14"/>
        <v>9775.5</v>
      </c>
      <c r="U38" s="270" t="str">
        <f t="shared" si="15"/>
        <v xml:space="preserve"> </v>
      </c>
      <c r="V38" s="270">
        <f t="shared" si="16"/>
        <v>1200</v>
      </c>
      <c r="W38" s="270">
        <f t="shared" si="17"/>
        <v>90015.5</v>
      </c>
      <c r="X38" s="230"/>
      <c r="Y38" s="219">
        <f t="shared" si="18"/>
        <v>2112.0500000000029</v>
      </c>
      <c r="Z38" s="271"/>
      <c r="AB38" s="272"/>
    </row>
    <row r="39" spans="1:28">
      <c r="A39" s="222">
        <f t="shared" si="2"/>
        <v>21</v>
      </c>
      <c r="C39" s="222">
        <v>1</v>
      </c>
      <c r="D39" s="222" t="s">
        <v>295</v>
      </c>
      <c r="G39" s="201">
        <f>2063.5-H39-I39</f>
        <v>1951</v>
      </c>
      <c r="H39" s="201">
        <v>112.5</v>
      </c>
      <c r="I39" s="201"/>
      <c r="J39" s="201"/>
      <c r="K39" s="268">
        <f>79721.41-L39-M39-N39</f>
        <v>72275.8</v>
      </c>
      <c r="L39" s="268">
        <v>6245.61</v>
      </c>
      <c r="M39" s="268"/>
      <c r="N39" s="268">
        <v>1200</v>
      </c>
      <c r="O39" s="268">
        <f t="shared" si="12"/>
        <v>79721.41</v>
      </c>
      <c r="P39" s="229"/>
      <c r="Q39" s="269">
        <v>38</v>
      </c>
      <c r="R39" s="229"/>
      <c r="S39" s="270">
        <f t="shared" si="13"/>
        <v>79040</v>
      </c>
      <c r="T39" s="270">
        <f t="shared" si="14"/>
        <v>6412.5</v>
      </c>
      <c r="U39" s="270" t="str">
        <f t="shared" si="15"/>
        <v xml:space="preserve"> </v>
      </c>
      <c r="V39" s="270">
        <f t="shared" si="16"/>
        <v>1200</v>
      </c>
      <c r="W39" s="270">
        <f t="shared" si="17"/>
        <v>86652.5</v>
      </c>
      <c r="X39" s="230"/>
      <c r="Y39" s="219">
        <f t="shared" si="18"/>
        <v>6931.0899999999965</v>
      </c>
      <c r="Z39" s="271"/>
      <c r="AB39" s="272"/>
    </row>
    <row r="40" spans="1:28">
      <c r="A40" s="222">
        <f t="shared" si="2"/>
        <v>22</v>
      </c>
      <c r="C40" s="222">
        <v>1</v>
      </c>
      <c r="D40" s="222" t="s">
        <v>296</v>
      </c>
      <c r="G40" s="201">
        <f>2313-H40-I40</f>
        <v>2090</v>
      </c>
      <c r="H40" s="201">
        <v>223</v>
      </c>
      <c r="I40" s="201"/>
      <c r="J40" s="201"/>
      <c r="K40" s="268">
        <f>85966.52-L40-M40-N40</f>
        <v>73062.600000000006</v>
      </c>
      <c r="L40" s="268">
        <v>11703.92</v>
      </c>
      <c r="M40" s="268"/>
      <c r="N40" s="268">
        <v>1200</v>
      </c>
      <c r="O40" s="268">
        <f t="shared" si="12"/>
        <v>85966.52</v>
      </c>
      <c r="P40" s="229"/>
      <c r="Q40" s="269">
        <v>36.479999999999997</v>
      </c>
      <c r="R40" s="229"/>
      <c r="S40" s="270">
        <f t="shared" si="13"/>
        <v>75878.399999999994</v>
      </c>
      <c r="T40" s="270">
        <f t="shared" si="14"/>
        <v>12202.559999999998</v>
      </c>
      <c r="U40" s="270" t="str">
        <f t="shared" si="15"/>
        <v xml:space="preserve"> </v>
      </c>
      <c r="V40" s="270">
        <f t="shared" si="16"/>
        <v>1200</v>
      </c>
      <c r="W40" s="270">
        <f t="shared" si="17"/>
        <v>89280.959999999992</v>
      </c>
      <c r="X40" s="230"/>
      <c r="Y40" s="219">
        <f t="shared" si="18"/>
        <v>3314.4399999999878</v>
      </c>
      <c r="Z40" s="271"/>
      <c r="AB40" s="272"/>
    </row>
    <row r="41" spans="1:28">
      <c r="A41" s="222">
        <f t="shared" si="2"/>
        <v>23</v>
      </c>
      <c r="C41" s="222">
        <v>1</v>
      </c>
      <c r="D41" s="222" t="s">
        <v>297</v>
      </c>
      <c r="G41" s="201">
        <f>2225-H41-I41</f>
        <v>2080</v>
      </c>
      <c r="H41" s="201">
        <v>145</v>
      </c>
      <c r="I41" s="201"/>
      <c r="J41" s="201"/>
      <c r="K41" s="268">
        <f>86172.3-L41-M41-N41</f>
        <v>76924.800000000003</v>
      </c>
      <c r="L41" s="268">
        <v>8047.5</v>
      </c>
      <c r="M41" s="268"/>
      <c r="N41" s="268">
        <v>1200</v>
      </c>
      <c r="O41" s="268">
        <f t="shared" si="12"/>
        <v>86172.3</v>
      </c>
      <c r="P41" s="229"/>
      <c r="Q41" s="269">
        <v>38</v>
      </c>
      <c r="R41" s="229"/>
      <c r="S41" s="270">
        <f t="shared" si="13"/>
        <v>79040</v>
      </c>
      <c r="T41" s="270">
        <f t="shared" si="14"/>
        <v>8265</v>
      </c>
      <c r="U41" s="270" t="str">
        <f t="shared" si="15"/>
        <v xml:space="preserve"> </v>
      </c>
      <c r="V41" s="270">
        <f t="shared" si="16"/>
        <v>1200</v>
      </c>
      <c r="W41" s="270">
        <f t="shared" si="17"/>
        <v>88505</v>
      </c>
      <c r="X41" s="230"/>
      <c r="Y41" s="219">
        <f t="shared" si="18"/>
        <v>2332.6999999999971</v>
      </c>
      <c r="Z41" s="271"/>
      <c r="AB41" s="272"/>
    </row>
    <row r="42" spans="1:28">
      <c r="A42" s="222">
        <f t="shared" si="2"/>
        <v>24</v>
      </c>
      <c r="C42" s="222">
        <v>1</v>
      </c>
      <c r="D42" s="222" t="s">
        <v>298</v>
      </c>
      <c r="G42" s="201">
        <f>2165-H42-I42</f>
        <v>2080</v>
      </c>
      <c r="H42" s="201">
        <v>85</v>
      </c>
      <c r="I42" s="201"/>
      <c r="J42" s="201"/>
      <c r="K42" s="268">
        <f>79969.97-L42-M42-N42</f>
        <v>74216.800000000003</v>
      </c>
      <c r="L42" s="268">
        <v>4553.17</v>
      </c>
      <c r="M42" s="268"/>
      <c r="N42" s="268">
        <v>1200</v>
      </c>
      <c r="O42" s="268">
        <f t="shared" si="12"/>
        <v>79969.97</v>
      </c>
      <c r="P42" s="229"/>
      <c r="Q42" s="269">
        <v>36.71</v>
      </c>
      <c r="R42" s="229"/>
      <c r="S42" s="270">
        <f t="shared" si="13"/>
        <v>76356.800000000003</v>
      </c>
      <c r="T42" s="270">
        <f t="shared" si="14"/>
        <v>4680.5249999999996</v>
      </c>
      <c r="U42" s="270" t="str">
        <f t="shared" si="15"/>
        <v xml:space="preserve"> </v>
      </c>
      <c r="V42" s="270">
        <f t="shared" si="16"/>
        <v>1200</v>
      </c>
      <c r="W42" s="270">
        <f t="shared" si="17"/>
        <v>82237.324999999997</v>
      </c>
      <c r="X42" s="230"/>
      <c r="Y42" s="219">
        <f t="shared" si="18"/>
        <v>2267.3549999999959</v>
      </c>
      <c r="Z42" s="271"/>
      <c r="AB42" s="272"/>
    </row>
    <row r="43" spans="1:28">
      <c r="A43" s="222">
        <f t="shared" si="2"/>
        <v>25</v>
      </c>
      <c r="C43" s="222">
        <v>1</v>
      </c>
      <c r="D43" s="222" t="s">
        <v>299</v>
      </c>
      <c r="E43" s="222" t="s">
        <v>208</v>
      </c>
      <c r="G43" s="201">
        <f>1450-H43-I43</f>
        <v>1247</v>
      </c>
      <c r="H43" s="201">
        <v>203</v>
      </c>
      <c r="I43" s="201"/>
      <c r="J43" s="201"/>
      <c r="K43" s="268">
        <f>57332.75-L43-M43-N43</f>
        <v>46079</v>
      </c>
      <c r="L43" s="268">
        <v>11253.75</v>
      </c>
      <c r="M43" s="268"/>
      <c r="N43" s="268">
        <v>0</v>
      </c>
      <c r="O43" s="268">
        <f t="shared" si="12"/>
        <v>57332.75</v>
      </c>
      <c r="P43" s="229"/>
      <c r="Q43" s="269">
        <v>0</v>
      </c>
      <c r="R43" s="229"/>
      <c r="S43" s="270">
        <f t="shared" si="13"/>
        <v>0</v>
      </c>
      <c r="T43" s="270">
        <f t="shared" si="14"/>
        <v>0</v>
      </c>
      <c r="U43" s="270" t="str">
        <f t="shared" si="15"/>
        <v xml:space="preserve"> </v>
      </c>
      <c r="V43" s="270" t="str">
        <f t="shared" si="16"/>
        <v xml:space="preserve"> </v>
      </c>
      <c r="W43" s="270">
        <f t="shared" si="17"/>
        <v>0</v>
      </c>
      <c r="X43" s="230"/>
      <c r="Y43" s="219">
        <f t="shared" si="18"/>
        <v>-57332.75</v>
      </c>
      <c r="Z43" s="271"/>
      <c r="AB43" s="272"/>
    </row>
    <row r="44" spans="1:28">
      <c r="A44" s="222">
        <f t="shared" si="2"/>
        <v>26</v>
      </c>
      <c r="C44" s="222">
        <v>1</v>
      </c>
      <c r="D44" s="222" t="s">
        <v>300</v>
      </c>
      <c r="G44" s="201">
        <f>1808-H44-I44</f>
        <v>1620</v>
      </c>
      <c r="H44" s="201">
        <v>188</v>
      </c>
      <c r="I44" s="201"/>
      <c r="J44" s="201"/>
      <c r="K44" s="268">
        <f>63015-L44-M44-N44</f>
        <v>52649.95</v>
      </c>
      <c r="L44" s="268">
        <v>9165.0499999999993</v>
      </c>
      <c r="M44" s="268"/>
      <c r="N44" s="268">
        <v>1200</v>
      </c>
      <c r="O44" s="268">
        <f t="shared" si="12"/>
        <v>63015</v>
      </c>
      <c r="P44" s="229"/>
      <c r="Q44" s="269">
        <v>33.5</v>
      </c>
      <c r="R44" s="229"/>
      <c r="S44" s="270">
        <f t="shared" si="13"/>
        <v>69680</v>
      </c>
      <c r="T44" s="270">
        <f t="shared" si="14"/>
        <v>9447</v>
      </c>
      <c r="U44" s="270" t="str">
        <f t="shared" si="15"/>
        <v xml:space="preserve"> </v>
      </c>
      <c r="V44" s="270">
        <f t="shared" si="16"/>
        <v>1200</v>
      </c>
      <c r="W44" s="270">
        <f t="shared" si="17"/>
        <v>80327</v>
      </c>
      <c r="X44" s="230"/>
      <c r="Y44" s="219">
        <f t="shared" si="18"/>
        <v>17312</v>
      </c>
      <c r="Z44" s="271"/>
      <c r="AB44" s="272"/>
    </row>
    <row r="45" spans="1:28">
      <c r="A45" s="222">
        <f t="shared" si="2"/>
        <v>27</v>
      </c>
      <c r="C45" s="222">
        <v>1</v>
      </c>
      <c r="D45" s="222" t="s">
        <v>301</v>
      </c>
      <c r="G45" s="201">
        <f>541.5-H45-I45</f>
        <v>540</v>
      </c>
      <c r="H45" s="201">
        <v>1.5</v>
      </c>
      <c r="I45" s="201"/>
      <c r="J45" s="201"/>
      <c r="K45" s="268">
        <f>21263.75-L45-M45-N45</f>
        <v>19980.5</v>
      </c>
      <c r="L45" s="268">
        <v>83.25</v>
      </c>
      <c r="M45" s="268"/>
      <c r="N45" s="268">
        <v>1200</v>
      </c>
      <c r="O45" s="268">
        <f t="shared" si="12"/>
        <v>21263.75</v>
      </c>
      <c r="P45" s="229"/>
      <c r="Q45" s="269">
        <v>38</v>
      </c>
      <c r="R45" s="229"/>
      <c r="S45" s="270">
        <f t="shared" si="13"/>
        <v>79040</v>
      </c>
      <c r="T45" s="270">
        <f t="shared" si="14"/>
        <v>85.5</v>
      </c>
      <c r="U45" s="270" t="str">
        <f t="shared" si="15"/>
        <v xml:space="preserve"> </v>
      </c>
      <c r="V45" s="270">
        <f t="shared" si="16"/>
        <v>1200</v>
      </c>
      <c r="W45" s="270">
        <f t="shared" si="17"/>
        <v>80325.5</v>
      </c>
      <c r="X45" s="230"/>
      <c r="Y45" s="219"/>
      <c r="Z45" s="271"/>
      <c r="AB45" s="272"/>
    </row>
    <row r="46" spans="1:28">
      <c r="A46" s="222">
        <v>28</v>
      </c>
      <c r="C46" s="222">
        <v>1</v>
      </c>
      <c r="D46" s="222" t="s">
        <v>302</v>
      </c>
      <c r="G46" s="201">
        <f>264.5-H46-I46</f>
        <v>260</v>
      </c>
      <c r="H46" s="201">
        <v>4.5</v>
      </c>
      <c r="I46" s="201"/>
      <c r="J46" s="201"/>
      <c r="K46" s="268">
        <f>11069.75-L46-M46-N46</f>
        <v>9620</v>
      </c>
      <c r="L46" s="268">
        <v>249.75</v>
      </c>
      <c r="M46" s="268"/>
      <c r="N46" s="268">
        <v>1200</v>
      </c>
      <c r="O46" s="268">
        <f t="shared" si="12"/>
        <v>11069.75</v>
      </c>
      <c r="P46" s="229"/>
      <c r="Q46" s="269">
        <v>38</v>
      </c>
      <c r="R46" s="229"/>
      <c r="S46" s="270">
        <f t="shared" si="13"/>
        <v>79040</v>
      </c>
      <c r="T46" s="270">
        <f t="shared" si="14"/>
        <v>256.5</v>
      </c>
      <c r="U46" s="270" t="str">
        <f t="shared" si="15"/>
        <v xml:space="preserve"> </v>
      </c>
      <c r="V46" s="270">
        <f t="shared" si="16"/>
        <v>1200</v>
      </c>
      <c r="W46" s="270">
        <f t="shared" si="17"/>
        <v>80496.5</v>
      </c>
      <c r="X46" s="230"/>
      <c r="Y46" s="219"/>
      <c r="Z46" s="271"/>
      <c r="AB46" s="272"/>
    </row>
    <row r="47" spans="1:28">
      <c r="A47" s="222">
        <v>29</v>
      </c>
      <c r="C47" s="222">
        <v>1</v>
      </c>
      <c r="D47" s="222" t="s">
        <v>303</v>
      </c>
      <c r="G47" s="201">
        <f>2093.5-H47-I47</f>
        <v>2080</v>
      </c>
      <c r="H47" s="201">
        <v>5</v>
      </c>
      <c r="I47" s="201">
        <v>8.5</v>
      </c>
      <c r="J47" s="201"/>
      <c r="K47" s="268">
        <f>55177.5-L47-M47-N47</f>
        <v>53552</v>
      </c>
      <c r="L47" s="268">
        <v>187.5</v>
      </c>
      <c r="M47" s="268">
        <v>238</v>
      </c>
      <c r="N47" s="268">
        <v>1200</v>
      </c>
      <c r="O47" s="268">
        <f t="shared" si="12"/>
        <v>55177.5</v>
      </c>
      <c r="P47" s="229"/>
      <c r="Q47" s="269">
        <v>28</v>
      </c>
      <c r="R47" s="229"/>
      <c r="S47" s="270">
        <f t="shared" si="13"/>
        <v>58240</v>
      </c>
      <c r="T47" s="270">
        <f t="shared" si="14"/>
        <v>210</v>
      </c>
      <c r="U47" s="270">
        <f t="shared" si="15"/>
        <v>238</v>
      </c>
      <c r="V47" s="270">
        <f t="shared" si="16"/>
        <v>1200</v>
      </c>
      <c r="W47" s="270">
        <f t="shared" si="17"/>
        <v>59888</v>
      </c>
      <c r="X47" s="230"/>
      <c r="Y47" s="219">
        <f t="shared" si="18"/>
        <v>4710.5</v>
      </c>
      <c r="Z47" s="271"/>
      <c r="AB47" s="272"/>
    </row>
    <row r="48" spans="1:28">
      <c r="A48" s="222">
        <f t="shared" si="2"/>
        <v>30</v>
      </c>
      <c r="C48" s="222">
        <v>1</v>
      </c>
      <c r="D48" s="222" t="s">
        <v>304</v>
      </c>
      <c r="G48" s="201">
        <f>2208-H48-I48</f>
        <v>2104.5</v>
      </c>
      <c r="H48" s="201">
        <v>63.5</v>
      </c>
      <c r="I48" s="201">
        <v>40</v>
      </c>
      <c r="J48" s="201"/>
      <c r="K48" s="268">
        <f>61228.07-L48-M48-N48</f>
        <v>56353.120000000003</v>
      </c>
      <c r="L48" s="268">
        <v>2520.9499999999998</v>
      </c>
      <c r="M48" s="268">
        <v>1154</v>
      </c>
      <c r="N48" s="268">
        <v>1200</v>
      </c>
      <c r="O48" s="268">
        <f t="shared" si="12"/>
        <v>61228.07</v>
      </c>
      <c r="P48" s="229"/>
      <c r="Q48" s="269">
        <v>28.85</v>
      </c>
      <c r="R48" s="229"/>
      <c r="S48" s="270">
        <f t="shared" si="13"/>
        <v>60008</v>
      </c>
      <c r="T48" s="270">
        <f t="shared" si="14"/>
        <v>2747.9625000000001</v>
      </c>
      <c r="U48" s="270">
        <f t="shared" si="15"/>
        <v>1154</v>
      </c>
      <c r="V48" s="270">
        <f t="shared" si="16"/>
        <v>1200</v>
      </c>
      <c r="W48" s="270">
        <f t="shared" si="17"/>
        <v>65109.962500000001</v>
      </c>
      <c r="X48" s="230"/>
      <c r="Y48" s="219">
        <f t="shared" si="18"/>
        <v>3881.8925000000017</v>
      </c>
      <c r="Z48" s="271"/>
      <c r="AB48" s="272"/>
    </row>
    <row r="49" spans="1:28">
      <c r="A49" s="222">
        <f t="shared" si="2"/>
        <v>31</v>
      </c>
      <c r="C49" s="222">
        <v>1</v>
      </c>
      <c r="D49" s="222" t="s">
        <v>305</v>
      </c>
      <c r="G49" s="201">
        <f>2069.5-H49-I49</f>
        <v>1980</v>
      </c>
      <c r="H49" s="201">
        <v>52.5</v>
      </c>
      <c r="I49" s="201">
        <v>37</v>
      </c>
      <c r="J49" s="201"/>
      <c r="K49" s="268">
        <f>65503.9-L49-M49-N49</f>
        <v>60868.6</v>
      </c>
      <c r="L49" s="268">
        <v>2269.8000000000002</v>
      </c>
      <c r="M49" s="268">
        <v>1165.5</v>
      </c>
      <c r="N49" s="268">
        <v>1200</v>
      </c>
      <c r="O49" s="268">
        <f t="shared" si="12"/>
        <v>65503.9</v>
      </c>
      <c r="P49" s="229"/>
      <c r="Q49" s="269">
        <v>31.48</v>
      </c>
      <c r="R49" s="229"/>
      <c r="S49" s="270">
        <f t="shared" si="13"/>
        <v>65478.400000000001</v>
      </c>
      <c r="T49" s="270">
        <f t="shared" si="14"/>
        <v>2479.0500000000002</v>
      </c>
      <c r="U49" s="270">
        <f t="shared" si="15"/>
        <v>1164.76</v>
      </c>
      <c r="V49" s="270">
        <f t="shared" si="16"/>
        <v>1200</v>
      </c>
      <c r="W49" s="270">
        <f t="shared" si="17"/>
        <v>70322.209999999992</v>
      </c>
      <c r="X49" s="230"/>
      <c r="Y49" s="219">
        <f t="shared" si="18"/>
        <v>4818.3099999999904</v>
      </c>
      <c r="Z49" s="271"/>
      <c r="AB49" s="272"/>
    </row>
    <row r="50" spans="1:28">
      <c r="A50" s="222">
        <f t="shared" si="2"/>
        <v>32</v>
      </c>
      <c r="C50" s="222">
        <v>1</v>
      </c>
      <c r="D50" s="222" t="s">
        <v>306</v>
      </c>
      <c r="G50" s="201">
        <f>2113.5-H50-I50</f>
        <v>2080</v>
      </c>
      <c r="H50" s="201">
        <v>33.5</v>
      </c>
      <c r="I50" s="201"/>
      <c r="J50" s="201"/>
      <c r="K50" s="268">
        <f>68821.15-L50-M50-N50</f>
        <v>66064.399999999994</v>
      </c>
      <c r="L50" s="268">
        <v>1556.75</v>
      </c>
      <c r="M50" s="268"/>
      <c r="N50" s="268">
        <v>1200</v>
      </c>
      <c r="O50" s="268">
        <f t="shared" si="12"/>
        <v>68821.149999999994</v>
      </c>
      <c r="P50" s="229"/>
      <c r="Q50" s="269">
        <v>33.979999999999997</v>
      </c>
      <c r="R50" s="229"/>
      <c r="S50" s="270">
        <f t="shared" si="13"/>
        <v>70678.399999999994</v>
      </c>
      <c r="T50" s="270">
        <f t="shared" si="14"/>
        <v>1707.4949999999999</v>
      </c>
      <c r="U50" s="270" t="str">
        <f t="shared" si="15"/>
        <v xml:space="preserve"> </v>
      </c>
      <c r="V50" s="270">
        <f t="shared" si="16"/>
        <v>1200</v>
      </c>
      <c r="W50" s="270">
        <f t="shared" si="17"/>
        <v>73585.89499999999</v>
      </c>
      <c r="X50" s="230"/>
      <c r="Y50" s="219">
        <f t="shared" si="18"/>
        <v>4764.7449999999953</v>
      </c>
      <c r="Z50" s="271"/>
      <c r="AB50" s="272"/>
    </row>
    <row r="51" spans="1:28">
      <c r="A51" s="222">
        <f t="shared" si="2"/>
        <v>33</v>
      </c>
      <c r="C51" s="222">
        <v>1</v>
      </c>
      <c r="D51" s="222" t="s">
        <v>307</v>
      </c>
      <c r="G51" s="201">
        <f>2217.5-H51-I51</f>
        <v>2080</v>
      </c>
      <c r="H51" s="201">
        <v>98.5</v>
      </c>
      <c r="I51" s="201">
        <v>39</v>
      </c>
      <c r="J51" s="201"/>
      <c r="K51" s="268">
        <f>43389.35-L51-M51-N51</f>
        <v>38543.83</v>
      </c>
      <c r="L51" s="268">
        <v>2820.67</v>
      </c>
      <c r="M51" s="268">
        <v>824.85</v>
      </c>
      <c r="N51" s="268">
        <v>1200</v>
      </c>
      <c r="O51" s="268">
        <f t="shared" si="12"/>
        <v>43389.35</v>
      </c>
      <c r="P51" s="229"/>
      <c r="Q51" s="269">
        <v>22.65</v>
      </c>
      <c r="R51" s="229"/>
      <c r="S51" s="270">
        <f t="shared" si="13"/>
        <v>47112</v>
      </c>
      <c r="T51" s="270">
        <f t="shared" si="14"/>
        <v>3346.5374999999995</v>
      </c>
      <c r="U51" s="270">
        <f t="shared" si="15"/>
        <v>883.34999999999991</v>
      </c>
      <c r="V51" s="270">
        <f t="shared" si="16"/>
        <v>1200</v>
      </c>
      <c r="W51" s="270">
        <f t="shared" si="17"/>
        <v>52541.887499999997</v>
      </c>
      <c r="X51" s="230"/>
      <c r="Y51" s="219">
        <f t="shared" si="18"/>
        <v>9152.5374999999985</v>
      </c>
      <c r="Z51" s="271"/>
      <c r="AB51" s="272"/>
    </row>
    <row r="52" spans="1:28">
      <c r="A52" s="222">
        <f t="shared" si="2"/>
        <v>34</v>
      </c>
      <c r="C52" s="222">
        <v>1</v>
      </c>
      <c r="D52" s="222" t="s">
        <v>308</v>
      </c>
      <c r="G52" s="201">
        <f>2126-H52-I52</f>
        <v>2034</v>
      </c>
      <c r="H52" s="201">
        <v>52</v>
      </c>
      <c r="I52" s="201">
        <v>40</v>
      </c>
      <c r="J52" s="201"/>
      <c r="K52" s="268">
        <f>44392.02-L52-M52-N52</f>
        <v>40717.319999999992</v>
      </c>
      <c r="L52" s="268">
        <v>1586.3</v>
      </c>
      <c r="M52" s="268">
        <v>888.4</v>
      </c>
      <c r="N52" s="268">
        <v>1200</v>
      </c>
      <c r="O52" s="268">
        <f t="shared" si="12"/>
        <v>44392.02</v>
      </c>
      <c r="P52" s="229"/>
      <c r="Q52" s="269">
        <v>22.21</v>
      </c>
      <c r="R52" s="229"/>
      <c r="S52" s="270">
        <f t="shared" si="13"/>
        <v>46196.800000000003</v>
      </c>
      <c r="T52" s="270">
        <f t="shared" si="14"/>
        <v>1732.38</v>
      </c>
      <c r="U52" s="270">
        <f t="shared" si="15"/>
        <v>888.40000000000009</v>
      </c>
      <c r="V52" s="270">
        <f t="shared" si="16"/>
        <v>1200</v>
      </c>
      <c r="W52" s="270">
        <f t="shared" si="17"/>
        <v>50017.58</v>
      </c>
      <c r="X52" s="230"/>
      <c r="Y52" s="219">
        <f t="shared" si="18"/>
        <v>5625.5600000000049</v>
      </c>
      <c r="Z52" s="271"/>
      <c r="AB52" s="272"/>
    </row>
    <row r="53" spans="1:28">
      <c r="A53" s="222">
        <f t="shared" si="2"/>
        <v>35</v>
      </c>
      <c r="C53" s="222">
        <v>1</v>
      </c>
      <c r="D53" s="222" t="s">
        <v>309</v>
      </c>
      <c r="G53" s="201">
        <f>2152-H53-I53</f>
        <v>2080</v>
      </c>
      <c r="H53" s="201">
        <v>72</v>
      </c>
      <c r="I53" s="201"/>
      <c r="J53" s="201"/>
      <c r="K53" s="268">
        <f>53997.95-L53-M53-N53</f>
        <v>50192</v>
      </c>
      <c r="L53" s="268">
        <v>2605.9499999999998</v>
      </c>
      <c r="M53" s="268"/>
      <c r="N53" s="268">
        <v>1200</v>
      </c>
      <c r="O53" s="268">
        <f t="shared" si="12"/>
        <v>53997.95</v>
      </c>
      <c r="P53" s="229"/>
      <c r="Q53" s="284">
        <v>26.4</v>
      </c>
      <c r="R53" s="229"/>
      <c r="S53" s="270">
        <f t="shared" si="13"/>
        <v>54912</v>
      </c>
      <c r="T53" s="270">
        <f t="shared" si="14"/>
        <v>2851.2</v>
      </c>
      <c r="U53" s="270" t="str">
        <f t="shared" si="15"/>
        <v xml:space="preserve"> </v>
      </c>
      <c r="V53" s="270">
        <f t="shared" si="16"/>
        <v>1200</v>
      </c>
      <c r="W53" s="270">
        <f t="shared" si="17"/>
        <v>58963.199999999997</v>
      </c>
      <c r="X53" s="230"/>
      <c r="Y53" s="219">
        <f t="shared" si="18"/>
        <v>4965.25</v>
      </c>
      <c r="Z53" s="271"/>
      <c r="AB53" s="272"/>
    </row>
    <row r="54" spans="1:28">
      <c r="A54" s="222">
        <f t="shared" si="2"/>
        <v>36</v>
      </c>
      <c r="C54" s="222">
        <v>1</v>
      </c>
      <c r="D54" s="222" t="s">
        <v>310</v>
      </c>
      <c r="G54" s="201">
        <f>2108.5-H54-I54</f>
        <v>2080</v>
      </c>
      <c r="H54" s="201">
        <v>17</v>
      </c>
      <c r="I54" s="201">
        <v>11.5</v>
      </c>
      <c r="J54" s="201"/>
      <c r="K54" s="268">
        <f>37469.89-L54-M54-N54</f>
        <v>35575.199999999997</v>
      </c>
      <c r="L54" s="268">
        <v>474.58</v>
      </c>
      <c r="M54" s="268">
        <v>220.11</v>
      </c>
      <c r="N54" s="268">
        <v>1200</v>
      </c>
      <c r="O54" s="268">
        <f t="shared" si="12"/>
        <v>37469.89</v>
      </c>
      <c r="P54" s="229"/>
      <c r="Q54" s="269">
        <v>19.14</v>
      </c>
      <c r="R54" s="229"/>
      <c r="S54" s="270">
        <f t="shared" si="13"/>
        <v>39811.200000000004</v>
      </c>
      <c r="T54" s="270">
        <f t="shared" si="14"/>
        <v>488.07</v>
      </c>
      <c r="U54" s="270">
        <f t="shared" si="15"/>
        <v>220.11</v>
      </c>
      <c r="V54" s="270">
        <f t="shared" si="16"/>
        <v>1200</v>
      </c>
      <c r="W54" s="270">
        <f t="shared" si="17"/>
        <v>41719.380000000005</v>
      </c>
      <c r="X54" s="230"/>
      <c r="Y54" s="219">
        <f t="shared" si="18"/>
        <v>4249.4900000000052</v>
      </c>
      <c r="Z54" s="271"/>
      <c r="AB54" s="272"/>
    </row>
    <row r="55" spans="1:28">
      <c r="A55" s="222">
        <f t="shared" si="2"/>
        <v>37</v>
      </c>
      <c r="C55" s="222">
        <v>1</v>
      </c>
      <c r="D55" s="222" t="s">
        <v>311</v>
      </c>
      <c r="G55" s="201">
        <f>2105-H55-I55</f>
        <v>2079.5</v>
      </c>
      <c r="H55" s="201">
        <v>25.5</v>
      </c>
      <c r="I55" s="201"/>
      <c r="J55" s="201"/>
      <c r="K55" s="268">
        <f>37202.13-L55-M55-N55</f>
        <v>35304.17</v>
      </c>
      <c r="L55" s="268">
        <v>697.96</v>
      </c>
      <c r="M55" s="268"/>
      <c r="N55" s="268">
        <v>1200</v>
      </c>
      <c r="O55" s="268">
        <f t="shared" si="12"/>
        <v>37202.129999999997</v>
      </c>
      <c r="P55" s="229"/>
      <c r="Q55" s="269">
        <v>19.55</v>
      </c>
      <c r="R55" s="229"/>
      <c r="S55" s="270">
        <f t="shared" si="13"/>
        <v>40664</v>
      </c>
      <c r="T55" s="270">
        <f t="shared" si="14"/>
        <v>747.78750000000002</v>
      </c>
      <c r="U55" s="270" t="str">
        <f t="shared" si="15"/>
        <v xml:space="preserve"> </v>
      </c>
      <c r="V55" s="270">
        <f t="shared" si="16"/>
        <v>1200</v>
      </c>
      <c r="W55" s="270">
        <f t="shared" si="17"/>
        <v>42611.787499999999</v>
      </c>
      <c r="X55" s="230"/>
      <c r="Y55" s="219">
        <f t="shared" si="18"/>
        <v>5409.6575000000012</v>
      </c>
      <c r="Z55" s="271"/>
      <c r="AB55" s="272"/>
    </row>
    <row r="56" spans="1:28">
      <c r="A56" s="222">
        <f t="shared" si="2"/>
        <v>38</v>
      </c>
      <c r="C56" s="222">
        <v>1</v>
      </c>
      <c r="D56" s="222" t="s">
        <v>617</v>
      </c>
      <c r="G56" s="201">
        <f>2103-H56-I56</f>
        <v>2080</v>
      </c>
      <c r="H56" s="201">
        <v>23</v>
      </c>
      <c r="I56" s="201"/>
      <c r="J56" s="201"/>
      <c r="K56" s="268">
        <f>34243.96-L56-M56-N56</f>
        <v>32478.440000000002</v>
      </c>
      <c r="L56" s="268">
        <v>565.52</v>
      </c>
      <c r="M56" s="268"/>
      <c r="N56" s="268">
        <v>1200</v>
      </c>
      <c r="O56" s="268">
        <f t="shared" si="12"/>
        <v>34243.96</v>
      </c>
      <c r="P56" s="229"/>
      <c r="Q56" s="269">
        <v>18.89</v>
      </c>
      <c r="R56" s="229"/>
      <c r="S56" s="270">
        <f t="shared" si="13"/>
        <v>39291.200000000004</v>
      </c>
      <c r="T56" s="270">
        <f t="shared" si="14"/>
        <v>651.70500000000004</v>
      </c>
      <c r="U56" s="270" t="str">
        <f t="shared" si="15"/>
        <v xml:space="preserve"> </v>
      </c>
      <c r="V56" s="270">
        <f t="shared" si="16"/>
        <v>1200</v>
      </c>
      <c r="W56" s="270">
        <f t="shared" si="17"/>
        <v>41142.905000000006</v>
      </c>
      <c r="X56" s="230"/>
      <c r="Y56" s="219">
        <f t="shared" si="18"/>
        <v>6898.945000000007</v>
      </c>
      <c r="Z56" s="271"/>
      <c r="AB56" s="272"/>
    </row>
    <row r="57" spans="1:28">
      <c r="A57" s="222">
        <f t="shared" si="2"/>
        <v>39</v>
      </c>
      <c r="C57" s="222">
        <v>1</v>
      </c>
      <c r="D57" s="222" t="s">
        <v>618</v>
      </c>
      <c r="G57" s="201">
        <f>2082-H57-I57</f>
        <v>2079</v>
      </c>
      <c r="H57" s="201">
        <v>3</v>
      </c>
      <c r="I57" s="201"/>
      <c r="J57" s="201"/>
      <c r="K57" s="268">
        <f>32690.01-L57-M57-N57</f>
        <v>31421</v>
      </c>
      <c r="L57" s="268">
        <v>69.010000000000005</v>
      </c>
      <c r="M57" s="268"/>
      <c r="N57" s="268">
        <v>1200</v>
      </c>
      <c r="O57" s="268">
        <f t="shared" si="12"/>
        <v>32690.01</v>
      </c>
      <c r="P57" s="229"/>
      <c r="Q57" s="269">
        <v>17.5</v>
      </c>
      <c r="R57" s="229"/>
      <c r="S57" s="270">
        <f t="shared" si="13"/>
        <v>36400</v>
      </c>
      <c r="T57" s="270">
        <f t="shared" si="14"/>
        <v>78.75</v>
      </c>
      <c r="U57" s="270" t="str">
        <f t="shared" si="15"/>
        <v xml:space="preserve"> </v>
      </c>
      <c r="V57" s="270">
        <f t="shared" si="16"/>
        <v>1200</v>
      </c>
      <c r="W57" s="270">
        <f t="shared" si="17"/>
        <v>37678.75</v>
      </c>
      <c r="X57" s="230"/>
      <c r="Y57" s="219">
        <f t="shared" si="18"/>
        <v>4988.7400000000016</v>
      </c>
      <c r="Z57" s="271"/>
      <c r="AB57" s="272"/>
    </row>
    <row r="58" spans="1:28">
      <c r="A58" s="222">
        <f t="shared" si="2"/>
        <v>40</v>
      </c>
      <c r="C58" s="222">
        <v>1</v>
      </c>
      <c r="D58" s="222" t="s">
        <v>619</v>
      </c>
      <c r="G58" s="201">
        <f>481-H58-I58</f>
        <v>480</v>
      </c>
      <c r="H58" s="201">
        <v>1</v>
      </c>
      <c r="I58" s="201"/>
      <c r="J58" s="201"/>
      <c r="K58" s="268">
        <f>8422.5-L58-M58-N58</f>
        <v>7200</v>
      </c>
      <c r="L58" s="268">
        <v>22.5</v>
      </c>
      <c r="M58" s="268"/>
      <c r="N58" s="268">
        <v>1200</v>
      </c>
      <c r="O58" s="268">
        <f t="shared" si="12"/>
        <v>8422.5</v>
      </c>
      <c r="P58" s="229"/>
      <c r="Q58" s="269">
        <v>16</v>
      </c>
      <c r="R58" s="229"/>
      <c r="S58" s="270">
        <f t="shared" si="13"/>
        <v>33280</v>
      </c>
      <c r="T58" s="270">
        <f t="shared" si="14"/>
        <v>24</v>
      </c>
      <c r="U58" s="270" t="str">
        <f t="shared" si="15"/>
        <v xml:space="preserve"> </v>
      </c>
      <c r="V58" s="270">
        <f t="shared" si="16"/>
        <v>1200</v>
      </c>
      <c r="W58" s="270">
        <f t="shared" si="17"/>
        <v>34504</v>
      </c>
      <c r="X58" s="230"/>
      <c r="Y58" s="219">
        <f t="shared" si="18"/>
        <v>26081.5</v>
      </c>
      <c r="Z58" s="271"/>
      <c r="AB58" s="272"/>
    </row>
    <row r="59" spans="1:28">
      <c r="A59" s="222">
        <f t="shared" si="2"/>
        <v>41</v>
      </c>
      <c r="C59" s="222">
        <v>1</v>
      </c>
      <c r="D59" s="222" t="s">
        <v>620</v>
      </c>
      <c r="E59" s="222" t="s">
        <v>208</v>
      </c>
      <c r="G59" s="201">
        <f>32-H59-I59</f>
        <v>32</v>
      </c>
      <c r="H59" s="201"/>
      <c r="I59" s="201"/>
      <c r="J59" s="201"/>
      <c r="K59" s="268">
        <f>384-L59-M59-N59</f>
        <v>384</v>
      </c>
      <c r="L59" s="268"/>
      <c r="M59" s="268"/>
      <c r="N59" s="268">
        <v>0</v>
      </c>
      <c r="O59" s="268">
        <f t="shared" si="12"/>
        <v>384</v>
      </c>
      <c r="P59" s="229"/>
      <c r="Q59" s="269">
        <v>0</v>
      </c>
      <c r="R59" s="229"/>
      <c r="S59" s="270">
        <f t="shared" si="13"/>
        <v>0</v>
      </c>
      <c r="T59" s="270">
        <f t="shared" si="14"/>
        <v>0</v>
      </c>
      <c r="U59" s="270" t="str">
        <f t="shared" si="15"/>
        <v xml:space="preserve"> </v>
      </c>
      <c r="V59" s="270" t="str">
        <f t="shared" si="16"/>
        <v xml:space="preserve"> </v>
      </c>
      <c r="W59" s="270">
        <f t="shared" si="17"/>
        <v>0</v>
      </c>
      <c r="X59" s="230"/>
      <c r="Y59" s="219">
        <f t="shared" si="18"/>
        <v>-384</v>
      </c>
      <c r="Z59" s="271"/>
      <c r="AB59" s="272"/>
    </row>
    <row r="60" spans="1:28">
      <c r="A60" s="222">
        <f>A59+1</f>
        <v>42</v>
      </c>
      <c r="C60" s="222">
        <v>1</v>
      </c>
      <c r="D60" s="222" t="s">
        <v>621</v>
      </c>
      <c r="G60" s="201">
        <f>1173.5-H60-I60</f>
        <v>1170</v>
      </c>
      <c r="H60" s="201">
        <v>3.5</v>
      </c>
      <c r="I60" s="201"/>
      <c r="J60" s="201"/>
      <c r="K60" s="268">
        <f>16533.75-L60-M60-N60</f>
        <v>15270</v>
      </c>
      <c r="L60" s="268">
        <v>63.75</v>
      </c>
      <c r="M60" s="268"/>
      <c r="N60" s="268">
        <v>1200</v>
      </c>
      <c r="O60" s="268">
        <f t="shared" si="12"/>
        <v>16533.75</v>
      </c>
      <c r="P60" s="229"/>
      <c r="Q60" s="269">
        <v>16</v>
      </c>
      <c r="R60" s="229"/>
      <c r="S60" s="270">
        <f t="shared" si="13"/>
        <v>33280</v>
      </c>
      <c r="T60" s="270">
        <f t="shared" si="14"/>
        <v>84</v>
      </c>
      <c r="U60" s="270" t="str">
        <f t="shared" si="15"/>
        <v xml:space="preserve"> </v>
      </c>
      <c r="V60" s="270">
        <f t="shared" si="16"/>
        <v>1200</v>
      </c>
      <c r="W60" s="270">
        <f t="shared" si="17"/>
        <v>34564</v>
      </c>
      <c r="X60" s="230"/>
      <c r="Y60" s="219">
        <f t="shared" si="18"/>
        <v>18030.25</v>
      </c>
      <c r="Z60" s="271"/>
      <c r="AB60" s="272"/>
    </row>
    <row r="61" spans="1:28">
      <c r="A61" s="222">
        <f>A60+1</f>
        <v>43</v>
      </c>
      <c r="C61" s="222">
        <v>1</v>
      </c>
      <c r="D61" s="222" t="s">
        <v>622</v>
      </c>
      <c r="E61" s="222" t="s">
        <v>208</v>
      </c>
      <c r="G61" s="201">
        <f>950.13-H61-I61</f>
        <v>944.63</v>
      </c>
      <c r="H61" s="201">
        <v>5.5</v>
      </c>
      <c r="I61" s="201"/>
      <c r="J61" s="201"/>
      <c r="K61" s="268">
        <f>14712.32-L61-M61-N61</f>
        <v>14584.63</v>
      </c>
      <c r="L61" s="268">
        <v>127.69</v>
      </c>
      <c r="M61" s="268"/>
      <c r="N61" s="268"/>
      <c r="O61" s="268">
        <f t="shared" si="12"/>
        <v>14712.32</v>
      </c>
      <c r="P61" s="229"/>
      <c r="Q61" s="269">
        <v>0</v>
      </c>
      <c r="R61" s="229"/>
      <c r="S61" s="270">
        <f t="shared" si="13"/>
        <v>0</v>
      </c>
      <c r="T61" s="270">
        <f t="shared" si="14"/>
        <v>0</v>
      </c>
      <c r="U61" s="270" t="str">
        <f t="shared" si="15"/>
        <v xml:space="preserve"> </v>
      </c>
      <c r="V61" s="270" t="str">
        <f t="shared" si="16"/>
        <v xml:space="preserve"> </v>
      </c>
      <c r="W61" s="270">
        <f t="shared" si="17"/>
        <v>0</v>
      </c>
      <c r="X61" s="230"/>
      <c r="Y61" s="219">
        <f t="shared" si="18"/>
        <v>-14712.32</v>
      </c>
      <c r="Z61" s="271"/>
      <c r="AB61" s="272"/>
    </row>
    <row r="62" spans="1:28">
      <c r="C62" s="273">
        <f>SUM(C27:C61)</f>
        <v>35</v>
      </c>
      <c r="D62" s="274" t="s">
        <v>22</v>
      </c>
      <c r="E62" s="274"/>
      <c r="G62" s="275">
        <f>SUM(G27:G61)</f>
        <v>62041.63</v>
      </c>
      <c r="H62" s="275">
        <f t="shared" ref="H62:W62" si="19">SUM(H27:H61)</f>
        <v>6122</v>
      </c>
      <c r="I62" s="275">
        <f t="shared" si="19"/>
        <v>340.5</v>
      </c>
      <c r="J62" s="201"/>
      <c r="K62" s="285">
        <f t="shared" si="19"/>
        <v>1918033.2300000002</v>
      </c>
      <c r="L62" s="285">
        <f t="shared" si="19"/>
        <v>313287.90999999997</v>
      </c>
      <c r="M62" s="285">
        <f t="shared" si="19"/>
        <v>11870.39</v>
      </c>
      <c r="N62" s="285">
        <f t="shared" si="19"/>
        <v>38400</v>
      </c>
      <c r="O62" s="285">
        <f t="shared" si="19"/>
        <v>2281591.5299999998</v>
      </c>
      <c r="P62" s="229"/>
      <c r="Q62" s="275"/>
      <c r="R62" s="229"/>
      <c r="S62" s="285">
        <f t="shared" si="19"/>
        <v>2136513.5999999996</v>
      </c>
      <c r="T62" s="285">
        <f t="shared" si="19"/>
        <v>335657.79000000004</v>
      </c>
      <c r="U62" s="285">
        <f t="shared" si="19"/>
        <v>10896.535</v>
      </c>
      <c r="V62" s="285">
        <f t="shared" si="19"/>
        <v>38400</v>
      </c>
      <c r="W62" s="285">
        <f t="shared" si="19"/>
        <v>2521467.9249999998</v>
      </c>
      <c r="X62" s="230"/>
      <c r="Y62" s="279">
        <f t="shared" ref="Y62" si="20">W62-O62</f>
        <v>239876.39500000002</v>
      </c>
      <c r="Z62" s="271"/>
      <c r="AB62" s="272"/>
    </row>
    <row r="63" spans="1:28">
      <c r="D63" s="267"/>
      <c r="E63" s="267"/>
      <c r="G63" s="286"/>
      <c r="H63" s="286"/>
      <c r="I63" s="286"/>
      <c r="J63" s="201"/>
      <c r="K63" s="287"/>
      <c r="L63" s="287"/>
      <c r="M63" s="287"/>
      <c r="N63" s="287"/>
      <c r="O63" s="287"/>
      <c r="P63" s="229"/>
      <c r="Q63" s="283"/>
      <c r="R63" s="229"/>
      <c r="S63" s="288"/>
      <c r="T63" s="288"/>
      <c r="U63" s="288"/>
      <c r="V63" s="288"/>
      <c r="W63" s="288"/>
      <c r="X63" s="230"/>
      <c r="Y63" s="220"/>
      <c r="AB63" s="272"/>
    </row>
    <row r="64" spans="1:28">
      <c r="C64" s="266" t="s">
        <v>190</v>
      </c>
      <c r="E64" s="267"/>
      <c r="G64" s="201"/>
      <c r="H64" s="201"/>
      <c r="I64" s="201"/>
      <c r="J64" s="201"/>
      <c r="K64" s="268"/>
      <c r="L64" s="268"/>
      <c r="M64" s="268"/>
      <c r="N64" s="268"/>
      <c r="O64" s="268"/>
      <c r="P64" s="229"/>
      <c r="R64" s="229"/>
      <c r="X64" s="230"/>
      <c r="AB64" s="272"/>
    </row>
    <row r="65" spans="1:28">
      <c r="A65" s="222">
        <f>A61+1</f>
        <v>44</v>
      </c>
      <c r="C65" s="222">
        <v>1</v>
      </c>
      <c r="D65" s="222" t="s">
        <v>312</v>
      </c>
      <c r="G65" s="201">
        <f>1080.5-H65-I65</f>
        <v>1046</v>
      </c>
      <c r="H65" s="201">
        <v>34.5</v>
      </c>
      <c r="I65" s="201"/>
      <c r="J65" s="201"/>
      <c r="K65" s="268">
        <f>28148.27-L65-M65-N65</f>
        <v>25705.75</v>
      </c>
      <c r="L65" s="268">
        <v>1242.52</v>
      </c>
      <c r="M65" s="268"/>
      <c r="N65" s="268">
        <v>1200</v>
      </c>
      <c r="O65" s="268">
        <f>SUM(K65:N65)</f>
        <v>28148.27</v>
      </c>
      <c r="P65" s="229"/>
      <c r="Q65" s="280">
        <v>26.79</v>
      </c>
      <c r="R65" s="229"/>
      <c r="S65" s="270">
        <f t="shared" ref="S65" si="21">2080*Q65</f>
        <v>55723.199999999997</v>
      </c>
      <c r="T65" s="270">
        <f>(+H65*Q65)*1.5</f>
        <v>1386.3824999999999</v>
      </c>
      <c r="U65" s="270" t="str">
        <f t="shared" ref="U65" si="22">IF(M65=0," ",+I65*Q65)</f>
        <v xml:space="preserve"> </v>
      </c>
      <c r="V65" s="270">
        <f t="shared" ref="V65" si="23">IF(N65=0," ",+N65)</f>
        <v>1200</v>
      </c>
      <c r="W65" s="270">
        <f t="shared" ref="W65" si="24">SUM(S65:V65)</f>
        <v>58309.582499999997</v>
      </c>
      <c r="X65" s="230"/>
      <c r="Y65" s="219">
        <f t="shared" ref="Y65:Y71" si="25">W65-O65</f>
        <v>30161.312499999996</v>
      </c>
      <c r="AB65" s="272"/>
    </row>
    <row r="66" spans="1:28">
      <c r="A66" s="222">
        <f>A65+1</f>
        <v>45</v>
      </c>
      <c r="C66" s="222">
        <v>1</v>
      </c>
      <c r="D66" s="222" t="s">
        <v>313</v>
      </c>
      <c r="G66" s="201">
        <f>756-H66-I66</f>
        <v>715</v>
      </c>
      <c r="H66" s="201">
        <v>41</v>
      </c>
      <c r="I66" s="201"/>
      <c r="J66" s="201"/>
      <c r="K66" s="268">
        <f>27300.44-L66-M66-N66</f>
        <v>24073.399999999998</v>
      </c>
      <c r="L66" s="268">
        <v>2027.04</v>
      </c>
      <c r="M66" s="268"/>
      <c r="N66" s="268">
        <v>1200</v>
      </c>
      <c r="O66" s="268">
        <f t="shared" ref="O66:O68" si="26">SUM(K66:N66)</f>
        <v>27300.44</v>
      </c>
      <c r="P66" s="229"/>
      <c r="Q66" s="280">
        <v>35.96</v>
      </c>
      <c r="R66" s="229"/>
      <c r="S66" s="270">
        <f t="shared" ref="S66:S70" si="27">2080*Q66</f>
        <v>74796.800000000003</v>
      </c>
      <c r="T66" s="270">
        <f t="shared" ref="T66:T70" si="28">(+H66*Q66)*1.5</f>
        <v>2211.54</v>
      </c>
      <c r="U66" s="270" t="str">
        <f t="shared" ref="U66:U70" si="29">IF(M66=0," ",+I66*Q66)</f>
        <v xml:space="preserve"> </v>
      </c>
      <c r="V66" s="270">
        <f t="shared" ref="V66:V70" si="30">IF(N66=0," ",+N66)</f>
        <v>1200</v>
      </c>
      <c r="W66" s="270">
        <f t="shared" ref="W66:W70" si="31">SUM(S66:V66)</f>
        <v>78208.34</v>
      </c>
      <c r="X66" s="230"/>
      <c r="Y66" s="219"/>
      <c r="AB66" s="272"/>
    </row>
    <row r="67" spans="1:28">
      <c r="A67" s="222">
        <f t="shared" ref="A67:A70" si="32">A66+1</f>
        <v>46</v>
      </c>
      <c r="C67" s="222">
        <v>1</v>
      </c>
      <c r="D67" s="222" t="s">
        <v>623</v>
      </c>
      <c r="E67" s="222" t="s">
        <v>208</v>
      </c>
      <c r="G67" s="201">
        <f>240-H67-I67</f>
        <v>240</v>
      </c>
      <c r="H67" s="201"/>
      <c r="I67" s="201"/>
      <c r="J67" s="201"/>
      <c r="K67" s="268">
        <f>2640-L67-M67-N67</f>
        <v>2640</v>
      </c>
      <c r="L67" s="268"/>
      <c r="M67" s="268"/>
      <c r="N67" s="268"/>
      <c r="O67" s="268">
        <f t="shared" si="26"/>
        <v>2640</v>
      </c>
      <c r="P67" s="229"/>
      <c r="Q67" s="280">
        <v>0</v>
      </c>
      <c r="R67" s="229"/>
      <c r="S67" s="270">
        <f t="shared" si="27"/>
        <v>0</v>
      </c>
      <c r="T67" s="270">
        <f t="shared" si="28"/>
        <v>0</v>
      </c>
      <c r="U67" s="270" t="str">
        <f t="shared" si="29"/>
        <v xml:space="preserve"> </v>
      </c>
      <c r="V67" s="270" t="str">
        <f t="shared" si="30"/>
        <v xml:space="preserve"> </v>
      </c>
      <c r="W67" s="270">
        <f t="shared" si="31"/>
        <v>0</v>
      </c>
      <c r="X67" s="230"/>
      <c r="Y67" s="219"/>
      <c r="AB67" s="272"/>
    </row>
    <row r="68" spans="1:28">
      <c r="A68" s="222">
        <f t="shared" si="32"/>
        <v>47</v>
      </c>
      <c r="C68" s="222">
        <v>1</v>
      </c>
      <c r="D68" s="222" t="s">
        <v>624</v>
      </c>
      <c r="G68" s="201">
        <f>1273.5-H68-I68</f>
        <v>1201.5</v>
      </c>
      <c r="H68" s="201">
        <v>72</v>
      </c>
      <c r="I68" s="201"/>
      <c r="J68" s="201"/>
      <c r="K68" s="268">
        <f>22272-L68-M68-N68</f>
        <v>20530.5</v>
      </c>
      <c r="L68" s="268">
        <v>1741.5</v>
      </c>
      <c r="M68" s="268"/>
      <c r="N68" s="268"/>
      <c r="O68" s="268">
        <f t="shared" si="26"/>
        <v>22272</v>
      </c>
      <c r="P68" s="229"/>
      <c r="Q68" s="280">
        <v>18</v>
      </c>
      <c r="R68" s="229"/>
      <c r="S68" s="270">
        <f t="shared" si="27"/>
        <v>37440</v>
      </c>
      <c r="T68" s="270">
        <f t="shared" si="28"/>
        <v>1944</v>
      </c>
      <c r="U68" s="270" t="str">
        <f t="shared" si="29"/>
        <v xml:space="preserve"> </v>
      </c>
      <c r="V68" s="270" t="str">
        <f t="shared" si="30"/>
        <v xml:space="preserve"> </v>
      </c>
      <c r="W68" s="270">
        <f t="shared" si="31"/>
        <v>39384</v>
      </c>
      <c r="X68" s="230"/>
      <c r="Y68" s="219"/>
      <c r="AB68" s="272"/>
    </row>
    <row r="69" spans="1:28">
      <c r="A69" s="222">
        <f t="shared" si="32"/>
        <v>48</v>
      </c>
      <c r="C69" s="222">
        <v>1</v>
      </c>
      <c r="D69" s="222" t="s">
        <v>625</v>
      </c>
      <c r="E69" s="222" t="s">
        <v>208</v>
      </c>
      <c r="G69" s="201">
        <f>458-H69-I69</f>
        <v>454</v>
      </c>
      <c r="H69" s="201">
        <v>4</v>
      </c>
      <c r="I69" s="201"/>
      <c r="J69" s="201"/>
      <c r="K69" s="268">
        <f>5060-L69-M69-N69</f>
        <v>4994</v>
      </c>
      <c r="L69" s="268">
        <v>66</v>
      </c>
      <c r="M69" s="268"/>
      <c r="N69" s="268"/>
      <c r="O69" s="268">
        <f>SUM(K69:N69)</f>
        <v>5060</v>
      </c>
      <c r="P69" s="229"/>
      <c r="Q69" s="280">
        <v>0</v>
      </c>
      <c r="R69" s="229"/>
      <c r="S69" s="270">
        <f t="shared" si="27"/>
        <v>0</v>
      </c>
      <c r="T69" s="270">
        <f t="shared" si="28"/>
        <v>0</v>
      </c>
      <c r="U69" s="270" t="str">
        <f t="shared" si="29"/>
        <v xml:space="preserve"> </v>
      </c>
      <c r="V69" s="270" t="str">
        <f t="shared" si="30"/>
        <v xml:space="preserve"> </v>
      </c>
      <c r="W69" s="270">
        <f t="shared" si="31"/>
        <v>0</v>
      </c>
      <c r="X69" s="230"/>
      <c r="Y69" s="219">
        <f t="shared" si="25"/>
        <v>-5060</v>
      </c>
      <c r="AB69" s="272"/>
    </row>
    <row r="70" spans="1:28">
      <c r="A70" s="222">
        <f t="shared" si="32"/>
        <v>49</v>
      </c>
      <c r="C70" s="222">
        <v>1</v>
      </c>
      <c r="D70" s="222" t="s">
        <v>626</v>
      </c>
      <c r="E70" s="222" t="s">
        <v>208</v>
      </c>
      <c r="G70" s="201">
        <f>250-H70-I70</f>
        <v>250</v>
      </c>
      <c r="H70" s="201"/>
      <c r="I70" s="201"/>
      <c r="J70" s="201"/>
      <c r="K70" s="268">
        <f>2750-L70-M70-N70</f>
        <v>2750</v>
      </c>
      <c r="L70" s="268"/>
      <c r="M70" s="268"/>
      <c r="N70" s="268"/>
      <c r="O70" s="268">
        <f>SUM(K70:N70)</f>
        <v>2750</v>
      </c>
      <c r="P70" s="229"/>
      <c r="Q70" s="280">
        <v>0</v>
      </c>
      <c r="R70" s="229"/>
      <c r="S70" s="270">
        <f t="shared" si="27"/>
        <v>0</v>
      </c>
      <c r="T70" s="270">
        <f t="shared" si="28"/>
        <v>0</v>
      </c>
      <c r="U70" s="270" t="str">
        <f t="shared" si="29"/>
        <v xml:space="preserve"> </v>
      </c>
      <c r="V70" s="270" t="str">
        <f t="shared" si="30"/>
        <v xml:space="preserve"> </v>
      </c>
      <c r="W70" s="270">
        <f t="shared" si="31"/>
        <v>0</v>
      </c>
      <c r="X70" s="230"/>
      <c r="Y70" s="219">
        <f t="shared" si="25"/>
        <v>-2750</v>
      </c>
      <c r="AB70" s="272"/>
    </row>
    <row r="71" spans="1:28">
      <c r="C71" s="273">
        <f>SUM(C65:C70)</f>
        <v>6</v>
      </c>
      <c r="D71" s="274" t="s">
        <v>22</v>
      </c>
      <c r="E71" s="274"/>
      <c r="G71" s="275">
        <f>SUM(G65:G70)</f>
        <v>3906.5</v>
      </c>
      <c r="H71" s="275">
        <f>SUM(H65:H70)</f>
        <v>151.5</v>
      </c>
      <c r="I71" s="275">
        <f>SUM(I65:I70)</f>
        <v>0</v>
      </c>
      <c r="J71" s="201"/>
      <c r="K71" s="276">
        <f>SUM(K65:K70)</f>
        <v>80693.649999999994</v>
      </c>
      <c r="L71" s="276">
        <f>SUM(L65:L70)</f>
        <v>5077.0599999999995</v>
      </c>
      <c r="M71" s="276">
        <f>SUM(M65:M70)</f>
        <v>0</v>
      </c>
      <c r="N71" s="276">
        <f>SUM(N65:N70)</f>
        <v>2400</v>
      </c>
      <c r="O71" s="276">
        <f>SUM(O65:O70)</f>
        <v>88170.709999999992</v>
      </c>
      <c r="P71" s="229"/>
      <c r="Q71" s="277"/>
      <c r="R71" s="229"/>
      <c r="S71" s="278">
        <f>SUM(S65:S70)</f>
        <v>167960</v>
      </c>
      <c r="T71" s="278">
        <f>SUM(T65:T70)</f>
        <v>5541.9224999999997</v>
      </c>
      <c r="U71" s="278">
        <f>SUM(U65:U70)</f>
        <v>0</v>
      </c>
      <c r="V71" s="278">
        <f>SUM(V65:V70)</f>
        <v>2400</v>
      </c>
      <c r="W71" s="278">
        <f>SUM(W65:W70)</f>
        <v>175901.92249999999</v>
      </c>
      <c r="X71" s="230"/>
      <c r="Y71" s="279">
        <f t="shared" si="25"/>
        <v>87731.212499999994</v>
      </c>
      <c r="AB71" s="272"/>
    </row>
    <row r="72" spans="1:28">
      <c r="G72" s="201"/>
      <c r="H72" s="201"/>
      <c r="I72" s="201"/>
      <c r="J72" s="201"/>
      <c r="K72" s="268"/>
      <c r="L72" s="268"/>
      <c r="M72" s="268"/>
      <c r="N72" s="268"/>
      <c r="O72" s="268"/>
      <c r="P72" s="229"/>
      <c r="R72" s="229"/>
      <c r="X72" s="230"/>
      <c r="AB72" s="272"/>
    </row>
    <row r="73" spans="1:28">
      <c r="C73" s="266" t="s">
        <v>191</v>
      </c>
      <c r="E73" s="267"/>
      <c r="G73" s="201"/>
      <c r="H73" s="201"/>
      <c r="I73" s="201"/>
      <c r="J73" s="201"/>
      <c r="K73" s="268"/>
      <c r="L73" s="268"/>
      <c r="M73" s="268"/>
      <c r="N73" s="268"/>
      <c r="O73" s="268"/>
      <c r="P73" s="229"/>
      <c r="R73" s="229"/>
      <c r="X73" s="230"/>
      <c r="AB73" s="272"/>
    </row>
    <row r="74" spans="1:28">
      <c r="A74" s="222">
        <f>A70+1</f>
        <v>50</v>
      </c>
      <c r="C74" s="222">
        <v>1</v>
      </c>
      <c r="D74" s="222" t="s">
        <v>314</v>
      </c>
      <c r="E74" s="222" t="s">
        <v>208</v>
      </c>
      <c r="G74" s="201">
        <f>2329</f>
        <v>2329</v>
      </c>
      <c r="H74" s="201">
        <v>82</v>
      </c>
      <c r="I74" s="201"/>
      <c r="J74" s="201"/>
      <c r="K74" s="268">
        <f>86326.71-L74-M74-N74</f>
        <v>81843.150000000009</v>
      </c>
      <c r="L74" s="268">
        <v>4483.5600000000004</v>
      </c>
      <c r="M74" s="268"/>
      <c r="N74" s="268"/>
      <c r="O74" s="268">
        <f>SUM(K74:N74)</f>
        <v>86326.71</v>
      </c>
      <c r="P74" s="229"/>
      <c r="Q74" s="280">
        <v>0</v>
      </c>
      <c r="R74" s="229"/>
      <c r="S74" s="270">
        <f t="shared" ref="S74:S75" si="33">2080*Q74</f>
        <v>0</v>
      </c>
      <c r="T74" s="270">
        <f t="shared" ref="T74:T75" si="34">(+H74*Q74)*1.5</f>
        <v>0</v>
      </c>
      <c r="U74" s="270" t="str">
        <f t="shared" ref="U74:U75" si="35">IF(M74=0," ",+I74*Q74)</f>
        <v xml:space="preserve"> </v>
      </c>
      <c r="V74" s="270" t="str">
        <f t="shared" ref="V74:V75" si="36">IF(N74=0," ",+N74)</f>
        <v xml:space="preserve"> </v>
      </c>
      <c r="W74" s="270">
        <f t="shared" ref="W74:W75" si="37">SUM(S74:V74)</f>
        <v>0</v>
      </c>
      <c r="X74" s="230"/>
      <c r="Y74" s="219">
        <f t="shared" ref="Y74:Y77" si="38">W74-O74</f>
        <v>-86326.71</v>
      </c>
      <c r="AB74" s="272"/>
    </row>
    <row r="75" spans="1:28">
      <c r="A75" s="222">
        <f t="shared" si="2"/>
        <v>51</v>
      </c>
      <c r="C75" s="222">
        <v>1</v>
      </c>
      <c r="D75" s="222" t="s">
        <v>315</v>
      </c>
      <c r="E75" s="222" t="s">
        <v>208</v>
      </c>
      <c r="G75" s="201">
        <f>249-H75-I75</f>
        <v>249</v>
      </c>
      <c r="H75" s="201">
        <v>0</v>
      </c>
      <c r="I75" s="201"/>
      <c r="J75" s="201"/>
      <c r="K75" s="268">
        <f>4081.92-L75-M75-N75</f>
        <v>4081.92</v>
      </c>
      <c r="L75" s="268">
        <v>0</v>
      </c>
      <c r="M75" s="268"/>
      <c r="N75" s="268"/>
      <c r="O75" s="268">
        <f>SUM(K75:N75)</f>
        <v>4081.92</v>
      </c>
      <c r="P75" s="229"/>
      <c r="Q75" s="280">
        <v>0</v>
      </c>
      <c r="R75" s="229"/>
      <c r="S75" s="270">
        <f t="shared" si="33"/>
        <v>0</v>
      </c>
      <c r="T75" s="270">
        <f t="shared" si="34"/>
        <v>0</v>
      </c>
      <c r="U75" s="270" t="str">
        <f t="shared" si="35"/>
        <v xml:space="preserve"> </v>
      </c>
      <c r="V75" s="270" t="str">
        <f t="shared" si="36"/>
        <v xml:space="preserve"> </v>
      </c>
      <c r="W75" s="270">
        <f t="shared" si="37"/>
        <v>0</v>
      </c>
      <c r="X75" s="230"/>
      <c r="Y75" s="219">
        <f t="shared" si="38"/>
        <v>-4081.92</v>
      </c>
      <c r="AB75" s="272"/>
    </row>
    <row r="76" spans="1:28">
      <c r="A76" s="222">
        <f t="shared" si="2"/>
        <v>52</v>
      </c>
      <c r="G76" s="201"/>
      <c r="H76" s="201"/>
      <c r="I76" s="201"/>
      <c r="J76" s="201"/>
      <c r="K76" s="268"/>
      <c r="L76" s="268"/>
      <c r="M76" s="268"/>
      <c r="N76" s="268"/>
      <c r="O76" s="268"/>
      <c r="P76" s="229"/>
      <c r="Q76" s="280"/>
      <c r="R76" s="229"/>
      <c r="S76" s="270"/>
      <c r="T76" s="270"/>
      <c r="U76" s="270" t="str">
        <f>IF(M76=0," ",+I76*Q76)</f>
        <v xml:space="preserve"> </v>
      </c>
      <c r="V76" s="270" t="str">
        <f>IF(N76=0," ",+N76)</f>
        <v xml:space="preserve"> </v>
      </c>
      <c r="W76" s="270">
        <f>SUM(S76:V76)</f>
        <v>0</v>
      </c>
      <c r="X76" s="230"/>
      <c r="Y76" s="219">
        <f t="shared" si="38"/>
        <v>0</v>
      </c>
      <c r="AB76" s="272"/>
    </row>
    <row r="77" spans="1:28">
      <c r="A77" s="222">
        <f t="shared" si="2"/>
        <v>53</v>
      </c>
      <c r="C77" s="273">
        <f>SUM(C74:C76)</f>
        <v>2</v>
      </c>
      <c r="D77" s="274" t="s">
        <v>22</v>
      </c>
      <c r="E77" s="274"/>
      <c r="G77" s="275">
        <f t="shared" ref="G77:O77" si="39">SUM(G74:G76)</f>
        <v>2578</v>
      </c>
      <c r="H77" s="275">
        <f t="shared" si="39"/>
        <v>82</v>
      </c>
      <c r="I77" s="275">
        <f t="shared" si="39"/>
        <v>0</v>
      </c>
      <c r="J77" s="201"/>
      <c r="K77" s="276">
        <f t="shared" si="39"/>
        <v>85925.07</v>
      </c>
      <c r="L77" s="276">
        <f t="shared" si="39"/>
        <v>4483.5600000000004</v>
      </c>
      <c r="M77" s="276">
        <f t="shared" si="39"/>
        <v>0</v>
      </c>
      <c r="N77" s="276">
        <f t="shared" si="39"/>
        <v>0</v>
      </c>
      <c r="O77" s="276">
        <f t="shared" si="39"/>
        <v>90408.63</v>
      </c>
      <c r="P77" s="229"/>
      <c r="Q77" s="277"/>
      <c r="R77" s="229"/>
      <c r="S77" s="278">
        <f>SUM(S74:S76)</f>
        <v>0</v>
      </c>
      <c r="T77" s="278">
        <f>SUM(T74:T76)</f>
        <v>0</v>
      </c>
      <c r="U77" s="278">
        <f>SUM(U74:U76)</f>
        <v>0</v>
      </c>
      <c r="V77" s="278">
        <f>SUM(V74:V76)</f>
        <v>0</v>
      </c>
      <c r="W77" s="289">
        <f>SUM(W74:W76)</f>
        <v>0</v>
      </c>
      <c r="X77" s="230"/>
      <c r="Y77" s="279">
        <f t="shared" si="38"/>
        <v>-90408.63</v>
      </c>
      <c r="AB77" s="272"/>
    </row>
    <row r="78" spans="1:28">
      <c r="A78" s="222">
        <f t="shared" si="2"/>
        <v>54</v>
      </c>
      <c r="G78" s="201"/>
      <c r="H78" s="201"/>
      <c r="I78" s="201"/>
      <c r="J78" s="201"/>
      <c r="K78" s="268"/>
      <c r="L78" s="268"/>
      <c r="M78" s="268"/>
      <c r="N78" s="268"/>
      <c r="O78" s="268"/>
      <c r="P78" s="229"/>
      <c r="R78" s="229"/>
      <c r="X78" s="230"/>
      <c r="AB78" s="272"/>
    </row>
    <row r="79" spans="1:28" s="291" customFormat="1" ht="15.75" customHeight="1">
      <c r="A79" s="222">
        <f t="shared" si="2"/>
        <v>55</v>
      </c>
      <c r="C79" s="292">
        <f>C24+C62</f>
        <v>43</v>
      </c>
      <c r="D79" s="292" t="s">
        <v>14</v>
      </c>
      <c r="E79" s="292"/>
      <c r="F79" s="290"/>
      <c r="G79" s="293">
        <f>G24+G62+G71+G77</f>
        <v>85166.13</v>
      </c>
      <c r="H79" s="293">
        <f t="shared" ref="H79:I79" si="40">H24+H62+H71+H77</f>
        <v>6588.5</v>
      </c>
      <c r="I79" s="293">
        <f t="shared" si="40"/>
        <v>506.53999999999996</v>
      </c>
      <c r="J79" s="294"/>
      <c r="K79" s="295">
        <f t="shared" ref="K79:O79" si="41">K24+K62+K71+K77</f>
        <v>2724172.37</v>
      </c>
      <c r="L79" s="295">
        <f t="shared" si="41"/>
        <v>354001.32999999996</v>
      </c>
      <c r="M79" s="295">
        <f t="shared" si="41"/>
        <v>17233.64</v>
      </c>
      <c r="N79" s="295">
        <f t="shared" si="41"/>
        <v>50400</v>
      </c>
      <c r="O79" s="295">
        <f t="shared" si="41"/>
        <v>3145807.34</v>
      </c>
      <c r="P79" s="296"/>
      <c r="Q79" s="297"/>
      <c r="R79" s="229"/>
      <c r="S79" s="298">
        <f t="shared" ref="S79:W79" si="42">S24+S62+S71+S77</f>
        <v>2993515.1999999997</v>
      </c>
      <c r="T79" s="298">
        <f t="shared" si="42"/>
        <v>341199.71250000002</v>
      </c>
      <c r="U79" s="298">
        <f t="shared" si="42"/>
        <v>16259.785</v>
      </c>
      <c r="V79" s="298">
        <f t="shared" si="42"/>
        <v>40800</v>
      </c>
      <c r="W79" s="298">
        <f t="shared" si="42"/>
        <v>3391774.6974999998</v>
      </c>
      <c r="X79" s="299"/>
      <c r="Y79" s="300">
        <f>W79-O79</f>
        <v>245967.35749999993</v>
      </c>
      <c r="AA79" s="219"/>
      <c r="AB79" s="272"/>
    </row>
    <row r="80" spans="1:28" s="291" customFormat="1">
      <c r="A80" s="222">
        <f t="shared" si="2"/>
        <v>56</v>
      </c>
      <c r="C80" s="290"/>
      <c r="D80" s="290"/>
      <c r="E80" s="290"/>
      <c r="F80" s="290"/>
      <c r="J80" s="294"/>
      <c r="P80" s="296"/>
      <c r="R80" s="229"/>
      <c r="X80" s="299"/>
      <c r="AA80" s="219"/>
      <c r="AB80" s="272"/>
    </row>
    <row r="81" spans="1:28" s="291" customFormat="1" ht="13.5" customHeight="1" thickBot="1">
      <c r="A81" s="222">
        <f t="shared" ref="A81:A100" si="43">A80+1</f>
        <v>57</v>
      </c>
      <c r="C81" s="301"/>
      <c r="D81" s="302" t="s">
        <v>15</v>
      </c>
      <c r="E81" s="301"/>
      <c r="F81" s="301"/>
      <c r="G81" s="301"/>
      <c r="H81" s="301"/>
      <c r="I81" s="301"/>
      <c r="J81" s="301"/>
      <c r="K81" s="301"/>
      <c r="L81" s="301"/>
      <c r="M81" s="301"/>
      <c r="N81" s="301"/>
      <c r="O81" s="301"/>
      <c r="P81" s="301"/>
      <c r="Q81" s="301"/>
      <c r="R81" s="301"/>
      <c r="S81" s="301"/>
      <c r="T81" s="301"/>
      <c r="U81" s="301"/>
      <c r="V81" s="301"/>
      <c r="W81" s="301"/>
      <c r="X81" s="301"/>
      <c r="Y81" s="303">
        <f>Y79</f>
        <v>245967.35749999993</v>
      </c>
      <c r="AA81" s="219"/>
      <c r="AB81" s="272"/>
    </row>
    <row r="82" spans="1:28" ht="13.8" thickTop="1">
      <c r="A82" s="222">
        <f t="shared" si="43"/>
        <v>58</v>
      </c>
    </row>
    <row r="83" spans="1:28">
      <c r="A83" s="222">
        <f t="shared" si="43"/>
        <v>59</v>
      </c>
      <c r="D83" s="304" t="s">
        <v>219</v>
      </c>
      <c r="G83" s="222" t="s">
        <v>208</v>
      </c>
      <c r="H83" s="210" t="s">
        <v>210</v>
      </c>
      <c r="K83" s="222" t="s">
        <v>209</v>
      </c>
      <c r="L83" s="210" t="s">
        <v>628</v>
      </c>
      <c r="AA83" s="300"/>
    </row>
    <row r="84" spans="1:28">
      <c r="A84" s="222">
        <f t="shared" si="43"/>
        <v>60</v>
      </c>
      <c r="AA84" s="300"/>
    </row>
    <row r="85" spans="1:28" ht="15.75" customHeight="1">
      <c r="A85" s="222">
        <f t="shared" si="43"/>
        <v>61</v>
      </c>
      <c r="B85" s="305"/>
      <c r="C85" s="306" t="s">
        <v>215</v>
      </c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5"/>
      <c r="Y85" s="305"/>
      <c r="AA85" s="300"/>
    </row>
    <row r="86" spans="1:28">
      <c r="A86" s="222">
        <f t="shared" si="43"/>
        <v>62</v>
      </c>
    </row>
    <row r="87" spans="1:28">
      <c r="A87" s="222">
        <f t="shared" si="43"/>
        <v>63</v>
      </c>
      <c r="D87" s="307" t="s">
        <v>169</v>
      </c>
      <c r="K87" s="308" t="s">
        <v>220</v>
      </c>
      <c r="L87" s="308" t="s">
        <v>218</v>
      </c>
      <c r="M87" s="308"/>
      <c r="N87" s="308"/>
      <c r="O87" s="308" t="s">
        <v>15</v>
      </c>
      <c r="P87" s="309"/>
    </row>
    <row r="88" spans="1:28" ht="3.75" customHeight="1">
      <c r="A88" s="222">
        <f t="shared" si="43"/>
        <v>64</v>
      </c>
    </row>
    <row r="89" spans="1:28">
      <c r="A89" s="222">
        <f t="shared" si="43"/>
        <v>65</v>
      </c>
      <c r="C89" s="210"/>
      <c r="D89" s="222" t="s">
        <v>178</v>
      </c>
      <c r="E89" s="210" t="s">
        <v>179</v>
      </c>
      <c r="G89" s="222"/>
      <c r="K89" s="310">
        <f>K116+K117+K118+K119+K120</f>
        <v>226661.56</v>
      </c>
      <c r="L89" s="214">
        <f>L116+L117+L118+L119+L120</f>
        <v>0.13241265209430264</v>
      </c>
      <c r="O89" s="272">
        <f>$Y$81*L89</f>
        <v>32569.190135202451</v>
      </c>
    </row>
    <row r="90" spans="1:28">
      <c r="A90" s="222">
        <f t="shared" si="43"/>
        <v>66</v>
      </c>
      <c r="C90" s="210"/>
      <c r="D90" s="222" t="s">
        <v>180</v>
      </c>
      <c r="E90" s="210" t="s">
        <v>181</v>
      </c>
      <c r="G90" s="222"/>
      <c r="K90" s="310">
        <f>K121+K122+K123+K124+K125</f>
        <v>317472.81000000006</v>
      </c>
      <c r="L90" s="214">
        <f>L121+L122+L123+L124+L125</f>
        <v>0.18546336988032133</v>
      </c>
      <c r="O90" s="272">
        <f>$Y$81*L90</f>
        <v>45617.935002507715</v>
      </c>
    </row>
    <row r="91" spans="1:28">
      <c r="A91" s="222">
        <f t="shared" si="43"/>
        <v>67</v>
      </c>
      <c r="C91" s="210"/>
      <c r="D91" s="222" t="s">
        <v>182</v>
      </c>
      <c r="E91" s="210" t="s">
        <v>121</v>
      </c>
      <c r="G91" s="222"/>
      <c r="K91" s="310">
        <f>K126+K127</f>
        <v>153213.9</v>
      </c>
      <c r="L91" s="214">
        <f>L126+L127</f>
        <v>8.9505511374364827E-2</v>
      </c>
      <c r="O91" s="272">
        <f>$Y$81*L91</f>
        <v>22015.434114438704</v>
      </c>
    </row>
    <row r="92" spans="1:28">
      <c r="A92" s="222">
        <f t="shared" si="43"/>
        <v>68</v>
      </c>
      <c r="C92" s="210"/>
      <c r="D92" s="222" t="s">
        <v>183</v>
      </c>
      <c r="E92" s="210" t="s">
        <v>93</v>
      </c>
      <c r="G92" s="222"/>
      <c r="K92" s="310">
        <f>K128</f>
        <v>21912.9</v>
      </c>
      <c r="L92" s="214">
        <f>L128</f>
        <v>1.2801223127897138E-2</v>
      </c>
      <c r="O92" s="272">
        <f>$Y$81*L92</f>
        <v>3148.6830255367427</v>
      </c>
    </row>
    <row r="93" spans="1:28">
      <c r="A93" s="222">
        <f t="shared" si="43"/>
        <v>69</v>
      </c>
      <c r="C93" s="210"/>
      <c r="D93" s="222" t="s">
        <v>184</v>
      </c>
      <c r="E93" s="210" t="s">
        <v>166</v>
      </c>
      <c r="G93" s="222"/>
      <c r="K93" s="310">
        <f>K129+K130+K131</f>
        <v>464187.29000000004</v>
      </c>
      <c r="L93" s="214">
        <f>L129+L130+L131</f>
        <v>0.27117200701066019</v>
      </c>
      <c r="O93" s="272">
        <f>$Y$81*L93</f>
        <v>66699.461992383542</v>
      </c>
    </row>
    <row r="94" spans="1:28" ht="15" customHeight="1">
      <c r="A94" s="222">
        <f t="shared" si="43"/>
        <v>70</v>
      </c>
      <c r="C94" s="210"/>
      <c r="D94" s="273"/>
      <c r="E94" s="311"/>
      <c r="F94" s="273"/>
      <c r="G94" s="273"/>
      <c r="H94" s="311" t="s">
        <v>22</v>
      </c>
      <c r="I94" s="311"/>
      <c r="J94" s="312">
        <f>SUM(K89:K93)</f>
        <v>1183448.4600000002</v>
      </c>
      <c r="K94" s="312"/>
      <c r="L94" s="213">
        <f>SUM(L89:L93)</f>
        <v>0.6913547634875461</v>
      </c>
      <c r="O94" s="313">
        <f>SUM(O89:O93)</f>
        <v>170050.70427006914</v>
      </c>
    </row>
    <row r="95" spans="1:28" ht="5.25" customHeight="1">
      <c r="A95" s="222">
        <f t="shared" si="43"/>
        <v>71</v>
      </c>
      <c r="C95" s="210"/>
      <c r="E95" s="210"/>
      <c r="G95" s="222"/>
      <c r="J95" s="314"/>
      <c r="K95" s="314"/>
      <c r="L95" s="214"/>
    </row>
    <row r="96" spans="1:28">
      <c r="A96" s="222">
        <f t="shared" si="43"/>
        <v>72</v>
      </c>
      <c r="C96" s="210"/>
      <c r="D96" s="222" t="s">
        <v>170</v>
      </c>
      <c r="E96" s="210" t="s">
        <v>171</v>
      </c>
      <c r="G96" s="222"/>
      <c r="K96" s="310">
        <f>K111+K112</f>
        <v>325510.68</v>
      </c>
      <c r="L96" s="214">
        <f>L111+L112</f>
        <v>0.19015898603989084</v>
      </c>
      <c r="O96" s="272">
        <f>$Y$81*L96</f>
        <v>46772.903301111328</v>
      </c>
    </row>
    <row r="97" spans="1:16">
      <c r="A97" s="222">
        <f t="shared" si="43"/>
        <v>73</v>
      </c>
      <c r="C97" s="210"/>
      <c r="D97" s="222" t="s">
        <v>172</v>
      </c>
      <c r="E97" s="210" t="s">
        <v>173</v>
      </c>
      <c r="G97" s="222"/>
      <c r="K97" s="310">
        <f t="shared" ref="K97:L99" si="44">K113</f>
        <v>42717.98</v>
      </c>
      <c r="L97" s="214">
        <f t="shared" si="44"/>
        <v>2.4955272627221744E-2</v>
      </c>
      <c r="O97" s="272">
        <f>$Y$81*L97</f>
        <v>6138.1824638098133</v>
      </c>
    </row>
    <row r="98" spans="1:16">
      <c r="A98" s="222">
        <f t="shared" si="43"/>
        <v>74</v>
      </c>
      <c r="C98" s="210"/>
      <c r="D98" s="222" t="s">
        <v>174</v>
      </c>
      <c r="E98" s="210" t="s">
        <v>175</v>
      </c>
      <c r="G98" s="222"/>
      <c r="K98" s="310">
        <f t="shared" si="44"/>
        <v>31674.77</v>
      </c>
      <c r="L98" s="214">
        <f t="shared" si="44"/>
        <v>1.8503977031557775E-2</v>
      </c>
      <c r="O98" s="272">
        <f>$Y$81*L98</f>
        <v>4551.3743336929583</v>
      </c>
    </row>
    <row r="99" spans="1:16">
      <c r="A99" s="222">
        <f t="shared" si="43"/>
        <v>75</v>
      </c>
      <c r="C99" s="210"/>
      <c r="D99" s="222" t="s">
        <v>176</v>
      </c>
      <c r="E99" s="210" t="s">
        <v>177</v>
      </c>
      <c r="G99" s="222"/>
      <c r="K99" s="310">
        <f t="shared" si="44"/>
        <v>128429.85</v>
      </c>
      <c r="L99" s="214">
        <f t="shared" si="44"/>
        <v>7.5027000813783662E-2</v>
      </c>
      <c r="O99" s="272">
        <f>$Y$81*L99</f>
        <v>18454.193131316712</v>
      </c>
    </row>
    <row r="100" spans="1:16" ht="15" customHeight="1">
      <c r="A100" s="222">
        <f t="shared" si="43"/>
        <v>76</v>
      </c>
      <c r="C100" s="210"/>
      <c r="D100" s="273"/>
      <c r="E100" s="311"/>
      <c r="F100" s="273"/>
      <c r="G100" s="273"/>
      <c r="H100" s="311" t="s">
        <v>22</v>
      </c>
      <c r="I100" s="311"/>
      <c r="J100" s="312">
        <f>SUM(K96:K99)</f>
        <v>528333.28</v>
      </c>
      <c r="K100" s="312"/>
      <c r="L100" s="213">
        <f>SUM(L96:L99)</f>
        <v>0.30864523651245401</v>
      </c>
      <c r="O100" s="315">
        <f>SUM(O96:O99)</f>
        <v>75916.653229930816</v>
      </c>
    </row>
    <row r="101" spans="1:16" ht="5.25" customHeight="1">
      <c r="A101" s="290"/>
      <c r="C101" s="210"/>
      <c r="E101" s="210"/>
      <c r="G101" s="222"/>
      <c r="J101" s="314"/>
      <c r="K101" s="314"/>
      <c r="L101" s="214"/>
    </row>
    <row r="102" spans="1:16" ht="15" customHeight="1" thickBot="1">
      <c r="A102" s="290"/>
      <c r="C102" s="210"/>
      <c r="D102" s="316"/>
      <c r="E102" s="317" t="s">
        <v>50</v>
      </c>
      <c r="F102" s="316"/>
      <c r="G102" s="316"/>
      <c r="H102" s="317"/>
      <c r="I102" s="317"/>
      <c r="J102" s="318">
        <f>J94+J100</f>
        <v>1711781.7400000002</v>
      </c>
      <c r="K102" s="318"/>
      <c r="L102" s="319">
        <f>L94+L100</f>
        <v>1</v>
      </c>
      <c r="O102" s="320">
        <f>O94+O100</f>
        <v>245967.35749999995</v>
      </c>
      <c r="P102" s="320"/>
    </row>
    <row r="103" spans="1:16" ht="13.8" thickTop="1"/>
    <row r="107" spans="1:16">
      <c r="D107" s="307" t="s">
        <v>185</v>
      </c>
    </row>
    <row r="108" spans="1:16">
      <c r="I108" s="222"/>
      <c r="J108" s="222"/>
    </row>
    <row r="109" spans="1:16">
      <c r="D109" s="307" t="s">
        <v>217</v>
      </c>
      <c r="E109" s="307" t="s">
        <v>144</v>
      </c>
      <c r="F109" s="307"/>
      <c r="K109" s="321" t="s">
        <v>145</v>
      </c>
      <c r="L109" s="321" t="s">
        <v>146</v>
      </c>
    </row>
    <row r="110" spans="1:16">
      <c r="E110" s="210"/>
    </row>
    <row r="111" spans="1:16">
      <c r="D111" s="221">
        <v>107.2</v>
      </c>
      <c r="E111" s="210" t="s">
        <v>147</v>
      </c>
      <c r="K111" s="322">
        <v>230961.01</v>
      </c>
      <c r="L111" s="241">
        <f t="shared" ref="L111:L131" si="45">K111/J$132</f>
        <v>0.1349243332856209</v>
      </c>
    </row>
    <row r="112" spans="1:16">
      <c r="D112" s="221">
        <v>108.8</v>
      </c>
      <c r="E112" s="210" t="s">
        <v>148</v>
      </c>
      <c r="K112" s="322">
        <v>94549.67</v>
      </c>
      <c r="L112" s="241">
        <f t="shared" si="45"/>
        <v>5.5234652754269954E-2</v>
      </c>
    </row>
    <row r="113" spans="4:12">
      <c r="D113" s="221">
        <v>163</v>
      </c>
      <c r="E113" s="210" t="s">
        <v>149</v>
      </c>
      <c r="K113" s="322">
        <v>42717.98</v>
      </c>
      <c r="L113" s="241">
        <f t="shared" si="45"/>
        <v>2.4955272627221744E-2</v>
      </c>
    </row>
    <row r="114" spans="4:12">
      <c r="D114" s="221">
        <v>184.1</v>
      </c>
      <c r="E114" s="210" t="s">
        <v>150</v>
      </c>
      <c r="K114" s="322">
        <v>31674.77</v>
      </c>
      <c r="L114" s="241">
        <f t="shared" si="45"/>
        <v>1.8503977031557775E-2</v>
      </c>
    </row>
    <row r="115" spans="4:12">
      <c r="D115" s="221">
        <v>242</v>
      </c>
      <c r="E115" s="210" t="s">
        <v>151</v>
      </c>
      <c r="K115" s="322">
        <v>128429.85</v>
      </c>
      <c r="L115" s="241">
        <f t="shared" si="45"/>
        <v>7.5027000813783662E-2</v>
      </c>
    </row>
    <row r="116" spans="4:12">
      <c r="D116" s="221">
        <v>580</v>
      </c>
      <c r="E116" s="210" t="s">
        <v>152</v>
      </c>
      <c r="K116" s="322">
        <v>52811.28</v>
      </c>
      <c r="L116" s="241">
        <f t="shared" si="45"/>
        <v>3.0851643504504263E-2</v>
      </c>
    </row>
    <row r="117" spans="4:12">
      <c r="D117" s="221">
        <v>583</v>
      </c>
      <c r="E117" s="210" t="s">
        <v>153</v>
      </c>
      <c r="K117" s="322">
        <v>10091.84</v>
      </c>
      <c r="L117" s="241">
        <f t="shared" si="45"/>
        <v>5.8955179648078277E-3</v>
      </c>
    </row>
    <row r="118" spans="4:12">
      <c r="D118" s="221">
        <v>586</v>
      </c>
      <c r="E118" s="210" t="s">
        <v>154</v>
      </c>
      <c r="K118" s="322">
        <v>124400.9</v>
      </c>
      <c r="L118" s="241">
        <f t="shared" si="45"/>
        <v>7.267334210493448E-2</v>
      </c>
    </row>
    <row r="119" spans="4:12">
      <c r="D119" s="221">
        <v>587</v>
      </c>
      <c r="E119" s="210" t="s">
        <v>155</v>
      </c>
      <c r="K119" s="322">
        <v>76.7</v>
      </c>
      <c r="L119" s="241">
        <f t="shared" si="45"/>
        <v>4.4807114252778516E-5</v>
      </c>
    </row>
    <row r="120" spans="4:12">
      <c r="D120" s="221">
        <v>588</v>
      </c>
      <c r="E120" s="210" t="s">
        <v>156</v>
      </c>
      <c r="K120" s="322">
        <f>25342.3+13938.54</f>
        <v>39280.839999999997</v>
      </c>
      <c r="L120" s="241">
        <f t="shared" si="45"/>
        <v>2.294734140580329E-2</v>
      </c>
    </row>
    <row r="121" spans="4:12">
      <c r="D121" s="221">
        <v>590</v>
      </c>
      <c r="E121" s="210" t="s">
        <v>157</v>
      </c>
      <c r="K121" s="322">
        <v>54689.19</v>
      </c>
      <c r="L121" s="241">
        <f t="shared" si="45"/>
        <v>3.1948693412280474E-2</v>
      </c>
    </row>
    <row r="122" spans="4:12">
      <c r="D122" s="221">
        <v>593</v>
      </c>
      <c r="E122" s="210" t="s">
        <v>158</v>
      </c>
      <c r="K122" s="322">
        <f>215950.89+38888.88</f>
        <v>254839.77000000002</v>
      </c>
      <c r="L122" s="241">
        <f t="shared" si="45"/>
        <v>0.14887398553509518</v>
      </c>
    </row>
    <row r="123" spans="4:12">
      <c r="D123" s="221">
        <v>595</v>
      </c>
      <c r="E123" s="210" t="s">
        <v>159</v>
      </c>
      <c r="K123" s="322">
        <v>628.14</v>
      </c>
      <c r="L123" s="241">
        <f t="shared" si="45"/>
        <v>3.6695098757158148E-4</v>
      </c>
    </row>
    <row r="124" spans="4:12">
      <c r="D124" s="221">
        <v>597</v>
      </c>
      <c r="E124" s="210" t="s">
        <v>160</v>
      </c>
      <c r="K124" s="322">
        <v>0</v>
      </c>
      <c r="L124" s="241">
        <f t="shared" si="45"/>
        <v>0</v>
      </c>
    </row>
    <row r="125" spans="4:12">
      <c r="D125" s="221">
        <v>598</v>
      </c>
      <c r="E125" s="210" t="s">
        <v>161</v>
      </c>
      <c r="K125" s="322">
        <v>7315.71</v>
      </c>
      <c r="L125" s="241">
        <f t="shared" si="45"/>
        <v>4.2737399453741109E-3</v>
      </c>
    </row>
    <row r="126" spans="4:12">
      <c r="D126" s="221">
        <v>902</v>
      </c>
      <c r="E126" s="210" t="s">
        <v>162</v>
      </c>
      <c r="K126" s="322">
        <v>25783.919999999998</v>
      </c>
      <c r="L126" s="241">
        <f t="shared" si="45"/>
        <v>1.5062621242822699E-2</v>
      </c>
    </row>
    <row r="127" spans="4:12">
      <c r="D127" s="221">
        <v>903</v>
      </c>
      <c r="E127" s="210" t="s">
        <v>163</v>
      </c>
      <c r="K127" s="322">
        <v>127429.98</v>
      </c>
      <c r="L127" s="241">
        <f t="shared" si="45"/>
        <v>7.4442890131542122E-2</v>
      </c>
    </row>
    <row r="128" spans="4:12">
      <c r="D128" s="323" t="s">
        <v>164</v>
      </c>
      <c r="E128" s="210" t="s">
        <v>165</v>
      </c>
      <c r="K128" s="322">
        <v>21912.9</v>
      </c>
      <c r="L128" s="241">
        <f t="shared" si="45"/>
        <v>1.2801223127897138E-2</v>
      </c>
    </row>
    <row r="129" spans="4:12">
      <c r="D129" s="221">
        <v>920</v>
      </c>
      <c r="E129" s="210" t="s">
        <v>166</v>
      </c>
      <c r="K129" s="322">
        <v>190700.04</v>
      </c>
      <c r="L129" s="241">
        <f t="shared" si="45"/>
        <v>0.11140441304158323</v>
      </c>
    </row>
    <row r="130" spans="4:12">
      <c r="D130" s="221">
        <v>926</v>
      </c>
      <c r="E130" s="210" t="s">
        <v>167</v>
      </c>
      <c r="K130" s="322">
        <v>273487.25</v>
      </c>
      <c r="L130" s="241">
        <f t="shared" si="45"/>
        <v>0.15976759396907694</v>
      </c>
    </row>
    <row r="131" spans="4:12">
      <c r="D131" s="221">
        <v>935</v>
      </c>
      <c r="E131" s="210" t="s">
        <v>168</v>
      </c>
      <c r="K131" s="322">
        <v>0</v>
      </c>
      <c r="L131" s="241">
        <f t="shared" si="45"/>
        <v>0</v>
      </c>
    </row>
    <row r="132" spans="4:12" ht="15" customHeight="1">
      <c r="D132" s="273"/>
      <c r="E132" s="311" t="s">
        <v>50</v>
      </c>
      <c r="F132" s="273"/>
      <c r="G132" s="311"/>
      <c r="H132" s="311"/>
      <c r="I132" s="311"/>
      <c r="J132" s="312">
        <f>SUM(K111:K131)</f>
        <v>1711781.7399999998</v>
      </c>
      <c r="K132" s="312"/>
      <c r="L132" s="324">
        <f>J132/J$132</f>
        <v>1</v>
      </c>
    </row>
    <row r="135" spans="4:12">
      <c r="E135" s="210" t="s">
        <v>179</v>
      </c>
      <c r="K135" s="272">
        <f>K116+K117+K118+K119+K120</f>
        <v>226661.56</v>
      </c>
      <c r="L135" s="210">
        <f>K135/K$146</f>
        <v>0.13241265209430261</v>
      </c>
    </row>
    <row r="136" spans="4:12">
      <c r="E136" s="210" t="s">
        <v>181</v>
      </c>
      <c r="K136" s="272">
        <f>K121+K122+K123+K124+K125</f>
        <v>317472.81000000006</v>
      </c>
      <c r="L136" s="210">
        <f t="shared" ref="L136:L146" si="46">K136/K$146</f>
        <v>0.1854633698803213</v>
      </c>
    </row>
    <row r="137" spans="4:12">
      <c r="E137" s="210" t="s">
        <v>121</v>
      </c>
      <c r="K137" s="272">
        <f>K126+K127</f>
        <v>153213.9</v>
      </c>
      <c r="L137" s="210">
        <f t="shared" si="46"/>
        <v>8.9505511374364799E-2</v>
      </c>
    </row>
    <row r="138" spans="4:12">
      <c r="E138" s="210" t="s">
        <v>93</v>
      </c>
      <c r="K138" s="272">
        <f>K128</f>
        <v>21912.9</v>
      </c>
      <c r="L138" s="210">
        <f t="shared" si="46"/>
        <v>1.2801223127897134E-2</v>
      </c>
    </row>
    <row r="139" spans="4:12">
      <c r="E139" s="210" t="s">
        <v>166</v>
      </c>
      <c r="K139" s="272">
        <f>K129+K130+K131</f>
        <v>464187.29000000004</v>
      </c>
      <c r="L139" s="210">
        <f t="shared" si="46"/>
        <v>0.27117200701066013</v>
      </c>
    </row>
    <row r="140" spans="4:12">
      <c r="E140" s="311" t="s">
        <v>22</v>
      </c>
      <c r="K140" s="315">
        <f>SUM(K135:K139)</f>
        <v>1183448.4600000002</v>
      </c>
      <c r="L140" s="311">
        <f t="shared" si="46"/>
        <v>0.6913547634875461</v>
      </c>
    </row>
    <row r="141" spans="4:12">
      <c r="E141" s="210"/>
    </row>
    <row r="142" spans="4:12">
      <c r="E142" s="210" t="s">
        <v>247</v>
      </c>
      <c r="K142" s="272">
        <f>K111+K112</f>
        <v>325510.68</v>
      </c>
      <c r="L142" s="210">
        <f t="shared" si="46"/>
        <v>0.19015898603989079</v>
      </c>
    </row>
    <row r="143" spans="4:12">
      <c r="E143" s="210" t="s">
        <v>43</v>
      </c>
      <c r="K143" s="272">
        <f>K113+K114+K115</f>
        <v>202822.6</v>
      </c>
      <c r="L143" s="210">
        <f t="shared" si="46"/>
        <v>0.11848625047256316</v>
      </c>
    </row>
    <row r="144" spans="4:12">
      <c r="E144" s="311" t="s">
        <v>22</v>
      </c>
      <c r="K144" s="315">
        <f>SUM(K142:K143)</f>
        <v>528333.28</v>
      </c>
      <c r="L144" s="311">
        <f t="shared" si="46"/>
        <v>0.30864523651245396</v>
      </c>
    </row>
    <row r="145" spans="5:12">
      <c r="E145" s="210"/>
    </row>
    <row r="146" spans="5:12" ht="13.8" thickBot="1">
      <c r="E146" s="317" t="s">
        <v>50</v>
      </c>
      <c r="K146" s="272">
        <f>K140+K144</f>
        <v>1711781.7400000002</v>
      </c>
      <c r="L146" s="325">
        <f t="shared" si="46"/>
        <v>1</v>
      </c>
    </row>
    <row r="147" spans="5:12" ht="13.8" thickTop="1"/>
  </sheetData>
  <mergeCells count="17">
    <mergeCell ref="J132:K132"/>
    <mergeCell ref="S12:W12"/>
    <mergeCell ref="G13:I13"/>
    <mergeCell ref="S13:T13"/>
    <mergeCell ref="C85:W85"/>
    <mergeCell ref="J94:K94"/>
    <mergeCell ref="J100:K100"/>
    <mergeCell ref="J102:K102"/>
    <mergeCell ref="A3:Y3"/>
    <mergeCell ref="A4:Y4"/>
    <mergeCell ref="A6:Y6"/>
    <mergeCell ref="C8:E8"/>
    <mergeCell ref="G8:I8"/>
    <mergeCell ref="K8:O8"/>
    <mergeCell ref="Q8:Q9"/>
    <mergeCell ref="S8:W8"/>
    <mergeCell ref="Y8:Y9"/>
  </mergeCells>
  <phoneticPr fontId="22" type="noConversion"/>
  <printOptions horizontalCentered="1"/>
  <pageMargins left="0.25" right="0.25" top="0.75" bottom="0.5" header="0.5" footer="0.5"/>
  <pageSetup scale="59" fitToHeight="3" orientation="landscape" r:id="rId1"/>
  <headerFooter alignWithMargins="0">
    <oddFooter>&amp;RExhibit JW-2
Page &amp;P of &amp;N</oddFooter>
  </headerFooter>
  <rowBreaks count="1" manualBreakCount="1">
    <brk id="62" max="2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C5054-1B30-4BE0-9D19-966D0770A83A}">
  <dimension ref="A1:P62"/>
  <sheetViews>
    <sheetView view="pageBreakPreview" topLeftCell="B29" zoomScale="75" zoomScaleNormal="100" zoomScaleSheetLayoutView="75" workbookViewId="0">
      <selection activeCell="O52" sqref="O52"/>
    </sheetView>
  </sheetViews>
  <sheetFormatPr defaultColWidth="9.109375" defaultRowHeight="13.8"/>
  <cols>
    <col min="1" max="1" width="30.6640625" style="327" hidden="1" customWidth="1"/>
    <col min="2" max="2" width="11.5546875" style="327" customWidth="1"/>
    <col min="3" max="3" width="14.5546875" style="327" customWidth="1"/>
    <col min="4" max="4" width="12.44140625" style="327" customWidth="1"/>
    <col min="5" max="9" width="16.88671875" style="327" customWidth="1"/>
    <col min="10" max="10" width="9.109375" style="327"/>
    <col min="11" max="11" width="11.33203125" style="327" bestFit="1" customWidth="1"/>
    <col min="12" max="12" width="9.109375" style="327"/>
    <col min="13" max="13" width="11.33203125" style="327" bestFit="1" customWidth="1"/>
    <col min="14" max="16384" width="9.109375" style="327"/>
  </cols>
  <sheetData>
    <row r="1" spans="1:16" s="210" customFormat="1" ht="15" customHeight="1">
      <c r="H1" s="223"/>
      <c r="I1" s="223" t="s">
        <v>439</v>
      </c>
    </row>
    <row r="2" spans="1:16" s="210" customFormat="1" ht="20.25" customHeight="1">
      <c r="H2" s="223"/>
      <c r="I2" s="223"/>
    </row>
    <row r="3" spans="1:16" s="210" customFormat="1" ht="13.2">
      <c r="H3" s="223"/>
      <c r="I3" s="223"/>
    </row>
    <row r="4" spans="1:16" s="210" customFormat="1" ht="13.2">
      <c r="B4" s="224" t="str">
        <f>[1]RevReq!A1</f>
        <v>BIG SANDY RECC</v>
      </c>
      <c r="C4" s="224"/>
      <c r="D4" s="224"/>
      <c r="E4" s="224"/>
      <c r="F4" s="224"/>
      <c r="G4" s="224"/>
      <c r="H4" s="224"/>
      <c r="I4" s="224"/>
      <c r="J4" s="326"/>
      <c r="K4" s="326"/>
      <c r="L4" s="326"/>
      <c r="M4" s="326"/>
      <c r="N4" s="326"/>
      <c r="O4" s="326"/>
      <c r="P4" s="326"/>
    </row>
    <row r="5" spans="1:16" s="210" customFormat="1" ht="13.2">
      <c r="B5" s="224" t="str">
        <f>[1]RevReq!A3</f>
        <v>For the 12 Months Ended December 31, 2022</v>
      </c>
      <c r="C5" s="224"/>
      <c r="D5" s="224"/>
      <c r="E5" s="224"/>
      <c r="F5" s="224"/>
      <c r="G5" s="224"/>
      <c r="H5" s="224"/>
      <c r="I5" s="224"/>
      <c r="J5" s="326"/>
      <c r="K5" s="326"/>
      <c r="L5" s="326"/>
      <c r="M5" s="326"/>
    </row>
    <row r="6" spans="1:16" s="210" customFormat="1" ht="13.2"/>
    <row r="7" spans="1:16" s="226" customFormat="1" ht="15" customHeight="1">
      <c r="B7" s="225" t="s">
        <v>384</v>
      </c>
      <c r="C7" s="225"/>
      <c r="D7" s="225"/>
      <c r="E7" s="225"/>
      <c r="F7" s="225"/>
      <c r="G7" s="225"/>
      <c r="H7" s="225"/>
      <c r="I7" s="225"/>
      <c r="J7" s="266"/>
      <c r="K7" s="266"/>
      <c r="L7" s="266"/>
      <c r="M7" s="266"/>
    </row>
    <row r="8" spans="1:16" s="210" customFormat="1" ht="13.2"/>
    <row r="9" spans="1:16">
      <c r="B9" s="328" t="s">
        <v>208</v>
      </c>
      <c r="C9" s="328" t="s">
        <v>209</v>
      </c>
      <c r="D9" s="328" t="s">
        <v>266</v>
      </c>
      <c r="E9" s="328" t="s">
        <v>267</v>
      </c>
      <c r="F9" s="328" t="s">
        <v>268</v>
      </c>
      <c r="G9" s="328" t="s">
        <v>274</v>
      </c>
      <c r="H9" s="328" t="s">
        <v>316</v>
      </c>
      <c r="I9" s="328" t="s">
        <v>390</v>
      </c>
    </row>
    <row r="10" spans="1:16">
      <c r="B10" s="328"/>
      <c r="C10" s="328"/>
      <c r="D10" s="328"/>
      <c r="E10" s="329"/>
      <c r="F10" s="329"/>
      <c r="G10" s="329"/>
      <c r="H10" s="329" t="s">
        <v>392</v>
      </c>
      <c r="I10" s="329" t="s">
        <v>393</v>
      </c>
      <c r="J10" s="329"/>
    </row>
    <row r="11" spans="1:16" ht="31.5" customHeight="1">
      <c r="B11" s="330" t="s">
        <v>391</v>
      </c>
      <c r="C11" s="331" t="s">
        <v>385</v>
      </c>
      <c r="D11" s="330" t="s">
        <v>394</v>
      </c>
      <c r="E11" s="331" t="s">
        <v>395</v>
      </c>
      <c r="F11" s="331" t="s">
        <v>396</v>
      </c>
      <c r="G11" s="331" t="s">
        <v>386</v>
      </c>
      <c r="H11" s="331" t="s">
        <v>387</v>
      </c>
      <c r="I11" s="331" t="s">
        <v>388</v>
      </c>
      <c r="J11" s="329"/>
    </row>
    <row r="12" spans="1:16">
      <c r="A12" s="327" t="s">
        <v>397</v>
      </c>
      <c r="B12" s="332">
        <v>5</v>
      </c>
      <c r="C12" s="333">
        <v>486.96</v>
      </c>
      <c r="D12" s="332">
        <v>926</v>
      </c>
      <c r="E12" s="334">
        <v>40.58</v>
      </c>
      <c r="F12" s="335">
        <f>+E12*2080</f>
        <v>84406.399999999994</v>
      </c>
      <c r="G12" s="334">
        <f>IF(F12&gt;50000,50000,F12)</f>
        <v>50000</v>
      </c>
      <c r="H12" s="334">
        <f>+F12*2</f>
        <v>168812.79999999999</v>
      </c>
      <c r="I12" s="334">
        <f>((H12-G12)/H12)*C12</f>
        <v>342.72923076923075</v>
      </c>
      <c r="J12" s="336"/>
      <c r="K12" s="335"/>
      <c r="M12" s="335"/>
    </row>
    <row r="13" spans="1:16">
      <c r="A13" s="327" t="s">
        <v>398</v>
      </c>
      <c r="B13" s="332">
        <v>10</v>
      </c>
      <c r="C13" s="333">
        <v>486.96</v>
      </c>
      <c r="D13" s="332">
        <v>926</v>
      </c>
      <c r="E13" s="334">
        <v>40.58</v>
      </c>
      <c r="F13" s="336">
        <f t="shared" ref="F13:F51" si="0">+E13*2080</f>
        <v>84406.399999999994</v>
      </c>
      <c r="G13" s="336">
        <f t="shared" ref="G13:G51" si="1">IF(F13&gt;50000,50000,F13)</f>
        <v>50000</v>
      </c>
      <c r="H13" s="336">
        <f t="shared" ref="H13:H51" si="2">+F13*2</f>
        <v>168812.79999999999</v>
      </c>
      <c r="I13" s="334">
        <f t="shared" ref="I13:I51" si="3">((H13-G13)/H13)*C13</f>
        <v>342.72923076923075</v>
      </c>
      <c r="J13" s="336"/>
      <c r="K13" s="335"/>
      <c r="M13" s="335"/>
    </row>
    <row r="14" spans="1:16">
      <c r="A14" s="327" t="s">
        <v>399</v>
      </c>
      <c r="B14" s="332">
        <v>11</v>
      </c>
      <c r="C14" s="334">
        <v>486.96</v>
      </c>
      <c r="D14" s="332">
        <v>926</v>
      </c>
      <c r="E14" s="334">
        <v>40.08</v>
      </c>
      <c r="F14" s="336">
        <f t="shared" si="0"/>
        <v>83366.399999999994</v>
      </c>
      <c r="G14" s="336">
        <f t="shared" si="1"/>
        <v>50000</v>
      </c>
      <c r="H14" s="336">
        <f t="shared" si="2"/>
        <v>166732.79999999999</v>
      </c>
      <c r="I14" s="334">
        <f t="shared" si="3"/>
        <v>340.92994472593273</v>
      </c>
    </row>
    <row r="15" spans="1:16">
      <c r="A15" s="327" t="s">
        <v>400</v>
      </c>
      <c r="B15" s="332">
        <v>16</v>
      </c>
      <c r="C15" s="334">
        <v>602.4</v>
      </c>
      <c r="D15" s="332">
        <v>926</v>
      </c>
      <c r="E15" s="334">
        <v>50.2</v>
      </c>
      <c r="F15" s="336">
        <f t="shared" si="0"/>
        <v>104416</v>
      </c>
      <c r="G15" s="336">
        <f t="shared" si="1"/>
        <v>50000</v>
      </c>
      <c r="H15" s="336">
        <f t="shared" si="2"/>
        <v>208832</v>
      </c>
      <c r="I15" s="334">
        <f t="shared" si="3"/>
        <v>458.16923076923075</v>
      </c>
    </row>
    <row r="16" spans="1:16">
      <c r="A16" s="327" t="s">
        <v>401</v>
      </c>
      <c r="B16" s="332">
        <v>24</v>
      </c>
      <c r="C16" s="334">
        <v>551.04</v>
      </c>
      <c r="D16" s="332">
        <v>926</v>
      </c>
      <c r="E16" s="334">
        <v>45.92</v>
      </c>
      <c r="F16" s="336">
        <f t="shared" si="0"/>
        <v>95513.600000000006</v>
      </c>
      <c r="G16" s="336">
        <f t="shared" si="1"/>
        <v>50000</v>
      </c>
      <c r="H16" s="336">
        <f t="shared" si="2"/>
        <v>191027.20000000001</v>
      </c>
      <c r="I16" s="334">
        <f t="shared" si="3"/>
        <v>406.80923076923079</v>
      </c>
    </row>
    <row r="17" spans="1:9">
      <c r="A17" s="327" t="s">
        <v>402</v>
      </c>
      <c r="B17" s="332">
        <v>25</v>
      </c>
      <c r="C17" s="334">
        <v>519</v>
      </c>
      <c r="D17" s="332">
        <v>926</v>
      </c>
      <c r="E17" s="334">
        <v>43.25</v>
      </c>
      <c r="F17" s="336">
        <f t="shared" si="0"/>
        <v>89960</v>
      </c>
      <c r="G17" s="336">
        <f t="shared" si="1"/>
        <v>50000</v>
      </c>
      <c r="H17" s="336">
        <f t="shared" si="2"/>
        <v>179920</v>
      </c>
      <c r="I17" s="334">
        <f t="shared" si="3"/>
        <v>374.76923076923077</v>
      </c>
    </row>
    <row r="18" spans="1:9">
      <c r="A18" s="327" t="s">
        <v>403</v>
      </c>
      <c r="B18" s="332">
        <v>38</v>
      </c>
      <c r="C18" s="334">
        <v>499.8</v>
      </c>
      <c r="D18" s="332">
        <v>926</v>
      </c>
      <c r="E18" s="334">
        <v>41.65</v>
      </c>
      <c r="F18" s="336">
        <f t="shared" si="0"/>
        <v>86632</v>
      </c>
      <c r="G18" s="336">
        <f t="shared" si="1"/>
        <v>50000</v>
      </c>
      <c r="H18" s="336">
        <f t="shared" si="2"/>
        <v>173264</v>
      </c>
      <c r="I18" s="334">
        <f t="shared" si="3"/>
        <v>355.56923076923078</v>
      </c>
    </row>
    <row r="19" spans="1:9">
      <c r="A19" s="327" t="s">
        <v>404</v>
      </c>
      <c r="B19" s="332">
        <v>40</v>
      </c>
      <c r="C19" s="333">
        <v>499.8</v>
      </c>
      <c r="D19" s="332">
        <v>926</v>
      </c>
      <c r="E19" s="334">
        <v>41.65</v>
      </c>
      <c r="F19" s="336">
        <f t="shared" si="0"/>
        <v>86632</v>
      </c>
      <c r="G19" s="336">
        <f t="shared" si="1"/>
        <v>50000</v>
      </c>
      <c r="H19" s="336">
        <f t="shared" si="2"/>
        <v>173264</v>
      </c>
      <c r="I19" s="334">
        <f t="shared" si="3"/>
        <v>355.56923076923078</v>
      </c>
    </row>
    <row r="20" spans="1:9">
      <c r="A20" s="327" t="s">
        <v>405</v>
      </c>
      <c r="B20" s="332">
        <v>41</v>
      </c>
      <c r="C20" s="334">
        <v>486.96</v>
      </c>
      <c r="D20" s="332">
        <v>926</v>
      </c>
      <c r="E20" s="334">
        <v>40.58</v>
      </c>
      <c r="F20" s="336">
        <f t="shared" si="0"/>
        <v>84406.399999999994</v>
      </c>
      <c r="G20" s="336">
        <f t="shared" si="1"/>
        <v>50000</v>
      </c>
      <c r="H20" s="336">
        <f t="shared" si="2"/>
        <v>168812.79999999999</v>
      </c>
      <c r="I20" s="334">
        <f t="shared" si="3"/>
        <v>342.72923076923075</v>
      </c>
    </row>
    <row r="21" spans="1:9">
      <c r="A21" s="327" t="s">
        <v>406</v>
      </c>
      <c r="B21" s="332">
        <v>43</v>
      </c>
      <c r="C21" s="334">
        <v>519</v>
      </c>
      <c r="D21" s="332">
        <v>926</v>
      </c>
      <c r="E21" s="334">
        <v>43.25</v>
      </c>
      <c r="F21" s="336">
        <f t="shared" si="0"/>
        <v>89960</v>
      </c>
      <c r="G21" s="336">
        <f t="shared" si="1"/>
        <v>50000</v>
      </c>
      <c r="H21" s="336">
        <f t="shared" si="2"/>
        <v>179920</v>
      </c>
      <c r="I21" s="334">
        <f t="shared" si="3"/>
        <v>374.76923076923077</v>
      </c>
    </row>
    <row r="22" spans="1:9">
      <c r="A22" s="327" t="s">
        <v>407</v>
      </c>
      <c r="B22" s="332">
        <v>50</v>
      </c>
      <c r="C22" s="333">
        <v>486.96</v>
      </c>
      <c r="D22" s="332">
        <v>926</v>
      </c>
      <c r="E22" s="334">
        <v>40.58</v>
      </c>
      <c r="F22" s="336">
        <f t="shared" si="0"/>
        <v>84406.399999999994</v>
      </c>
      <c r="G22" s="336">
        <f t="shared" si="1"/>
        <v>50000</v>
      </c>
      <c r="H22" s="336">
        <f t="shared" si="2"/>
        <v>168812.79999999999</v>
      </c>
      <c r="I22" s="334">
        <f t="shared" si="3"/>
        <v>342.72923076923075</v>
      </c>
    </row>
    <row r="23" spans="1:9">
      <c r="A23" s="327" t="s">
        <v>408</v>
      </c>
      <c r="B23" s="332">
        <v>136</v>
      </c>
      <c r="C23" s="334">
        <v>176.86</v>
      </c>
      <c r="D23" s="332">
        <v>926</v>
      </c>
      <c r="E23" s="334">
        <v>14.74</v>
      </c>
      <c r="F23" s="336">
        <f t="shared" si="0"/>
        <v>30659.200000000001</v>
      </c>
      <c r="G23" s="336">
        <f t="shared" si="1"/>
        <v>30659.200000000001</v>
      </c>
      <c r="H23" s="336">
        <f t="shared" si="2"/>
        <v>61318.400000000001</v>
      </c>
      <c r="I23" s="334">
        <f t="shared" si="3"/>
        <v>88.43</v>
      </c>
    </row>
    <row r="24" spans="1:9">
      <c r="A24" s="327" t="s">
        <v>409</v>
      </c>
      <c r="B24" s="332">
        <v>139</v>
      </c>
      <c r="C24" s="334">
        <v>397.32</v>
      </c>
      <c r="D24" s="332">
        <v>926</v>
      </c>
      <c r="E24" s="334">
        <v>33.11</v>
      </c>
      <c r="F24" s="336">
        <f t="shared" si="0"/>
        <v>68868.800000000003</v>
      </c>
      <c r="G24" s="336">
        <f t="shared" si="1"/>
        <v>50000</v>
      </c>
      <c r="H24" s="336">
        <f t="shared" si="2"/>
        <v>137737.60000000001</v>
      </c>
      <c r="I24" s="334">
        <f t="shared" si="3"/>
        <v>253.08923076923077</v>
      </c>
    </row>
    <row r="25" spans="1:9">
      <c r="A25" s="327" t="s">
        <v>410</v>
      </c>
      <c r="B25" s="332">
        <v>149</v>
      </c>
      <c r="C25" s="334">
        <v>756.12</v>
      </c>
      <c r="D25" s="332">
        <v>926</v>
      </c>
      <c r="E25" s="334">
        <v>63.01</v>
      </c>
      <c r="F25" s="336">
        <f t="shared" si="0"/>
        <v>131060.8</v>
      </c>
      <c r="G25" s="336">
        <f t="shared" si="1"/>
        <v>50000</v>
      </c>
      <c r="H25" s="336">
        <f t="shared" si="2"/>
        <v>262121.60000000001</v>
      </c>
      <c r="I25" s="334">
        <f t="shared" si="3"/>
        <v>611.88923076923072</v>
      </c>
    </row>
    <row r="26" spans="1:9">
      <c r="A26" s="327" t="s">
        <v>411</v>
      </c>
      <c r="B26" s="332">
        <v>159</v>
      </c>
      <c r="C26" s="334">
        <v>454.92</v>
      </c>
      <c r="D26" s="332">
        <v>926</v>
      </c>
      <c r="E26" s="334">
        <v>37.909999999999997</v>
      </c>
      <c r="F26" s="336">
        <f t="shared" si="0"/>
        <v>78852.799999999988</v>
      </c>
      <c r="G26" s="336">
        <f t="shared" si="1"/>
        <v>50000</v>
      </c>
      <c r="H26" s="336">
        <f t="shared" si="2"/>
        <v>157705.59999999998</v>
      </c>
      <c r="I26" s="334">
        <f t="shared" si="3"/>
        <v>310.68923076923073</v>
      </c>
    </row>
    <row r="27" spans="1:9">
      <c r="A27" s="327" t="s">
        <v>412</v>
      </c>
      <c r="B27" s="332">
        <v>163</v>
      </c>
      <c r="C27" s="334">
        <v>384.48</v>
      </c>
      <c r="D27" s="332">
        <v>926</v>
      </c>
      <c r="E27" s="334">
        <v>32.04</v>
      </c>
      <c r="F27" s="336">
        <f t="shared" si="0"/>
        <v>66643.199999999997</v>
      </c>
      <c r="G27" s="336">
        <f t="shared" si="1"/>
        <v>50000</v>
      </c>
      <c r="H27" s="336">
        <f t="shared" si="2"/>
        <v>133286.39999999999</v>
      </c>
      <c r="I27" s="334">
        <f t="shared" si="3"/>
        <v>240.24923076923076</v>
      </c>
    </row>
    <row r="28" spans="1:9">
      <c r="A28" s="327" t="s">
        <v>413</v>
      </c>
      <c r="B28" s="332">
        <v>164</v>
      </c>
      <c r="C28" s="333">
        <v>307.56</v>
      </c>
      <c r="D28" s="332">
        <v>926</v>
      </c>
      <c r="E28" s="334">
        <v>25.63</v>
      </c>
      <c r="F28" s="336">
        <f t="shared" si="0"/>
        <v>53310.400000000001</v>
      </c>
      <c r="G28" s="336">
        <f t="shared" si="1"/>
        <v>50000</v>
      </c>
      <c r="H28" s="336">
        <f t="shared" si="2"/>
        <v>106620.8</v>
      </c>
      <c r="I28" s="334">
        <f t="shared" si="3"/>
        <v>163.32923076923078</v>
      </c>
    </row>
    <row r="29" spans="1:9">
      <c r="A29" s="327" t="s">
        <v>414</v>
      </c>
      <c r="B29" s="332">
        <v>166</v>
      </c>
      <c r="C29" s="334">
        <v>339.6</v>
      </c>
      <c r="D29" s="332">
        <v>926</v>
      </c>
      <c r="E29" s="334">
        <v>28.3</v>
      </c>
      <c r="F29" s="336">
        <f t="shared" si="0"/>
        <v>58864</v>
      </c>
      <c r="G29" s="336">
        <f t="shared" si="1"/>
        <v>50000</v>
      </c>
      <c r="H29" s="336">
        <f t="shared" si="2"/>
        <v>117728</v>
      </c>
      <c r="I29" s="334">
        <f t="shared" si="3"/>
        <v>195.36923076923077</v>
      </c>
    </row>
    <row r="30" spans="1:9">
      <c r="A30" s="327" t="s">
        <v>415</v>
      </c>
      <c r="B30" s="332">
        <v>169</v>
      </c>
      <c r="C30" s="333">
        <v>282</v>
      </c>
      <c r="D30" s="332">
        <v>926</v>
      </c>
      <c r="E30" s="334">
        <v>23.5</v>
      </c>
      <c r="F30" s="336">
        <f t="shared" si="0"/>
        <v>48880</v>
      </c>
      <c r="G30" s="336">
        <f t="shared" si="1"/>
        <v>48880</v>
      </c>
      <c r="H30" s="336">
        <f t="shared" si="2"/>
        <v>97760</v>
      </c>
      <c r="I30" s="334">
        <f t="shared" si="3"/>
        <v>141</v>
      </c>
    </row>
    <row r="31" spans="1:9">
      <c r="A31" s="327" t="s">
        <v>416</v>
      </c>
      <c r="B31" s="332">
        <v>172</v>
      </c>
      <c r="C31" s="333">
        <v>339.6</v>
      </c>
      <c r="D31" s="332">
        <v>926</v>
      </c>
      <c r="E31" s="334">
        <v>28.3</v>
      </c>
      <c r="F31" s="336">
        <f t="shared" si="0"/>
        <v>58864</v>
      </c>
      <c r="G31" s="336">
        <f t="shared" si="1"/>
        <v>50000</v>
      </c>
      <c r="H31" s="336">
        <f t="shared" si="2"/>
        <v>117728</v>
      </c>
      <c r="I31" s="334">
        <f t="shared" si="3"/>
        <v>195.36923076923077</v>
      </c>
    </row>
    <row r="32" spans="1:9">
      <c r="A32" s="327" t="s">
        <v>417</v>
      </c>
      <c r="B32" s="332">
        <v>182</v>
      </c>
      <c r="C32" s="333">
        <v>371.64</v>
      </c>
      <c r="D32" s="332">
        <v>926</v>
      </c>
      <c r="E32" s="334">
        <v>30.97</v>
      </c>
      <c r="F32" s="336">
        <f t="shared" si="0"/>
        <v>64417.599999999999</v>
      </c>
      <c r="G32" s="336">
        <f t="shared" si="1"/>
        <v>50000</v>
      </c>
      <c r="H32" s="336">
        <f t="shared" si="2"/>
        <v>128835.2</v>
      </c>
      <c r="I32" s="334">
        <f t="shared" si="3"/>
        <v>227.40923076923076</v>
      </c>
    </row>
    <row r="33" spans="1:9">
      <c r="A33" s="327" t="s">
        <v>418</v>
      </c>
      <c r="B33" s="332">
        <v>187</v>
      </c>
      <c r="C33" s="333">
        <v>486.96</v>
      </c>
      <c r="D33" s="332">
        <v>926</v>
      </c>
      <c r="E33" s="334">
        <v>40.58</v>
      </c>
      <c r="F33" s="336">
        <f t="shared" si="0"/>
        <v>84406.399999999994</v>
      </c>
      <c r="G33" s="336">
        <f t="shared" si="1"/>
        <v>50000</v>
      </c>
      <c r="H33" s="336">
        <f t="shared" si="2"/>
        <v>168812.79999999999</v>
      </c>
      <c r="I33" s="334">
        <f t="shared" si="3"/>
        <v>342.72923076923075</v>
      </c>
    </row>
    <row r="34" spans="1:9">
      <c r="A34" s="327" t="s">
        <v>419</v>
      </c>
      <c r="B34" s="332">
        <v>189</v>
      </c>
      <c r="C34" s="334">
        <v>403.68</v>
      </c>
      <c r="D34" s="332">
        <v>926</v>
      </c>
      <c r="E34" s="334">
        <v>33.69</v>
      </c>
      <c r="F34" s="336">
        <f t="shared" si="0"/>
        <v>70075.199999999997</v>
      </c>
      <c r="G34" s="336">
        <f t="shared" si="1"/>
        <v>50000</v>
      </c>
      <c r="H34" s="336">
        <f t="shared" si="2"/>
        <v>140150.39999999999</v>
      </c>
      <c r="I34" s="334">
        <f t="shared" si="3"/>
        <v>259.66328652647439</v>
      </c>
    </row>
    <row r="35" spans="1:9">
      <c r="A35" s="327" t="s">
        <v>420</v>
      </c>
      <c r="B35" s="332">
        <v>191</v>
      </c>
      <c r="C35" s="334">
        <v>211.54</v>
      </c>
      <c r="D35" s="332">
        <v>926</v>
      </c>
      <c r="E35" s="334">
        <v>17.62</v>
      </c>
      <c r="F35" s="336">
        <f t="shared" si="0"/>
        <v>36649.599999999999</v>
      </c>
      <c r="G35" s="336">
        <f t="shared" si="1"/>
        <v>36649.599999999999</v>
      </c>
      <c r="H35" s="336">
        <f t="shared" si="2"/>
        <v>73299.199999999997</v>
      </c>
      <c r="I35" s="334">
        <f t="shared" si="3"/>
        <v>105.77</v>
      </c>
    </row>
    <row r="36" spans="1:9">
      <c r="A36" s="327" t="s">
        <v>421</v>
      </c>
      <c r="B36" s="332">
        <v>192</v>
      </c>
      <c r="C36" s="333">
        <v>249.96</v>
      </c>
      <c r="D36" s="332">
        <v>926</v>
      </c>
      <c r="E36" s="334">
        <v>20.83</v>
      </c>
      <c r="F36" s="336">
        <f t="shared" si="0"/>
        <v>43326.399999999994</v>
      </c>
      <c r="G36" s="336">
        <f t="shared" si="1"/>
        <v>43326.399999999994</v>
      </c>
      <c r="H36" s="336">
        <f t="shared" si="2"/>
        <v>86652.799999999988</v>
      </c>
      <c r="I36" s="334">
        <f t="shared" si="3"/>
        <v>124.98</v>
      </c>
    </row>
    <row r="37" spans="1:9">
      <c r="A37" s="327" t="s">
        <v>422</v>
      </c>
      <c r="B37" s="332">
        <v>194</v>
      </c>
      <c r="C37" s="333">
        <v>461.4</v>
      </c>
      <c r="D37" s="332">
        <v>926</v>
      </c>
      <c r="E37" s="334">
        <v>38.450000000000003</v>
      </c>
      <c r="F37" s="336">
        <f t="shared" si="0"/>
        <v>79976</v>
      </c>
      <c r="G37" s="336">
        <f t="shared" si="1"/>
        <v>50000</v>
      </c>
      <c r="H37" s="336">
        <f t="shared" si="2"/>
        <v>159952</v>
      </c>
      <c r="I37" s="334">
        <f t="shared" si="3"/>
        <v>317.16923076923075</v>
      </c>
    </row>
    <row r="38" spans="1:9">
      <c r="A38" s="327" t="s">
        <v>423</v>
      </c>
      <c r="B38" s="332">
        <v>194</v>
      </c>
      <c r="C38" s="334">
        <v>461.4</v>
      </c>
      <c r="D38" s="332">
        <v>926</v>
      </c>
      <c r="E38" s="334">
        <v>38.450000000000003</v>
      </c>
      <c r="F38" s="336">
        <f t="shared" si="0"/>
        <v>79976</v>
      </c>
      <c r="G38" s="336">
        <f t="shared" si="1"/>
        <v>50000</v>
      </c>
      <c r="H38" s="336">
        <f t="shared" si="2"/>
        <v>159952</v>
      </c>
      <c r="I38" s="334">
        <f t="shared" si="3"/>
        <v>317.16923076923075</v>
      </c>
    </row>
    <row r="39" spans="1:9">
      <c r="A39" s="327" t="s">
        <v>424</v>
      </c>
      <c r="B39" s="332">
        <v>198</v>
      </c>
      <c r="C39" s="334">
        <v>224.28</v>
      </c>
      <c r="D39" s="332">
        <v>926</v>
      </c>
      <c r="E39" s="334">
        <v>18.690000000000001</v>
      </c>
      <c r="F39" s="336">
        <f t="shared" si="0"/>
        <v>38875.200000000004</v>
      </c>
      <c r="G39" s="336">
        <f t="shared" si="1"/>
        <v>38875.200000000004</v>
      </c>
      <c r="H39" s="336">
        <f t="shared" si="2"/>
        <v>77750.400000000009</v>
      </c>
      <c r="I39" s="334">
        <f t="shared" si="3"/>
        <v>112.14</v>
      </c>
    </row>
    <row r="40" spans="1:9">
      <c r="A40" s="327" t="s">
        <v>425</v>
      </c>
      <c r="B40" s="332">
        <v>200</v>
      </c>
      <c r="C40" s="334">
        <v>480</v>
      </c>
      <c r="D40" s="332">
        <v>926</v>
      </c>
      <c r="E40" s="334">
        <v>40.049999999999997</v>
      </c>
      <c r="F40" s="336">
        <f t="shared" si="0"/>
        <v>83304</v>
      </c>
      <c r="G40" s="336">
        <f t="shared" si="1"/>
        <v>50000</v>
      </c>
      <c r="H40" s="336">
        <f t="shared" si="2"/>
        <v>166608</v>
      </c>
      <c r="I40" s="334">
        <f t="shared" si="3"/>
        <v>335.94929415154138</v>
      </c>
    </row>
    <row r="41" spans="1:9">
      <c r="A41" s="327" t="s">
        <v>426</v>
      </c>
      <c r="B41" s="332">
        <v>201</v>
      </c>
      <c r="C41" s="334">
        <v>448.56</v>
      </c>
      <c r="D41" s="332">
        <v>926</v>
      </c>
      <c r="E41" s="334">
        <v>37.380000000000003</v>
      </c>
      <c r="F41" s="336">
        <f t="shared" si="0"/>
        <v>77750.400000000009</v>
      </c>
      <c r="G41" s="336">
        <f t="shared" si="1"/>
        <v>50000</v>
      </c>
      <c r="H41" s="336">
        <f t="shared" si="2"/>
        <v>155500.80000000002</v>
      </c>
      <c r="I41" s="334">
        <f t="shared" si="3"/>
        <v>304.32923076923083</v>
      </c>
    </row>
    <row r="42" spans="1:9">
      <c r="A42" s="327" t="s">
        <v>427</v>
      </c>
      <c r="B42" s="332">
        <v>203</v>
      </c>
      <c r="C42" s="333">
        <v>211.2</v>
      </c>
      <c r="D42" s="332">
        <v>926</v>
      </c>
      <c r="E42" s="334">
        <v>17.62</v>
      </c>
      <c r="F42" s="336">
        <f t="shared" si="0"/>
        <v>36649.599999999999</v>
      </c>
      <c r="G42" s="336">
        <f t="shared" si="1"/>
        <v>36649.599999999999</v>
      </c>
      <c r="H42" s="336">
        <f t="shared" si="2"/>
        <v>73299.199999999997</v>
      </c>
      <c r="I42" s="334">
        <f t="shared" si="3"/>
        <v>105.6</v>
      </c>
    </row>
    <row r="43" spans="1:9">
      <c r="A43" s="327" t="s">
        <v>428</v>
      </c>
      <c r="B43" s="332">
        <v>204</v>
      </c>
      <c r="C43" s="333">
        <v>205.08</v>
      </c>
      <c r="D43" s="332">
        <v>926</v>
      </c>
      <c r="E43" s="334">
        <v>17.09</v>
      </c>
      <c r="F43" s="336">
        <f t="shared" si="0"/>
        <v>35547.199999999997</v>
      </c>
      <c r="G43" s="336">
        <f t="shared" si="1"/>
        <v>35547.199999999997</v>
      </c>
      <c r="H43" s="336">
        <f t="shared" si="2"/>
        <v>71094.399999999994</v>
      </c>
      <c r="I43" s="334">
        <f t="shared" si="3"/>
        <v>102.54</v>
      </c>
    </row>
    <row r="44" spans="1:9">
      <c r="A44" s="327" t="s">
        <v>429</v>
      </c>
      <c r="B44" s="332">
        <v>205</v>
      </c>
      <c r="C44" s="334">
        <v>480.6</v>
      </c>
      <c r="D44" s="332">
        <v>926</v>
      </c>
      <c r="E44" s="334">
        <v>40.049999999999997</v>
      </c>
      <c r="F44" s="336">
        <f t="shared" si="0"/>
        <v>83304</v>
      </c>
      <c r="G44" s="336">
        <f t="shared" si="1"/>
        <v>50000</v>
      </c>
      <c r="H44" s="336">
        <f t="shared" si="2"/>
        <v>166608</v>
      </c>
      <c r="I44" s="334">
        <f t="shared" si="3"/>
        <v>336.3692307692308</v>
      </c>
    </row>
    <row r="45" spans="1:9">
      <c r="A45" s="327" t="s">
        <v>430</v>
      </c>
      <c r="B45" s="332">
        <v>208</v>
      </c>
      <c r="C45" s="334">
        <v>467.76</v>
      </c>
      <c r="D45" s="332">
        <v>926</v>
      </c>
      <c r="E45" s="334">
        <v>38.979999999999997</v>
      </c>
      <c r="F45" s="336">
        <f t="shared" si="0"/>
        <v>81078.399999999994</v>
      </c>
      <c r="G45" s="336">
        <f t="shared" si="1"/>
        <v>50000</v>
      </c>
      <c r="H45" s="336">
        <f t="shared" si="2"/>
        <v>162156.79999999999</v>
      </c>
      <c r="I45" s="334">
        <f t="shared" si="3"/>
        <v>323.52923076923071</v>
      </c>
    </row>
    <row r="46" spans="1:9">
      <c r="A46" s="327" t="s">
        <v>431</v>
      </c>
      <c r="B46" s="332">
        <v>211</v>
      </c>
      <c r="C46" s="333">
        <v>164.2</v>
      </c>
      <c r="D46" s="332">
        <v>926</v>
      </c>
      <c r="E46" s="334">
        <v>13.35</v>
      </c>
      <c r="F46" s="336">
        <f t="shared" si="0"/>
        <v>27768</v>
      </c>
      <c r="G46" s="336">
        <f t="shared" si="1"/>
        <v>27768</v>
      </c>
      <c r="H46" s="336">
        <f t="shared" si="2"/>
        <v>55536</v>
      </c>
      <c r="I46" s="334">
        <f t="shared" si="3"/>
        <v>82.1</v>
      </c>
    </row>
    <row r="47" spans="1:9">
      <c r="A47" s="327" t="s">
        <v>432</v>
      </c>
      <c r="B47" s="332">
        <v>216</v>
      </c>
      <c r="C47" s="334">
        <v>435.72</v>
      </c>
      <c r="D47" s="332">
        <v>926</v>
      </c>
      <c r="E47" s="334">
        <v>36.31</v>
      </c>
      <c r="F47" s="336">
        <f t="shared" si="0"/>
        <v>75524.800000000003</v>
      </c>
      <c r="G47" s="336">
        <f t="shared" si="1"/>
        <v>50000</v>
      </c>
      <c r="H47" s="336">
        <f t="shared" si="2"/>
        <v>151049.60000000001</v>
      </c>
      <c r="I47" s="334">
        <f t="shared" si="3"/>
        <v>291.4892307692308</v>
      </c>
    </row>
    <row r="48" spans="1:9">
      <c r="A48" s="327" t="s">
        <v>433</v>
      </c>
      <c r="B48" s="332">
        <v>219</v>
      </c>
      <c r="C48" s="333">
        <v>73.680000000000007</v>
      </c>
      <c r="D48" s="332">
        <v>926</v>
      </c>
      <c r="E48" s="334">
        <v>12.28</v>
      </c>
      <c r="F48" s="336">
        <f t="shared" si="0"/>
        <v>25542.399999999998</v>
      </c>
      <c r="G48" s="336">
        <f t="shared" si="1"/>
        <v>25542.399999999998</v>
      </c>
      <c r="H48" s="336">
        <f t="shared" si="2"/>
        <v>51084.799999999996</v>
      </c>
      <c r="I48" s="334">
        <f t="shared" si="3"/>
        <v>36.840000000000003</v>
      </c>
    </row>
    <row r="49" spans="1:9">
      <c r="A49" s="327" t="s">
        <v>434</v>
      </c>
      <c r="B49" s="332">
        <v>222</v>
      </c>
      <c r="C49" s="333">
        <v>123.36</v>
      </c>
      <c r="D49" s="332">
        <v>926</v>
      </c>
      <c r="E49" s="334">
        <v>41.12</v>
      </c>
      <c r="F49" s="336">
        <f t="shared" si="0"/>
        <v>85529.599999999991</v>
      </c>
      <c r="G49" s="336">
        <f t="shared" si="1"/>
        <v>50000</v>
      </c>
      <c r="H49" s="336">
        <f t="shared" si="2"/>
        <v>171059.19999999998</v>
      </c>
      <c r="I49" s="334">
        <f t="shared" si="3"/>
        <v>87.302307692307679</v>
      </c>
    </row>
    <row r="50" spans="1:9">
      <c r="A50" s="327" t="s">
        <v>435</v>
      </c>
      <c r="B50" s="332">
        <v>223</v>
      </c>
      <c r="C50" s="333">
        <v>53.06</v>
      </c>
      <c r="D50" s="332">
        <v>926</v>
      </c>
      <c r="E50" s="334">
        <v>17.09</v>
      </c>
      <c r="F50" s="336">
        <f t="shared" si="0"/>
        <v>35547.199999999997</v>
      </c>
      <c r="G50" s="336">
        <f t="shared" si="1"/>
        <v>35547.199999999997</v>
      </c>
      <c r="H50" s="336">
        <f t="shared" si="2"/>
        <v>71094.399999999994</v>
      </c>
      <c r="I50" s="334">
        <f t="shared" si="3"/>
        <v>26.53</v>
      </c>
    </row>
    <row r="51" spans="1:9">
      <c r="A51" s="327" t="s">
        <v>436</v>
      </c>
      <c r="B51" s="332">
        <v>224</v>
      </c>
      <c r="C51" s="334">
        <v>493.44</v>
      </c>
      <c r="D51" s="332">
        <v>926</v>
      </c>
      <c r="E51" s="334">
        <v>41.12</v>
      </c>
      <c r="F51" s="336">
        <f t="shared" si="0"/>
        <v>85529.599999999991</v>
      </c>
      <c r="G51" s="336">
        <f t="shared" si="1"/>
        <v>50000</v>
      </c>
      <c r="H51" s="336">
        <f t="shared" si="2"/>
        <v>171059.19999999998</v>
      </c>
      <c r="I51" s="334">
        <f t="shared" si="3"/>
        <v>349.20923076923071</v>
      </c>
    </row>
    <row r="52" spans="1:9">
      <c r="B52" s="337" t="s">
        <v>50</v>
      </c>
      <c r="C52" s="338">
        <f>SUM(C12:C51)</f>
        <v>15571.82</v>
      </c>
      <c r="D52" s="337"/>
      <c r="E52" s="339"/>
      <c r="F52" s="339"/>
      <c r="G52" s="339"/>
      <c r="H52" s="339"/>
      <c r="I52" s="340">
        <f>SUM(I12:I51)</f>
        <v>10425.73483309626</v>
      </c>
    </row>
    <row r="54" spans="1:9">
      <c r="H54" s="341" t="s">
        <v>389</v>
      </c>
      <c r="I54" s="335">
        <f>C52-I52</f>
        <v>5146.0851669037402</v>
      </c>
    </row>
    <row r="55" spans="1:9">
      <c r="H55" s="341"/>
    </row>
    <row r="56" spans="1:9">
      <c r="H56" s="341" t="s">
        <v>39</v>
      </c>
      <c r="I56" s="335">
        <f>C52</f>
        <v>15571.82</v>
      </c>
    </row>
    <row r="57" spans="1:9">
      <c r="H57" s="341"/>
    </row>
    <row r="58" spans="1:9">
      <c r="H58" s="341" t="s">
        <v>260</v>
      </c>
      <c r="I58" s="335">
        <f>I54</f>
        <v>5146.0851669037402</v>
      </c>
    </row>
    <row r="59" spans="1:9">
      <c r="H59" s="341"/>
    </row>
    <row r="60" spans="1:9">
      <c r="H60" s="342" t="s">
        <v>15</v>
      </c>
      <c r="I60" s="343">
        <f>I58-I56</f>
        <v>-10425.73483309626</v>
      </c>
    </row>
    <row r="62" spans="1:9" s="210" customFormat="1" ht="30" customHeight="1">
      <c r="B62" s="344" t="s">
        <v>437</v>
      </c>
      <c r="C62" s="344"/>
      <c r="D62" s="344"/>
      <c r="E62" s="344"/>
      <c r="F62" s="344"/>
      <c r="G62" s="344"/>
      <c r="H62" s="344"/>
      <c r="I62" s="344"/>
    </row>
  </sheetData>
  <mergeCells count="4">
    <mergeCell ref="B4:I4"/>
    <mergeCell ref="B5:I5"/>
    <mergeCell ref="B7:I7"/>
    <mergeCell ref="B62:I62"/>
  </mergeCells>
  <printOptions horizontalCentered="1"/>
  <pageMargins left="0.7" right="0.7" top="0.75" bottom="0.75" header="0.3" footer="0.3"/>
  <pageSetup scale="70" orientation="portrait" r:id="rId1"/>
  <headerFooter>
    <oddFooter>&amp;RExhibit JW-2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view="pageBreakPreview" zoomScaleNormal="100" zoomScaleSheetLayoutView="100" workbookViewId="0">
      <selection activeCell="C32" sqref="C32"/>
    </sheetView>
  </sheetViews>
  <sheetFormatPr defaultColWidth="9.109375" defaultRowHeight="13.2"/>
  <cols>
    <col min="1" max="1" width="3.5546875" style="11" customWidth="1"/>
    <col min="2" max="2" width="9.21875" style="10" bestFit="1" customWidth="1"/>
    <col min="3" max="3" width="37.5546875" style="11" bestFit="1" customWidth="1"/>
    <col min="4" max="5" width="11.77734375" style="11" bestFit="1" customWidth="1"/>
    <col min="6" max="6" width="11.88671875" style="11" customWidth="1"/>
    <col min="7" max="7" width="11.44140625" style="11" bestFit="1" customWidth="1"/>
    <col min="8" max="16384" width="9.109375" style="11"/>
  </cols>
  <sheetData>
    <row r="1" spans="1:7">
      <c r="A1" s="185" t="s">
        <v>29</v>
      </c>
      <c r="B1" s="185"/>
      <c r="C1" s="185"/>
      <c r="D1" s="185"/>
      <c r="E1" s="185"/>
      <c r="F1" s="185"/>
      <c r="G1" s="185"/>
    </row>
    <row r="2" spans="1:7">
      <c r="A2" s="185" t="s">
        <v>270</v>
      </c>
      <c r="B2" s="185"/>
      <c r="C2" s="185"/>
      <c r="D2" s="185"/>
      <c r="E2" s="185"/>
      <c r="F2" s="185"/>
      <c r="G2" s="185"/>
    </row>
    <row r="4" spans="1:7" ht="47.25" customHeight="1">
      <c r="B4" s="56" t="s">
        <v>320</v>
      </c>
      <c r="C4" s="31" t="s">
        <v>44</v>
      </c>
      <c r="D4" s="31" t="s">
        <v>23</v>
      </c>
      <c r="E4" s="31" t="s">
        <v>24</v>
      </c>
      <c r="F4" s="31" t="s">
        <v>272</v>
      </c>
      <c r="G4" s="31" t="s">
        <v>273</v>
      </c>
    </row>
    <row r="5" spans="1:7">
      <c r="B5" s="58" t="s">
        <v>21</v>
      </c>
      <c r="C5" s="59">
        <v>1</v>
      </c>
      <c r="D5" s="59">
        <f>C5+1</f>
        <v>2</v>
      </c>
      <c r="E5" s="59">
        <f>D5+1</f>
        <v>3</v>
      </c>
      <c r="F5" s="59">
        <f>E5+1</f>
        <v>4</v>
      </c>
      <c r="G5" s="59">
        <f>F5+1</f>
        <v>5</v>
      </c>
    </row>
    <row r="6" spans="1:7">
      <c r="B6" s="11"/>
      <c r="C6" s="99"/>
      <c r="D6" s="99"/>
      <c r="E6" s="99"/>
      <c r="F6" s="99"/>
      <c r="G6" s="99"/>
    </row>
    <row r="7" spans="1:7">
      <c r="B7" s="10">
        <f>'Adj IS'!C4</f>
        <v>1.01</v>
      </c>
      <c r="C7" s="11" t="s">
        <v>271</v>
      </c>
      <c r="D7" s="23">
        <f>'1.01 FAC'!F31</f>
        <v>-3386805.33</v>
      </c>
      <c r="E7" s="23">
        <f>'1.01 FAC'!H31</f>
        <v>-2889068</v>
      </c>
      <c r="F7" s="23"/>
      <c r="G7" s="23">
        <f>D7-E7+F7</f>
        <v>-497737.33000000007</v>
      </c>
    </row>
    <row r="8" spans="1:7">
      <c r="B8" s="10">
        <f>'Adj IS'!D4</f>
        <v>1.02</v>
      </c>
      <c r="C8" s="11" t="s">
        <v>143</v>
      </c>
      <c r="D8" s="23">
        <f>'1.02 ES'!F31</f>
        <v>-2537411.66</v>
      </c>
      <c r="E8" s="23">
        <f>'1.02 ES'!H31</f>
        <v>-2609093</v>
      </c>
      <c r="F8" s="23"/>
      <c r="G8" s="23">
        <f t="shared" ref="G8:G24" si="0">D8-E8+F8</f>
        <v>71681.339999999851</v>
      </c>
    </row>
    <row r="9" spans="1:7">
      <c r="B9" s="10">
        <f>'Adj IS'!E4</f>
        <v>1.03</v>
      </c>
      <c r="C9" s="11" t="s">
        <v>382</v>
      </c>
      <c r="D9" s="23"/>
      <c r="E9" s="23">
        <f>'1.03Depr'!J39</f>
        <v>-169792.70000000013</v>
      </c>
      <c r="F9" s="23"/>
      <c r="G9" s="23">
        <f t="shared" si="0"/>
        <v>169792.70000000013</v>
      </c>
    </row>
    <row r="10" spans="1:7">
      <c r="B10" s="10">
        <f>'Adj IS'!F4</f>
        <v>1.04</v>
      </c>
      <c r="C10" s="11" t="s">
        <v>34</v>
      </c>
      <c r="D10" s="23"/>
      <c r="E10" s="23"/>
      <c r="F10" s="23">
        <f>'1.04 GTCC'!E15</f>
        <v>-323975</v>
      </c>
      <c r="G10" s="23">
        <f>D10-E10+F10</f>
        <v>-323975</v>
      </c>
    </row>
    <row r="11" spans="1:7">
      <c r="B11" s="10">
        <f>'Adj IS'!G4</f>
        <v>1.05</v>
      </c>
      <c r="C11" s="11" t="s">
        <v>56</v>
      </c>
      <c r="D11" s="23">
        <f>'1.05 Cust'!F48</f>
        <v>-115350.06</v>
      </c>
      <c r="E11" s="23">
        <f>'1.05 Cust'!G48</f>
        <v>-72849.69</v>
      </c>
      <c r="F11" s="23"/>
      <c r="G11" s="23">
        <f t="shared" si="0"/>
        <v>-42500.369999999995</v>
      </c>
    </row>
    <row r="12" spans="1:7">
      <c r="B12" s="10">
        <f>'Adj IS'!H4</f>
        <v>1.06</v>
      </c>
      <c r="C12" s="11" t="s">
        <v>33</v>
      </c>
      <c r="D12" s="23"/>
      <c r="E12" s="23">
        <f>'1.06 RC'!E25</f>
        <v>25333.33</v>
      </c>
      <c r="F12" s="23"/>
      <c r="G12" s="23">
        <f t="shared" si="0"/>
        <v>-25333.33</v>
      </c>
    </row>
    <row r="13" spans="1:7">
      <c r="B13" s="10">
        <f>'Adj IS'!I4</f>
        <v>1.07</v>
      </c>
      <c r="C13" s="11" t="s">
        <v>438</v>
      </c>
      <c r="D13" s="23"/>
      <c r="E13" s="23">
        <f>'1.07 Donat&amp;Promo'!H20</f>
        <v>-23044.77</v>
      </c>
      <c r="F13" s="23"/>
      <c r="G13" s="23">
        <f t="shared" si="0"/>
        <v>23044.77</v>
      </c>
    </row>
    <row r="14" spans="1:7">
      <c r="B14" s="10">
        <f>'Adj IS'!J4</f>
        <v>1.08</v>
      </c>
      <c r="C14" s="11" t="s">
        <v>54</v>
      </c>
      <c r="D14" s="23"/>
      <c r="E14" s="23">
        <f>'1.08 PROF'!H60</f>
        <v>-33268.35</v>
      </c>
      <c r="F14" s="23"/>
      <c r="G14" s="23">
        <f t="shared" si="0"/>
        <v>33268.35</v>
      </c>
    </row>
    <row r="15" spans="1:7">
      <c r="B15" s="10">
        <f>'Adj IS'!K4</f>
        <v>1.0900000000000001</v>
      </c>
      <c r="C15" s="11" t="s">
        <v>135</v>
      </c>
      <c r="D15" s="23"/>
      <c r="E15" s="23">
        <f>'1.09 DIR'!H318</f>
        <v>-16109.330000000002</v>
      </c>
      <c r="F15" s="23"/>
      <c r="G15" s="23">
        <f t="shared" si="0"/>
        <v>16109.330000000002</v>
      </c>
    </row>
    <row r="16" spans="1:7">
      <c r="B16" s="29">
        <f>'Adj IS'!L4</f>
        <v>1.1000000000000001</v>
      </c>
      <c r="C16" s="11" t="s">
        <v>136</v>
      </c>
      <c r="D16" s="23"/>
      <c r="E16" s="23">
        <f>'1.10 Wage'!Y81</f>
        <v>245967.35749999993</v>
      </c>
      <c r="F16" s="23"/>
      <c r="G16" s="23">
        <f t="shared" si="0"/>
        <v>-245967.35749999993</v>
      </c>
    </row>
    <row r="17" spans="2:7">
      <c r="B17" s="10">
        <f>'Adj IS'!M4</f>
        <v>1.1100000000000001</v>
      </c>
      <c r="C17" s="11" t="s">
        <v>384</v>
      </c>
      <c r="D17" s="23"/>
      <c r="E17" s="23">
        <f>'1.11 LifeInsur'!I60</f>
        <v>-10425.73483309626</v>
      </c>
      <c r="F17" s="23"/>
      <c r="G17" s="23">
        <f t="shared" si="0"/>
        <v>10425.73483309626</v>
      </c>
    </row>
    <row r="18" spans="2:7" hidden="1">
      <c r="D18" s="23"/>
      <c r="E18" s="23"/>
      <c r="F18" s="23"/>
      <c r="G18" s="23"/>
    </row>
    <row r="19" spans="2:7" hidden="1"/>
    <row r="20" spans="2:7" hidden="1">
      <c r="B20" s="10">
        <f>'Adj IS'!P4</f>
        <v>1.1399999999999999</v>
      </c>
      <c r="D20" s="23"/>
      <c r="E20" s="23"/>
      <c r="F20" s="23"/>
      <c r="G20" s="23">
        <f t="shared" si="0"/>
        <v>0</v>
      </c>
    </row>
    <row r="21" spans="2:7" hidden="1">
      <c r="B21" s="10">
        <f>'Adj IS'!Q4</f>
        <v>1.1499999999999999</v>
      </c>
      <c r="D21" s="23"/>
      <c r="E21" s="23"/>
      <c r="F21" s="23"/>
      <c r="G21" s="23">
        <f t="shared" si="0"/>
        <v>0</v>
      </c>
    </row>
    <row r="22" spans="2:7" hidden="1">
      <c r="B22" s="10">
        <f>'Adj IS'!R4</f>
        <v>1.1599999999999999</v>
      </c>
      <c r="D22" s="23"/>
      <c r="E22" s="23"/>
      <c r="F22" s="23"/>
      <c r="G22" s="23">
        <f t="shared" si="0"/>
        <v>0</v>
      </c>
    </row>
    <row r="23" spans="2:7" hidden="1">
      <c r="B23" s="10">
        <f>'Adj IS'!S4</f>
        <v>1.17</v>
      </c>
      <c r="D23" s="23"/>
      <c r="E23" s="23"/>
      <c r="F23" s="23"/>
      <c r="G23" s="23">
        <f t="shared" si="0"/>
        <v>0</v>
      </c>
    </row>
    <row r="24" spans="2:7" hidden="1">
      <c r="B24" s="10">
        <f>'Adj IS'!T4</f>
        <v>1.18</v>
      </c>
      <c r="D24" s="23"/>
      <c r="E24" s="23"/>
      <c r="F24" s="23"/>
      <c r="G24" s="23">
        <f t="shared" si="0"/>
        <v>0</v>
      </c>
    </row>
    <row r="25" spans="2:7" s="95" customFormat="1" ht="21.75" customHeight="1" thickBot="1">
      <c r="B25" s="124"/>
      <c r="C25" s="125" t="s">
        <v>50</v>
      </c>
      <c r="D25" s="126">
        <f t="shared" ref="D25:F25" si="1">SUM(D7:D24)</f>
        <v>-6039567.0499999998</v>
      </c>
      <c r="E25" s="126">
        <f t="shared" si="1"/>
        <v>-5552350.887333096</v>
      </c>
      <c r="F25" s="126">
        <f t="shared" si="1"/>
        <v>-323975</v>
      </c>
      <c r="G25" s="126">
        <f>SUM(G7:G24)</f>
        <v>-811191.16266690369</v>
      </c>
    </row>
    <row r="26" spans="2:7" ht="13.8" thickTop="1">
      <c r="D26" s="33"/>
      <c r="E26" s="33"/>
      <c r="F26" s="33"/>
      <c r="G26" s="23"/>
    </row>
    <row r="27" spans="2:7">
      <c r="C27" s="11" t="s">
        <v>629</v>
      </c>
      <c r="D27" s="23">
        <f>D25-RevReq!D12</f>
        <v>0</v>
      </c>
      <c r="E27" s="23">
        <f>E25-RevReq!D30</f>
        <v>0</v>
      </c>
      <c r="F27" s="23">
        <f>F25-RevReq!D37</f>
        <v>0</v>
      </c>
      <c r="G27" s="23">
        <f>G25-RevReq!D40</f>
        <v>0</v>
      </c>
    </row>
    <row r="28" spans="2:7">
      <c r="D28" s="28"/>
      <c r="E28" s="28"/>
      <c r="F28" s="28"/>
      <c r="G28" s="28"/>
    </row>
  </sheetData>
  <mergeCells count="2">
    <mergeCell ref="A1:G1"/>
    <mergeCell ref="A2:G2"/>
  </mergeCells>
  <printOptions horizontalCentered="1"/>
  <pageMargins left="1" right="0.75" top="0.75" bottom="0.5" header="0.5" footer="0.5"/>
  <pageSetup scale="88" orientation="portrait" r:id="rId1"/>
  <headerFooter alignWithMargins="0">
    <oddFooter>&amp;RExhibit JW-2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4"/>
  <sheetViews>
    <sheetView view="pageBreakPreview" topLeftCell="A13" zoomScale="60" zoomScaleNormal="100" workbookViewId="0">
      <selection activeCell="D34" sqref="D34"/>
    </sheetView>
  </sheetViews>
  <sheetFormatPr defaultColWidth="9.109375" defaultRowHeight="14.4"/>
  <cols>
    <col min="1" max="1" width="9.109375" style="103"/>
    <col min="2" max="2" width="1.5546875" style="103" customWidth="1"/>
    <col min="3" max="3" width="38.44140625" bestFit="1" customWidth="1"/>
    <col min="4" max="4" width="15.5546875" bestFit="1" customWidth="1"/>
    <col min="5" max="5" width="16.44140625" style="137" customWidth="1"/>
    <col min="6" max="6" width="18.33203125" customWidth="1"/>
    <col min="7" max="7" width="4.5546875" customWidth="1"/>
    <col min="8" max="8" width="13.44140625" bestFit="1" customWidth="1"/>
    <col min="9" max="9" width="5.88671875" customWidth="1"/>
  </cols>
  <sheetData>
    <row r="1" spans="1:7">
      <c r="A1" s="186" t="s">
        <v>29</v>
      </c>
      <c r="B1" s="186"/>
      <c r="C1" s="186"/>
      <c r="D1" s="186"/>
      <c r="E1" s="186"/>
      <c r="F1" s="186"/>
      <c r="G1" s="36"/>
    </row>
    <row r="2" spans="1:7">
      <c r="A2" s="186" t="s">
        <v>322</v>
      </c>
      <c r="B2" s="186"/>
      <c r="C2" s="186"/>
      <c r="D2" s="186"/>
      <c r="E2" s="186"/>
      <c r="F2" s="186"/>
      <c r="G2" s="36"/>
    </row>
    <row r="3" spans="1:7">
      <c r="A3" s="36"/>
      <c r="B3" s="36"/>
      <c r="C3" s="36"/>
      <c r="D3" s="36"/>
      <c r="E3" s="134"/>
      <c r="F3" s="36"/>
      <c r="G3" s="36"/>
    </row>
    <row r="4" spans="1:7">
      <c r="A4" s="10"/>
      <c r="B4" s="10"/>
      <c r="C4" s="11"/>
      <c r="D4" s="100"/>
      <c r="E4" s="135"/>
      <c r="F4" s="100"/>
      <c r="G4" s="102"/>
    </row>
    <row r="5" spans="1:7">
      <c r="A5" s="100" t="s">
        <v>0</v>
      </c>
      <c r="B5" s="100"/>
      <c r="C5" s="100" t="s">
        <v>1</v>
      </c>
      <c r="D5" s="100" t="s">
        <v>125</v>
      </c>
      <c r="E5" s="135" t="s">
        <v>370</v>
      </c>
      <c r="F5" s="100" t="s">
        <v>128</v>
      </c>
      <c r="G5" s="102"/>
    </row>
    <row r="6" spans="1:7" s="130" customFormat="1">
      <c r="A6" s="128" t="s">
        <v>21</v>
      </c>
      <c r="B6" s="128"/>
      <c r="C6" s="129">
        <v>1</v>
      </c>
      <c r="D6" s="129">
        <f>C6+1</f>
        <v>2</v>
      </c>
      <c r="E6" s="129">
        <f>D6+1</f>
        <v>3</v>
      </c>
      <c r="F6" s="129" t="s">
        <v>25</v>
      </c>
    </row>
    <row r="7" spans="1:7">
      <c r="A7" s="10">
        <v>1</v>
      </c>
      <c r="B7" s="133" t="s">
        <v>323</v>
      </c>
      <c r="C7" s="11"/>
      <c r="D7" s="11"/>
      <c r="E7" s="25"/>
      <c r="F7" s="11"/>
    </row>
    <row r="8" spans="1:7">
      <c r="A8" s="10">
        <f>A7+1</f>
        <v>2</v>
      </c>
      <c r="B8" s="10"/>
      <c r="C8" s="11" t="s">
        <v>324</v>
      </c>
      <c r="D8" s="131">
        <v>60715193</v>
      </c>
      <c r="E8" s="131">
        <v>0</v>
      </c>
      <c r="F8" s="131">
        <f>D8+E8</f>
        <v>60715193</v>
      </c>
    </row>
    <row r="9" spans="1:7">
      <c r="A9" s="10">
        <f t="shared" ref="A9:A64" si="0">A8+1</f>
        <v>3</v>
      </c>
      <c r="B9" s="10"/>
      <c r="C9" s="11" t="s">
        <v>325</v>
      </c>
      <c r="D9" s="131">
        <v>393495</v>
      </c>
      <c r="E9" s="131">
        <v>0</v>
      </c>
      <c r="F9" s="131">
        <f>D9+E9</f>
        <v>393495</v>
      </c>
    </row>
    <row r="10" spans="1:7">
      <c r="A10" s="10">
        <f t="shared" si="0"/>
        <v>4</v>
      </c>
      <c r="B10" s="10"/>
      <c r="C10" s="11" t="s">
        <v>326</v>
      </c>
      <c r="D10" s="131">
        <f>D8+D9</f>
        <v>61108688</v>
      </c>
      <c r="E10" s="131">
        <v>0</v>
      </c>
      <c r="F10" s="131">
        <f>D10+E10</f>
        <v>61108688</v>
      </c>
    </row>
    <row r="11" spans="1:7">
      <c r="A11" s="10">
        <f t="shared" si="0"/>
        <v>5</v>
      </c>
      <c r="B11" s="10"/>
      <c r="C11" s="11" t="s">
        <v>327</v>
      </c>
      <c r="D11" s="131">
        <v>-27673092</v>
      </c>
      <c r="E11" s="131">
        <v>0</v>
      </c>
      <c r="F11" s="131">
        <f>D11+E11</f>
        <v>-27673092</v>
      </c>
    </row>
    <row r="12" spans="1:7">
      <c r="A12" s="10">
        <f t="shared" si="0"/>
        <v>6</v>
      </c>
      <c r="B12" s="10"/>
      <c r="C12" s="16" t="s">
        <v>328</v>
      </c>
      <c r="D12" s="136">
        <f>SUM(D10:D11)</f>
        <v>33435596</v>
      </c>
      <c r="E12" s="136">
        <f t="shared" ref="E12:F12" si="1">SUM(E10:E11)</f>
        <v>0</v>
      </c>
      <c r="F12" s="136">
        <f t="shared" si="1"/>
        <v>33435596</v>
      </c>
    </row>
    <row r="13" spans="1:7">
      <c r="A13" s="10">
        <f t="shared" si="0"/>
        <v>7</v>
      </c>
      <c r="B13" s="10"/>
      <c r="C13" s="11"/>
      <c r="D13" s="131"/>
      <c r="E13" s="131"/>
      <c r="F13" s="131"/>
    </row>
    <row r="14" spans="1:7">
      <c r="A14" s="10">
        <f t="shared" si="0"/>
        <v>8</v>
      </c>
      <c r="B14" s="10"/>
      <c r="C14" s="11" t="s">
        <v>329</v>
      </c>
      <c r="D14" s="131">
        <v>18184372</v>
      </c>
      <c r="E14" s="131">
        <v>0</v>
      </c>
      <c r="F14" s="131">
        <f>D14+E14</f>
        <v>18184372</v>
      </c>
    </row>
    <row r="15" spans="1:7">
      <c r="A15" s="10">
        <f t="shared" si="0"/>
        <v>9</v>
      </c>
      <c r="B15" s="10"/>
      <c r="C15" s="11" t="s">
        <v>330</v>
      </c>
      <c r="D15" s="131">
        <v>2305</v>
      </c>
      <c r="E15" s="131">
        <v>0</v>
      </c>
      <c r="F15" s="131">
        <f>D15+E15</f>
        <v>2305</v>
      </c>
    </row>
    <row r="16" spans="1:7">
      <c r="A16" s="10">
        <f t="shared" si="0"/>
        <v>10</v>
      </c>
      <c r="B16" s="10"/>
      <c r="C16" s="11" t="s">
        <v>331</v>
      </c>
      <c r="D16" s="131">
        <v>4449710</v>
      </c>
      <c r="E16" s="131">
        <v>0</v>
      </c>
      <c r="F16" s="131">
        <f>D16+E16</f>
        <v>4449710</v>
      </c>
    </row>
    <row r="17" spans="1:6">
      <c r="A17" s="10">
        <f t="shared" si="0"/>
        <v>11</v>
      </c>
      <c r="B17" s="10"/>
      <c r="C17" s="11" t="s">
        <v>332</v>
      </c>
      <c r="D17" s="131">
        <v>500</v>
      </c>
      <c r="E17" s="131">
        <v>0</v>
      </c>
      <c r="F17" s="131">
        <f>D17+E17</f>
        <v>500</v>
      </c>
    </row>
    <row r="18" spans="1:6">
      <c r="A18" s="10">
        <f t="shared" si="0"/>
        <v>12</v>
      </c>
      <c r="B18" s="10"/>
      <c r="C18" s="16" t="s">
        <v>333</v>
      </c>
      <c r="D18" s="136">
        <f>SUM(D14:D17)</f>
        <v>22636887</v>
      </c>
      <c r="E18" s="136">
        <f t="shared" ref="E18:F18" si="2">SUM(E14:E17)</f>
        <v>0</v>
      </c>
      <c r="F18" s="136">
        <f t="shared" si="2"/>
        <v>22636887</v>
      </c>
    </row>
    <row r="19" spans="1:6">
      <c r="A19" s="10">
        <f t="shared" si="0"/>
        <v>13</v>
      </c>
      <c r="B19" s="10"/>
      <c r="C19" s="11"/>
      <c r="D19" s="131"/>
      <c r="E19" s="131"/>
      <c r="F19" s="131"/>
    </row>
    <row r="20" spans="1:6">
      <c r="A20" s="10">
        <f t="shared" si="0"/>
        <v>14</v>
      </c>
      <c r="B20" s="10"/>
      <c r="C20" s="11" t="s">
        <v>334</v>
      </c>
      <c r="D20" s="131">
        <v>987440</v>
      </c>
      <c r="E20" s="131">
        <v>0</v>
      </c>
      <c r="F20" s="131">
        <f t="shared" ref="F20:F29" si="3">D20+E20</f>
        <v>987440</v>
      </c>
    </row>
    <row r="21" spans="1:6">
      <c r="A21" s="10">
        <f t="shared" si="0"/>
        <v>15</v>
      </c>
      <c r="B21" s="10"/>
      <c r="C21" s="11" t="s">
        <v>335</v>
      </c>
      <c r="D21" s="131">
        <v>0</v>
      </c>
      <c r="E21" s="131">
        <v>0</v>
      </c>
      <c r="F21" s="131">
        <f t="shared" si="3"/>
        <v>0</v>
      </c>
    </row>
    <row r="22" spans="1:6">
      <c r="A22" s="10">
        <f t="shared" si="0"/>
        <v>16</v>
      </c>
      <c r="B22" s="10"/>
      <c r="C22" s="11" t="s">
        <v>336</v>
      </c>
      <c r="D22" s="131">
        <v>120</v>
      </c>
      <c r="E22" s="131">
        <v>0</v>
      </c>
      <c r="F22" s="131">
        <f t="shared" si="3"/>
        <v>120</v>
      </c>
    </row>
    <row r="23" spans="1:6">
      <c r="A23" s="10">
        <f t="shared" si="0"/>
        <v>17</v>
      </c>
      <c r="B23" s="10"/>
      <c r="C23" s="11" t="s">
        <v>337</v>
      </c>
      <c r="D23" s="131">
        <v>3191</v>
      </c>
      <c r="E23" s="131">
        <v>0</v>
      </c>
      <c r="F23" s="131">
        <f t="shared" si="3"/>
        <v>3191</v>
      </c>
    </row>
    <row r="24" spans="1:6">
      <c r="A24" s="10">
        <f t="shared" si="0"/>
        <v>18</v>
      </c>
      <c r="B24" s="10"/>
      <c r="C24" s="11" t="s">
        <v>339</v>
      </c>
      <c r="D24" s="131">
        <v>3169635</v>
      </c>
      <c r="E24" s="131">
        <v>0</v>
      </c>
      <c r="F24" s="131">
        <f t="shared" si="3"/>
        <v>3169635</v>
      </c>
    </row>
    <row r="25" spans="1:6">
      <c r="A25" s="10">
        <f t="shared" si="0"/>
        <v>19</v>
      </c>
      <c r="B25" s="10"/>
      <c r="C25" s="11" t="s">
        <v>338</v>
      </c>
      <c r="D25" s="131">
        <v>2520464</v>
      </c>
      <c r="E25" s="131">
        <v>0</v>
      </c>
      <c r="F25" s="131">
        <f t="shared" si="3"/>
        <v>2520464</v>
      </c>
    </row>
    <row r="26" spans="1:6">
      <c r="A26" s="10">
        <f t="shared" si="0"/>
        <v>20</v>
      </c>
      <c r="B26" s="10"/>
      <c r="C26" s="11" t="s">
        <v>340</v>
      </c>
      <c r="D26" s="138">
        <v>0</v>
      </c>
      <c r="E26" s="131">
        <v>0</v>
      </c>
      <c r="F26" s="131">
        <f t="shared" si="3"/>
        <v>0</v>
      </c>
    </row>
    <row r="27" spans="1:6">
      <c r="A27" s="10">
        <f t="shared" si="0"/>
        <v>21</v>
      </c>
      <c r="B27" s="10"/>
      <c r="C27" s="11" t="s">
        <v>341</v>
      </c>
      <c r="D27" s="131">
        <v>474246</v>
      </c>
      <c r="E27" s="131">
        <v>0</v>
      </c>
      <c r="F27" s="131">
        <f t="shared" si="3"/>
        <v>474246</v>
      </c>
    </row>
    <row r="28" spans="1:6">
      <c r="A28" s="10">
        <f t="shared" si="0"/>
        <v>22</v>
      </c>
      <c r="B28" s="10"/>
      <c r="C28" s="11" t="s">
        <v>342</v>
      </c>
      <c r="D28" s="131">
        <v>22480</v>
      </c>
      <c r="E28" s="131">
        <v>0</v>
      </c>
      <c r="F28" s="131">
        <f t="shared" si="3"/>
        <v>22480</v>
      </c>
    </row>
    <row r="29" spans="1:6">
      <c r="A29" s="10">
        <f t="shared" si="0"/>
        <v>23</v>
      </c>
      <c r="B29" s="10"/>
      <c r="C29" s="11" t="s">
        <v>343</v>
      </c>
      <c r="D29" s="131">
        <v>36793</v>
      </c>
      <c r="E29" s="131">
        <v>0</v>
      </c>
      <c r="F29" s="131">
        <f t="shared" si="3"/>
        <v>36793</v>
      </c>
    </row>
    <row r="30" spans="1:6">
      <c r="A30" s="10">
        <f t="shared" si="0"/>
        <v>24</v>
      </c>
      <c r="B30" s="10"/>
      <c r="C30" s="16" t="s">
        <v>344</v>
      </c>
      <c r="D30" s="136">
        <f>SUM(D20:D29)</f>
        <v>7214369</v>
      </c>
      <c r="E30" s="136">
        <f t="shared" ref="E30:F30" si="4">SUM(E20:E29)</f>
        <v>0</v>
      </c>
      <c r="F30" s="136">
        <f t="shared" si="4"/>
        <v>7214369</v>
      </c>
    </row>
    <row r="31" spans="1:6">
      <c r="A31" s="10">
        <f t="shared" si="0"/>
        <v>25</v>
      </c>
      <c r="B31" s="10"/>
      <c r="C31" s="11"/>
      <c r="D31" s="131"/>
      <c r="E31" s="131"/>
      <c r="F31" s="131"/>
    </row>
    <row r="32" spans="1:6">
      <c r="A32" s="10">
        <f t="shared" si="0"/>
        <v>26</v>
      </c>
      <c r="B32" s="10"/>
      <c r="C32" s="11" t="s">
        <v>345</v>
      </c>
      <c r="D32" s="131">
        <v>0</v>
      </c>
      <c r="E32" s="131">
        <v>0</v>
      </c>
      <c r="F32" s="131">
        <f>D32+E32</f>
        <v>0</v>
      </c>
    </row>
    <row r="33" spans="1:6">
      <c r="A33" s="10">
        <f t="shared" si="0"/>
        <v>27</v>
      </c>
      <c r="B33" s="10"/>
      <c r="C33" s="11" t="s">
        <v>346</v>
      </c>
      <c r="D33" s="131">
        <v>1003949</v>
      </c>
      <c r="E33" s="131">
        <v>0</v>
      </c>
      <c r="F33" s="131">
        <f>D33+E33</f>
        <v>1003949</v>
      </c>
    </row>
    <row r="34" spans="1:6">
      <c r="A34" s="10">
        <f t="shared" si="0"/>
        <v>28</v>
      </c>
      <c r="B34" s="10"/>
      <c r="C34" s="11"/>
      <c r="D34" s="25"/>
      <c r="E34" s="131"/>
      <c r="F34" s="131"/>
    </row>
    <row r="35" spans="1:6" ht="15" thickBot="1">
      <c r="A35" s="10">
        <f t="shared" si="0"/>
        <v>29</v>
      </c>
      <c r="B35" s="10"/>
      <c r="C35" s="20" t="s">
        <v>347</v>
      </c>
      <c r="D35" s="140">
        <f>D33+D32+D30+D18+D12</f>
        <v>64290801</v>
      </c>
      <c r="E35" s="140">
        <f t="shared" ref="E35:F35" si="5">E33+E32+E30+E18+E12</f>
        <v>0</v>
      </c>
      <c r="F35" s="140">
        <f t="shared" si="5"/>
        <v>64290801</v>
      </c>
    </row>
    <row r="36" spans="1:6" ht="15" thickTop="1">
      <c r="A36" s="10">
        <f t="shared" si="0"/>
        <v>30</v>
      </c>
      <c r="B36" s="10"/>
      <c r="C36" s="11"/>
      <c r="D36" s="139"/>
      <c r="E36" s="131"/>
      <c r="F36" s="131"/>
    </row>
    <row r="37" spans="1:6">
      <c r="A37" s="10">
        <f t="shared" si="0"/>
        <v>31</v>
      </c>
      <c r="B37" s="132" t="s">
        <v>348</v>
      </c>
      <c r="C37" s="11"/>
      <c r="D37" s="131"/>
      <c r="E37" s="131"/>
      <c r="F37" s="131"/>
    </row>
    <row r="38" spans="1:6">
      <c r="A38" s="10">
        <f t="shared" si="0"/>
        <v>32</v>
      </c>
      <c r="B38" s="10"/>
      <c r="C38" s="11" t="s">
        <v>349</v>
      </c>
      <c r="D38" s="131">
        <v>225835</v>
      </c>
      <c r="E38" s="25">
        <v>0</v>
      </c>
      <c r="F38" s="131">
        <f>D38+E38</f>
        <v>225835</v>
      </c>
    </row>
    <row r="39" spans="1:6">
      <c r="A39" s="10">
        <f t="shared" si="0"/>
        <v>33</v>
      </c>
      <c r="B39" s="10"/>
      <c r="C39" s="11" t="s">
        <v>350</v>
      </c>
      <c r="D39" s="131">
        <v>29816389</v>
      </c>
      <c r="E39" s="131">
        <v>0</v>
      </c>
      <c r="F39" s="131">
        <f>D39+E39</f>
        <v>29816389</v>
      </c>
    </row>
    <row r="40" spans="1:6">
      <c r="A40" s="10">
        <f t="shared" si="0"/>
        <v>34</v>
      </c>
      <c r="B40" s="10"/>
      <c r="C40" s="11" t="s">
        <v>351</v>
      </c>
      <c r="D40" s="131">
        <v>423920</v>
      </c>
      <c r="E40" s="131">
        <v>0</v>
      </c>
      <c r="F40" s="131">
        <f>D40+E40</f>
        <v>423920</v>
      </c>
    </row>
    <row r="41" spans="1:6">
      <c r="A41" s="10">
        <f t="shared" si="0"/>
        <v>35</v>
      </c>
      <c r="B41" s="10"/>
      <c r="C41" s="11" t="s">
        <v>352</v>
      </c>
      <c r="D41" s="131">
        <v>0</v>
      </c>
      <c r="E41" s="131">
        <v>0</v>
      </c>
      <c r="F41" s="131">
        <f>D41+E41</f>
        <v>0</v>
      </c>
    </row>
    <row r="42" spans="1:6">
      <c r="A42" s="10">
        <f t="shared" si="0"/>
        <v>36</v>
      </c>
      <c r="B42" s="10"/>
      <c r="C42" s="11" t="s">
        <v>353</v>
      </c>
      <c r="D42" s="131">
        <v>-1034374</v>
      </c>
      <c r="E42" s="131">
        <v>0</v>
      </c>
      <c r="F42" s="131">
        <f>D42+E42</f>
        <v>-1034374</v>
      </c>
    </row>
    <row r="43" spans="1:6">
      <c r="A43" s="10">
        <f t="shared" si="0"/>
        <v>37</v>
      </c>
      <c r="B43" s="10"/>
      <c r="C43" s="16" t="s">
        <v>354</v>
      </c>
      <c r="D43" s="136">
        <f>SUM(D38:D42)</f>
        <v>29431770</v>
      </c>
      <c r="E43" s="136">
        <f t="shared" ref="E43:F43" si="6">SUM(E38:E42)</f>
        <v>0</v>
      </c>
      <c r="F43" s="136">
        <f t="shared" si="6"/>
        <v>29431770</v>
      </c>
    </row>
    <row r="44" spans="1:6">
      <c r="A44" s="10">
        <f t="shared" si="0"/>
        <v>38</v>
      </c>
      <c r="B44" s="10"/>
      <c r="C44" s="11"/>
      <c r="D44" s="131"/>
      <c r="E44" s="131"/>
      <c r="F44" s="131"/>
    </row>
    <row r="45" spans="1:6">
      <c r="A45" s="10">
        <f t="shared" si="0"/>
        <v>39</v>
      </c>
      <c r="B45" s="10"/>
      <c r="C45" s="11" t="s">
        <v>355</v>
      </c>
      <c r="D45" s="139">
        <v>826898</v>
      </c>
      <c r="E45" s="131">
        <v>0</v>
      </c>
      <c r="F45" s="131">
        <f>D45+E45</f>
        <v>826898</v>
      </c>
    </row>
    <row r="46" spans="1:6">
      <c r="A46" s="10">
        <f t="shared" si="0"/>
        <v>40</v>
      </c>
      <c r="B46" s="10"/>
      <c r="C46" s="11" t="s">
        <v>356</v>
      </c>
      <c r="D46" s="139">
        <v>17553492</v>
      </c>
      <c r="E46" s="131">
        <v>0</v>
      </c>
      <c r="F46" s="131">
        <f>D46+E46</f>
        <v>17553492</v>
      </c>
    </row>
    <row r="47" spans="1:6">
      <c r="A47" s="10">
        <f t="shared" si="0"/>
        <v>41</v>
      </c>
      <c r="B47" s="10"/>
      <c r="C47" s="11" t="s">
        <v>357</v>
      </c>
      <c r="D47" s="139">
        <v>0</v>
      </c>
      <c r="E47" s="131">
        <v>0</v>
      </c>
      <c r="F47" s="131">
        <f>D47+E47</f>
        <v>0</v>
      </c>
    </row>
    <row r="48" spans="1:6">
      <c r="A48" s="10">
        <f t="shared" si="0"/>
        <v>42</v>
      </c>
      <c r="B48" s="10"/>
      <c r="C48" s="11" t="s">
        <v>358</v>
      </c>
      <c r="D48" s="139">
        <v>4642508</v>
      </c>
      <c r="E48" s="131">
        <v>0</v>
      </c>
      <c r="F48" s="131">
        <f>D48+E48</f>
        <v>4642508</v>
      </c>
    </row>
    <row r="49" spans="1:6">
      <c r="A49" s="10">
        <f t="shared" si="0"/>
        <v>43</v>
      </c>
      <c r="B49" s="10"/>
      <c r="C49" s="11" t="s">
        <v>359</v>
      </c>
      <c r="D49" s="139">
        <v>0</v>
      </c>
      <c r="E49" s="131">
        <v>0</v>
      </c>
      <c r="F49" s="131">
        <f>D49+E49</f>
        <v>0</v>
      </c>
    </row>
    <row r="50" spans="1:6">
      <c r="A50" s="10">
        <f t="shared" si="0"/>
        <v>44</v>
      </c>
      <c r="B50" s="10"/>
      <c r="C50" s="16" t="s">
        <v>360</v>
      </c>
      <c r="D50" s="136">
        <f>SUM(D45:D49)</f>
        <v>23022898</v>
      </c>
      <c r="E50" s="136">
        <f t="shared" ref="E50:F50" si="7">SUM(E45:E49)</f>
        <v>0</v>
      </c>
      <c r="F50" s="136">
        <f t="shared" si="7"/>
        <v>23022898</v>
      </c>
    </row>
    <row r="51" spans="1:6">
      <c r="A51" s="10">
        <f t="shared" si="0"/>
        <v>45</v>
      </c>
      <c r="B51" s="10"/>
      <c r="C51" s="11"/>
      <c r="D51" s="131"/>
      <c r="E51" s="131"/>
      <c r="F51" s="131"/>
    </row>
    <row r="52" spans="1:6">
      <c r="A52" s="10">
        <f t="shared" si="0"/>
        <v>46</v>
      </c>
      <c r="B52" s="10"/>
      <c r="C52" s="11" t="s">
        <v>361</v>
      </c>
      <c r="D52" s="131">
        <v>4276820</v>
      </c>
      <c r="E52" s="131">
        <v>0</v>
      </c>
      <c r="F52" s="131">
        <f>D52+E52</f>
        <v>4276820</v>
      </c>
    </row>
    <row r="53" spans="1:6">
      <c r="A53" s="10">
        <f t="shared" si="0"/>
        <v>47</v>
      </c>
      <c r="B53" s="10"/>
      <c r="C53" s="11"/>
      <c r="D53" s="131"/>
      <c r="E53" s="131"/>
      <c r="F53" s="131"/>
    </row>
    <row r="54" spans="1:6">
      <c r="A54" s="10">
        <f t="shared" si="0"/>
        <v>48</v>
      </c>
      <c r="B54" s="10"/>
      <c r="C54" s="11" t="s">
        <v>362</v>
      </c>
      <c r="D54" s="131">
        <v>1962924</v>
      </c>
      <c r="E54" s="131">
        <v>0</v>
      </c>
      <c r="F54" s="131">
        <f>D54+E54</f>
        <v>1962924</v>
      </c>
    </row>
    <row r="55" spans="1:6">
      <c r="A55" s="10">
        <f t="shared" si="0"/>
        <v>49</v>
      </c>
      <c r="B55" s="10"/>
      <c r="C55" s="11" t="s">
        <v>363</v>
      </c>
      <c r="D55" s="131">
        <v>3170839</v>
      </c>
      <c r="E55" s="131">
        <v>0</v>
      </c>
      <c r="F55" s="131">
        <f>D55+E55</f>
        <v>3170839</v>
      </c>
    </row>
    <row r="56" spans="1:6">
      <c r="A56" s="10">
        <f t="shared" si="0"/>
        <v>50</v>
      </c>
      <c r="B56" s="10"/>
      <c r="C56" s="11" t="s">
        <v>364</v>
      </c>
      <c r="D56" s="131">
        <v>709350</v>
      </c>
      <c r="E56" s="131">
        <v>0</v>
      </c>
      <c r="F56" s="131">
        <f>D56+E56</f>
        <v>709350</v>
      </c>
    </row>
    <row r="57" spans="1:6">
      <c r="A57" s="10">
        <f t="shared" si="0"/>
        <v>51</v>
      </c>
      <c r="B57" s="10"/>
      <c r="C57" s="11" t="s">
        <v>614</v>
      </c>
      <c r="D57" s="131">
        <v>1086424</v>
      </c>
      <c r="E57" s="131">
        <v>0</v>
      </c>
      <c r="F57" s="131">
        <f>D57+E57</f>
        <v>1086424</v>
      </c>
    </row>
    <row r="58" spans="1:6">
      <c r="A58" s="10">
        <f t="shared" si="0"/>
        <v>52</v>
      </c>
      <c r="B58" s="10"/>
      <c r="C58" s="11" t="s">
        <v>365</v>
      </c>
      <c r="D58" s="131">
        <v>628480</v>
      </c>
      <c r="E58" s="131">
        <v>0</v>
      </c>
      <c r="F58" s="131">
        <f>D58+E58</f>
        <v>628480</v>
      </c>
    </row>
    <row r="59" spans="1:6">
      <c r="A59" s="10">
        <f t="shared" si="0"/>
        <v>53</v>
      </c>
      <c r="B59" s="10"/>
      <c r="C59" s="16" t="s">
        <v>366</v>
      </c>
      <c r="D59" s="136">
        <f>SUM(D54:D58)</f>
        <v>7558017</v>
      </c>
      <c r="E59" s="136">
        <f t="shared" ref="E59:F59" si="8">SUM(E54:E58)</f>
        <v>0</v>
      </c>
      <c r="F59" s="136">
        <f t="shared" si="8"/>
        <v>7558017</v>
      </c>
    </row>
    <row r="60" spans="1:6">
      <c r="A60" s="10">
        <f t="shared" si="0"/>
        <v>54</v>
      </c>
      <c r="B60" s="10"/>
      <c r="C60" s="11"/>
      <c r="D60" s="131"/>
      <c r="E60" s="131"/>
      <c r="F60" s="131"/>
    </row>
    <row r="61" spans="1:6">
      <c r="A61" s="10">
        <f t="shared" si="0"/>
        <v>55</v>
      </c>
      <c r="B61" s="10"/>
      <c r="C61" s="11" t="s">
        <v>367</v>
      </c>
      <c r="D61" s="131">
        <v>0</v>
      </c>
      <c r="E61" s="131">
        <v>0</v>
      </c>
      <c r="F61" s="131">
        <f>D61+E61</f>
        <v>0</v>
      </c>
    </row>
    <row r="62" spans="1:6">
      <c r="A62" s="10">
        <f t="shared" si="0"/>
        <v>56</v>
      </c>
      <c r="B62" s="10"/>
      <c r="C62" s="11" t="s">
        <v>368</v>
      </c>
      <c r="D62" s="131">
        <v>1296</v>
      </c>
      <c r="E62" s="131">
        <v>0</v>
      </c>
      <c r="F62" s="131">
        <f>D62+E62</f>
        <v>1296</v>
      </c>
    </row>
    <row r="63" spans="1:6" ht="15" thickBot="1">
      <c r="A63" s="10">
        <f t="shared" si="0"/>
        <v>57</v>
      </c>
      <c r="B63" s="10"/>
      <c r="C63" s="20" t="s">
        <v>369</v>
      </c>
      <c r="D63" s="140">
        <f>D62+D61+D59+D52+D50+D43</f>
        <v>64290801</v>
      </c>
      <c r="E63" s="140">
        <f t="shared" ref="E63:F63" si="9">E62+E61+E59+E52+E50+E43</f>
        <v>0</v>
      </c>
      <c r="F63" s="140">
        <f t="shared" si="9"/>
        <v>64290801</v>
      </c>
    </row>
    <row r="64" spans="1:6" ht="15" thickTop="1">
      <c r="A64" s="10">
        <f t="shared" si="0"/>
        <v>58</v>
      </c>
      <c r="B64" s="10"/>
      <c r="C64" s="11"/>
      <c r="D64" s="131"/>
      <c r="E64" s="131"/>
      <c r="F64" s="131"/>
    </row>
  </sheetData>
  <mergeCells count="2">
    <mergeCell ref="A1:F1"/>
    <mergeCell ref="A2:F2"/>
  </mergeCells>
  <printOptions horizontalCentered="1"/>
  <pageMargins left="1" right="0.75" top="0.75" bottom="0.75" header="0.3" footer="0.3"/>
  <pageSetup scale="73" orientation="portrait" r:id="rId1"/>
  <headerFooter>
    <oddFooter>&amp;RExhibit  JW-2
Page &amp;P of &amp;N</oddFooter>
  </headerFooter>
  <ignoredErrors>
    <ignoredError sqref="E12" formulaRange="1"/>
    <ignoredError sqref="F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AH149"/>
  <sheetViews>
    <sheetView defaultGridColor="0" view="pageBreakPreview" topLeftCell="A14" colorId="22" zoomScale="60" zoomScaleNormal="87" workbookViewId="0">
      <selection activeCell="Z18" sqref="Z18"/>
    </sheetView>
  </sheetViews>
  <sheetFormatPr defaultColWidth="12.5546875" defaultRowHeight="13.8"/>
  <cols>
    <col min="1" max="1" width="6.109375" style="109" customWidth="1"/>
    <col min="2" max="2" width="33.109375" style="107" customWidth="1"/>
    <col min="3" max="3" width="13.109375" style="107" customWidth="1"/>
    <col min="4" max="4" width="15.6640625" style="107" customWidth="1"/>
    <col min="5" max="5" width="13" style="107" bestFit="1" customWidth="1"/>
    <col min="6" max="6" width="10.77734375" style="107" customWidth="1"/>
    <col min="7" max="7" width="12.21875" style="107" customWidth="1"/>
    <col min="8" max="8" width="11.44140625" style="107" bestFit="1" customWidth="1"/>
    <col min="9" max="9" width="12.44140625" style="107" customWidth="1"/>
    <col min="10" max="10" width="12.88671875" style="107" bestFit="1" customWidth="1"/>
    <col min="11" max="11" width="9.6640625" style="107" bestFit="1" customWidth="1"/>
    <col min="12" max="12" width="14.6640625" style="107" bestFit="1" customWidth="1"/>
    <col min="13" max="13" width="11.109375" style="107" bestFit="1" customWidth="1"/>
    <col min="14" max="14" width="10" style="107" hidden="1" customWidth="1"/>
    <col min="15" max="15" width="11.88671875" style="107" hidden="1" customWidth="1"/>
    <col min="16" max="16" width="13.33203125" style="107" hidden="1" customWidth="1"/>
    <col min="17" max="17" width="12" style="107" hidden="1" customWidth="1"/>
    <col min="18" max="18" width="14.44140625" style="107" hidden="1" customWidth="1"/>
    <col min="19" max="19" width="11.44140625" style="107" hidden="1" customWidth="1"/>
    <col min="20" max="20" width="11.33203125" style="107" hidden="1" customWidth="1"/>
    <col min="21" max="21" width="11.88671875" style="107" bestFit="1" customWidth="1"/>
    <col min="22" max="22" width="3.5546875" style="107" customWidth="1"/>
    <col min="23" max="23" width="15.5546875" style="107" bestFit="1" customWidth="1"/>
    <col min="24" max="24" width="12.6640625" style="107" bestFit="1" customWidth="1"/>
    <col min="25" max="16384" width="12.5546875" style="107"/>
  </cols>
  <sheetData>
    <row r="1" spans="1:34">
      <c r="A1" s="108"/>
      <c r="B1" s="122" t="s">
        <v>29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5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</row>
    <row r="2" spans="1:34">
      <c r="A2" s="108"/>
      <c r="B2" s="122" t="s">
        <v>321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5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s="109" customForma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</row>
    <row r="4" spans="1:34">
      <c r="A4" s="108"/>
      <c r="B4" s="105" t="s">
        <v>318</v>
      </c>
      <c r="C4" s="108">
        <v>1.01</v>
      </c>
      <c r="D4" s="108">
        <v>1.02</v>
      </c>
      <c r="E4" s="108">
        <v>1.03</v>
      </c>
      <c r="F4" s="108">
        <v>1.04</v>
      </c>
      <c r="G4" s="108">
        <v>1.05</v>
      </c>
      <c r="H4" s="108">
        <v>1.06</v>
      </c>
      <c r="I4" s="108">
        <v>1.07</v>
      </c>
      <c r="J4" s="108">
        <v>1.08</v>
      </c>
      <c r="K4" s="108">
        <v>1.0900000000000001</v>
      </c>
      <c r="L4" s="110">
        <v>1.1000000000000001</v>
      </c>
      <c r="M4" s="108">
        <v>1.1100000000000001</v>
      </c>
      <c r="N4" s="108">
        <v>1.1200000000000001</v>
      </c>
      <c r="O4" s="108">
        <v>1.1299999999999999</v>
      </c>
      <c r="P4" s="108">
        <v>1.1399999999999999</v>
      </c>
      <c r="Q4" s="108">
        <v>1.1499999999999999</v>
      </c>
      <c r="R4" s="108">
        <v>1.1599999999999999</v>
      </c>
      <c r="S4" s="108">
        <v>1.17</v>
      </c>
      <c r="T4" s="108">
        <v>1.18</v>
      </c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</row>
    <row r="5" spans="1:34">
      <c r="A5" s="108"/>
      <c r="B5" s="106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11"/>
      <c r="R5" s="111"/>
      <c r="S5" s="108"/>
      <c r="T5" s="108"/>
      <c r="U5" s="108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</row>
    <row r="6" spans="1:34" s="113" customFormat="1" ht="41.4">
      <c r="A6" s="112"/>
      <c r="B6" s="123" t="s">
        <v>319</v>
      </c>
      <c r="C6" s="112" t="str">
        <f>'Adj List'!C7</f>
        <v>Fuel Adjustment Clause</v>
      </c>
      <c r="D6" s="112" t="str">
        <f>'Adj List'!C8</f>
        <v>Environmental Surcharge</v>
      </c>
      <c r="E6" s="112" t="str">
        <f>'Adj List'!C9</f>
        <v>Depreciation Expense</v>
      </c>
      <c r="F6" s="112" t="str">
        <f>'Adj List'!C10</f>
        <v>G&amp;T Capital Credits</v>
      </c>
      <c r="G6" s="112" t="str">
        <f>'Adj List'!C11</f>
        <v>Year-End Customers</v>
      </c>
      <c r="H6" s="112" t="str">
        <f>'Adj List'!C12</f>
        <v>Rate Case Expenses</v>
      </c>
      <c r="I6" s="112" t="str">
        <f>'Adj List'!C13</f>
        <v>Donations &amp; Promotional Advertising</v>
      </c>
      <c r="J6" s="112" t="str">
        <f>'Adj List'!C14</f>
        <v>Professional Services</v>
      </c>
      <c r="K6" s="112" t="str">
        <f>'Adj List'!C15</f>
        <v>Directors Fees</v>
      </c>
      <c r="L6" s="112" t="str">
        <f>'Adj List'!C16</f>
        <v>Wages &amp; Salaries</v>
      </c>
      <c r="M6" s="112" t="str">
        <f>'Adj List'!C17</f>
        <v>Life Insurance</v>
      </c>
      <c r="N6" s="112">
        <f>'Adj List'!C18</f>
        <v>0</v>
      </c>
      <c r="O6" s="112">
        <f>'Adj List'!C19</f>
        <v>0</v>
      </c>
      <c r="P6" s="112">
        <f>'Adj List'!C20</f>
        <v>0</v>
      </c>
      <c r="Q6" s="112">
        <f>'Adj List'!C21</f>
        <v>0</v>
      </c>
      <c r="R6" s="112">
        <f>'Adj List'!C22</f>
        <v>0</v>
      </c>
      <c r="S6" s="112">
        <f>'Adj List'!C23</f>
        <v>0</v>
      </c>
      <c r="T6" s="112">
        <f>'Adj List'!C24</f>
        <v>0</v>
      </c>
      <c r="U6" s="112" t="s">
        <v>14</v>
      </c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</row>
    <row r="7" spans="1:34">
      <c r="A7" s="108">
        <v>1</v>
      </c>
      <c r="B7" s="106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106"/>
      <c r="W7" s="106"/>
      <c r="X7" s="106"/>
      <c r="Y7" s="87"/>
      <c r="Z7" s="87"/>
      <c r="AA7" s="87"/>
      <c r="AB7" s="87"/>
      <c r="AC7" s="87"/>
      <c r="AD7" s="87"/>
      <c r="AE7" s="87"/>
      <c r="AF7" s="87"/>
      <c r="AG7" s="87"/>
      <c r="AH7" s="106"/>
    </row>
    <row r="8" spans="1:34">
      <c r="A8" s="108">
        <f t="shared" ref="A8:A41" si="0">(A7+1)</f>
        <v>2</v>
      </c>
      <c r="B8" s="114" t="s">
        <v>107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106"/>
      <c r="W8" s="106"/>
      <c r="X8" s="106"/>
      <c r="Y8" s="87"/>
      <c r="Z8" s="87"/>
      <c r="AA8" s="87"/>
      <c r="AB8" s="87"/>
      <c r="AC8" s="87"/>
      <c r="AD8" s="87"/>
      <c r="AE8" s="87"/>
      <c r="AF8" s="87"/>
      <c r="AG8" s="87"/>
      <c r="AH8" s="106"/>
    </row>
    <row r="9" spans="1:34">
      <c r="A9" s="108">
        <f t="shared" si="0"/>
        <v>3</v>
      </c>
      <c r="B9" s="106" t="s">
        <v>116</v>
      </c>
      <c r="C9" s="87">
        <f>'Adj List'!D7</f>
        <v>-3386805.33</v>
      </c>
      <c r="D9" s="87">
        <f>'Adj List'!D8</f>
        <v>-2537411.66</v>
      </c>
      <c r="E9" s="87"/>
      <c r="F9" s="87"/>
      <c r="G9" s="87">
        <f>'Adj List'!D11</f>
        <v>-115350.06</v>
      </c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>
        <f>SUM(C9:T9)</f>
        <v>-6039567.0499999998</v>
      </c>
      <c r="V9" s="106"/>
      <c r="W9" s="106"/>
      <c r="X9" s="106"/>
      <c r="Y9" s="87"/>
      <c r="Z9" s="87"/>
      <c r="AA9" s="87"/>
      <c r="AB9" s="87"/>
      <c r="AC9" s="87"/>
      <c r="AD9" s="87"/>
      <c r="AE9" s="87"/>
      <c r="AF9" s="87"/>
      <c r="AG9" s="87"/>
      <c r="AH9" s="106"/>
    </row>
    <row r="10" spans="1:34">
      <c r="A10" s="108">
        <f t="shared" si="0"/>
        <v>4</v>
      </c>
      <c r="B10" s="106" t="s">
        <v>117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>
        <f t="shared" ref="U10:U45" si="1">SUM(C10:T10)</f>
        <v>0</v>
      </c>
      <c r="V10" s="106"/>
      <c r="W10" s="115"/>
      <c r="X10" s="115"/>
      <c r="Y10" s="87"/>
      <c r="Z10" s="87"/>
      <c r="AA10" s="87"/>
      <c r="AB10" s="87"/>
      <c r="AC10" s="87"/>
      <c r="AD10" s="87"/>
      <c r="AE10" s="87"/>
      <c r="AF10" s="87"/>
      <c r="AG10" s="87"/>
      <c r="AH10" s="106"/>
    </row>
    <row r="11" spans="1:34">
      <c r="A11" s="108">
        <f t="shared" si="0"/>
        <v>5</v>
      </c>
      <c r="B11" s="106" t="s">
        <v>118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16">
        <f t="shared" si="1"/>
        <v>0</v>
      </c>
      <c r="V11" s="106"/>
      <c r="W11" s="106"/>
      <c r="X11" s="106"/>
      <c r="Y11" s="87"/>
      <c r="Z11" s="87"/>
      <c r="AA11" s="87"/>
      <c r="AB11" s="87"/>
      <c r="AC11" s="87"/>
      <c r="AD11" s="87"/>
      <c r="AE11" s="87"/>
      <c r="AF11" s="87"/>
      <c r="AG11" s="87"/>
      <c r="AH11" s="106"/>
    </row>
    <row r="12" spans="1:34">
      <c r="A12" s="108">
        <f t="shared" si="0"/>
        <v>6</v>
      </c>
      <c r="B12" s="117" t="s">
        <v>110</v>
      </c>
      <c r="C12" s="118">
        <f t="shared" ref="C12:S12" si="2">SUM(C7:C11)</f>
        <v>-3386805.33</v>
      </c>
      <c r="D12" s="118">
        <f t="shared" si="2"/>
        <v>-2537411.66</v>
      </c>
      <c r="E12" s="118">
        <f t="shared" si="2"/>
        <v>0</v>
      </c>
      <c r="F12" s="118">
        <f t="shared" si="2"/>
        <v>0</v>
      </c>
      <c r="G12" s="118">
        <f t="shared" si="2"/>
        <v>-115350.06</v>
      </c>
      <c r="H12" s="118">
        <f t="shared" si="2"/>
        <v>0</v>
      </c>
      <c r="I12" s="118">
        <f t="shared" si="2"/>
        <v>0</v>
      </c>
      <c r="J12" s="118">
        <f t="shared" si="2"/>
        <v>0</v>
      </c>
      <c r="K12" s="118">
        <f t="shared" si="2"/>
        <v>0</v>
      </c>
      <c r="L12" s="118">
        <f t="shared" si="2"/>
        <v>0</v>
      </c>
      <c r="M12" s="118">
        <f t="shared" si="2"/>
        <v>0</v>
      </c>
      <c r="N12" s="118">
        <f t="shared" si="2"/>
        <v>0</v>
      </c>
      <c r="O12" s="118">
        <f t="shared" si="2"/>
        <v>0</v>
      </c>
      <c r="P12" s="118">
        <f t="shared" si="2"/>
        <v>0</v>
      </c>
      <c r="Q12" s="118">
        <f t="shared" si="2"/>
        <v>0</v>
      </c>
      <c r="R12" s="118">
        <f t="shared" si="2"/>
        <v>0</v>
      </c>
      <c r="S12" s="118">
        <f t="shared" si="2"/>
        <v>0</v>
      </c>
      <c r="T12" s="118"/>
      <c r="U12" s="118">
        <f t="shared" si="1"/>
        <v>-6039567.0499999998</v>
      </c>
      <c r="V12" s="106"/>
      <c r="W12" s="87">
        <f>U12-RevReq!D12</f>
        <v>0</v>
      </c>
      <c r="X12" s="106"/>
      <c r="Y12" s="87"/>
      <c r="Z12" s="87"/>
      <c r="AA12" s="87"/>
      <c r="AB12" s="87"/>
      <c r="AC12" s="87"/>
      <c r="AD12" s="87"/>
      <c r="AE12" s="87"/>
      <c r="AF12" s="87"/>
      <c r="AG12" s="87"/>
      <c r="AH12" s="106"/>
    </row>
    <row r="13" spans="1:34">
      <c r="A13" s="108">
        <f t="shared" si="0"/>
        <v>7</v>
      </c>
      <c r="B13" s="106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06"/>
      <c r="W13" s="106"/>
      <c r="X13" s="106"/>
      <c r="Y13" s="87"/>
      <c r="Z13" s="87"/>
      <c r="AA13" s="87"/>
      <c r="AB13" s="87"/>
      <c r="AC13" s="87"/>
      <c r="AD13" s="87"/>
      <c r="AE13" s="87"/>
      <c r="AF13" s="87"/>
      <c r="AG13" s="87"/>
      <c r="AH13" s="106"/>
    </row>
    <row r="14" spans="1:34">
      <c r="A14" s="108">
        <f t="shared" si="0"/>
        <v>8</v>
      </c>
      <c r="B14" s="114" t="s">
        <v>88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106"/>
      <c r="W14" s="106"/>
      <c r="X14" s="106"/>
      <c r="Y14" s="87"/>
      <c r="Z14" s="87"/>
      <c r="AA14" s="87"/>
      <c r="AB14" s="87"/>
      <c r="AC14" s="87"/>
      <c r="AD14" s="87"/>
      <c r="AE14" s="87"/>
      <c r="AF14" s="87"/>
      <c r="AG14" s="87"/>
      <c r="AH14" s="106"/>
    </row>
    <row r="15" spans="1:34">
      <c r="A15" s="108">
        <f t="shared" si="0"/>
        <v>9</v>
      </c>
      <c r="B15" s="106" t="s">
        <v>89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>
        <f t="shared" si="1"/>
        <v>0</v>
      </c>
      <c r="V15" s="106"/>
      <c r="W15" s="106"/>
      <c r="X15" s="106"/>
      <c r="Y15" s="87"/>
      <c r="Z15" s="87"/>
      <c r="AA15" s="87"/>
      <c r="AB15" s="87"/>
      <c r="AC15" s="87"/>
      <c r="AD15" s="87"/>
      <c r="AE15" s="87"/>
      <c r="AF15" s="87"/>
      <c r="AG15" s="87"/>
      <c r="AH15" s="106"/>
    </row>
    <row r="16" spans="1:34">
      <c r="A16" s="108">
        <f t="shared" si="0"/>
        <v>10</v>
      </c>
      <c r="B16" s="106" t="s">
        <v>111</v>
      </c>
      <c r="C16" s="87">
        <f>'Adj List'!E7</f>
        <v>-2889068</v>
      </c>
      <c r="D16" s="87">
        <f>'Adj List'!E8</f>
        <v>-2609093</v>
      </c>
      <c r="E16" s="87"/>
      <c r="F16" s="87"/>
      <c r="G16" s="87">
        <f>'Adj List'!E11</f>
        <v>-72849.69</v>
      </c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>
        <f t="shared" si="1"/>
        <v>-5571010.6900000004</v>
      </c>
      <c r="V16" s="106"/>
      <c r="W16" s="87">
        <f>U16-RevReq!D15</f>
        <v>0</v>
      </c>
      <c r="X16" s="106"/>
      <c r="Y16" s="87"/>
      <c r="Z16" s="87"/>
      <c r="AA16" s="87"/>
      <c r="AB16" s="87"/>
      <c r="AC16" s="87"/>
      <c r="AD16" s="87"/>
      <c r="AE16" s="87"/>
      <c r="AF16" s="87"/>
      <c r="AG16" s="87"/>
      <c r="AH16" s="106"/>
    </row>
    <row r="17" spans="1:34">
      <c r="A17" s="108">
        <f t="shared" si="0"/>
        <v>11</v>
      </c>
      <c r="B17" s="106" t="s">
        <v>108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>
        <f t="shared" si="1"/>
        <v>0</v>
      </c>
      <c r="V17" s="106"/>
      <c r="W17" s="87"/>
      <c r="X17" s="106"/>
      <c r="Y17" s="87"/>
      <c r="Z17" s="87"/>
      <c r="AA17" s="87"/>
      <c r="AB17" s="87"/>
      <c r="AC17" s="87"/>
      <c r="AD17" s="87"/>
      <c r="AE17" s="87"/>
      <c r="AF17" s="87"/>
      <c r="AG17" s="87"/>
      <c r="AH17" s="106"/>
    </row>
    <row r="18" spans="1:34">
      <c r="A18" s="108">
        <f t="shared" si="0"/>
        <v>12</v>
      </c>
      <c r="B18" s="106" t="s">
        <v>119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>
        <f t="shared" si="1"/>
        <v>0</v>
      </c>
      <c r="V18" s="106"/>
      <c r="W18" s="87">
        <f>U18-RevReq!D16</f>
        <v>0</v>
      </c>
      <c r="X18" s="106"/>
      <c r="Y18" s="87"/>
      <c r="Z18" s="87"/>
      <c r="AA18" s="87"/>
      <c r="AB18" s="87"/>
      <c r="AC18" s="87"/>
      <c r="AD18" s="87"/>
      <c r="AE18" s="87"/>
      <c r="AF18" s="87"/>
      <c r="AG18" s="87"/>
      <c r="AH18" s="106"/>
    </row>
    <row r="19" spans="1:34">
      <c r="A19" s="108">
        <f t="shared" si="0"/>
        <v>13</v>
      </c>
      <c r="B19" s="106" t="s">
        <v>120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>
        <f>'Adj List'!E18</f>
        <v>0</v>
      </c>
      <c r="O19" s="87"/>
      <c r="P19" s="87"/>
      <c r="Q19" s="87"/>
      <c r="R19" s="87"/>
      <c r="S19" s="87"/>
      <c r="T19" s="87"/>
      <c r="U19" s="87">
        <f t="shared" si="1"/>
        <v>0</v>
      </c>
      <c r="V19" s="106"/>
      <c r="W19" s="87">
        <f>U19-RevReq!D17</f>
        <v>0</v>
      </c>
      <c r="X19" s="106"/>
      <c r="Y19" s="87"/>
      <c r="Z19" s="87"/>
      <c r="AA19" s="87"/>
      <c r="AB19" s="87"/>
      <c r="AC19" s="87"/>
      <c r="AD19" s="87"/>
      <c r="AE19" s="87"/>
      <c r="AF19" s="87"/>
      <c r="AG19" s="87"/>
      <c r="AH19" s="106"/>
    </row>
    <row r="20" spans="1:34">
      <c r="A20" s="108">
        <f t="shared" si="0"/>
        <v>14</v>
      </c>
      <c r="B20" s="106" t="s">
        <v>121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>
        <f t="shared" si="1"/>
        <v>0</v>
      </c>
      <c r="V20" s="106"/>
      <c r="W20" s="87">
        <f>U20-RevReq!D18</f>
        <v>0</v>
      </c>
      <c r="X20" s="106"/>
      <c r="Y20" s="87"/>
      <c r="Z20" s="87"/>
      <c r="AA20" s="87"/>
      <c r="AB20" s="87"/>
      <c r="AC20" s="87"/>
      <c r="AD20" s="87"/>
      <c r="AE20" s="87"/>
      <c r="AF20" s="87"/>
      <c r="AG20" s="87"/>
      <c r="AH20" s="106"/>
    </row>
    <row r="21" spans="1:34">
      <c r="A21" s="108">
        <f t="shared" si="0"/>
        <v>15</v>
      </c>
      <c r="B21" s="106" t="s">
        <v>93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>
        <f t="shared" si="1"/>
        <v>0</v>
      </c>
      <c r="V21" s="106"/>
      <c r="W21" s="87">
        <f>U21-RevReq!D19</f>
        <v>0</v>
      </c>
      <c r="X21" s="106"/>
      <c r="Y21" s="87"/>
      <c r="Z21" s="87"/>
      <c r="AA21" s="87"/>
      <c r="AB21" s="87"/>
      <c r="AC21" s="87"/>
      <c r="AD21" s="87"/>
      <c r="AE21" s="87"/>
      <c r="AF21" s="87"/>
      <c r="AG21" s="87"/>
      <c r="AH21" s="106"/>
    </row>
    <row r="22" spans="1:34">
      <c r="A22" s="108">
        <f t="shared" si="0"/>
        <v>16</v>
      </c>
      <c r="B22" s="106" t="s">
        <v>122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>
        <f t="shared" si="1"/>
        <v>0</v>
      </c>
      <c r="V22" s="106"/>
      <c r="W22" s="87">
        <f>U22-RevReq!D20</f>
        <v>0</v>
      </c>
      <c r="X22" s="106"/>
      <c r="Y22" s="87"/>
      <c r="Z22" s="87"/>
      <c r="AA22" s="87"/>
      <c r="AB22" s="87"/>
      <c r="AC22" s="87"/>
      <c r="AD22" s="87"/>
      <c r="AE22" s="87"/>
      <c r="AF22" s="87"/>
      <c r="AG22" s="87"/>
      <c r="AH22" s="106"/>
    </row>
    <row r="23" spans="1:34">
      <c r="A23" s="108">
        <f t="shared" si="0"/>
        <v>17</v>
      </c>
      <c r="B23" s="106" t="s">
        <v>123</v>
      </c>
      <c r="C23" s="87"/>
      <c r="D23" s="87"/>
      <c r="E23" s="87"/>
      <c r="F23" s="87"/>
      <c r="G23" s="87"/>
      <c r="H23" s="87">
        <f>'Adj List'!E12</f>
        <v>25333.33</v>
      </c>
      <c r="I23" s="87">
        <f>'Adj List'!E13</f>
        <v>-23044.77</v>
      </c>
      <c r="J23" s="87">
        <f>'Adj List'!E14</f>
        <v>-33268.35</v>
      </c>
      <c r="K23" s="87">
        <f>'Adj List'!E15</f>
        <v>-16109.330000000002</v>
      </c>
      <c r="L23" s="87">
        <f>'Adj List'!E16</f>
        <v>245967.35749999993</v>
      </c>
      <c r="M23" s="87">
        <f>'Adj List'!E17</f>
        <v>-10425.73483309626</v>
      </c>
      <c r="N23" s="87"/>
      <c r="O23" s="87"/>
      <c r="P23" s="87"/>
      <c r="Q23" s="87"/>
      <c r="R23" s="87"/>
      <c r="S23" s="87"/>
      <c r="T23" s="87"/>
      <c r="U23" s="87">
        <f t="shared" si="1"/>
        <v>188452.50266690366</v>
      </c>
      <c r="V23" s="106"/>
      <c r="W23" s="87">
        <f>U23-RevReq!D21</f>
        <v>0</v>
      </c>
      <c r="X23" s="106"/>
      <c r="Y23" s="87"/>
      <c r="Z23" s="87"/>
      <c r="AA23" s="87"/>
      <c r="AB23" s="87"/>
      <c r="AC23" s="87"/>
      <c r="AD23" s="87"/>
      <c r="AE23" s="87"/>
      <c r="AF23" s="87"/>
      <c r="AG23" s="87"/>
      <c r="AH23" s="106"/>
    </row>
    <row r="24" spans="1:34">
      <c r="A24" s="108">
        <f t="shared" si="0"/>
        <v>18</v>
      </c>
      <c r="B24" s="117" t="s">
        <v>112</v>
      </c>
      <c r="C24" s="118">
        <f t="shared" ref="C24:S24" si="3">SUM(C15:C23)</f>
        <v>-2889068</v>
      </c>
      <c r="D24" s="118">
        <f t="shared" si="3"/>
        <v>-2609093</v>
      </c>
      <c r="E24" s="118">
        <f t="shared" si="3"/>
        <v>0</v>
      </c>
      <c r="F24" s="118">
        <f t="shared" si="3"/>
        <v>0</v>
      </c>
      <c r="G24" s="118">
        <f t="shared" si="3"/>
        <v>-72849.69</v>
      </c>
      <c r="H24" s="118">
        <f t="shared" si="3"/>
        <v>25333.33</v>
      </c>
      <c r="I24" s="118">
        <f t="shared" si="3"/>
        <v>-23044.77</v>
      </c>
      <c r="J24" s="118">
        <f t="shared" si="3"/>
        <v>-33268.35</v>
      </c>
      <c r="K24" s="118">
        <f t="shared" si="3"/>
        <v>-16109.330000000002</v>
      </c>
      <c r="L24" s="118">
        <f t="shared" si="3"/>
        <v>245967.35749999993</v>
      </c>
      <c r="M24" s="118">
        <f t="shared" si="3"/>
        <v>-10425.73483309626</v>
      </c>
      <c r="N24" s="118">
        <f t="shared" si="3"/>
        <v>0</v>
      </c>
      <c r="O24" s="118">
        <f t="shared" si="3"/>
        <v>0</v>
      </c>
      <c r="P24" s="118">
        <f t="shared" si="3"/>
        <v>0</v>
      </c>
      <c r="Q24" s="118">
        <f t="shared" si="3"/>
        <v>0</v>
      </c>
      <c r="R24" s="118">
        <f t="shared" si="3"/>
        <v>0</v>
      </c>
      <c r="S24" s="118">
        <f t="shared" si="3"/>
        <v>0</v>
      </c>
      <c r="T24" s="118">
        <f t="shared" ref="T24" si="4">SUM(T15:T23)</f>
        <v>0</v>
      </c>
      <c r="U24" s="118">
        <f t="shared" si="1"/>
        <v>-5382558.1873330958</v>
      </c>
      <c r="V24" s="106"/>
      <c r="W24" s="106"/>
      <c r="X24" s="106"/>
      <c r="Y24" s="87"/>
      <c r="Z24" s="87"/>
      <c r="AA24" s="87"/>
      <c r="AB24" s="87"/>
      <c r="AC24" s="87"/>
      <c r="AD24" s="87"/>
      <c r="AE24" s="87"/>
      <c r="AF24" s="87"/>
      <c r="AG24" s="87"/>
      <c r="AH24" s="106"/>
    </row>
    <row r="25" spans="1:34">
      <c r="A25" s="108">
        <f t="shared" si="0"/>
        <v>19</v>
      </c>
      <c r="B25" s="106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06"/>
      <c r="W25" s="106"/>
      <c r="X25" s="106"/>
      <c r="Y25" s="87"/>
      <c r="Z25" s="87"/>
      <c r="AA25" s="87"/>
      <c r="AB25" s="87"/>
      <c r="AC25" s="87"/>
      <c r="AD25" s="87"/>
      <c r="AE25" s="87"/>
      <c r="AF25" s="87"/>
      <c r="AG25" s="87"/>
      <c r="AH25" s="106"/>
    </row>
    <row r="26" spans="1:34">
      <c r="A26" s="108">
        <f t="shared" si="0"/>
        <v>20</v>
      </c>
      <c r="B26" s="106" t="s">
        <v>31</v>
      </c>
      <c r="C26" s="87"/>
      <c r="D26" s="87"/>
      <c r="E26" s="87">
        <f>'Adj List'!E9</f>
        <v>-169792.70000000013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>
        <f t="shared" si="1"/>
        <v>-169792.70000000013</v>
      </c>
      <c r="V26" s="106"/>
      <c r="W26" s="87">
        <f>U26-RevReq!D24</f>
        <v>0</v>
      </c>
      <c r="X26" s="106"/>
      <c r="Y26" s="87"/>
      <c r="Z26" s="87"/>
      <c r="AA26" s="87"/>
      <c r="AB26" s="87"/>
      <c r="AC26" s="87"/>
      <c r="AD26" s="87"/>
      <c r="AE26" s="87"/>
      <c r="AF26" s="87"/>
      <c r="AG26" s="87"/>
      <c r="AH26" s="106"/>
    </row>
    <row r="27" spans="1:34">
      <c r="A27" s="108">
        <f t="shared" si="0"/>
        <v>21</v>
      </c>
      <c r="B27" s="106" t="s">
        <v>98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>
        <f t="shared" si="1"/>
        <v>0</v>
      </c>
      <c r="V27" s="106"/>
      <c r="W27" s="87">
        <f>U27-RevReq!D25</f>
        <v>0</v>
      </c>
      <c r="X27" s="106"/>
      <c r="Y27" s="87"/>
      <c r="Z27" s="87"/>
      <c r="AA27" s="87"/>
      <c r="AB27" s="87"/>
      <c r="AC27" s="87"/>
      <c r="AD27" s="87"/>
      <c r="AE27" s="87"/>
      <c r="AF27" s="87"/>
      <c r="AG27" s="87"/>
      <c r="AH27" s="106"/>
    </row>
    <row r="28" spans="1:34">
      <c r="A28" s="108">
        <f t="shared" si="0"/>
        <v>22</v>
      </c>
      <c r="B28" s="106" t="s">
        <v>114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>
        <f t="shared" si="1"/>
        <v>0</v>
      </c>
      <c r="V28" s="106"/>
      <c r="W28" s="87">
        <f>U28-RevReq!D26</f>
        <v>0</v>
      </c>
      <c r="X28" s="106"/>
      <c r="Y28" s="87"/>
      <c r="Z28" s="87"/>
      <c r="AA28" s="87"/>
      <c r="AB28" s="87"/>
      <c r="AC28" s="87"/>
      <c r="AD28" s="87"/>
      <c r="AE28" s="87"/>
      <c r="AF28" s="87"/>
      <c r="AG28" s="87"/>
      <c r="AH28" s="106"/>
    </row>
    <row r="29" spans="1:34">
      <c r="A29" s="108">
        <f>(A28+1)</f>
        <v>23</v>
      </c>
      <c r="B29" s="106" t="s">
        <v>115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>
        <f t="shared" si="1"/>
        <v>0</v>
      </c>
      <c r="V29" s="106"/>
      <c r="W29" s="87">
        <f>U29-RevReq!D27</f>
        <v>0</v>
      </c>
      <c r="X29" s="106"/>
      <c r="Y29" s="87"/>
      <c r="Z29" s="87"/>
      <c r="AA29" s="87"/>
      <c r="AB29" s="87"/>
      <c r="AC29" s="87"/>
      <c r="AD29" s="87"/>
      <c r="AE29" s="87"/>
      <c r="AF29" s="87"/>
      <c r="AG29" s="87"/>
      <c r="AH29" s="106"/>
    </row>
    <row r="30" spans="1:34">
      <c r="A30" s="108">
        <f>(A29+1)</f>
        <v>24</v>
      </c>
      <c r="B30" s="106" t="s">
        <v>100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>
        <f t="shared" si="1"/>
        <v>0</v>
      </c>
      <c r="V30" s="106"/>
      <c r="W30" s="87">
        <f>U30-RevReq!D28</f>
        <v>0</v>
      </c>
      <c r="X30" s="106"/>
      <c r="Y30" s="87"/>
      <c r="Z30" s="87"/>
      <c r="AA30" s="87"/>
      <c r="AB30" s="87"/>
      <c r="AC30" s="87"/>
      <c r="AD30" s="87"/>
      <c r="AE30" s="87"/>
      <c r="AF30" s="87"/>
      <c r="AG30" s="87"/>
      <c r="AH30" s="106"/>
    </row>
    <row r="31" spans="1:34">
      <c r="A31" s="108">
        <f t="shared" si="0"/>
        <v>25</v>
      </c>
      <c r="B31" s="117" t="s">
        <v>36</v>
      </c>
      <c r="C31" s="118">
        <f t="shared" ref="C31:S31" si="5">SUM(C24:C30)</f>
        <v>-2889068</v>
      </c>
      <c r="D31" s="118">
        <f t="shared" si="5"/>
        <v>-2609093</v>
      </c>
      <c r="E31" s="118">
        <f t="shared" si="5"/>
        <v>-169792.70000000013</v>
      </c>
      <c r="F31" s="118">
        <f t="shared" si="5"/>
        <v>0</v>
      </c>
      <c r="G31" s="118">
        <f t="shared" si="5"/>
        <v>-72849.69</v>
      </c>
      <c r="H31" s="118">
        <f t="shared" si="5"/>
        <v>25333.33</v>
      </c>
      <c r="I31" s="118">
        <f t="shared" si="5"/>
        <v>-23044.77</v>
      </c>
      <c r="J31" s="118">
        <f t="shared" si="5"/>
        <v>-33268.35</v>
      </c>
      <c r="K31" s="118">
        <f t="shared" si="5"/>
        <v>-16109.330000000002</v>
      </c>
      <c r="L31" s="118">
        <f t="shared" si="5"/>
        <v>245967.35749999993</v>
      </c>
      <c r="M31" s="118">
        <f t="shared" si="5"/>
        <v>-10425.73483309626</v>
      </c>
      <c r="N31" s="118">
        <f t="shared" si="5"/>
        <v>0</v>
      </c>
      <c r="O31" s="118">
        <f t="shared" si="5"/>
        <v>0</v>
      </c>
      <c r="P31" s="118">
        <f t="shared" si="5"/>
        <v>0</v>
      </c>
      <c r="Q31" s="118">
        <f t="shared" si="5"/>
        <v>0</v>
      </c>
      <c r="R31" s="118">
        <f t="shared" si="5"/>
        <v>0</v>
      </c>
      <c r="S31" s="118">
        <f t="shared" si="5"/>
        <v>0</v>
      </c>
      <c r="T31" s="118">
        <f t="shared" ref="T31" si="6">SUM(T24:T30)</f>
        <v>0</v>
      </c>
      <c r="U31" s="118">
        <f t="shared" si="1"/>
        <v>-5552350.887333096</v>
      </c>
      <c r="V31" s="106"/>
      <c r="W31" s="87">
        <f>U31-RevReq!D30</f>
        <v>0</v>
      </c>
      <c r="X31" s="106"/>
      <c r="Y31" s="87"/>
      <c r="Z31" s="87"/>
      <c r="AA31" s="87"/>
      <c r="AB31" s="87"/>
      <c r="AC31" s="87"/>
      <c r="AD31" s="87"/>
      <c r="AE31" s="87"/>
      <c r="AF31" s="87"/>
      <c r="AG31" s="87"/>
      <c r="AH31" s="106"/>
    </row>
    <row r="32" spans="1:34">
      <c r="A32" s="108">
        <f t="shared" si="0"/>
        <v>26</v>
      </c>
      <c r="B32" s="106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06"/>
      <c r="W32" s="106"/>
      <c r="X32" s="106"/>
      <c r="Y32" s="87"/>
      <c r="Z32" s="87"/>
      <c r="AA32" s="87"/>
      <c r="AB32" s="87"/>
      <c r="AC32" s="87"/>
      <c r="AD32" s="87"/>
      <c r="AE32" s="87"/>
      <c r="AF32" s="87"/>
      <c r="AG32" s="87"/>
      <c r="AH32" s="106"/>
    </row>
    <row r="33" spans="1:34">
      <c r="A33" s="108">
        <f t="shared" si="0"/>
        <v>27</v>
      </c>
      <c r="B33" s="106" t="s">
        <v>101</v>
      </c>
      <c r="C33" s="87">
        <f t="shared" ref="C33:S33" si="7">(+C12-C31)</f>
        <v>-497737.33000000007</v>
      </c>
      <c r="D33" s="87">
        <f t="shared" si="7"/>
        <v>71681.339999999851</v>
      </c>
      <c r="E33" s="87">
        <f t="shared" si="7"/>
        <v>169792.70000000013</v>
      </c>
      <c r="F33" s="87">
        <f t="shared" si="7"/>
        <v>0</v>
      </c>
      <c r="G33" s="87">
        <f t="shared" si="7"/>
        <v>-42500.369999999995</v>
      </c>
      <c r="H33" s="87">
        <f t="shared" si="7"/>
        <v>-25333.33</v>
      </c>
      <c r="I33" s="87">
        <f t="shared" si="7"/>
        <v>23044.77</v>
      </c>
      <c r="J33" s="87">
        <f t="shared" si="7"/>
        <v>33268.35</v>
      </c>
      <c r="K33" s="87">
        <f t="shared" si="7"/>
        <v>16109.330000000002</v>
      </c>
      <c r="L33" s="87">
        <f t="shared" si="7"/>
        <v>-245967.35749999993</v>
      </c>
      <c r="M33" s="87">
        <f t="shared" si="7"/>
        <v>10425.73483309626</v>
      </c>
      <c r="N33" s="87">
        <f t="shared" si="7"/>
        <v>0</v>
      </c>
      <c r="O33" s="87">
        <f t="shared" si="7"/>
        <v>0</v>
      </c>
      <c r="P33" s="87">
        <f t="shared" si="7"/>
        <v>0</v>
      </c>
      <c r="Q33" s="87">
        <f t="shared" si="7"/>
        <v>0</v>
      </c>
      <c r="R33" s="87">
        <f t="shared" si="7"/>
        <v>0</v>
      </c>
      <c r="S33" s="87">
        <f t="shared" si="7"/>
        <v>0</v>
      </c>
      <c r="T33" s="87">
        <f t="shared" ref="T33" si="8">(+T12-T31)</f>
        <v>0</v>
      </c>
      <c r="U33" s="87">
        <f t="shared" si="1"/>
        <v>-487216.16266690375</v>
      </c>
      <c r="V33" s="106"/>
      <c r="W33" s="87">
        <f>U33-RevReq!D32</f>
        <v>-8.7311491370201111E-10</v>
      </c>
      <c r="X33" s="106"/>
      <c r="Y33" s="87"/>
      <c r="Z33" s="87"/>
      <c r="AA33" s="87"/>
      <c r="AB33" s="87"/>
      <c r="AC33" s="87"/>
      <c r="AD33" s="87"/>
      <c r="AE33" s="87"/>
      <c r="AF33" s="87"/>
      <c r="AG33" s="87"/>
      <c r="AH33" s="106"/>
    </row>
    <row r="34" spans="1:34">
      <c r="A34" s="108">
        <f t="shared" si="0"/>
        <v>28</v>
      </c>
      <c r="B34" s="106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06"/>
      <c r="W34" s="106"/>
      <c r="X34" s="106"/>
      <c r="Y34" s="87"/>
      <c r="Z34" s="87"/>
      <c r="AA34" s="87"/>
      <c r="AB34" s="87"/>
      <c r="AC34" s="87"/>
      <c r="AD34" s="87"/>
      <c r="AE34" s="87"/>
      <c r="AF34" s="87"/>
      <c r="AG34" s="87"/>
      <c r="AH34" s="106"/>
    </row>
    <row r="35" spans="1:34">
      <c r="A35" s="108">
        <f t="shared" si="0"/>
        <v>29</v>
      </c>
      <c r="B35" s="106" t="s">
        <v>37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>
        <f t="shared" si="1"/>
        <v>0</v>
      </c>
      <c r="V35" s="106"/>
      <c r="W35" s="87">
        <f>U35-RevReq!D34</f>
        <v>0</v>
      </c>
      <c r="X35" s="106"/>
      <c r="Y35" s="87"/>
      <c r="Z35" s="87"/>
      <c r="AA35" s="87"/>
      <c r="AB35" s="87"/>
      <c r="AC35" s="87"/>
      <c r="AD35" s="87"/>
      <c r="AE35" s="87"/>
      <c r="AF35" s="87"/>
      <c r="AG35" s="87"/>
      <c r="AH35" s="106"/>
    </row>
    <row r="36" spans="1:34">
      <c r="A36" s="108">
        <f t="shared" si="0"/>
        <v>30</v>
      </c>
      <c r="B36" s="106" t="s">
        <v>38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>
        <f t="shared" si="1"/>
        <v>0</v>
      </c>
      <c r="V36" s="106"/>
      <c r="W36" s="87">
        <f>U36-RevReq!D35</f>
        <v>0</v>
      </c>
      <c r="X36" s="106"/>
      <c r="Y36" s="87"/>
      <c r="Z36" s="87"/>
      <c r="AA36" s="87"/>
      <c r="AB36" s="87"/>
      <c r="AC36" s="87"/>
      <c r="AD36" s="87"/>
      <c r="AE36" s="87"/>
      <c r="AF36" s="87"/>
      <c r="AG36" s="87"/>
      <c r="AH36" s="106"/>
    </row>
    <row r="37" spans="1:34">
      <c r="A37" s="108">
        <f t="shared" si="0"/>
        <v>31</v>
      </c>
      <c r="B37" s="106" t="s">
        <v>34</v>
      </c>
      <c r="C37" s="87"/>
      <c r="D37" s="87"/>
      <c r="E37" s="87"/>
      <c r="F37" s="87">
        <f>'Adj List'!F10</f>
        <v>-323975</v>
      </c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>
        <f t="shared" si="1"/>
        <v>-323975</v>
      </c>
      <c r="V37" s="106"/>
      <c r="W37" s="87">
        <f>U37-RevReq!D37</f>
        <v>0</v>
      </c>
      <c r="X37" s="106"/>
      <c r="Y37" s="87"/>
      <c r="Z37" s="87"/>
      <c r="AA37" s="87"/>
      <c r="AB37" s="87"/>
      <c r="AC37" s="87"/>
      <c r="AD37" s="87"/>
      <c r="AE37" s="87"/>
      <c r="AF37" s="87"/>
      <c r="AG37" s="87"/>
      <c r="AH37" s="106"/>
    </row>
    <row r="38" spans="1:34">
      <c r="A38" s="108">
        <f t="shared" si="0"/>
        <v>32</v>
      </c>
      <c r="B38" s="106" t="s">
        <v>102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>
        <f t="shared" si="1"/>
        <v>0</v>
      </c>
      <c r="V38" s="106"/>
      <c r="W38" s="87">
        <f>U38-RevReq!D38</f>
        <v>0</v>
      </c>
      <c r="X38" s="106"/>
      <c r="Y38" s="87"/>
      <c r="Z38" s="87"/>
      <c r="AA38" s="87"/>
      <c r="AB38" s="87"/>
      <c r="AC38" s="87"/>
      <c r="AD38" s="87"/>
      <c r="AE38" s="87"/>
      <c r="AF38" s="87"/>
      <c r="AG38" s="87"/>
      <c r="AH38" s="106"/>
    </row>
    <row r="39" spans="1:34">
      <c r="A39" s="108">
        <f t="shared" si="0"/>
        <v>33</v>
      </c>
      <c r="B39" s="117" t="s">
        <v>113</v>
      </c>
      <c r="C39" s="118">
        <f t="shared" ref="C39:S39" si="9">SUM(C35:C38)</f>
        <v>0</v>
      </c>
      <c r="D39" s="118">
        <f t="shared" si="9"/>
        <v>0</v>
      </c>
      <c r="E39" s="118">
        <f t="shared" si="9"/>
        <v>0</v>
      </c>
      <c r="F39" s="118">
        <f t="shared" si="9"/>
        <v>-323975</v>
      </c>
      <c r="G39" s="118">
        <f t="shared" si="9"/>
        <v>0</v>
      </c>
      <c r="H39" s="118">
        <f t="shared" si="9"/>
        <v>0</v>
      </c>
      <c r="I39" s="118">
        <f t="shared" si="9"/>
        <v>0</v>
      </c>
      <c r="J39" s="118">
        <f t="shared" si="9"/>
        <v>0</v>
      </c>
      <c r="K39" s="118">
        <f t="shared" si="9"/>
        <v>0</v>
      </c>
      <c r="L39" s="118">
        <f t="shared" si="9"/>
        <v>0</v>
      </c>
      <c r="M39" s="118">
        <f t="shared" si="9"/>
        <v>0</v>
      </c>
      <c r="N39" s="118">
        <f t="shared" si="9"/>
        <v>0</v>
      </c>
      <c r="O39" s="118">
        <f t="shared" si="9"/>
        <v>0</v>
      </c>
      <c r="P39" s="118">
        <f t="shared" si="9"/>
        <v>0</v>
      </c>
      <c r="Q39" s="118">
        <f t="shared" si="9"/>
        <v>0</v>
      </c>
      <c r="R39" s="118">
        <f t="shared" si="9"/>
        <v>0</v>
      </c>
      <c r="S39" s="118">
        <f t="shared" si="9"/>
        <v>0</v>
      </c>
      <c r="T39" s="118">
        <f t="shared" ref="T39" si="10">SUM(T35:T38)</f>
        <v>0</v>
      </c>
      <c r="U39" s="118">
        <f t="shared" si="1"/>
        <v>-323975</v>
      </c>
      <c r="V39" s="106"/>
      <c r="W39" s="106"/>
      <c r="X39" s="106"/>
      <c r="Y39" s="87"/>
      <c r="Z39" s="87"/>
      <c r="AA39" s="87"/>
      <c r="AB39" s="87"/>
      <c r="AC39" s="87"/>
      <c r="AD39" s="87"/>
      <c r="AE39" s="87"/>
      <c r="AF39" s="87"/>
      <c r="AG39" s="87"/>
      <c r="AH39" s="106"/>
    </row>
    <row r="40" spans="1:34">
      <c r="A40" s="108">
        <f t="shared" si="0"/>
        <v>34</v>
      </c>
      <c r="B40" s="10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106"/>
      <c r="W40" s="106"/>
      <c r="X40" s="106"/>
      <c r="Y40" s="87"/>
      <c r="Z40" s="87"/>
      <c r="AA40" s="87"/>
      <c r="AB40" s="87"/>
      <c r="AC40" s="87"/>
      <c r="AD40" s="87"/>
      <c r="AE40" s="87"/>
      <c r="AF40" s="87"/>
      <c r="AG40" s="87"/>
      <c r="AH40" s="106"/>
    </row>
    <row r="41" spans="1:34" ht="14.4" thickBot="1">
      <c r="A41" s="108">
        <f t="shared" si="0"/>
        <v>35</v>
      </c>
      <c r="B41" s="120" t="s">
        <v>103</v>
      </c>
      <c r="C41" s="121">
        <f t="shared" ref="C41:S41" si="11">+C33+C39</f>
        <v>-497737.33000000007</v>
      </c>
      <c r="D41" s="121">
        <f t="shared" si="11"/>
        <v>71681.339999999851</v>
      </c>
      <c r="E41" s="121">
        <f t="shared" si="11"/>
        <v>169792.70000000013</v>
      </c>
      <c r="F41" s="121">
        <f t="shared" si="11"/>
        <v>-323975</v>
      </c>
      <c r="G41" s="121">
        <f t="shared" si="11"/>
        <v>-42500.369999999995</v>
      </c>
      <c r="H41" s="121">
        <f t="shared" si="11"/>
        <v>-25333.33</v>
      </c>
      <c r="I41" s="121">
        <f t="shared" si="11"/>
        <v>23044.77</v>
      </c>
      <c r="J41" s="121">
        <f t="shared" si="11"/>
        <v>33268.35</v>
      </c>
      <c r="K41" s="121">
        <f t="shared" si="11"/>
        <v>16109.330000000002</v>
      </c>
      <c r="L41" s="121">
        <f t="shared" si="11"/>
        <v>-245967.35749999993</v>
      </c>
      <c r="M41" s="121">
        <f t="shared" si="11"/>
        <v>10425.73483309626</v>
      </c>
      <c r="N41" s="121">
        <f t="shared" si="11"/>
        <v>0</v>
      </c>
      <c r="O41" s="121">
        <f t="shared" si="11"/>
        <v>0</v>
      </c>
      <c r="P41" s="121">
        <f t="shared" si="11"/>
        <v>0</v>
      </c>
      <c r="Q41" s="121">
        <f t="shared" si="11"/>
        <v>0</v>
      </c>
      <c r="R41" s="121">
        <f t="shared" si="11"/>
        <v>0</v>
      </c>
      <c r="S41" s="121">
        <f t="shared" si="11"/>
        <v>0</v>
      </c>
      <c r="T41" s="121">
        <f t="shared" ref="T41" si="12">+T33+T39</f>
        <v>0</v>
      </c>
      <c r="U41" s="121">
        <f t="shared" si="1"/>
        <v>-811191.16266690369</v>
      </c>
      <c r="V41" s="106"/>
      <c r="W41" s="87">
        <f>U41-RevReq!D40</f>
        <v>0</v>
      </c>
      <c r="X41" s="106"/>
      <c r="Y41" s="87"/>
      <c r="Z41" s="87"/>
      <c r="AA41" s="87"/>
      <c r="AB41" s="87"/>
      <c r="AC41" s="87"/>
      <c r="AD41" s="87"/>
      <c r="AE41" s="87"/>
      <c r="AF41" s="87"/>
      <c r="AG41" s="87"/>
      <c r="AH41" s="106"/>
    </row>
    <row r="42" spans="1:34" ht="18" customHeight="1" thickTop="1">
      <c r="A42" s="108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</row>
    <row r="43" spans="1:34" ht="18" customHeight="1">
      <c r="A43" s="108"/>
      <c r="B43" s="106" t="s">
        <v>131</v>
      </c>
      <c r="C43" s="87">
        <f>C12</f>
        <v>-3386805.33</v>
      </c>
      <c r="D43" s="87">
        <f t="shared" ref="D43:S43" si="13">D12</f>
        <v>-2537411.66</v>
      </c>
      <c r="E43" s="87">
        <f t="shared" si="13"/>
        <v>0</v>
      </c>
      <c r="F43" s="87">
        <f t="shared" si="13"/>
        <v>0</v>
      </c>
      <c r="G43" s="87">
        <f t="shared" si="13"/>
        <v>-115350.06</v>
      </c>
      <c r="H43" s="87">
        <f t="shared" si="13"/>
        <v>0</v>
      </c>
      <c r="I43" s="87">
        <f t="shared" si="13"/>
        <v>0</v>
      </c>
      <c r="J43" s="87">
        <f t="shared" si="13"/>
        <v>0</v>
      </c>
      <c r="K43" s="87">
        <f t="shared" si="13"/>
        <v>0</v>
      </c>
      <c r="L43" s="87">
        <f t="shared" si="13"/>
        <v>0</v>
      </c>
      <c r="M43" s="87">
        <f t="shared" si="13"/>
        <v>0</v>
      </c>
      <c r="N43" s="87">
        <f t="shared" si="13"/>
        <v>0</v>
      </c>
      <c r="O43" s="87">
        <f t="shared" si="13"/>
        <v>0</v>
      </c>
      <c r="P43" s="87">
        <f t="shared" si="13"/>
        <v>0</v>
      </c>
      <c r="Q43" s="87">
        <f t="shared" si="13"/>
        <v>0</v>
      </c>
      <c r="R43" s="87">
        <f t="shared" si="13"/>
        <v>0</v>
      </c>
      <c r="S43" s="87">
        <f t="shared" si="13"/>
        <v>0</v>
      </c>
      <c r="T43" s="87">
        <f t="shared" ref="T43" si="14">T12</f>
        <v>0</v>
      </c>
      <c r="U43" s="87">
        <f t="shared" si="1"/>
        <v>-6039567.0499999998</v>
      </c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</row>
    <row r="44" spans="1:34" ht="18" customHeight="1">
      <c r="A44" s="108"/>
      <c r="B44" s="106" t="s">
        <v>130</v>
      </c>
      <c r="C44" s="87">
        <f>C31-C39</f>
        <v>-2889068</v>
      </c>
      <c r="D44" s="87">
        <f t="shared" ref="D44:S44" si="15">D31-D39</f>
        <v>-2609093</v>
      </c>
      <c r="E44" s="87">
        <f t="shared" si="15"/>
        <v>-169792.70000000013</v>
      </c>
      <c r="F44" s="87">
        <f t="shared" si="15"/>
        <v>323975</v>
      </c>
      <c r="G44" s="87">
        <f t="shared" si="15"/>
        <v>-72849.69</v>
      </c>
      <c r="H44" s="87">
        <f t="shared" si="15"/>
        <v>25333.33</v>
      </c>
      <c r="I44" s="87">
        <f t="shared" si="15"/>
        <v>-23044.77</v>
      </c>
      <c r="J44" s="87">
        <f t="shared" si="15"/>
        <v>-33268.35</v>
      </c>
      <c r="K44" s="87">
        <f t="shared" si="15"/>
        <v>-16109.330000000002</v>
      </c>
      <c r="L44" s="87">
        <f t="shared" si="15"/>
        <v>245967.35749999993</v>
      </c>
      <c r="M44" s="87">
        <f t="shared" si="15"/>
        <v>-10425.73483309626</v>
      </c>
      <c r="N44" s="87">
        <f t="shared" si="15"/>
        <v>0</v>
      </c>
      <c r="O44" s="87">
        <f t="shared" si="15"/>
        <v>0</v>
      </c>
      <c r="P44" s="87">
        <f t="shared" si="15"/>
        <v>0</v>
      </c>
      <c r="Q44" s="87">
        <f t="shared" si="15"/>
        <v>0</v>
      </c>
      <c r="R44" s="87">
        <f t="shared" si="15"/>
        <v>0</v>
      </c>
      <c r="S44" s="87">
        <f t="shared" si="15"/>
        <v>0</v>
      </c>
      <c r="T44" s="87">
        <f t="shared" ref="T44" si="16">T31-T39</f>
        <v>0</v>
      </c>
      <c r="U44" s="87">
        <f t="shared" si="1"/>
        <v>-5228375.887333096</v>
      </c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</row>
    <row r="45" spans="1:34" ht="18" customHeight="1">
      <c r="A45" s="108"/>
      <c r="B45" s="106" t="s">
        <v>132</v>
      </c>
      <c r="C45" s="87">
        <f t="shared" ref="C45:T45" si="17">C43-C44</f>
        <v>-497737.33000000007</v>
      </c>
      <c r="D45" s="87">
        <f t="shared" si="17"/>
        <v>71681.339999999851</v>
      </c>
      <c r="E45" s="87">
        <f t="shared" si="17"/>
        <v>169792.70000000013</v>
      </c>
      <c r="F45" s="87">
        <f t="shared" si="17"/>
        <v>-323975</v>
      </c>
      <c r="G45" s="87">
        <f t="shared" si="17"/>
        <v>-42500.369999999995</v>
      </c>
      <c r="H45" s="87">
        <f t="shared" si="17"/>
        <v>-25333.33</v>
      </c>
      <c r="I45" s="87">
        <f t="shared" si="17"/>
        <v>23044.77</v>
      </c>
      <c r="J45" s="87">
        <f t="shared" si="17"/>
        <v>33268.35</v>
      </c>
      <c r="K45" s="87">
        <f t="shared" si="17"/>
        <v>16109.330000000002</v>
      </c>
      <c r="L45" s="87">
        <f t="shared" si="17"/>
        <v>-245967.35749999993</v>
      </c>
      <c r="M45" s="87">
        <f t="shared" si="17"/>
        <v>10425.73483309626</v>
      </c>
      <c r="N45" s="87">
        <f t="shared" si="17"/>
        <v>0</v>
      </c>
      <c r="O45" s="87">
        <f t="shared" si="17"/>
        <v>0</v>
      </c>
      <c r="P45" s="87">
        <f t="shared" si="17"/>
        <v>0</v>
      </c>
      <c r="Q45" s="87">
        <f t="shared" si="17"/>
        <v>0</v>
      </c>
      <c r="R45" s="87">
        <f t="shared" si="17"/>
        <v>0</v>
      </c>
      <c r="S45" s="87">
        <f t="shared" si="17"/>
        <v>0</v>
      </c>
      <c r="T45" s="87">
        <f t="shared" si="17"/>
        <v>0</v>
      </c>
      <c r="U45" s="87">
        <f t="shared" si="1"/>
        <v>-811191.16266690369</v>
      </c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</row>
    <row r="46" spans="1:34" ht="18" customHeight="1">
      <c r="A46" s="108"/>
      <c r="B46" s="106" t="s">
        <v>133</v>
      </c>
      <c r="C46" s="87">
        <f t="shared" ref="C46:U46" si="18">C45-C41</f>
        <v>0</v>
      </c>
      <c r="D46" s="87">
        <f t="shared" si="18"/>
        <v>0</v>
      </c>
      <c r="E46" s="87">
        <f t="shared" si="18"/>
        <v>0</v>
      </c>
      <c r="F46" s="87">
        <f t="shared" si="18"/>
        <v>0</v>
      </c>
      <c r="G46" s="87">
        <f t="shared" si="18"/>
        <v>0</v>
      </c>
      <c r="H46" s="87">
        <f t="shared" si="18"/>
        <v>0</v>
      </c>
      <c r="I46" s="87">
        <f t="shared" si="18"/>
        <v>0</v>
      </c>
      <c r="J46" s="87">
        <f t="shared" si="18"/>
        <v>0</v>
      </c>
      <c r="K46" s="87">
        <f t="shared" si="18"/>
        <v>0</v>
      </c>
      <c r="L46" s="87">
        <f t="shared" si="18"/>
        <v>0</v>
      </c>
      <c r="M46" s="87">
        <f t="shared" si="18"/>
        <v>0</v>
      </c>
      <c r="N46" s="87">
        <f t="shared" si="18"/>
        <v>0</v>
      </c>
      <c r="O46" s="87">
        <f t="shared" si="18"/>
        <v>0</v>
      </c>
      <c r="P46" s="87">
        <f t="shared" si="18"/>
        <v>0</v>
      </c>
      <c r="Q46" s="87">
        <f t="shared" si="18"/>
        <v>0</v>
      </c>
      <c r="R46" s="87">
        <f t="shared" si="18"/>
        <v>0</v>
      </c>
      <c r="S46" s="87">
        <f t="shared" si="18"/>
        <v>0</v>
      </c>
      <c r="T46" s="87">
        <f t="shared" si="18"/>
        <v>0</v>
      </c>
      <c r="U46" s="87">
        <f t="shared" si="18"/>
        <v>0</v>
      </c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</row>
    <row r="47" spans="1:34" ht="18" customHeight="1">
      <c r="A47" s="108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</row>
    <row r="48" spans="1:34" ht="18" customHeight="1">
      <c r="A48" s="108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</row>
    <row r="49" spans="1:34">
      <c r="A49" s="108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</row>
    <row r="50" spans="1:34">
      <c r="A50" s="108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</row>
    <row r="51" spans="1:34">
      <c r="A51" s="108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</row>
    <row r="52" spans="1:34">
      <c r="A52" s="108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</row>
    <row r="53" spans="1:34">
      <c r="A53" s="108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</row>
    <row r="54" spans="1:34">
      <c r="A54" s="108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</row>
    <row r="55" spans="1:34">
      <c r="A55" s="108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</row>
    <row r="56" spans="1:34">
      <c r="A56" s="108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</row>
    <row r="57" spans="1:34">
      <c r="A57" s="108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</row>
    <row r="58" spans="1:34">
      <c r="A58" s="108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</row>
    <row r="59" spans="1:34">
      <c r="A59" s="108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</row>
    <row r="60" spans="1:34">
      <c r="A60" s="108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</row>
    <row r="61" spans="1:34">
      <c r="A61" s="108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</row>
    <row r="62" spans="1:34">
      <c r="A62" s="108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</row>
    <row r="63" spans="1:34">
      <c r="A63" s="108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</row>
    <row r="64" spans="1:34">
      <c r="A64" s="108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</row>
    <row r="65" spans="1:34">
      <c r="A65" s="108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</row>
    <row r="66" spans="1:34">
      <c r="A66" s="108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</row>
    <row r="67" spans="1:34">
      <c r="A67" s="108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</row>
    <row r="68" spans="1:34">
      <c r="A68" s="108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</row>
    <row r="69" spans="1:34">
      <c r="A69" s="108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</row>
    <row r="70" spans="1:34">
      <c r="A70" s="108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</row>
    <row r="71" spans="1:34">
      <c r="A71" s="108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</row>
    <row r="72" spans="1:34">
      <c r="A72" s="108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</row>
    <row r="73" spans="1:34">
      <c r="A73" s="108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</row>
    <row r="74" spans="1:34">
      <c r="A74" s="108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</row>
    <row r="75" spans="1:34">
      <c r="A75" s="108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</row>
    <row r="76" spans="1:34">
      <c r="A76" s="108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</row>
    <row r="77" spans="1:34">
      <c r="A77" s="108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</row>
    <row r="78" spans="1:34">
      <c r="A78" s="108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</row>
    <row r="79" spans="1:34">
      <c r="A79" s="108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</row>
    <row r="80" spans="1:34">
      <c r="A80" s="108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</row>
    <row r="81" spans="1:34">
      <c r="A81" s="108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</row>
    <row r="82" spans="1:34">
      <c r="A82" s="108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</row>
    <row r="83" spans="1:34">
      <c r="A83" s="108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</row>
    <row r="84" spans="1:34">
      <c r="A84" s="108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</row>
    <row r="85" spans="1:34">
      <c r="A85" s="108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</row>
    <row r="86" spans="1:34">
      <c r="A86" s="108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</row>
    <row r="87" spans="1:34">
      <c r="A87" s="108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</row>
    <row r="88" spans="1:34">
      <c r="A88" s="108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</row>
    <row r="89" spans="1:34">
      <c r="A89" s="108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</row>
    <row r="90" spans="1:34">
      <c r="A90" s="108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</row>
    <row r="91" spans="1:34">
      <c r="A91" s="108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</row>
    <row r="92" spans="1:34">
      <c r="A92" s="108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</row>
    <row r="93" spans="1:34">
      <c r="A93" s="108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</row>
    <row r="94" spans="1:34">
      <c r="A94" s="108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</row>
    <row r="95" spans="1:34">
      <c r="A95" s="108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</row>
    <row r="96" spans="1:34">
      <c r="A96" s="108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</row>
    <row r="97" spans="1:34">
      <c r="A97" s="108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</row>
    <row r="98" spans="1:34">
      <c r="A98" s="108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</row>
    <row r="99" spans="1:34">
      <c r="A99" s="108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</row>
    <row r="100" spans="1:34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</row>
    <row r="101" spans="1:34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</row>
    <row r="102" spans="1:34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</row>
    <row r="103" spans="1:34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</row>
    <row r="104" spans="1:34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</row>
    <row r="105" spans="1:34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</row>
    <row r="106" spans="1:34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</row>
    <row r="107" spans="1:34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</row>
    <row r="108" spans="1:34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</row>
    <row r="109" spans="1:34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</row>
    <row r="110" spans="1:34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</row>
    <row r="111" spans="1:34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</row>
    <row r="112" spans="1:34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</row>
    <row r="113" spans="2:28"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</row>
    <row r="114" spans="2:28"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</row>
    <row r="115" spans="2:28"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</row>
    <row r="116" spans="2:28"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</row>
    <row r="117" spans="2:28"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</row>
    <row r="118" spans="2:28"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</row>
    <row r="119" spans="2:28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</row>
    <row r="120" spans="2:28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</row>
    <row r="121" spans="2:28"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</row>
    <row r="122" spans="2:28"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</row>
    <row r="123" spans="2:28"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</row>
    <row r="124" spans="2:28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</row>
    <row r="125" spans="2:28"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</row>
    <row r="126" spans="2:28"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</row>
    <row r="127" spans="2:28"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</row>
    <row r="128" spans="2:28"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</row>
    <row r="129" spans="2:28"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</row>
    <row r="130" spans="2:28"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</row>
    <row r="131" spans="2:28">
      <c r="B131" s="106"/>
      <c r="C131" s="106"/>
      <c r="D131" s="106"/>
      <c r="E131" s="106"/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</row>
    <row r="132" spans="2:28"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</row>
    <row r="133" spans="2:28"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</row>
    <row r="134" spans="2:28"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</row>
    <row r="135" spans="2:28"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</row>
    <row r="136" spans="2:28"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</row>
    <row r="137" spans="2:28"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</row>
    <row r="138" spans="2:28"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</row>
    <row r="139" spans="2:28"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</row>
    <row r="140" spans="2:28"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</row>
    <row r="141" spans="2:28"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</row>
    <row r="142" spans="2:28"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</row>
    <row r="143" spans="2:28"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</row>
    <row r="144" spans="2:28"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</row>
    <row r="145" spans="22:28">
      <c r="V145" s="106"/>
      <c r="W145" s="106"/>
      <c r="X145" s="106"/>
      <c r="Y145" s="106"/>
      <c r="Z145" s="106"/>
      <c r="AA145" s="106"/>
      <c r="AB145" s="106"/>
    </row>
    <row r="146" spans="22:28">
      <c r="V146" s="106"/>
      <c r="W146" s="106"/>
      <c r="X146" s="106"/>
      <c r="Y146" s="106"/>
      <c r="Z146" s="106"/>
      <c r="AA146" s="106"/>
      <c r="AB146" s="106"/>
    </row>
    <row r="147" spans="22:28">
      <c r="V147" s="106"/>
      <c r="W147" s="106"/>
      <c r="X147" s="106"/>
      <c r="Y147" s="106"/>
      <c r="Z147" s="106"/>
      <c r="AA147" s="106"/>
      <c r="AB147" s="106"/>
    </row>
    <row r="148" spans="22:28">
      <c r="V148" s="106"/>
      <c r="W148" s="106"/>
      <c r="X148" s="106"/>
      <c r="Y148" s="106"/>
      <c r="Z148" s="106"/>
      <c r="AA148" s="106"/>
      <c r="AB148" s="106"/>
    </row>
    <row r="149" spans="22:28">
      <c r="V149" s="106"/>
      <c r="W149" s="106"/>
      <c r="X149" s="106"/>
      <c r="Y149" s="106"/>
      <c r="Z149" s="106"/>
      <c r="AA149" s="106"/>
      <c r="AB149" s="106"/>
    </row>
  </sheetData>
  <printOptions horizontalCentered="1"/>
  <pageMargins left="0.25" right="0.25" top="0.75" bottom="0.75" header="0.3" footer="0.3"/>
  <pageSetup scale="71" orientation="landscape" r:id="rId1"/>
  <headerFooter>
    <oddFooter>&amp;RExhibit  JW-2
Page &amp;P of &amp;N</oddFooter>
  </headerFooter>
  <ignoredErrors>
    <ignoredError sqref="N31 H3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34"/>
  <sheetViews>
    <sheetView view="pageBreakPreview" zoomScale="60" zoomScaleNormal="100" workbookViewId="0">
      <selection activeCell="M19" sqref="M19"/>
    </sheetView>
  </sheetViews>
  <sheetFormatPr defaultColWidth="9.109375" defaultRowHeight="13.2"/>
  <cols>
    <col min="1" max="1" width="5.88671875" style="11" customWidth="1"/>
    <col min="2" max="2" width="2.33203125" style="11" customWidth="1"/>
    <col min="3" max="3" width="11.6640625" style="11" customWidth="1"/>
    <col min="4" max="4" width="10.88671875" style="11" customWidth="1"/>
    <col min="5" max="5" width="5.88671875" style="11" customWidth="1"/>
    <col min="6" max="6" width="15.33203125" style="11" customWidth="1"/>
    <col min="7" max="7" width="3.33203125" style="11" customWidth="1"/>
    <col min="8" max="8" width="15.6640625" style="11" customWidth="1"/>
    <col min="9" max="16384" width="9.109375" style="11"/>
  </cols>
  <sheetData>
    <row r="1" spans="1:15">
      <c r="G1" s="5"/>
      <c r="H1" s="5" t="s">
        <v>27</v>
      </c>
    </row>
    <row r="2" spans="1:15" ht="20.25" customHeight="1">
      <c r="G2" s="5"/>
      <c r="H2" s="5"/>
    </row>
    <row r="3" spans="1:15">
      <c r="G3" s="5"/>
      <c r="H3" s="5"/>
    </row>
    <row r="4" spans="1:15">
      <c r="A4" s="187" t="s">
        <v>29</v>
      </c>
      <c r="B4" s="187"/>
      <c r="C4" s="187"/>
      <c r="D4" s="187"/>
      <c r="E4" s="187"/>
      <c r="F4" s="187"/>
      <c r="G4" s="187"/>
      <c r="H4" s="187"/>
      <c r="J4" s="7"/>
      <c r="K4" s="7"/>
      <c r="L4" s="7"/>
      <c r="M4" s="7"/>
      <c r="N4" s="7"/>
      <c r="O4" s="7"/>
    </row>
    <row r="5" spans="1:15">
      <c r="A5" s="187" t="str">
        <f>RevReq!A3</f>
        <v>For the 12 Months Ended December 31, 2022</v>
      </c>
      <c r="B5" s="187"/>
      <c r="C5" s="187"/>
      <c r="D5" s="187"/>
      <c r="E5" s="187"/>
      <c r="F5" s="187"/>
      <c r="G5" s="187"/>
      <c r="H5" s="187"/>
    </row>
    <row r="7" spans="1:15" s="6" customFormat="1" ht="15" customHeight="1">
      <c r="A7" s="188" t="str">
        <f>'Adj List'!C7</f>
        <v>Fuel Adjustment Clause</v>
      </c>
      <c r="B7" s="188"/>
      <c r="C7" s="188"/>
      <c r="D7" s="188"/>
      <c r="E7" s="188"/>
      <c r="F7" s="188"/>
      <c r="G7" s="188"/>
      <c r="H7" s="188"/>
    </row>
    <row r="9" spans="1:15">
      <c r="A9" s="10" t="s">
        <v>0</v>
      </c>
      <c r="C9" s="10" t="s">
        <v>16</v>
      </c>
      <c r="D9" s="10" t="s">
        <v>17</v>
      </c>
      <c r="E9" s="10"/>
      <c r="F9" s="10" t="s">
        <v>23</v>
      </c>
      <c r="G9" s="10"/>
      <c r="H9" s="10" t="s">
        <v>24</v>
      </c>
    </row>
    <row r="10" spans="1:15">
      <c r="A10" s="12" t="s">
        <v>21</v>
      </c>
      <c r="C10" s="13" t="s">
        <v>18</v>
      </c>
      <c r="D10" s="13" t="s">
        <v>20</v>
      </c>
      <c r="E10" s="10"/>
      <c r="F10" s="13" t="s">
        <v>19</v>
      </c>
      <c r="G10" s="13"/>
      <c r="H10" s="13" t="s">
        <v>25</v>
      </c>
    </row>
    <row r="11" spans="1:15">
      <c r="A11" s="10"/>
    </row>
    <row r="12" spans="1:15">
      <c r="A12" s="10"/>
    </row>
    <row r="13" spans="1:15">
      <c r="A13" s="10">
        <v>1</v>
      </c>
      <c r="C13" s="10">
        <v>2022</v>
      </c>
      <c r="D13" s="1" t="s">
        <v>6</v>
      </c>
      <c r="E13" s="14"/>
      <c r="F13" s="206">
        <v>506040.63</v>
      </c>
      <c r="G13" s="206"/>
      <c r="H13" s="206">
        <v>228611</v>
      </c>
    </row>
    <row r="14" spans="1:15">
      <c r="A14" s="10">
        <v>2</v>
      </c>
      <c r="C14" s="10">
        <v>2022</v>
      </c>
      <c r="D14" s="1" t="s">
        <v>7</v>
      </c>
      <c r="E14" s="14"/>
      <c r="F14" s="206">
        <v>58437.990000000005</v>
      </c>
      <c r="G14" s="206"/>
      <c r="H14" s="206">
        <v>217568</v>
      </c>
    </row>
    <row r="15" spans="1:15">
      <c r="A15" s="10">
        <v>3</v>
      </c>
      <c r="C15" s="10">
        <v>2022</v>
      </c>
      <c r="D15" s="1" t="s">
        <v>8</v>
      </c>
      <c r="E15" s="14"/>
      <c r="F15" s="206">
        <v>198107.52000000002</v>
      </c>
      <c r="G15" s="206"/>
      <c r="H15" s="206">
        <v>184424</v>
      </c>
    </row>
    <row r="16" spans="1:15">
      <c r="A16" s="10">
        <v>4</v>
      </c>
      <c r="C16" s="10">
        <v>2022</v>
      </c>
      <c r="D16" s="1" t="s">
        <v>9</v>
      </c>
      <c r="E16" s="14"/>
      <c r="F16" s="206">
        <v>177636.05</v>
      </c>
      <c r="G16" s="206"/>
      <c r="H16" s="206">
        <v>110502</v>
      </c>
    </row>
    <row r="17" spans="1:8">
      <c r="A17" s="10">
        <v>5</v>
      </c>
      <c r="C17" s="10">
        <v>2022</v>
      </c>
      <c r="D17" s="1" t="s">
        <v>10</v>
      </c>
      <c r="E17" s="14"/>
      <c r="F17" s="206">
        <v>154994.12000000002</v>
      </c>
      <c r="G17" s="206"/>
      <c r="H17" s="206">
        <v>103675</v>
      </c>
    </row>
    <row r="18" spans="1:8">
      <c r="A18" s="10">
        <v>6</v>
      </c>
      <c r="C18" s="10">
        <v>2022</v>
      </c>
      <c r="D18" s="1" t="s">
        <v>11</v>
      </c>
      <c r="E18" s="14"/>
      <c r="F18" s="206">
        <v>105046</v>
      </c>
      <c r="G18" s="206"/>
      <c r="H18" s="206">
        <v>156240</v>
      </c>
    </row>
    <row r="19" spans="1:8">
      <c r="A19" s="10">
        <v>7</v>
      </c>
      <c r="C19" s="10">
        <v>2022</v>
      </c>
      <c r="D19" s="1" t="s">
        <v>12</v>
      </c>
      <c r="E19" s="14"/>
      <c r="F19" s="206">
        <v>41172.019999999997</v>
      </c>
      <c r="G19" s="206"/>
      <c r="H19" s="206">
        <v>320778</v>
      </c>
    </row>
    <row r="20" spans="1:8">
      <c r="A20" s="10">
        <v>8</v>
      </c>
      <c r="C20" s="10">
        <v>2022</v>
      </c>
      <c r="D20" s="1" t="s">
        <v>13</v>
      </c>
      <c r="E20" s="14"/>
      <c r="F20" s="206">
        <v>423835.29999999993</v>
      </c>
      <c r="G20" s="206"/>
      <c r="H20" s="206">
        <v>278943</v>
      </c>
    </row>
    <row r="21" spans="1:8">
      <c r="A21" s="10">
        <v>9</v>
      </c>
      <c r="C21" s="10">
        <v>2022</v>
      </c>
      <c r="D21" s="1" t="s">
        <v>2</v>
      </c>
      <c r="E21" s="14"/>
      <c r="F21" s="206">
        <v>672765.20000000007</v>
      </c>
      <c r="G21" s="206"/>
      <c r="H21" s="206">
        <v>284386</v>
      </c>
    </row>
    <row r="22" spans="1:8">
      <c r="A22" s="10">
        <v>10</v>
      </c>
      <c r="C22" s="10">
        <v>2022</v>
      </c>
      <c r="D22" s="1" t="s">
        <v>3</v>
      </c>
      <c r="E22" s="14"/>
      <c r="F22" s="206">
        <v>370224.94</v>
      </c>
      <c r="G22" s="206"/>
      <c r="H22" s="206">
        <v>325345</v>
      </c>
    </row>
    <row r="23" spans="1:8">
      <c r="A23" s="10">
        <v>11</v>
      </c>
      <c r="C23" s="10">
        <v>2022</v>
      </c>
      <c r="D23" s="1" t="s">
        <v>4</v>
      </c>
      <c r="E23" s="14"/>
      <c r="F23" s="206">
        <v>365009.42</v>
      </c>
      <c r="G23" s="206"/>
      <c r="H23" s="206">
        <v>289598</v>
      </c>
    </row>
    <row r="24" spans="1:8">
      <c r="A24" s="10">
        <v>12</v>
      </c>
      <c r="C24" s="10">
        <v>2022</v>
      </c>
      <c r="D24" s="1" t="s">
        <v>5</v>
      </c>
      <c r="E24" s="14"/>
      <c r="F24" s="206">
        <v>313536.13999999996</v>
      </c>
      <c r="G24" s="206"/>
      <c r="H24" s="206">
        <v>388998</v>
      </c>
    </row>
    <row r="25" spans="1:8">
      <c r="A25" s="10">
        <v>13</v>
      </c>
      <c r="C25" s="16"/>
      <c r="D25" s="4" t="s">
        <v>14</v>
      </c>
      <c r="E25" s="17"/>
      <c r="F25" s="17">
        <f>SUM(F13:F24)</f>
        <v>3386805.33</v>
      </c>
      <c r="G25" s="17"/>
      <c r="H25" s="17">
        <f>SUM(H13:H24)</f>
        <v>2889068</v>
      </c>
    </row>
    <row r="26" spans="1:8">
      <c r="A26" s="10">
        <v>14</v>
      </c>
      <c r="D26" s="2"/>
      <c r="E26" s="18"/>
      <c r="F26" s="18"/>
      <c r="G26" s="18"/>
    </row>
    <row r="27" spans="1:8">
      <c r="A27" s="10">
        <v>15</v>
      </c>
      <c r="C27" s="2" t="s">
        <v>39</v>
      </c>
      <c r="D27" s="2"/>
      <c r="E27" s="18"/>
      <c r="F27" s="19">
        <f>F25</f>
        <v>3386805.33</v>
      </c>
      <c r="G27" s="19"/>
      <c r="H27" s="19">
        <f>H25</f>
        <v>2889068</v>
      </c>
    </row>
    <row r="28" spans="1:8">
      <c r="A28" s="10">
        <v>16</v>
      </c>
      <c r="C28" s="2"/>
      <c r="D28" s="2"/>
      <c r="E28" s="18"/>
      <c r="F28" s="18"/>
      <c r="G28" s="18"/>
    </row>
    <row r="29" spans="1:8">
      <c r="A29" s="10">
        <v>17</v>
      </c>
      <c r="C29" s="2" t="s">
        <v>40</v>
      </c>
      <c r="E29" s="14"/>
      <c r="F29" s="14">
        <v>0</v>
      </c>
      <c r="G29" s="14"/>
      <c r="H29" s="14">
        <v>0</v>
      </c>
    </row>
    <row r="30" spans="1:8">
      <c r="A30" s="10">
        <v>18</v>
      </c>
      <c r="C30" s="2"/>
    </row>
    <row r="31" spans="1:8" ht="13.8" thickBot="1">
      <c r="A31" s="10">
        <v>19</v>
      </c>
      <c r="C31" s="3" t="s">
        <v>15</v>
      </c>
      <c r="D31" s="20"/>
      <c r="E31" s="21"/>
      <c r="F31" s="22">
        <f>ROUND(F29-F27,2)</f>
        <v>-3386805.33</v>
      </c>
      <c r="G31" s="21"/>
      <c r="H31" s="22">
        <f>ROUND(H29-H27,2)</f>
        <v>-2889068</v>
      </c>
    </row>
    <row r="32" spans="1:8" ht="13.8" thickTop="1"/>
    <row r="34" spans="3:8" ht="30" customHeight="1">
      <c r="C34" s="189" t="s">
        <v>41</v>
      </c>
      <c r="D34" s="189"/>
      <c r="E34" s="189"/>
      <c r="F34" s="189"/>
      <c r="G34" s="189"/>
      <c r="H34" s="189"/>
    </row>
  </sheetData>
  <mergeCells count="4">
    <mergeCell ref="A4:H4"/>
    <mergeCell ref="A5:H5"/>
    <mergeCell ref="A7:H7"/>
    <mergeCell ref="C34:H34"/>
  </mergeCells>
  <phoneticPr fontId="22" type="noConversion"/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C10:H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34"/>
  <sheetViews>
    <sheetView view="pageBreakPreview" zoomScale="60" zoomScaleNormal="100" workbookViewId="0">
      <selection activeCell="L28" sqref="L28"/>
    </sheetView>
  </sheetViews>
  <sheetFormatPr defaultColWidth="9.109375" defaultRowHeight="13.2"/>
  <cols>
    <col min="1" max="1" width="5.88671875" style="11" customWidth="1"/>
    <col min="2" max="2" width="2.33203125" style="11" customWidth="1"/>
    <col min="3" max="3" width="11.6640625" style="11" customWidth="1"/>
    <col min="4" max="4" width="10.88671875" style="11" customWidth="1"/>
    <col min="5" max="5" width="5.88671875" style="11" customWidth="1"/>
    <col min="6" max="6" width="15.33203125" style="11" customWidth="1"/>
    <col min="7" max="7" width="3.33203125" style="11" customWidth="1"/>
    <col min="8" max="8" width="14.44140625" style="11" customWidth="1"/>
    <col min="9" max="16384" width="9.109375" style="11"/>
  </cols>
  <sheetData>
    <row r="1" spans="1:8">
      <c r="G1" s="5"/>
      <c r="H1" s="5" t="s">
        <v>26</v>
      </c>
    </row>
    <row r="2" spans="1:8" ht="20.25" customHeight="1">
      <c r="G2" s="5"/>
      <c r="H2" s="5"/>
    </row>
    <row r="3" spans="1:8">
      <c r="G3" s="5"/>
      <c r="H3" s="5"/>
    </row>
    <row r="4" spans="1:8">
      <c r="A4" s="187" t="s">
        <v>29</v>
      </c>
      <c r="B4" s="187"/>
      <c r="C4" s="187"/>
      <c r="D4" s="187"/>
      <c r="E4" s="187"/>
      <c r="F4" s="187"/>
      <c r="G4" s="187"/>
      <c r="H4" s="187"/>
    </row>
    <row r="5" spans="1:8">
      <c r="A5" s="187" t="str">
        <f>RevReq!A3</f>
        <v>For the 12 Months Ended December 31, 2022</v>
      </c>
      <c r="B5" s="187"/>
      <c r="C5" s="187"/>
      <c r="D5" s="187"/>
      <c r="E5" s="187"/>
      <c r="F5" s="187"/>
      <c r="G5" s="187"/>
      <c r="H5" s="187"/>
    </row>
    <row r="7" spans="1:8" s="6" customFormat="1" ht="15" customHeight="1">
      <c r="A7" s="188" t="str">
        <f>'Adj List'!C8</f>
        <v>Environmental Surcharge</v>
      </c>
      <c r="B7" s="188"/>
      <c r="C7" s="188"/>
      <c r="D7" s="188"/>
      <c r="E7" s="188"/>
      <c r="F7" s="188"/>
      <c r="G7" s="188"/>
      <c r="H7" s="188"/>
    </row>
    <row r="9" spans="1:8">
      <c r="A9" s="10" t="s">
        <v>0</v>
      </c>
      <c r="C9" s="10" t="s">
        <v>16</v>
      </c>
      <c r="D9" s="10" t="s">
        <v>17</v>
      </c>
      <c r="E9" s="10"/>
      <c r="F9" s="10" t="s">
        <v>23</v>
      </c>
      <c r="G9" s="10"/>
      <c r="H9" s="10" t="s">
        <v>24</v>
      </c>
    </row>
    <row r="10" spans="1:8">
      <c r="A10" s="12" t="s">
        <v>21</v>
      </c>
      <c r="C10" s="13" t="s">
        <v>18</v>
      </c>
      <c r="D10" s="13" t="s">
        <v>20</v>
      </c>
      <c r="E10" s="10"/>
      <c r="F10" s="13" t="s">
        <v>19</v>
      </c>
      <c r="G10" s="13"/>
      <c r="H10" s="13" t="s">
        <v>25</v>
      </c>
    </row>
    <row r="11" spans="1:8">
      <c r="A11" s="10"/>
    </row>
    <row r="12" spans="1:8">
      <c r="A12" s="10"/>
    </row>
    <row r="13" spans="1:8">
      <c r="A13" s="10">
        <v>1</v>
      </c>
      <c r="C13" s="10">
        <v>2022</v>
      </c>
      <c r="D13" s="1" t="s">
        <v>6</v>
      </c>
      <c r="E13" s="14"/>
      <c r="F13" s="206">
        <v>284733.23000000004</v>
      </c>
      <c r="G13" s="206"/>
      <c r="H13" s="206">
        <v>281723</v>
      </c>
    </row>
    <row r="14" spans="1:8">
      <c r="A14" s="10">
        <v>2</v>
      </c>
      <c r="C14" s="10">
        <v>2022</v>
      </c>
      <c r="D14" s="1" t="s">
        <v>7</v>
      </c>
      <c r="E14" s="14"/>
      <c r="F14" s="206">
        <v>199243.91999999995</v>
      </c>
      <c r="G14" s="206"/>
      <c r="H14" s="206">
        <v>220109</v>
      </c>
    </row>
    <row r="15" spans="1:8">
      <c r="A15" s="10">
        <v>3</v>
      </c>
      <c r="C15" s="10">
        <v>2022</v>
      </c>
      <c r="D15" s="1" t="s">
        <v>8</v>
      </c>
      <c r="E15" s="14"/>
      <c r="F15" s="206">
        <v>140374.99</v>
      </c>
      <c r="G15" s="206"/>
      <c r="H15" s="206">
        <v>150554</v>
      </c>
    </row>
    <row r="16" spans="1:8">
      <c r="A16" s="10">
        <v>4</v>
      </c>
      <c r="C16" s="10">
        <v>2022</v>
      </c>
      <c r="D16" s="1" t="s">
        <v>9</v>
      </c>
      <c r="E16" s="14"/>
      <c r="F16" s="206">
        <v>176030.69</v>
      </c>
      <c r="G16" s="206"/>
      <c r="H16" s="206">
        <v>161287</v>
      </c>
    </row>
    <row r="17" spans="1:8">
      <c r="A17" s="10">
        <v>5</v>
      </c>
      <c r="C17" s="10">
        <v>2022</v>
      </c>
      <c r="D17" s="1" t="s">
        <v>10</v>
      </c>
      <c r="E17" s="14"/>
      <c r="F17" s="206">
        <v>182519.02</v>
      </c>
      <c r="G17" s="206"/>
      <c r="H17" s="206">
        <v>176207</v>
      </c>
    </row>
    <row r="18" spans="1:8">
      <c r="A18" s="10">
        <v>6</v>
      </c>
      <c r="C18" s="10">
        <v>2022</v>
      </c>
      <c r="D18" s="1" t="s">
        <v>11</v>
      </c>
      <c r="E18" s="14"/>
      <c r="F18" s="206">
        <v>202323.18000000002</v>
      </c>
      <c r="G18" s="206"/>
      <c r="H18" s="206">
        <v>236138</v>
      </c>
    </row>
    <row r="19" spans="1:8">
      <c r="A19" s="10">
        <v>7</v>
      </c>
      <c r="C19" s="10">
        <v>2022</v>
      </c>
      <c r="D19" s="1" t="s">
        <v>12</v>
      </c>
      <c r="E19" s="14"/>
      <c r="F19" s="206">
        <v>252626.71000000005</v>
      </c>
      <c r="G19" s="206"/>
      <c r="H19" s="206">
        <v>275638</v>
      </c>
    </row>
    <row r="20" spans="1:8">
      <c r="A20" s="10">
        <v>8</v>
      </c>
      <c r="C20" s="10">
        <v>2022</v>
      </c>
      <c r="D20" s="1" t="s">
        <v>13</v>
      </c>
      <c r="E20" s="14"/>
      <c r="F20" s="206">
        <v>231952.93</v>
      </c>
      <c r="G20" s="206"/>
      <c r="H20" s="206">
        <v>214376</v>
      </c>
    </row>
    <row r="21" spans="1:8">
      <c r="A21" s="10">
        <v>9</v>
      </c>
      <c r="C21" s="10">
        <v>2022</v>
      </c>
      <c r="D21" s="1" t="s">
        <v>2</v>
      </c>
      <c r="E21" s="14"/>
      <c r="F21" s="206">
        <v>139252.35</v>
      </c>
      <c r="G21" s="206"/>
      <c r="H21" s="206">
        <v>142684</v>
      </c>
    </row>
    <row r="22" spans="1:8">
      <c r="A22" s="10">
        <v>10</v>
      </c>
      <c r="C22" s="10">
        <v>2022</v>
      </c>
      <c r="D22" s="1" t="s">
        <v>3</v>
      </c>
      <c r="E22" s="14"/>
      <c r="F22" s="206">
        <v>183645.19999999992</v>
      </c>
      <c r="G22" s="206"/>
      <c r="H22" s="206">
        <v>180438</v>
      </c>
    </row>
    <row r="23" spans="1:8">
      <c r="A23" s="10">
        <v>11</v>
      </c>
      <c r="C23" s="10">
        <v>2022</v>
      </c>
      <c r="D23" s="1" t="s">
        <v>4</v>
      </c>
      <c r="E23" s="14"/>
      <c r="F23" s="206">
        <v>235080.83</v>
      </c>
      <c r="G23" s="206"/>
      <c r="H23" s="206">
        <v>233724</v>
      </c>
    </row>
    <row r="24" spans="1:8">
      <c r="A24" s="10">
        <v>12</v>
      </c>
      <c r="C24" s="10">
        <v>2022</v>
      </c>
      <c r="D24" s="1" t="s">
        <v>5</v>
      </c>
      <c r="E24" s="14"/>
      <c r="F24" s="206">
        <v>309628.61000000004</v>
      </c>
      <c r="G24" s="206"/>
      <c r="H24" s="206">
        <v>336215</v>
      </c>
    </row>
    <row r="25" spans="1:8">
      <c r="A25" s="10">
        <v>13</v>
      </c>
      <c r="C25" s="16"/>
      <c r="D25" s="4" t="s">
        <v>14</v>
      </c>
      <c r="E25" s="17"/>
      <c r="F25" s="17">
        <f>SUM(F13:F24)</f>
        <v>2537411.6599999997</v>
      </c>
      <c r="G25" s="17"/>
      <c r="H25" s="17">
        <f>SUM(H13:H24)</f>
        <v>2609093</v>
      </c>
    </row>
    <row r="26" spans="1:8">
      <c r="A26" s="10">
        <v>14</v>
      </c>
      <c r="D26" s="2"/>
      <c r="E26" s="18"/>
      <c r="F26" s="18"/>
      <c r="G26" s="18"/>
    </row>
    <row r="27" spans="1:8">
      <c r="A27" s="10">
        <v>15</v>
      </c>
      <c r="C27" s="2" t="s">
        <v>39</v>
      </c>
      <c r="D27" s="2"/>
      <c r="E27" s="18"/>
      <c r="F27" s="19">
        <f>F25</f>
        <v>2537411.6599999997</v>
      </c>
      <c r="G27" s="19"/>
      <c r="H27" s="19">
        <f>H25</f>
        <v>2609093</v>
      </c>
    </row>
    <row r="28" spans="1:8">
      <c r="A28" s="10">
        <v>16</v>
      </c>
      <c r="C28" s="2"/>
      <c r="D28" s="2"/>
      <c r="E28" s="18"/>
      <c r="F28" s="19"/>
      <c r="G28" s="19"/>
    </row>
    <row r="29" spans="1:8">
      <c r="A29" s="10">
        <v>17</v>
      </c>
      <c r="C29" s="2" t="s">
        <v>40</v>
      </c>
      <c r="E29" s="14"/>
      <c r="F29" s="14">
        <v>0</v>
      </c>
      <c r="G29" s="14"/>
      <c r="H29" s="14">
        <v>0</v>
      </c>
    </row>
    <row r="30" spans="1:8">
      <c r="A30" s="10">
        <v>18</v>
      </c>
      <c r="C30" s="2"/>
    </row>
    <row r="31" spans="1:8" ht="13.8" thickBot="1">
      <c r="A31" s="10">
        <v>19</v>
      </c>
      <c r="C31" s="3" t="s">
        <v>15</v>
      </c>
      <c r="D31" s="20"/>
      <c r="E31" s="21"/>
      <c r="F31" s="22">
        <f>ROUND(F29-F27,2)</f>
        <v>-2537411.66</v>
      </c>
      <c r="G31" s="21"/>
      <c r="H31" s="22">
        <f>ROUND(H29-H27,2)</f>
        <v>-2609093</v>
      </c>
    </row>
    <row r="32" spans="1:8" ht="13.8" thickTop="1"/>
    <row r="34" spans="3:8" ht="29.25" customHeight="1">
      <c r="C34" s="189" t="s">
        <v>42</v>
      </c>
      <c r="D34" s="189"/>
      <c r="E34" s="189"/>
      <c r="F34" s="189"/>
      <c r="G34" s="189"/>
      <c r="H34" s="189"/>
    </row>
  </sheetData>
  <mergeCells count="4">
    <mergeCell ref="A4:H4"/>
    <mergeCell ref="A5:H5"/>
    <mergeCell ref="A7:H7"/>
    <mergeCell ref="C34:H34"/>
  </mergeCells>
  <phoneticPr fontId="22" type="noConversion"/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C10:H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58"/>
  <sheetViews>
    <sheetView view="pageBreakPreview" topLeftCell="A10" zoomScale="60" zoomScaleNormal="100" workbookViewId="0">
      <selection activeCell="H42" sqref="H42"/>
    </sheetView>
  </sheetViews>
  <sheetFormatPr defaultColWidth="9.109375" defaultRowHeight="13.2"/>
  <cols>
    <col min="1" max="1" width="5.88671875" style="11" customWidth="1"/>
    <col min="2" max="2" width="2.33203125" style="11" customWidth="1"/>
    <col min="3" max="3" width="9.33203125" style="11" customWidth="1"/>
    <col min="4" max="4" width="30.5546875" style="11" bestFit="1" customWidth="1"/>
    <col min="5" max="5" width="12.33203125" style="11" customWidth="1"/>
    <col min="6" max="6" width="10.5546875" style="11" customWidth="1"/>
    <col min="7" max="7" width="10.44140625" style="11" customWidth="1"/>
    <col min="8" max="8" width="11.44140625" style="11" customWidth="1"/>
    <col min="9" max="9" width="11.6640625" style="11" customWidth="1"/>
    <col min="10" max="10" width="12" style="11" customWidth="1"/>
    <col min="11" max="11" width="9.109375" style="11"/>
    <col min="12" max="12" width="14.109375" style="11" bestFit="1" customWidth="1"/>
    <col min="13" max="13" width="11.44140625" style="11" bestFit="1" customWidth="1"/>
    <col min="14" max="14" width="14.109375" style="11" bestFit="1" customWidth="1"/>
    <col min="15" max="15" width="11.44140625" style="11" bestFit="1" customWidth="1"/>
    <col min="16" max="16" width="14.109375" style="11" bestFit="1" customWidth="1"/>
    <col min="17" max="16384" width="9.109375" style="11"/>
  </cols>
  <sheetData>
    <row r="1" spans="1:16">
      <c r="G1" s="5"/>
      <c r="J1" s="5" t="s">
        <v>138</v>
      </c>
    </row>
    <row r="2" spans="1:16" ht="20.25" customHeight="1">
      <c r="G2" s="5"/>
    </row>
    <row r="3" spans="1:16">
      <c r="A3" s="187" t="s">
        <v>29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6">
      <c r="A4" s="187" t="str">
        <f>RevReq!A3</f>
        <v>For the 12 Months Ended December 31, 2022</v>
      </c>
      <c r="B4" s="187"/>
      <c r="C4" s="187"/>
      <c r="D4" s="187"/>
      <c r="E4" s="187"/>
      <c r="F4" s="187"/>
      <c r="G4" s="187"/>
      <c r="H4" s="187"/>
      <c r="I4" s="187"/>
      <c r="J4" s="187"/>
    </row>
    <row r="6" spans="1:16" s="6" customFormat="1" ht="15" customHeight="1">
      <c r="A6" s="188" t="str">
        <f>'Adj List'!C9</f>
        <v>Depreciation Expense</v>
      </c>
      <c r="B6" s="188"/>
      <c r="C6" s="188"/>
      <c r="D6" s="188"/>
      <c r="E6" s="188"/>
      <c r="F6" s="188"/>
      <c r="G6" s="188"/>
      <c r="H6" s="188"/>
      <c r="I6" s="188"/>
      <c r="J6" s="188"/>
    </row>
    <row r="8" spans="1:16" s="31" customFormat="1" ht="38.25" customHeight="1">
      <c r="A8" s="31" t="s">
        <v>0</v>
      </c>
      <c r="C8" s="31" t="s">
        <v>224</v>
      </c>
      <c r="D8" s="31" t="s">
        <v>1</v>
      </c>
      <c r="E8" s="31" t="s">
        <v>221</v>
      </c>
      <c r="F8" s="31" t="s">
        <v>225</v>
      </c>
      <c r="G8" s="31" t="s">
        <v>106</v>
      </c>
      <c r="H8" s="31" t="s">
        <v>222</v>
      </c>
      <c r="I8" s="31" t="s">
        <v>223</v>
      </c>
      <c r="J8" s="31" t="s">
        <v>188</v>
      </c>
    </row>
    <row r="9" spans="1:16">
      <c r="A9" s="12" t="s">
        <v>21</v>
      </c>
      <c r="B9" s="10"/>
      <c r="C9" s="13" t="s">
        <v>18</v>
      </c>
      <c r="D9" s="13" t="s">
        <v>20</v>
      </c>
      <c r="E9" s="13" t="s">
        <v>19</v>
      </c>
      <c r="F9" s="13" t="s">
        <v>25</v>
      </c>
      <c r="G9" s="13" t="s">
        <v>57</v>
      </c>
      <c r="H9" s="13" t="s">
        <v>58</v>
      </c>
      <c r="I9" s="13" t="s">
        <v>59</v>
      </c>
      <c r="J9" s="13" t="s">
        <v>60</v>
      </c>
    </row>
    <row r="10" spans="1:16">
      <c r="A10" s="10"/>
      <c r="B10" s="10"/>
    </row>
    <row r="11" spans="1:16">
      <c r="A11" s="10">
        <v>1</v>
      </c>
      <c r="B11" s="10"/>
      <c r="C11" s="49" t="s">
        <v>226</v>
      </c>
    </row>
    <row r="12" spans="1:16">
      <c r="A12" s="10">
        <f>A11+1</f>
        <v>2</v>
      </c>
      <c r="B12" s="10"/>
      <c r="C12" s="53">
        <v>362</v>
      </c>
      <c r="D12" s="2" t="s">
        <v>227</v>
      </c>
      <c r="E12" s="207">
        <v>195178.94</v>
      </c>
      <c r="F12" s="207">
        <v>0</v>
      </c>
      <c r="G12" s="208">
        <v>2.86E-2</v>
      </c>
      <c r="H12" s="71">
        <f>ROUND(((+E12-F12)*G12),2)</f>
        <v>5582.12</v>
      </c>
      <c r="I12" s="71">
        <v>11446</v>
      </c>
      <c r="J12" s="18">
        <f>H12-I12</f>
        <v>-5863.88</v>
      </c>
      <c r="L12" s="23"/>
      <c r="M12" s="23"/>
      <c r="N12" s="23"/>
      <c r="O12" s="72"/>
      <c r="P12" s="23"/>
    </row>
    <row r="13" spans="1:16">
      <c r="A13" s="10">
        <f t="shared" ref="A13:A39" si="0">A12+1</f>
        <v>3</v>
      </c>
      <c r="B13" s="10"/>
      <c r="C13" s="53">
        <v>364</v>
      </c>
      <c r="D13" s="2" t="s">
        <v>228</v>
      </c>
      <c r="E13" s="207">
        <v>12611381.65</v>
      </c>
      <c r="F13" s="207">
        <v>0</v>
      </c>
      <c r="G13" s="208">
        <v>4.99E-2</v>
      </c>
      <c r="H13" s="71">
        <f t="shared" ref="H13:H20" si="1">ROUND(((+E13-F13)*G13),2)</f>
        <v>629307.93999999994</v>
      </c>
      <c r="I13" s="71">
        <v>701943</v>
      </c>
      <c r="J13" s="18">
        <f t="shared" ref="J13:J20" si="2">H13-I13</f>
        <v>-72635.060000000056</v>
      </c>
      <c r="L13" s="23"/>
      <c r="M13" s="23"/>
      <c r="N13" s="23"/>
      <c r="O13" s="72"/>
      <c r="P13" s="23"/>
    </row>
    <row r="14" spans="1:16">
      <c r="A14" s="10">
        <f t="shared" si="0"/>
        <v>4</v>
      </c>
      <c r="B14" s="10"/>
      <c r="C14" s="53">
        <v>365</v>
      </c>
      <c r="D14" s="2" t="s">
        <v>229</v>
      </c>
      <c r="E14" s="207">
        <v>11014519.43</v>
      </c>
      <c r="F14" s="207">
        <v>0</v>
      </c>
      <c r="G14" s="208">
        <v>4.8399999999999999E-2</v>
      </c>
      <c r="H14" s="71">
        <f t="shared" si="1"/>
        <v>533102.74</v>
      </c>
      <c r="I14" s="71">
        <v>628290</v>
      </c>
      <c r="J14" s="18">
        <f t="shared" si="2"/>
        <v>-95187.260000000009</v>
      </c>
      <c r="L14" s="23"/>
      <c r="M14" s="23"/>
      <c r="N14" s="23"/>
      <c r="O14" s="72"/>
      <c r="P14" s="23"/>
    </row>
    <row r="15" spans="1:16">
      <c r="A15" s="10">
        <f t="shared" si="0"/>
        <v>5</v>
      </c>
      <c r="B15" s="10"/>
      <c r="C15" s="53">
        <v>366</v>
      </c>
      <c r="D15" s="2" t="s">
        <v>230</v>
      </c>
      <c r="E15" s="207">
        <v>421290.23</v>
      </c>
      <c r="F15" s="207">
        <v>0</v>
      </c>
      <c r="G15" s="208">
        <v>4.8399999999999999E-2</v>
      </c>
      <c r="H15" s="71">
        <f t="shared" si="1"/>
        <v>20390.45</v>
      </c>
      <c r="I15" s="71">
        <v>28448</v>
      </c>
      <c r="J15" s="18">
        <f t="shared" si="2"/>
        <v>-8057.5499999999993</v>
      </c>
      <c r="L15" s="23"/>
      <c r="M15" s="23"/>
      <c r="N15" s="23"/>
      <c r="O15" s="72"/>
      <c r="P15" s="23"/>
    </row>
    <row r="16" spans="1:16">
      <c r="A16" s="10">
        <f t="shared" si="0"/>
        <v>6</v>
      </c>
      <c r="B16" s="10"/>
      <c r="C16" s="53">
        <v>367</v>
      </c>
      <c r="D16" s="2" t="s">
        <v>231</v>
      </c>
      <c r="E16" s="207">
        <v>198543.44999999998</v>
      </c>
      <c r="F16" s="207">
        <v>0</v>
      </c>
      <c r="G16" s="208">
        <v>3.1300000000000001E-2</v>
      </c>
      <c r="H16" s="71">
        <f t="shared" si="1"/>
        <v>6214.41</v>
      </c>
      <c r="I16" s="71">
        <v>11667</v>
      </c>
      <c r="J16" s="18">
        <f t="shared" si="2"/>
        <v>-5452.59</v>
      </c>
      <c r="L16" s="23"/>
      <c r="M16" s="23"/>
      <c r="N16" s="23"/>
      <c r="O16" s="72"/>
      <c r="P16" s="23"/>
    </row>
    <row r="17" spans="1:16">
      <c r="A17" s="10">
        <f t="shared" si="0"/>
        <v>7</v>
      </c>
      <c r="B17" s="10"/>
      <c r="C17" s="53">
        <v>368</v>
      </c>
      <c r="D17" s="2" t="s">
        <v>232</v>
      </c>
      <c r="E17" s="207">
        <v>4533919.4700000007</v>
      </c>
      <c r="F17" s="207">
        <v>0</v>
      </c>
      <c r="G17" s="208">
        <v>3.4599999999999999E-2</v>
      </c>
      <c r="H17" s="71">
        <f t="shared" si="1"/>
        <v>156873.60999999999</v>
      </c>
      <c r="I17" s="71">
        <v>221026</v>
      </c>
      <c r="J17" s="18">
        <f t="shared" si="2"/>
        <v>-64152.390000000014</v>
      </c>
      <c r="L17" s="23"/>
      <c r="M17" s="23"/>
      <c r="N17" s="23"/>
      <c r="O17" s="72"/>
      <c r="P17" s="23"/>
    </row>
    <row r="18" spans="1:16">
      <c r="A18" s="10">
        <f t="shared" si="0"/>
        <v>8</v>
      </c>
      <c r="C18" s="53">
        <v>369</v>
      </c>
      <c r="D18" s="2" t="s">
        <v>109</v>
      </c>
      <c r="E18" s="207">
        <v>3729555.73</v>
      </c>
      <c r="F18" s="207">
        <v>0</v>
      </c>
      <c r="G18" s="208">
        <v>4.02E-2</v>
      </c>
      <c r="H18" s="71">
        <f t="shared" si="1"/>
        <v>149928.14000000001</v>
      </c>
      <c r="I18" s="71">
        <v>202261</v>
      </c>
      <c r="J18" s="18">
        <f t="shared" si="2"/>
        <v>-52332.859999999986</v>
      </c>
      <c r="L18" s="23"/>
      <c r="M18" s="23"/>
      <c r="N18" s="23"/>
      <c r="O18" s="72"/>
      <c r="P18" s="23"/>
    </row>
    <row r="19" spans="1:16">
      <c r="A19" s="10">
        <f t="shared" si="0"/>
        <v>9</v>
      </c>
      <c r="C19" s="53">
        <v>370</v>
      </c>
      <c r="D19" s="2" t="s">
        <v>154</v>
      </c>
      <c r="E19" s="207">
        <v>3642458.54</v>
      </c>
      <c r="F19" s="207">
        <v>0</v>
      </c>
      <c r="G19" s="208">
        <v>6.6699999999999995E-2</v>
      </c>
      <c r="H19" s="71">
        <f t="shared" si="1"/>
        <v>242951.98</v>
      </c>
      <c r="I19" s="71">
        <v>233762</v>
      </c>
      <c r="J19" s="18">
        <f t="shared" si="2"/>
        <v>9189.9800000000105</v>
      </c>
      <c r="L19" s="23"/>
      <c r="M19" s="23"/>
      <c r="N19" s="23"/>
      <c r="O19" s="72"/>
      <c r="P19" s="23"/>
    </row>
    <row r="20" spans="1:16">
      <c r="A20" s="10">
        <f t="shared" si="0"/>
        <v>10</v>
      </c>
      <c r="C20" s="53" t="s">
        <v>233</v>
      </c>
      <c r="D20" s="2" t="s">
        <v>234</v>
      </c>
      <c r="E20" s="207">
        <v>1876688.86</v>
      </c>
      <c r="F20" s="207">
        <v>0</v>
      </c>
      <c r="G20" s="208">
        <v>4.0899999999999999E-2</v>
      </c>
      <c r="H20" s="71">
        <f t="shared" si="1"/>
        <v>76756.570000000007</v>
      </c>
      <c r="I20" s="71">
        <v>98180</v>
      </c>
      <c r="J20" s="18">
        <f t="shared" si="2"/>
        <v>-21423.429999999993</v>
      </c>
      <c r="L20" s="23"/>
      <c r="M20" s="23"/>
      <c r="N20" s="23"/>
      <c r="O20" s="72"/>
      <c r="P20" s="23"/>
    </row>
    <row r="21" spans="1:16">
      <c r="A21" s="10">
        <f t="shared" si="0"/>
        <v>11</v>
      </c>
      <c r="D21" s="74" t="s">
        <v>22</v>
      </c>
      <c r="E21" s="209">
        <f>SUM(E12:E20)</f>
        <v>38223536.300000004</v>
      </c>
      <c r="F21" s="209">
        <f t="shared" ref="F21:J21" si="3">SUM(F12:F20)</f>
        <v>0</v>
      </c>
      <c r="G21" s="209"/>
      <c r="H21" s="73">
        <f t="shared" si="3"/>
        <v>1821107.9599999997</v>
      </c>
      <c r="I21" s="73">
        <f t="shared" si="3"/>
        <v>2137023</v>
      </c>
      <c r="J21" s="73">
        <f t="shared" si="3"/>
        <v>-315915.0400000001</v>
      </c>
      <c r="L21" s="23"/>
      <c r="M21" s="23"/>
      <c r="N21" s="23"/>
      <c r="O21" s="72"/>
      <c r="P21" s="23"/>
    </row>
    <row r="22" spans="1:16">
      <c r="A22" s="10">
        <f t="shared" si="0"/>
        <v>12</v>
      </c>
      <c r="E22" s="210"/>
      <c r="F22" s="210"/>
      <c r="G22" s="210"/>
      <c r="L22" s="23"/>
      <c r="M22" s="23"/>
      <c r="N22" s="23"/>
      <c r="O22" s="72"/>
      <c r="P22" s="23"/>
    </row>
    <row r="23" spans="1:16">
      <c r="A23" s="10">
        <f t="shared" si="0"/>
        <v>13</v>
      </c>
      <c r="C23" s="49" t="s">
        <v>243</v>
      </c>
      <c r="E23" s="210"/>
      <c r="F23" s="210"/>
      <c r="G23" s="210"/>
      <c r="L23" s="23"/>
      <c r="M23" s="23"/>
      <c r="N23" s="23"/>
      <c r="O23" s="72"/>
      <c r="P23" s="23"/>
    </row>
    <row r="24" spans="1:16">
      <c r="A24" s="10">
        <f t="shared" si="0"/>
        <v>14</v>
      </c>
      <c r="C24" s="53">
        <v>389</v>
      </c>
      <c r="D24" s="2" t="s">
        <v>235</v>
      </c>
      <c r="E24" s="207"/>
      <c r="F24" s="207"/>
      <c r="G24" s="211"/>
      <c r="H24" s="71"/>
      <c r="I24" s="71"/>
      <c r="J24" s="18"/>
      <c r="L24" s="23"/>
      <c r="M24" s="23"/>
      <c r="N24" s="23"/>
      <c r="O24" s="72"/>
      <c r="P24" s="23"/>
    </row>
    <row r="25" spans="1:16">
      <c r="A25" s="10">
        <f t="shared" si="0"/>
        <v>15</v>
      </c>
      <c r="C25" s="53">
        <v>390</v>
      </c>
      <c r="D25" s="2" t="s">
        <v>236</v>
      </c>
      <c r="E25" s="207">
        <v>2991477</v>
      </c>
      <c r="F25" s="207">
        <v>0</v>
      </c>
      <c r="G25" s="208">
        <v>2.5000000000000001E-2</v>
      </c>
      <c r="H25" s="71">
        <f>ROUND(((+E25-F25)*G25),2)</f>
        <v>74786.929999999993</v>
      </c>
      <c r="I25" s="71">
        <v>74667</v>
      </c>
      <c r="J25" s="18">
        <f t="shared" ref="J25:J32" si="4">H25-I25</f>
        <v>119.92999999999302</v>
      </c>
      <c r="L25" s="23"/>
      <c r="M25" s="23"/>
      <c r="N25" s="23"/>
      <c r="O25" s="72"/>
      <c r="P25" s="23"/>
    </row>
    <row r="26" spans="1:16">
      <c r="A26" s="10">
        <f t="shared" si="0"/>
        <v>16</v>
      </c>
      <c r="C26" s="53">
        <v>391</v>
      </c>
      <c r="D26" s="2" t="s">
        <v>237</v>
      </c>
      <c r="E26" s="207">
        <v>702484</v>
      </c>
      <c r="F26" s="207">
        <v>0</v>
      </c>
      <c r="G26" s="208">
        <v>0.06</v>
      </c>
      <c r="H26" s="71">
        <f t="shared" ref="H26:H32" si="5">ROUND(((+E26-F26)*G26),2)</f>
        <v>42149.04</v>
      </c>
      <c r="I26" s="71">
        <v>44327</v>
      </c>
      <c r="J26" s="18">
        <f t="shared" si="4"/>
        <v>-2177.9599999999991</v>
      </c>
      <c r="L26" s="23"/>
      <c r="M26" s="23"/>
      <c r="N26" s="23"/>
      <c r="O26" s="72"/>
      <c r="P26" s="23"/>
    </row>
    <row r="27" spans="1:16">
      <c r="A27" s="10">
        <f t="shared" si="0"/>
        <v>17</v>
      </c>
      <c r="C27" s="53">
        <v>393</v>
      </c>
      <c r="D27" s="2" t="s">
        <v>149</v>
      </c>
      <c r="E27" s="207">
        <v>0</v>
      </c>
      <c r="F27" s="207">
        <v>0</v>
      </c>
      <c r="G27" s="208">
        <v>0.05</v>
      </c>
      <c r="H27" s="71">
        <f t="shared" si="5"/>
        <v>0</v>
      </c>
      <c r="I27" s="71"/>
      <c r="J27" s="18">
        <f t="shared" si="4"/>
        <v>0</v>
      </c>
      <c r="L27" s="23"/>
      <c r="M27" s="23"/>
      <c r="N27" s="23"/>
      <c r="O27" s="72"/>
      <c r="P27" s="23"/>
    </row>
    <row r="28" spans="1:16">
      <c r="A28" s="10">
        <f t="shared" si="0"/>
        <v>18</v>
      </c>
      <c r="C28" s="53">
        <v>394</v>
      </c>
      <c r="D28" s="2" t="s">
        <v>238</v>
      </c>
      <c r="E28" s="207">
        <v>124891</v>
      </c>
      <c r="F28" s="207">
        <v>0</v>
      </c>
      <c r="G28" s="208">
        <v>0.05</v>
      </c>
      <c r="H28" s="71">
        <f t="shared" si="5"/>
        <v>6244.55</v>
      </c>
      <c r="I28" s="71">
        <v>6078</v>
      </c>
      <c r="J28" s="18">
        <f t="shared" si="4"/>
        <v>166.55000000000018</v>
      </c>
      <c r="L28" s="23"/>
      <c r="M28" s="23"/>
      <c r="N28" s="23"/>
      <c r="O28" s="72"/>
      <c r="P28" s="23"/>
    </row>
    <row r="29" spans="1:16">
      <c r="A29" s="10">
        <f t="shared" si="0"/>
        <v>19</v>
      </c>
      <c r="C29" s="53">
        <v>395</v>
      </c>
      <c r="D29" s="2" t="s">
        <v>239</v>
      </c>
      <c r="E29" s="207">
        <v>154634</v>
      </c>
      <c r="F29" s="207">
        <v>0</v>
      </c>
      <c r="G29" s="208">
        <v>0.05</v>
      </c>
      <c r="H29" s="71">
        <f t="shared" si="5"/>
        <v>7731.7</v>
      </c>
      <c r="I29" s="71">
        <v>7738</v>
      </c>
      <c r="J29" s="18">
        <f t="shared" si="4"/>
        <v>-6.3000000000001819</v>
      </c>
      <c r="L29" s="23"/>
      <c r="M29" s="23"/>
      <c r="N29" s="23"/>
      <c r="O29" s="72"/>
      <c r="P29" s="23"/>
    </row>
    <row r="30" spans="1:16">
      <c r="A30" s="10">
        <f t="shared" si="0"/>
        <v>20</v>
      </c>
      <c r="C30" s="53">
        <v>396</v>
      </c>
      <c r="D30" s="2" t="s">
        <v>240</v>
      </c>
      <c r="E30" s="207">
        <v>11903</v>
      </c>
      <c r="F30" s="207">
        <v>0</v>
      </c>
      <c r="G30" s="208">
        <v>0.14000000000000001</v>
      </c>
      <c r="H30" s="71">
        <f t="shared" si="5"/>
        <v>1666.42</v>
      </c>
      <c r="I30" s="71">
        <v>0</v>
      </c>
      <c r="J30" s="18">
        <f t="shared" si="4"/>
        <v>1666.42</v>
      </c>
      <c r="L30" s="23"/>
      <c r="M30" s="23"/>
      <c r="N30" s="23"/>
      <c r="O30" s="72"/>
      <c r="P30" s="23"/>
    </row>
    <row r="31" spans="1:16">
      <c r="A31" s="10">
        <f t="shared" si="0"/>
        <v>21</v>
      </c>
      <c r="C31" s="53">
        <v>397</v>
      </c>
      <c r="D31" s="2" t="s">
        <v>241</v>
      </c>
      <c r="E31" s="207">
        <v>50173</v>
      </c>
      <c r="F31" s="207">
        <v>0</v>
      </c>
      <c r="G31" s="208">
        <v>7.0000000000000007E-2</v>
      </c>
      <c r="H31" s="71">
        <f t="shared" si="5"/>
        <v>3512.11</v>
      </c>
      <c r="I31" s="71">
        <v>2075</v>
      </c>
      <c r="J31" s="18">
        <f t="shared" si="4"/>
        <v>1437.1100000000001</v>
      </c>
      <c r="L31" s="23"/>
      <c r="M31" s="23"/>
      <c r="N31" s="23"/>
      <c r="O31" s="72"/>
      <c r="P31" s="23"/>
    </row>
    <row r="32" spans="1:16">
      <c r="A32" s="10">
        <f t="shared" si="0"/>
        <v>22</v>
      </c>
      <c r="C32" s="53">
        <v>398</v>
      </c>
      <c r="D32" s="2" t="s">
        <v>242</v>
      </c>
      <c r="E32" s="207">
        <v>30873</v>
      </c>
      <c r="F32" s="207">
        <v>0</v>
      </c>
      <c r="G32" s="208">
        <v>0.05</v>
      </c>
      <c r="H32" s="71">
        <f t="shared" si="5"/>
        <v>1543.65</v>
      </c>
      <c r="I32" s="71">
        <v>796</v>
      </c>
      <c r="J32" s="18">
        <f t="shared" si="4"/>
        <v>747.65000000000009</v>
      </c>
      <c r="L32" s="23"/>
      <c r="M32" s="23"/>
      <c r="N32" s="23"/>
      <c r="O32" s="72"/>
      <c r="P32" s="23"/>
    </row>
    <row r="33" spans="1:25">
      <c r="A33" s="10">
        <f t="shared" si="0"/>
        <v>23</v>
      </c>
      <c r="D33" s="74" t="s">
        <v>22</v>
      </c>
      <c r="E33" s="209">
        <f>SUM(E24:E32)</f>
        <v>4066435</v>
      </c>
      <c r="F33" s="209">
        <f>SUM(F24:F32)</f>
        <v>0</v>
      </c>
      <c r="G33" s="209"/>
      <c r="H33" s="73">
        <f>SUM(H24:H32)</f>
        <v>137634.4</v>
      </c>
      <c r="I33" s="73">
        <f>SUM(I24:I32)</f>
        <v>135681</v>
      </c>
      <c r="J33" s="73">
        <f>SUM(J24:J32)</f>
        <v>1953.3999999999942</v>
      </c>
      <c r="N33" s="23"/>
    </row>
    <row r="34" spans="1:25">
      <c r="A34" s="10"/>
      <c r="C34" s="78"/>
      <c r="D34" s="79" t="s">
        <v>249</v>
      </c>
      <c r="E34" s="212">
        <f>E21+E33</f>
        <v>42289971.300000004</v>
      </c>
      <c r="F34" s="212">
        <f>F21+F33</f>
        <v>0</v>
      </c>
      <c r="G34" s="212"/>
      <c r="H34" s="80">
        <f>H21+H33</f>
        <v>1958742.3599999996</v>
      </c>
      <c r="I34" s="80">
        <f>I21+I33</f>
        <v>2272704</v>
      </c>
      <c r="J34" s="80">
        <f>J21+J33</f>
        <v>-313961.64000000013</v>
      </c>
      <c r="N34" s="23"/>
    </row>
    <row r="35" spans="1:25">
      <c r="A35" s="10">
        <f>A33+1</f>
        <v>24</v>
      </c>
      <c r="D35" s="76"/>
      <c r="E35" s="207"/>
      <c r="F35" s="207"/>
      <c r="G35" s="207"/>
      <c r="H35" s="72"/>
      <c r="I35" s="72"/>
      <c r="J35" s="72"/>
      <c r="N35" s="23"/>
    </row>
    <row r="36" spans="1:25">
      <c r="A36" s="10">
        <f t="shared" si="0"/>
        <v>25</v>
      </c>
      <c r="C36" s="49" t="s">
        <v>245</v>
      </c>
      <c r="E36" s="207"/>
      <c r="F36" s="207"/>
      <c r="G36" s="207"/>
      <c r="H36" s="72"/>
      <c r="I36" s="72"/>
      <c r="J36" s="72"/>
      <c r="N36" s="23"/>
    </row>
    <row r="37" spans="1:25">
      <c r="A37" s="10">
        <f t="shared" si="0"/>
        <v>26</v>
      </c>
      <c r="C37" s="53">
        <v>392</v>
      </c>
      <c r="D37" s="2" t="s">
        <v>150</v>
      </c>
      <c r="E37" s="207">
        <v>1519786.14</v>
      </c>
      <c r="F37" s="207">
        <v>0</v>
      </c>
      <c r="G37" s="208">
        <f>0.016*12</f>
        <v>0.192</v>
      </c>
      <c r="H37" s="71">
        <f t="shared" ref="H37" si="6">ROUND(((+E37-F37)*G37),2)</f>
        <v>291798.94</v>
      </c>
      <c r="I37" s="71">
        <v>147630</v>
      </c>
      <c r="J37" s="18">
        <f t="shared" ref="J37" si="7">H37-I37</f>
        <v>144168.94</v>
      </c>
      <c r="N37" s="23"/>
      <c r="P37" s="148"/>
    </row>
    <row r="38" spans="1:25">
      <c r="A38" s="10">
        <f t="shared" si="0"/>
        <v>27</v>
      </c>
    </row>
    <row r="39" spans="1:25" ht="13.8" thickBot="1">
      <c r="A39" s="10">
        <f t="shared" si="0"/>
        <v>28</v>
      </c>
      <c r="C39" s="20"/>
      <c r="D39" s="20" t="s">
        <v>14</v>
      </c>
      <c r="E39" s="75">
        <f>E34+E37</f>
        <v>43809757.440000005</v>
      </c>
      <c r="F39" s="75">
        <f>F34+F37</f>
        <v>0</v>
      </c>
      <c r="G39" s="20"/>
      <c r="H39" s="75">
        <f>H34+H37</f>
        <v>2250541.2999999998</v>
      </c>
      <c r="I39" s="75">
        <f>I34+I37</f>
        <v>2420334</v>
      </c>
      <c r="J39" s="81">
        <f>J34+J37</f>
        <v>-169792.70000000013</v>
      </c>
    </row>
    <row r="40" spans="1:25" ht="13.8" thickTop="1"/>
    <row r="41" spans="1:25" s="2" customFormat="1" ht="29.25" customHeight="1">
      <c r="A41" s="51"/>
      <c r="B41" s="62"/>
      <c r="C41" s="190" t="s">
        <v>244</v>
      </c>
      <c r="D41" s="190"/>
      <c r="E41" s="190"/>
      <c r="F41" s="190"/>
      <c r="G41" s="190"/>
      <c r="H41" s="190"/>
      <c r="I41" s="190"/>
      <c r="J41" s="190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s="2" customFormat="1" ht="12.75" customHeight="1">
      <c r="A42" s="51"/>
      <c r="B42" s="62"/>
      <c r="C42" s="61"/>
      <c r="D42" s="61"/>
      <c r="E42" s="61"/>
      <c r="F42" s="61"/>
      <c r="G42" s="61"/>
      <c r="H42" s="61"/>
      <c r="I42" s="61"/>
      <c r="J42" s="61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4" spans="1:25">
      <c r="C44" s="63" t="s">
        <v>246</v>
      </c>
      <c r="D44" s="1"/>
      <c r="E44" s="68" t="s">
        <v>218</v>
      </c>
      <c r="F44" s="68" t="s">
        <v>248</v>
      </c>
    </row>
    <row r="45" spans="1:25">
      <c r="C45" s="2"/>
      <c r="D45" s="1"/>
      <c r="E45" s="2"/>
      <c r="F45" s="2"/>
    </row>
    <row r="46" spans="1:25">
      <c r="C46" s="1"/>
      <c r="D46" s="2" t="s">
        <v>179</v>
      </c>
      <c r="E46" s="215">
        <f>'1.10 Wage'!L135</f>
        <v>0.13241265209430261</v>
      </c>
      <c r="F46" s="54">
        <f>ROUND(E46*$J$37,2)</f>
        <v>19089.79</v>
      </c>
    </row>
    <row r="47" spans="1:25">
      <c r="C47" s="1"/>
      <c r="D47" s="2" t="s">
        <v>181</v>
      </c>
      <c r="E47" s="215">
        <f>'1.10 Wage'!L136</f>
        <v>0.1854633698803213</v>
      </c>
      <c r="F47" s="54">
        <f>ROUND(E47*$J$37,2)</f>
        <v>26738.06</v>
      </c>
    </row>
    <row r="48" spans="1:25">
      <c r="C48" s="1"/>
      <c r="D48" s="2" t="s">
        <v>121</v>
      </c>
      <c r="E48" s="215">
        <f>'1.10 Wage'!L137</f>
        <v>8.9505511374364799E-2</v>
      </c>
      <c r="F48" s="54">
        <f>ROUND(E48*$J$37,2)</f>
        <v>12903.91</v>
      </c>
    </row>
    <row r="49" spans="3:6">
      <c r="C49" s="1"/>
      <c r="D49" s="2" t="s">
        <v>93</v>
      </c>
      <c r="E49" s="215">
        <f>'1.10 Wage'!L138</f>
        <v>1.2801223127897134E-2</v>
      </c>
      <c r="F49" s="54">
        <f>ROUND(E49*$J$37,2)</f>
        <v>1845.54</v>
      </c>
    </row>
    <row r="50" spans="3:6">
      <c r="C50" s="1"/>
      <c r="D50" s="2" t="s">
        <v>166</v>
      </c>
      <c r="E50" s="215">
        <f>'1.10 Wage'!L139</f>
        <v>0.27117200701066013</v>
      </c>
      <c r="F50" s="54">
        <f>ROUND(E50*$J$37,2)</f>
        <v>39094.58</v>
      </c>
    </row>
    <row r="51" spans="3:6">
      <c r="C51" s="4"/>
      <c r="D51" s="48" t="s">
        <v>22</v>
      </c>
      <c r="E51" s="213">
        <f>SUM(E46:E50)</f>
        <v>0.69135476348754599</v>
      </c>
      <c r="F51" s="77">
        <f>SUM(F46:F50)</f>
        <v>99671.88</v>
      </c>
    </row>
    <row r="52" spans="3:6" ht="6.75" customHeight="1">
      <c r="C52" s="1"/>
      <c r="D52" s="2"/>
      <c r="E52" s="214"/>
      <c r="F52" s="65"/>
    </row>
    <row r="53" spans="3:6">
      <c r="C53" s="1"/>
      <c r="D53" s="2" t="s">
        <v>247</v>
      </c>
      <c r="E53" s="214">
        <f>'1.10 Wage'!L142</f>
        <v>0.19015898603989079</v>
      </c>
      <c r="F53" s="54">
        <f>ROUND(E53*$J$37,2)</f>
        <v>27415.02</v>
      </c>
    </row>
    <row r="54" spans="3:6">
      <c r="C54" s="1"/>
      <c r="D54" s="2" t="s">
        <v>43</v>
      </c>
      <c r="E54" s="214">
        <f>'1.10 Wage'!L143</f>
        <v>0.11848625047256316</v>
      </c>
      <c r="F54" s="54">
        <f>ROUND(E54*$J$37,2)</f>
        <v>17082.04</v>
      </c>
    </row>
    <row r="55" spans="3:6">
      <c r="C55" s="4"/>
      <c r="D55" s="48" t="s">
        <v>22</v>
      </c>
      <c r="E55" s="127">
        <f>SUM(E53:E54)</f>
        <v>0.30864523651245396</v>
      </c>
      <c r="F55" s="64">
        <f>SUM(F53:F54)</f>
        <v>44497.06</v>
      </c>
    </row>
    <row r="56" spans="3:6" ht="6" customHeight="1">
      <c r="C56" s="1"/>
      <c r="D56" s="2"/>
      <c r="E56" s="55"/>
      <c r="F56" s="65"/>
    </row>
    <row r="57" spans="3:6" ht="13.8" thickBot="1">
      <c r="C57" s="50"/>
      <c r="D57" s="3" t="s">
        <v>50</v>
      </c>
      <c r="E57" s="67">
        <f>E51+E55</f>
        <v>1</v>
      </c>
      <c r="F57" s="66">
        <f>F55+F51</f>
        <v>144168.94</v>
      </c>
    </row>
    <row r="58" spans="3:6" ht="13.8" thickTop="1"/>
  </sheetData>
  <mergeCells count="4">
    <mergeCell ref="C41:J41"/>
    <mergeCell ref="A3:J3"/>
    <mergeCell ref="A4:J4"/>
    <mergeCell ref="A6:J6"/>
  </mergeCells>
  <printOptions horizontalCentered="1"/>
  <pageMargins left="1" right="0.75" top="0.75" bottom="0.5" header="0.5" footer="0.5"/>
  <pageSetup scale="74" orientation="portrait" r:id="rId1"/>
  <headerFooter alignWithMargins="0">
    <oddFooter>&amp;RExhibit JW-2
Page &amp;P of &amp;N</oddFooter>
  </headerFooter>
  <ignoredErrors>
    <ignoredError sqref="C9:J9 C2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18"/>
  <sheetViews>
    <sheetView view="pageBreakPreview" zoomScaleNormal="100" zoomScaleSheetLayoutView="100" workbookViewId="0">
      <selection activeCell="J10" sqref="J10"/>
    </sheetView>
  </sheetViews>
  <sheetFormatPr defaultColWidth="9.109375" defaultRowHeight="13.2"/>
  <cols>
    <col min="1" max="1" width="5.88671875" style="11" customWidth="1"/>
    <col min="2" max="2" width="2.33203125" style="11" customWidth="1"/>
    <col min="3" max="3" width="37.6640625" style="11" bestFit="1" customWidth="1"/>
    <col min="4" max="4" width="2.44140625" style="11" customWidth="1"/>
    <col min="5" max="5" width="15.6640625" style="11" customWidth="1"/>
    <col min="6" max="16384" width="9.109375" style="11"/>
  </cols>
  <sheetData>
    <row r="1" spans="1:5">
      <c r="E1" s="5" t="s">
        <v>630</v>
      </c>
    </row>
    <row r="2" spans="1:5" ht="20.25" customHeight="1">
      <c r="E2" s="5"/>
    </row>
    <row r="3" spans="1:5">
      <c r="A3" s="187" t="s">
        <v>29</v>
      </c>
      <c r="B3" s="187"/>
      <c r="C3" s="187"/>
      <c r="D3" s="187"/>
      <c r="E3" s="187"/>
    </row>
    <row r="4" spans="1:5">
      <c r="A4" s="187" t="str">
        <f>RevReq!A3</f>
        <v>For the 12 Months Ended December 31, 2022</v>
      </c>
      <c r="B4" s="187"/>
      <c r="C4" s="187"/>
      <c r="D4" s="187"/>
      <c r="E4" s="187"/>
    </row>
    <row r="6" spans="1:5" s="6" customFormat="1" ht="15" customHeight="1">
      <c r="A6" s="188" t="str">
        <f>'Adj List'!C10</f>
        <v>G&amp;T Capital Credits</v>
      </c>
      <c r="B6" s="188"/>
      <c r="C6" s="188"/>
      <c r="D6" s="188"/>
      <c r="E6" s="188"/>
    </row>
    <row r="8" spans="1:5">
      <c r="A8" s="10" t="s">
        <v>0</v>
      </c>
      <c r="C8" s="10" t="s">
        <v>44</v>
      </c>
      <c r="D8" s="10"/>
      <c r="E8" s="10" t="s">
        <v>24</v>
      </c>
    </row>
    <row r="9" spans="1:5">
      <c r="A9" s="12" t="s">
        <v>21</v>
      </c>
      <c r="C9" s="13" t="s">
        <v>18</v>
      </c>
      <c r="D9" s="13"/>
      <c r="E9" s="13" t="s">
        <v>20</v>
      </c>
    </row>
    <row r="10" spans="1:5">
      <c r="A10" s="10"/>
    </row>
    <row r="11" spans="1:5">
      <c r="A11" s="10">
        <v>1</v>
      </c>
      <c r="C11" s="2" t="s">
        <v>39</v>
      </c>
      <c r="D11" s="2"/>
      <c r="E11" s="19">
        <f>RevReq!C37</f>
        <v>323975</v>
      </c>
    </row>
    <row r="12" spans="1:5">
      <c r="A12" s="10">
        <f>A11+1</f>
        <v>2</v>
      </c>
      <c r="C12" s="2"/>
      <c r="D12" s="2"/>
    </row>
    <row r="13" spans="1:5">
      <c r="A13" s="10">
        <f t="shared" ref="A13:A15" si="0">A12+1</f>
        <v>3</v>
      </c>
      <c r="C13" s="2" t="s">
        <v>40</v>
      </c>
      <c r="E13" s="14">
        <v>0</v>
      </c>
    </row>
    <row r="14" spans="1:5">
      <c r="A14" s="10">
        <f t="shared" si="0"/>
        <v>4</v>
      </c>
      <c r="C14" s="2"/>
    </row>
    <row r="15" spans="1:5" ht="13.8" thickBot="1">
      <c r="A15" s="10">
        <f t="shared" si="0"/>
        <v>5</v>
      </c>
      <c r="C15" s="3" t="s">
        <v>15</v>
      </c>
      <c r="D15" s="20"/>
      <c r="E15" s="22">
        <f>ROUND(E13-E11,2)</f>
        <v>-323975</v>
      </c>
    </row>
    <row r="16" spans="1:5" ht="13.8" thickTop="1"/>
    <row r="18" spans="3:5" ht="30" customHeight="1">
      <c r="C18" s="189" t="s">
        <v>53</v>
      </c>
      <c r="D18" s="189"/>
      <c r="E18" s="189"/>
    </row>
  </sheetData>
  <mergeCells count="4">
    <mergeCell ref="A3:E3"/>
    <mergeCell ref="A4:E4"/>
    <mergeCell ref="A6:E6"/>
    <mergeCell ref="C18:E18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C9 D9:E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59"/>
  <sheetViews>
    <sheetView view="pageBreakPreview" topLeftCell="A36" zoomScaleNormal="100" zoomScaleSheetLayoutView="100" workbookViewId="0">
      <selection activeCell="G52" sqref="G52:G57"/>
    </sheetView>
  </sheetViews>
  <sheetFormatPr defaultColWidth="9.109375" defaultRowHeight="13.2"/>
  <cols>
    <col min="1" max="1" width="5.88671875" style="11" customWidth="1"/>
    <col min="2" max="2" width="2.33203125" style="11" customWidth="1"/>
    <col min="3" max="3" width="13.33203125" style="11" customWidth="1"/>
    <col min="4" max="4" width="10.88671875" style="11" customWidth="1"/>
    <col min="5" max="5" width="4.109375" style="11" customWidth="1"/>
    <col min="6" max="7" width="16.6640625" style="11" customWidth="1"/>
    <col min="8" max="8" width="12.5546875" style="11" customWidth="1"/>
    <col min="9" max="9" width="12.88671875" style="11" customWidth="1"/>
    <col min="10" max="16384" width="9.109375" style="11"/>
  </cols>
  <sheetData>
    <row r="1" spans="1:9">
      <c r="I1" s="5" t="s">
        <v>137</v>
      </c>
    </row>
    <row r="2" spans="1:9" ht="20.25" customHeight="1">
      <c r="I2" s="5"/>
    </row>
    <row r="3" spans="1:9">
      <c r="G3" s="5"/>
    </row>
    <row r="4" spans="1:9">
      <c r="A4" s="187" t="s">
        <v>29</v>
      </c>
      <c r="B4" s="187"/>
      <c r="C4" s="187"/>
      <c r="D4" s="187"/>
      <c r="E4" s="187"/>
      <c r="F4" s="187"/>
      <c r="G4" s="187"/>
      <c r="H4" s="187"/>
      <c r="I4" s="187"/>
    </row>
    <row r="5" spans="1:9">
      <c r="A5" s="187" t="str">
        <f>RevReq!A3</f>
        <v>For the 12 Months Ended December 31, 2022</v>
      </c>
      <c r="B5" s="187"/>
      <c r="C5" s="187"/>
      <c r="D5" s="187"/>
      <c r="E5" s="187"/>
      <c r="F5" s="187"/>
      <c r="G5" s="187"/>
      <c r="H5" s="187"/>
      <c r="I5" s="187"/>
    </row>
    <row r="7" spans="1:9" s="6" customFormat="1" ht="15" customHeight="1">
      <c r="A7" s="188" t="str">
        <f>'Adj List'!C11</f>
        <v>Year-End Customers</v>
      </c>
      <c r="B7" s="188"/>
      <c r="C7" s="188"/>
      <c r="D7" s="188"/>
      <c r="E7" s="188"/>
      <c r="F7" s="188"/>
      <c r="G7" s="188"/>
      <c r="H7" s="188"/>
      <c r="I7" s="188"/>
    </row>
    <row r="9" spans="1:9">
      <c r="A9" s="10" t="s">
        <v>0</v>
      </c>
      <c r="C9" s="10" t="s">
        <v>16</v>
      </c>
      <c r="D9" s="10" t="s">
        <v>17</v>
      </c>
      <c r="E9" s="10"/>
      <c r="F9" s="31" t="s">
        <v>82</v>
      </c>
      <c r="G9" s="31" t="s">
        <v>81</v>
      </c>
      <c r="H9" s="31" t="s">
        <v>83</v>
      </c>
      <c r="I9" s="10" t="s">
        <v>50</v>
      </c>
    </row>
    <row r="10" spans="1:9">
      <c r="A10" s="12" t="s">
        <v>21</v>
      </c>
      <c r="C10" s="13" t="s">
        <v>18</v>
      </c>
      <c r="D10" s="13" t="s">
        <v>20</v>
      </c>
      <c r="E10" s="10"/>
      <c r="F10" s="13" t="s">
        <v>19</v>
      </c>
      <c r="G10" s="13" t="s">
        <v>25</v>
      </c>
      <c r="H10" s="13" t="s">
        <v>57</v>
      </c>
      <c r="I10" s="13" t="s">
        <v>58</v>
      </c>
    </row>
    <row r="11" spans="1:9">
      <c r="A11" s="10"/>
    </row>
    <row r="12" spans="1:9">
      <c r="A12" s="10"/>
    </row>
    <row r="13" spans="1:9">
      <c r="A13" s="10">
        <v>1</v>
      </c>
      <c r="C13" s="10">
        <v>2022</v>
      </c>
      <c r="D13" s="1" t="s">
        <v>6</v>
      </c>
      <c r="E13" s="14"/>
      <c r="F13" s="216">
        <v>11687</v>
      </c>
      <c r="G13" s="216">
        <v>879</v>
      </c>
      <c r="H13" s="216">
        <v>167</v>
      </c>
      <c r="I13" s="43"/>
    </row>
    <row r="14" spans="1:9">
      <c r="A14" s="10">
        <v>2</v>
      </c>
      <c r="C14" s="10">
        <v>2022</v>
      </c>
      <c r="D14" s="1" t="s">
        <v>7</v>
      </c>
      <c r="E14" s="14"/>
      <c r="F14" s="216">
        <v>11690</v>
      </c>
      <c r="G14" s="216">
        <v>876</v>
      </c>
      <c r="H14" s="216">
        <v>166</v>
      </c>
      <c r="I14" s="44"/>
    </row>
    <row r="15" spans="1:9">
      <c r="A15" s="10">
        <v>3</v>
      </c>
      <c r="C15" s="10">
        <v>2022</v>
      </c>
      <c r="D15" s="1" t="s">
        <v>8</v>
      </c>
      <c r="E15" s="14"/>
      <c r="F15" s="216">
        <v>11684</v>
      </c>
      <c r="G15" s="216">
        <v>874</v>
      </c>
      <c r="H15" s="216">
        <v>165</v>
      </c>
      <c r="I15" s="44"/>
    </row>
    <row r="16" spans="1:9">
      <c r="A16" s="10">
        <v>4</v>
      </c>
      <c r="C16" s="10">
        <v>2022</v>
      </c>
      <c r="D16" s="1" t="s">
        <v>9</v>
      </c>
      <c r="E16" s="14"/>
      <c r="F16" s="216">
        <v>11661</v>
      </c>
      <c r="G16" s="216">
        <v>873</v>
      </c>
      <c r="H16" s="216">
        <v>162</v>
      </c>
      <c r="I16" s="44"/>
    </row>
    <row r="17" spans="1:9">
      <c r="A17" s="10">
        <v>5</v>
      </c>
      <c r="C17" s="10">
        <v>2022</v>
      </c>
      <c r="D17" s="1" t="s">
        <v>10</v>
      </c>
      <c r="E17" s="14"/>
      <c r="F17" s="216">
        <v>11699</v>
      </c>
      <c r="G17" s="216">
        <v>878</v>
      </c>
      <c r="H17" s="216">
        <v>163</v>
      </c>
      <c r="I17" s="44"/>
    </row>
    <row r="18" spans="1:9">
      <c r="A18" s="10">
        <v>6</v>
      </c>
      <c r="C18" s="10">
        <v>2022</v>
      </c>
      <c r="D18" s="1" t="s">
        <v>11</v>
      </c>
      <c r="E18" s="14"/>
      <c r="F18" s="216">
        <v>11634</v>
      </c>
      <c r="G18" s="216">
        <v>881</v>
      </c>
      <c r="H18" s="216">
        <v>163</v>
      </c>
      <c r="I18" s="44"/>
    </row>
    <row r="19" spans="1:9">
      <c r="A19" s="10">
        <v>7</v>
      </c>
      <c r="C19" s="10">
        <v>2022</v>
      </c>
      <c r="D19" s="1" t="s">
        <v>12</v>
      </c>
      <c r="E19" s="14"/>
      <c r="F19" s="216">
        <v>11679</v>
      </c>
      <c r="G19" s="216">
        <v>885</v>
      </c>
      <c r="H19" s="216">
        <v>162</v>
      </c>
      <c r="I19" s="44"/>
    </row>
    <row r="20" spans="1:9">
      <c r="A20" s="10">
        <v>8</v>
      </c>
      <c r="C20" s="10">
        <v>2022</v>
      </c>
      <c r="D20" s="1" t="s">
        <v>13</v>
      </c>
      <c r="E20" s="14"/>
      <c r="F20" s="216">
        <v>11709</v>
      </c>
      <c r="G20" s="216">
        <v>885</v>
      </c>
      <c r="H20" s="216">
        <v>161</v>
      </c>
      <c r="I20" s="44"/>
    </row>
    <row r="21" spans="1:9">
      <c r="A21" s="10">
        <v>9</v>
      </c>
      <c r="C21" s="10">
        <v>2022</v>
      </c>
      <c r="D21" s="1" t="s">
        <v>2</v>
      </c>
      <c r="E21" s="14"/>
      <c r="F21" s="216">
        <v>11138</v>
      </c>
      <c r="G21" s="216">
        <v>881</v>
      </c>
      <c r="H21" s="216">
        <v>161</v>
      </c>
      <c r="I21" s="44"/>
    </row>
    <row r="22" spans="1:9">
      <c r="A22" s="10">
        <v>10</v>
      </c>
      <c r="C22" s="10">
        <v>2022</v>
      </c>
      <c r="D22" s="1" t="s">
        <v>3</v>
      </c>
      <c r="E22" s="14"/>
      <c r="F22" s="216">
        <v>11673</v>
      </c>
      <c r="G22" s="216">
        <v>879</v>
      </c>
      <c r="H22" s="216">
        <v>161</v>
      </c>
      <c r="I22" s="44"/>
    </row>
    <row r="23" spans="1:9">
      <c r="A23" s="10">
        <v>11</v>
      </c>
      <c r="C23" s="10">
        <v>2022</v>
      </c>
      <c r="D23" s="1" t="s">
        <v>4</v>
      </c>
      <c r="E23" s="14"/>
      <c r="F23" s="216">
        <v>11558</v>
      </c>
      <c r="G23" s="216">
        <v>878</v>
      </c>
      <c r="H23" s="216">
        <v>159</v>
      </c>
      <c r="I23" s="44"/>
    </row>
    <row r="24" spans="1:9">
      <c r="A24" s="10">
        <v>12</v>
      </c>
      <c r="C24" s="10">
        <v>2022</v>
      </c>
      <c r="D24" s="1" t="s">
        <v>5</v>
      </c>
      <c r="E24" s="14"/>
      <c r="F24" s="216">
        <v>11557</v>
      </c>
      <c r="G24" s="216">
        <v>876</v>
      </c>
      <c r="H24" s="216">
        <v>161</v>
      </c>
      <c r="I24" s="44"/>
    </row>
    <row r="25" spans="1:9">
      <c r="A25" s="10">
        <v>13</v>
      </c>
      <c r="C25" s="4" t="s">
        <v>61</v>
      </c>
      <c r="D25" s="16"/>
      <c r="E25" s="18"/>
      <c r="F25" s="32">
        <f>ROUND(AVERAGE(F13:F24),0)</f>
        <v>11614</v>
      </c>
      <c r="G25" s="32">
        <f>ROUND(AVERAGE(G13:G24),0)</f>
        <v>879</v>
      </c>
      <c r="H25" s="32">
        <f>ROUND(AVERAGE(H13:H24),0)</f>
        <v>163</v>
      </c>
      <c r="I25" s="44"/>
    </row>
    <row r="26" spans="1:9">
      <c r="A26" s="10">
        <v>14</v>
      </c>
    </row>
    <row r="27" spans="1:9">
      <c r="A27" s="10">
        <v>15</v>
      </c>
      <c r="C27" s="34" t="s">
        <v>76</v>
      </c>
      <c r="E27" s="18"/>
      <c r="F27" s="33">
        <f>F24-F25</f>
        <v>-57</v>
      </c>
      <c r="G27" s="33">
        <f t="shared" ref="G27:H27" si="0">G24-G25</f>
        <v>-3</v>
      </c>
      <c r="H27" s="33">
        <f t="shared" si="0"/>
        <v>-2</v>
      </c>
      <c r="I27" s="44"/>
    </row>
    <row r="28" spans="1:9">
      <c r="A28" s="10">
        <v>16</v>
      </c>
      <c r="D28" s="1"/>
      <c r="E28" s="18"/>
      <c r="F28" s="18"/>
      <c r="G28" s="18"/>
    </row>
    <row r="29" spans="1:9">
      <c r="A29" s="10">
        <v>17</v>
      </c>
      <c r="C29" s="11" t="s">
        <v>62</v>
      </c>
      <c r="D29" s="1"/>
      <c r="E29" s="18"/>
      <c r="F29" s="217">
        <v>161159688</v>
      </c>
      <c r="G29" s="217">
        <v>9059479</v>
      </c>
      <c r="H29" s="217">
        <v>24326551</v>
      </c>
      <c r="I29" s="44"/>
    </row>
    <row r="30" spans="1:9">
      <c r="A30" s="10">
        <v>18</v>
      </c>
      <c r="C30" s="11" t="s">
        <v>63</v>
      </c>
      <c r="D30" s="1"/>
      <c r="E30" s="18"/>
      <c r="F30" s="217">
        <f>F29/F25</f>
        <v>13876.32925779232</v>
      </c>
      <c r="G30" s="217">
        <f t="shared" ref="G30:H30" si="1">G29/G25</f>
        <v>10306.574516496019</v>
      </c>
      <c r="H30" s="217">
        <f t="shared" si="1"/>
        <v>149242.64417177913</v>
      </c>
      <c r="I30" s="44"/>
    </row>
    <row r="31" spans="1:9">
      <c r="A31" s="10">
        <v>19</v>
      </c>
      <c r="C31" s="11" t="s">
        <v>64</v>
      </c>
      <c r="D31" s="1"/>
      <c r="E31" s="18"/>
      <c r="F31" s="217">
        <f>F30*F27</f>
        <v>-790950.7676941622</v>
      </c>
      <c r="G31" s="217">
        <f t="shared" ref="G31:H31" si="2">G30*G27</f>
        <v>-30919.723549488059</v>
      </c>
      <c r="H31" s="217">
        <f t="shared" si="2"/>
        <v>-298485.28834355826</v>
      </c>
      <c r="I31" s="24">
        <f>SUM(F31:H31)</f>
        <v>-1120355.7795872085</v>
      </c>
    </row>
    <row r="32" spans="1:9">
      <c r="A32" s="10">
        <v>20</v>
      </c>
      <c r="D32" s="1"/>
      <c r="E32" s="18"/>
      <c r="F32" s="218"/>
      <c r="G32" s="218"/>
      <c r="H32" s="193"/>
    </row>
    <row r="33" spans="1:9">
      <c r="A33" s="10">
        <v>21</v>
      </c>
      <c r="C33" s="36" t="s">
        <v>68</v>
      </c>
      <c r="D33" s="1"/>
      <c r="E33" s="18"/>
      <c r="F33" s="218"/>
      <c r="G33" s="218"/>
      <c r="H33" s="193"/>
    </row>
    <row r="34" spans="1:9">
      <c r="A34" s="10">
        <v>22</v>
      </c>
      <c r="C34" s="11" t="s">
        <v>65</v>
      </c>
      <c r="D34" s="1"/>
      <c r="E34" s="18"/>
      <c r="F34" s="218">
        <v>17365295.05376</v>
      </c>
      <c r="G34" s="218">
        <v>1167574.95902</v>
      </c>
      <c r="H34" s="206">
        <v>2130292.643654</v>
      </c>
      <c r="I34" s="44"/>
    </row>
    <row r="35" spans="1:9">
      <c r="A35" s="10">
        <v>23</v>
      </c>
      <c r="C35" s="11" t="s">
        <v>66</v>
      </c>
      <c r="D35" s="1"/>
      <c r="E35" s="18"/>
      <c r="F35" s="35">
        <f>F34/F29</f>
        <v>0.10775210146696237</v>
      </c>
      <c r="G35" s="35">
        <f t="shared" ref="G35:H35" si="3">G34/G29</f>
        <v>0.12887881952372757</v>
      </c>
      <c r="H35" s="35">
        <f t="shared" si="3"/>
        <v>8.7570681254979382E-2</v>
      </c>
      <c r="I35" s="44"/>
    </row>
    <row r="36" spans="1:9">
      <c r="A36" s="10">
        <v>24</v>
      </c>
      <c r="C36" s="11" t="s">
        <v>67</v>
      </c>
      <c r="D36" s="1"/>
      <c r="E36" s="18"/>
      <c r="F36" s="18">
        <f>F35*F31</f>
        <v>-85226.607375953157</v>
      </c>
      <c r="G36" s="18">
        <f t="shared" ref="G36:H36" si="4">G35*G31</f>
        <v>-3984.8974710580205</v>
      </c>
      <c r="H36" s="18">
        <f t="shared" si="4"/>
        <v>-26138.560044834354</v>
      </c>
      <c r="I36" s="24">
        <f>SUM(F36:H36)</f>
        <v>-115350.06489184554</v>
      </c>
    </row>
    <row r="37" spans="1:9">
      <c r="A37" s="10">
        <v>25</v>
      </c>
      <c r="D37" s="1"/>
      <c r="E37" s="18"/>
      <c r="F37" s="18"/>
      <c r="G37" s="18"/>
      <c r="H37" s="18"/>
    </row>
    <row r="38" spans="1:9">
      <c r="A38" s="10">
        <v>26</v>
      </c>
      <c r="C38" s="36" t="s">
        <v>69</v>
      </c>
      <c r="D38" s="1"/>
      <c r="E38" s="18"/>
      <c r="F38" s="18"/>
      <c r="G38" s="18"/>
      <c r="H38" s="18"/>
    </row>
    <row r="39" spans="1:9">
      <c r="A39" s="10">
        <v>27</v>
      </c>
      <c r="C39" s="11" t="s">
        <v>80</v>
      </c>
      <c r="D39" s="1"/>
      <c r="E39" s="18"/>
      <c r="F39" s="37">
        <f>G56/G57</f>
        <v>6.5023707893960156E-2</v>
      </c>
      <c r="G39" s="37">
        <f>F39</f>
        <v>6.5023707893960156E-2</v>
      </c>
      <c r="H39" s="37">
        <f t="shared" ref="H39" si="5">G39</f>
        <v>6.5023707893960156E-2</v>
      </c>
      <c r="I39" s="44"/>
    </row>
    <row r="40" spans="1:9">
      <c r="A40" s="10">
        <v>28</v>
      </c>
      <c r="C40" s="11" t="s">
        <v>70</v>
      </c>
      <c r="D40" s="1"/>
      <c r="E40" s="18"/>
      <c r="F40" s="18">
        <f>F39*F31</f>
        <v>-51430.551677048737</v>
      </c>
      <c r="G40" s="18">
        <f>G39*G31</f>
        <v>-2010.5150722439125</v>
      </c>
      <c r="H40" s="18">
        <f>H39*H31</f>
        <v>-19408.620199896002</v>
      </c>
      <c r="I40" s="24">
        <f>SUM(F40:H40)</f>
        <v>-72849.686949188646</v>
      </c>
    </row>
    <row r="41" spans="1:9" ht="13.8" thickBot="1">
      <c r="A41" s="10">
        <v>29</v>
      </c>
      <c r="C41" s="40"/>
      <c r="D41" s="41"/>
      <c r="E41" s="42"/>
      <c r="F41" s="42"/>
      <c r="G41" s="42"/>
      <c r="H41" s="42"/>
      <c r="I41" s="40"/>
    </row>
    <row r="42" spans="1:9" ht="13.8" thickTop="1">
      <c r="A42" s="10">
        <v>30</v>
      </c>
      <c r="D42" s="1"/>
      <c r="E42" s="18"/>
    </row>
    <row r="43" spans="1:9">
      <c r="A43" s="10">
        <v>31</v>
      </c>
      <c r="D43" s="2"/>
      <c r="E43" s="18"/>
      <c r="F43" s="39" t="s">
        <v>35</v>
      </c>
      <c r="G43" s="39" t="s">
        <v>24</v>
      </c>
      <c r="I43" s="149" t="s">
        <v>84</v>
      </c>
    </row>
    <row r="44" spans="1:9">
      <c r="A44" s="10">
        <v>32</v>
      </c>
      <c r="C44" s="2" t="s">
        <v>39</v>
      </c>
      <c r="D44" s="2"/>
      <c r="E44" s="18"/>
      <c r="F44" s="19">
        <v>0</v>
      </c>
      <c r="G44" s="19">
        <v>0</v>
      </c>
      <c r="I44" s="27">
        <f>F44-G44</f>
        <v>0</v>
      </c>
    </row>
    <row r="45" spans="1:9">
      <c r="A45" s="10">
        <v>33</v>
      </c>
      <c r="C45" s="2"/>
      <c r="D45" s="2"/>
      <c r="E45" s="18"/>
      <c r="F45" s="18"/>
    </row>
    <row r="46" spans="1:9">
      <c r="A46" s="10">
        <v>34</v>
      </c>
      <c r="C46" s="2" t="s">
        <v>40</v>
      </c>
      <c r="E46" s="14"/>
      <c r="F46" s="14">
        <f>I36</f>
        <v>-115350.06489184554</v>
      </c>
      <c r="G46" s="14">
        <f>I40</f>
        <v>-72849.686949188646</v>
      </c>
      <c r="I46" s="27">
        <f>F46-G46</f>
        <v>-42500.377942656894</v>
      </c>
    </row>
    <row r="47" spans="1:9">
      <c r="A47" s="10">
        <v>35</v>
      </c>
      <c r="C47" s="2"/>
    </row>
    <row r="48" spans="1:9" ht="13.8" thickBot="1">
      <c r="A48" s="10">
        <v>36</v>
      </c>
      <c r="C48" s="3" t="s">
        <v>15</v>
      </c>
      <c r="D48" s="20"/>
      <c r="E48" s="21"/>
      <c r="F48" s="22">
        <f>ROUND(F46-F44,2)</f>
        <v>-115350.06</v>
      </c>
      <c r="G48" s="22">
        <f>ROUND(G46-G44,2)</f>
        <v>-72849.69</v>
      </c>
      <c r="I48" s="22">
        <f>ROUND(I46-I44,2)</f>
        <v>-42500.38</v>
      </c>
    </row>
    <row r="49" spans="1:9" ht="13.8" thickTop="1">
      <c r="A49" s="10">
        <v>37</v>
      </c>
    </row>
    <row r="50" spans="1:9">
      <c r="A50" s="10">
        <v>38</v>
      </c>
    </row>
    <row r="51" spans="1:9">
      <c r="A51" s="10">
        <v>39</v>
      </c>
      <c r="C51" s="26" t="s">
        <v>77</v>
      </c>
      <c r="G51" s="38" t="s">
        <v>78</v>
      </c>
    </row>
    <row r="52" spans="1:9">
      <c r="A52" s="10">
        <v>40</v>
      </c>
      <c r="C52" s="11" t="s">
        <v>71</v>
      </c>
      <c r="D52" s="1"/>
      <c r="E52" s="18"/>
      <c r="G52" s="218">
        <v>20333030</v>
      </c>
    </row>
    <row r="53" spans="1:9">
      <c r="A53" s="10">
        <v>41</v>
      </c>
      <c r="C53" s="11" t="s">
        <v>73</v>
      </c>
      <c r="D53" s="1"/>
      <c r="E53" s="18"/>
      <c r="G53" s="218">
        <v>-2889068</v>
      </c>
    </row>
    <row r="54" spans="1:9">
      <c r="A54" s="10">
        <v>42</v>
      </c>
      <c r="C54" s="11" t="s">
        <v>72</v>
      </c>
      <c r="D54" s="1"/>
      <c r="E54" s="18"/>
      <c r="G54" s="218">
        <v>-2609093</v>
      </c>
    </row>
    <row r="55" spans="1:9">
      <c r="A55" s="10">
        <v>43</v>
      </c>
      <c r="C55" s="11" t="s">
        <v>79</v>
      </c>
      <c r="D55" s="1"/>
      <c r="E55" s="18"/>
      <c r="G55" s="218">
        <v>11354</v>
      </c>
    </row>
    <row r="56" spans="1:9">
      <c r="A56" s="10">
        <v>44</v>
      </c>
      <c r="C56" s="11" t="s">
        <v>74</v>
      </c>
      <c r="D56" s="1"/>
      <c r="E56" s="18"/>
      <c r="G56" s="218">
        <f>SUM(G52:G55)</f>
        <v>14846223</v>
      </c>
    </row>
    <row r="57" spans="1:9">
      <c r="A57" s="10">
        <v>45</v>
      </c>
      <c r="C57" s="11" t="s">
        <v>75</v>
      </c>
      <c r="D57" s="1"/>
      <c r="E57" s="18"/>
      <c r="G57" s="217">
        <v>228320154</v>
      </c>
    </row>
    <row r="59" spans="1:9" ht="26.4" customHeight="1">
      <c r="C59" s="189" t="s">
        <v>317</v>
      </c>
      <c r="D59" s="189"/>
      <c r="E59" s="189"/>
      <c r="F59" s="189"/>
      <c r="G59" s="189"/>
      <c r="H59" s="189"/>
      <c r="I59" s="189"/>
    </row>
  </sheetData>
  <mergeCells count="4">
    <mergeCell ref="A4:I4"/>
    <mergeCell ref="A5:I5"/>
    <mergeCell ref="A7:I7"/>
    <mergeCell ref="C59:I59"/>
  </mergeCells>
  <phoneticPr fontId="22" type="noConversion"/>
  <printOptions horizontalCentered="1"/>
  <pageMargins left="0.25" right="0.25" top="0.75" bottom="0.75" header="0.5" footer="0.25"/>
  <pageSetup scale="95" fitToHeight="2" orientation="landscape" r:id="rId1"/>
  <headerFooter alignWithMargins="0">
    <oddFooter>&amp;RExhibit JW-2
Page &amp;P of &amp;N</oddFooter>
  </headerFooter>
  <rowBreaks count="1" manualBreakCount="1">
    <brk id="32" max="10" man="1"/>
  </rowBreaks>
  <ignoredErrors>
    <ignoredError sqref="C10:I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19</vt:i4>
      </vt:variant>
    </vt:vector>
  </HeadingPairs>
  <TitlesOfParts>
    <vt:vector size="34" baseType="lpstr">
      <vt:lpstr>RevReq</vt:lpstr>
      <vt:lpstr>Adj List</vt:lpstr>
      <vt:lpstr>Adj BS</vt:lpstr>
      <vt:lpstr>Adj IS</vt:lpstr>
      <vt:lpstr>1.01 FAC</vt:lpstr>
      <vt:lpstr>1.02 ES</vt:lpstr>
      <vt:lpstr>1.03Depr</vt:lpstr>
      <vt:lpstr>1.04 GTCC</vt:lpstr>
      <vt:lpstr>1.05 Cust</vt:lpstr>
      <vt:lpstr>1.06 RC</vt:lpstr>
      <vt:lpstr>1.07 Donat&amp;Promo</vt:lpstr>
      <vt:lpstr>1.08 PROF</vt:lpstr>
      <vt:lpstr>1.09 DIR</vt:lpstr>
      <vt:lpstr>1.10 Wage</vt:lpstr>
      <vt:lpstr>1.11 LifeInsur</vt:lpstr>
      <vt:lpstr>'1.01 FAC'!Print_Area</vt:lpstr>
      <vt:lpstr>'1.02 ES'!Print_Area</vt:lpstr>
      <vt:lpstr>'1.03Depr'!Print_Area</vt:lpstr>
      <vt:lpstr>'1.04 GTCC'!Print_Area</vt:lpstr>
      <vt:lpstr>'1.05 Cust'!Print_Area</vt:lpstr>
      <vt:lpstr>'1.06 RC'!Print_Area</vt:lpstr>
      <vt:lpstr>'1.07 Donat&amp;Promo'!Print_Area</vt:lpstr>
      <vt:lpstr>'1.08 PROF'!Print_Area</vt:lpstr>
      <vt:lpstr>'1.09 DIR'!Print_Area</vt:lpstr>
      <vt:lpstr>'1.10 Wage'!Print_Area</vt:lpstr>
      <vt:lpstr>'1.11 LifeInsur'!Print_Area</vt:lpstr>
      <vt:lpstr>'Adj BS'!Print_Area</vt:lpstr>
      <vt:lpstr>'Adj IS'!Print_Area</vt:lpstr>
      <vt:lpstr>'Adj List'!Print_Area</vt:lpstr>
      <vt:lpstr>RevReq!Print_Area</vt:lpstr>
      <vt:lpstr>'1.05 Cust'!Print_Titles</vt:lpstr>
      <vt:lpstr>'1.07 Donat&amp;Promo'!Print_Titles</vt:lpstr>
      <vt:lpstr>'1.09 DIR'!Print_Titles</vt:lpstr>
      <vt:lpstr>'1.10 Wage'!Print_Titles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2023-10-31T20:41:07Z</cp:lastPrinted>
  <dcterms:created xsi:type="dcterms:W3CDTF">2012-11-02T18:45:21Z</dcterms:created>
  <dcterms:modified xsi:type="dcterms:W3CDTF">2023-10-31T20:41:20Z</dcterms:modified>
</cp:coreProperties>
</file>