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0" documentId="8_{ABAB41C5-6E41-4094-ADEE-B6069131516B}" xr6:coauthVersionLast="47" xr6:coauthVersionMax="47" xr10:uidLastSave="{00000000-0000-0000-0000-000000000000}"/>
  <bookViews>
    <workbookView xWindow="-120" yWindow="-120" windowWidth="24240" windowHeight="13020" tabRatio="602" activeTab="1" xr2:uid="{66DCB12E-7761-47D1-A8C5-985704888B5C}"/>
  </bookViews>
  <sheets>
    <sheet name="SAO - DSC" sheetId="3" r:id="rId1"/>
    <sheet name="SAO - Op Ratio" sheetId="34" r:id="rId2"/>
    <sheet name="Comp" sheetId="26" r:id="rId3"/>
    <sheet name="Adj" sheetId="16" r:id="rId4"/>
    <sheet name="WatPurch" sheetId="23" r:id="rId5"/>
    <sheet name="Dep Adj App" sheetId="41" r:id="rId6"/>
    <sheet name="Dep Adj " sheetId="27" r:id="rId7"/>
    <sheet name="Dep Sch App" sheetId="48" r:id="rId8"/>
    <sheet name="Debt Sch" sheetId="5" r:id="rId9"/>
    <sheet name="Rates Comp" sheetId="2" r:id="rId10"/>
    <sheet name="ExBA - Beg. Rates" sheetId="10" r:id="rId11"/>
    <sheet name="CurRates" sheetId="25" r:id="rId12"/>
    <sheet name="BA - PWA 2022-00242" sheetId="36" r:id="rId13"/>
    <sheet name="BA - 0.023 CN 2023-00098" sheetId="29" r:id="rId14"/>
    <sheet name="BA - PWA CN 2023-00243" sheetId="32" r:id="rId15"/>
    <sheet name="BA Adj" sheetId="28" r:id="rId16"/>
    <sheet name="PropBA - DSC" sheetId="15" r:id="rId17"/>
    <sheet name="PropBA - Op Ratio" sheetId="39" r:id="rId18"/>
    <sheet name="Table A" sheetId="44" r:id="rId19"/>
    <sheet name="Tble B" sheetId="45" r:id="rId20"/>
    <sheet name="Table C" sheetId="43" r:id="rId21"/>
    <sheet name="Table D" sheetId="38" r:id="rId22"/>
    <sheet name="Customer Notice" sheetId="46" r:id="rId23"/>
  </sheets>
  <definedNames>
    <definedName name="_xlnm.Print_Area" localSheetId="11">CurRates!$B$2:$G$18</definedName>
    <definedName name="_xlnm.Print_Area" localSheetId="8">'Debt Sch'!$B$2:$H$25</definedName>
    <definedName name="_xlnm.Print_Area" localSheetId="10">'ExBA - Beg. Rates'!$A$1:$I$14</definedName>
    <definedName name="_xlnm.Print_Area" localSheetId="16">'PropBA - DSC'!#REF!</definedName>
    <definedName name="_xlnm.Print_Area" localSheetId="9">'Rates Comp'!#REF!</definedName>
    <definedName name="_xlnm.Print_Area" localSheetId="0">'SAO - DSC'!$B$2:$M$56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C19" i="5"/>
  <c r="I13" i="5"/>
  <c r="I14" i="5"/>
  <c r="I15" i="5"/>
  <c r="I16" i="5"/>
  <c r="I12" i="5"/>
  <c r="G21" i="5"/>
  <c r="E21" i="5"/>
  <c r="C21" i="5"/>
  <c r="H38" i="48"/>
  <c r="L37" i="48"/>
  <c r="J36" i="48"/>
  <c r="L36" i="48" s="1"/>
  <c r="L35" i="48"/>
  <c r="J34" i="48"/>
  <c r="L34" i="48" s="1"/>
  <c r="J33" i="48"/>
  <c r="L33" i="48" s="1"/>
  <c r="J32" i="48"/>
  <c r="J31" i="48"/>
  <c r="L31" i="48" s="1"/>
  <c r="L30" i="48"/>
  <c r="J29" i="48"/>
  <c r="L29" i="48" s="1"/>
  <c r="J28" i="48"/>
  <c r="L28" i="48" s="1"/>
  <c r="J27" i="48"/>
  <c r="J26" i="48"/>
  <c r="L26" i="48" s="1"/>
  <c r="L25" i="48"/>
  <c r="L24" i="48"/>
  <c r="F24" i="48"/>
  <c r="F38" i="48" s="1"/>
  <c r="L23" i="48"/>
  <c r="J22" i="48"/>
  <c r="L22" i="48" s="1"/>
  <c r="J21" i="48"/>
  <c r="L21" i="48" s="1"/>
  <c r="J20" i="48"/>
  <c r="L20" i="48" s="1"/>
  <c r="J19" i="48"/>
  <c r="L19" i="48" s="1"/>
  <c r="J18" i="48"/>
  <c r="L18" i="48" s="1"/>
  <c r="J17" i="48"/>
  <c r="L17" i="48" s="1"/>
  <c r="J16" i="48"/>
  <c r="L16" i="48" s="1"/>
  <c r="J15" i="48"/>
  <c r="L15" i="48" s="1"/>
  <c r="J14" i="48"/>
  <c r="L14" i="48" s="1"/>
  <c r="L13" i="48"/>
  <c r="J13" i="48"/>
  <c r="J12" i="48"/>
  <c r="L12" i="48" s="1"/>
  <c r="J11" i="48"/>
  <c r="L11" i="48" s="1"/>
  <c r="J10" i="48"/>
  <c r="L10" i="48" s="1"/>
  <c r="J9" i="48"/>
  <c r="L9" i="48" s="1"/>
  <c r="J8" i="48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S23" i="27" s="1"/>
  <c r="Q25" i="27"/>
  <c r="S25" i="27"/>
  <c r="Q26" i="27"/>
  <c r="Q27" i="27"/>
  <c r="Q28" i="27"/>
  <c r="Q29" i="27"/>
  <c r="Q30" i="27"/>
  <c r="S30" i="27" s="1"/>
  <c r="Q31" i="27"/>
  <c r="Q32" i="27"/>
  <c r="Q33" i="27"/>
  <c r="Q34" i="27"/>
  <c r="Q35" i="27"/>
  <c r="S35" i="27" s="1"/>
  <c r="Q36" i="27"/>
  <c r="Q37" i="27"/>
  <c r="S37" i="27" s="1"/>
  <c r="B4" i="38"/>
  <c r="J38" i="48" l="1"/>
  <c r="L8" i="48"/>
  <c r="L27" i="48"/>
  <c r="L32" i="48"/>
  <c r="L38" i="48" l="1"/>
  <c r="T39" i="44" l="1"/>
  <c r="O36" i="44"/>
  <c r="Q36" i="44" s="1"/>
  <c r="U36" i="44" s="1"/>
  <c r="O31" i="44"/>
  <c r="Q31" i="44"/>
  <c r="U31" i="44" s="1"/>
  <c r="E36" i="44"/>
  <c r="E31" i="44"/>
  <c r="O26" i="44"/>
  <c r="Q26" i="44" s="1"/>
  <c r="U26" i="44" s="1"/>
  <c r="E9" i="46"/>
  <c r="E6" i="46"/>
  <c r="E5" i="46"/>
  <c r="E4" i="46"/>
  <c r="E3" i="46"/>
  <c r="F31" i="43"/>
  <c r="F29" i="43"/>
  <c r="F28" i="43"/>
  <c r="F27" i="43"/>
  <c r="F26" i="43"/>
  <c r="P10" i="38"/>
  <c r="O20" i="38" s="1"/>
  <c r="P11" i="38"/>
  <c r="O29" i="38" s="1"/>
  <c r="P9" i="38"/>
  <c r="O18" i="38" s="1"/>
  <c r="P8" i="38"/>
  <c r="O14" i="38" s="1"/>
  <c r="P14" i="38" s="1"/>
  <c r="F13" i="43"/>
  <c r="F16" i="2"/>
  <c r="M36" i="41"/>
  <c r="O36" i="41" s="1"/>
  <c r="C36" i="41"/>
  <c r="M31" i="41"/>
  <c r="O31" i="41" s="1"/>
  <c r="C31" i="41"/>
  <c r="M26" i="41"/>
  <c r="O26" i="41" s="1"/>
  <c r="L38" i="3"/>
  <c r="K35" i="27"/>
  <c r="K30" i="27"/>
  <c r="K24" i="27"/>
  <c r="K25" i="27"/>
  <c r="E24" i="27"/>
  <c r="Q24" i="27" s="1"/>
  <c r="M25" i="41" s="1"/>
  <c r="O25" i="41" s="1"/>
  <c r="H38" i="44"/>
  <c r="H24" i="44"/>
  <c r="H20" i="45"/>
  <c r="F20" i="45"/>
  <c r="D20" i="45"/>
  <c r="H18" i="45"/>
  <c r="F18" i="45"/>
  <c r="D18" i="45"/>
  <c r="J16" i="45"/>
  <c r="J15" i="45"/>
  <c r="J14" i="45"/>
  <c r="J13" i="45"/>
  <c r="J12" i="45"/>
  <c r="J20" i="45" s="1"/>
  <c r="C5" i="45"/>
  <c r="C4" i="43"/>
  <c r="C22" i="43" s="1"/>
  <c r="O25" i="38"/>
  <c r="O27" i="38"/>
  <c r="O19" i="38"/>
  <c r="M24" i="38"/>
  <c r="M25" i="38" s="1"/>
  <c r="M26" i="38" s="1"/>
  <c r="M27" i="38" s="1"/>
  <c r="M28" i="38" s="1"/>
  <c r="M29" i="38" s="1"/>
  <c r="M30" i="38" s="1"/>
  <c r="M31" i="38" s="1"/>
  <c r="M32" i="38" s="1"/>
  <c r="M33" i="38" s="1"/>
  <c r="M23" i="38"/>
  <c r="M22" i="38"/>
  <c r="M21" i="38"/>
  <c r="M20" i="38"/>
  <c r="M19" i="38"/>
  <c r="M18" i="38"/>
  <c r="M17" i="38"/>
  <c r="M16" i="38"/>
  <c r="M15" i="38"/>
  <c r="M14" i="38"/>
  <c r="O10" i="38"/>
  <c r="O9" i="38"/>
  <c r="F37" i="34"/>
  <c r="F40" i="34" s="1"/>
  <c r="F17" i="34"/>
  <c r="C4" i="34"/>
  <c r="C4" i="3"/>
  <c r="E40" i="26"/>
  <c r="E42" i="26"/>
  <c r="E37" i="26"/>
  <c r="K38" i="26" s="1"/>
  <c r="H34" i="26"/>
  <c r="E32" i="26"/>
  <c r="H32" i="26" s="1"/>
  <c r="E33" i="26"/>
  <c r="H33" i="26" s="1"/>
  <c r="E34" i="26"/>
  <c r="E35" i="26"/>
  <c r="H35" i="26" s="1"/>
  <c r="E36" i="26"/>
  <c r="H36" i="26" s="1"/>
  <c r="E31" i="26"/>
  <c r="E27" i="26"/>
  <c r="K29" i="26" s="1"/>
  <c r="F24" i="26"/>
  <c r="E25" i="26"/>
  <c r="E24" i="26"/>
  <c r="K24" i="26" s="1"/>
  <c r="E22" i="26"/>
  <c r="K23" i="26" s="1"/>
  <c r="F16" i="26"/>
  <c r="F15" i="26"/>
  <c r="H13" i="26"/>
  <c r="H14" i="26"/>
  <c r="E16" i="26"/>
  <c r="E17" i="26"/>
  <c r="E15" i="26"/>
  <c r="E9" i="26"/>
  <c r="K12" i="26" s="1"/>
  <c r="N15" i="34"/>
  <c r="A2" i="39"/>
  <c r="A2" i="15"/>
  <c r="C25" i="41" l="1"/>
  <c r="O25" i="44"/>
  <c r="Q25" i="44" s="1"/>
  <c r="U25" i="44" s="1"/>
  <c r="E39" i="44"/>
  <c r="S24" i="27"/>
  <c r="Q38" i="27"/>
  <c r="O17" i="38"/>
  <c r="O23" i="38"/>
  <c r="O28" i="38"/>
  <c r="O26" i="38"/>
  <c r="O16" i="38"/>
  <c r="O22" i="38"/>
  <c r="O21" i="38"/>
  <c r="O24" i="38"/>
  <c r="O33" i="38"/>
  <c r="O32" i="38"/>
  <c r="O31" i="38"/>
  <c r="O30" i="38"/>
  <c r="K26" i="26"/>
  <c r="J18" i="45"/>
  <c r="O15" i="38"/>
  <c r="F41" i="34"/>
  <c r="H15" i="26"/>
  <c r="H16" i="26"/>
  <c r="P23" i="38" l="1"/>
  <c r="P15" i="38"/>
  <c r="D8" i="38" s="1"/>
  <c r="P24" i="38"/>
  <c r="P20" i="38"/>
  <c r="P25" i="38"/>
  <c r="P21" i="38"/>
  <c r="P32" i="38"/>
  <c r="P33" i="38"/>
  <c r="P16" i="38"/>
  <c r="P26" i="38"/>
  <c r="P22" i="38"/>
  <c r="P27" i="38"/>
  <c r="P19" i="38"/>
  <c r="P28" i="38"/>
  <c r="P18" i="38"/>
  <c r="P29" i="38"/>
  <c r="P17" i="38"/>
  <c r="P30" i="38"/>
  <c r="P31" i="38"/>
  <c r="F24" i="41"/>
  <c r="F38" i="41"/>
  <c r="C39" i="41"/>
  <c r="C31" i="16"/>
  <c r="F10" i="25"/>
  <c r="F10" i="43" s="1"/>
  <c r="F11" i="25"/>
  <c r="F11" i="43" s="1"/>
  <c r="C4" i="25"/>
  <c r="C5" i="2"/>
  <c r="P34" i="39"/>
  <c r="P35" i="39"/>
  <c r="P32" i="39"/>
  <c r="P36" i="39" s="1"/>
  <c r="L49" i="34"/>
  <c r="B53" i="39"/>
  <c r="B52" i="39"/>
  <c r="C51" i="39"/>
  <c r="B51" i="39"/>
  <c r="D46" i="39"/>
  <c r="C46" i="39"/>
  <c r="B45" i="39"/>
  <c r="B54" i="39" s="1"/>
  <c r="E44" i="39"/>
  <c r="E42" i="39"/>
  <c r="I42" i="39" s="1"/>
  <c r="G41" i="39"/>
  <c r="G45" i="39" s="1"/>
  <c r="F41" i="39"/>
  <c r="F45" i="39" s="1"/>
  <c r="E41" i="39"/>
  <c r="E43" i="39" s="1"/>
  <c r="L35" i="39"/>
  <c r="L34" i="39"/>
  <c r="B34" i="39"/>
  <c r="L33" i="39"/>
  <c r="P33" i="39" s="1"/>
  <c r="B33" i="39"/>
  <c r="L32" i="39"/>
  <c r="B32" i="39"/>
  <c r="D27" i="39"/>
  <c r="C27" i="39"/>
  <c r="C32" i="39" s="1"/>
  <c r="E6" i="39" s="1"/>
  <c r="E9" i="39" s="1"/>
  <c r="B26" i="39"/>
  <c r="B35" i="39" s="1"/>
  <c r="G25" i="39"/>
  <c r="F25" i="39"/>
  <c r="E25" i="39"/>
  <c r="I25" i="39" s="1"/>
  <c r="I23" i="39"/>
  <c r="E23" i="39"/>
  <c r="G22" i="39"/>
  <c r="G26" i="39" s="1"/>
  <c r="F22" i="39"/>
  <c r="F26" i="39" s="1"/>
  <c r="E22" i="39"/>
  <c r="E24" i="39" s="1"/>
  <c r="E7" i="39"/>
  <c r="L30" i="15"/>
  <c r="L31" i="15"/>
  <c r="L29" i="15"/>
  <c r="L28" i="15"/>
  <c r="D14" i="2"/>
  <c r="F13" i="2"/>
  <c r="F14" i="2"/>
  <c r="F12" i="2"/>
  <c r="F11" i="2"/>
  <c r="N15" i="3"/>
  <c r="H36" i="34"/>
  <c r="H35" i="34"/>
  <c r="L36" i="34" s="1"/>
  <c r="L34" i="34"/>
  <c r="L33" i="34"/>
  <c r="L32" i="34"/>
  <c r="L31" i="34"/>
  <c r="L30" i="34"/>
  <c r="H29" i="34"/>
  <c r="L29" i="34" s="1"/>
  <c r="H25" i="34"/>
  <c r="L23" i="34"/>
  <c r="H22" i="34"/>
  <c r="H16" i="34"/>
  <c r="L16" i="34" s="1"/>
  <c r="U39" i="16"/>
  <c r="U38" i="16"/>
  <c r="A2" i="32"/>
  <c r="A2" i="29"/>
  <c r="E50" i="36"/>
  <c r="E49" i="36"/>
  <c r="B49" i="36"/>
  <c r="E48" i="36"/>
  <c r="B48" i="36"/>
  <c r="E47" i="36"/>
  <c r="B47" i="36"/>
  <c r="D42" i="36"/>
  <c r="C42" i="36"/>
  <c r="C47" i="36" s="1"/>
  <c r="B41" i="36"/>
  <c r="B50" i="36" s="1"/>
  <c r="E40" i="36"/>
  <c r="E38" i="36"/>
  <c r="I38" i="36" s="1"/>
  <c r="G37" i="36"/>
  <c r="G41" i="36" s="1"/>
  <c r="F37" i="36"/>
  <c r="F41" i="36" s="1"/>
  <c r="E37" i="36"/>
  <c r="E39" i="36" s="1"/>
  <c r="K31" i="36"/>
  <c r="K30" i="36"/>
  <c r="B30" i="36"/>
  <c r="K29" i="36"/>
  <c r="B29" i="36"/>
  <c r="B28" i="36"/>
  <c r="D23" i="36"/>
  <c r="C23" i="36"/>
  <c r="C28" i="36" s="1"/>
  <c r="E6" i="36" s="1"/>
  <c r="G22" i="36"/>
  <c r="B22" i="36"/>
  <c r="B31" i="36" s="1"/>
  <c r="E19" i="36"/>
  <c r="G18" i="36"/>
  <c r="F18" i="36"/>
  <c r="F22" i="36" s="1"/>
  <c r="E18" i="36"/>
  <c r="E22" i="36" s="1"/>
  <c r="L23" i="36"/>
  <c r="G10" i="36" s="1"/>
  <c r="P9" i="36"/>
  <c r="R8" i="36"/>
  <c r="Q8" i="36"/>
  <c r="Q7" i="36"/>
  <c r="Q6" i="36"/>
  <c r="A2" i="36"/>
  <c r="A2" i="10"/>
  <c r="E50" i="32"/>
  <c r="L54" i="39" s="1"/>
  <c r="P54" i="39" s="1"/>
  <c r="E49" i="32"/>
  <c r="L53" i="39" s="1"/>
  <c r="P53" i="39" s="1"/>
  <c r="B49" i="32"/>
  <c r="E48" i="32"/>
  <c r="L52" i="39" s="1"/>
  <c r="P52" i="39" s="1"/>
  <c r="B48" i="32"/>
  <c r="E47" i="32"/>
  <c r="F8" i="25" s="1"/>
  <c r="F8" i="43" s="1"/>
  <c r="B47" i="32"/>
  <c r="D42" i="32"/>
  <c r="C42" i="32"/>
  <c r="C47" i="32" s="1"/>
  <c r="B41" i="32"/>
  <c r="B50" i="32" s="1"/>
  <c r="E38" i="32"/>
  <c r="I38" i="32" s="1"/>
  <c r="G37" i="32"/>
  <c r="G41" i="32" s="1"/>
  <c r="F37" i="32"/>
  <c r="F41" i="32" s="1"/>
  <c r="E37" i="32"/>
  <c r="E39" i="32" s="1"/>
  <c r="K31" i="32"/>
  <c r="B31" i="32"/>
  <c r="K30" i="32"/>
  <c r="B30" i="32"/>
  <c r="K29" i="32"/>
  <c r="B29" i="32"/>
  <c r="B28" i="32"/>
  <c r="D23" i="32"/>
  <c r="C23" i="32"/>
  <c r="C28" i="32" s="1"/>
  <c r="E22" i="32"/>
  <c r="B22" i="32"/>
  <c r="F21" i="32"/>
  <c r="I19" i="32"/>
  <c r="E19" i="32"/>
  <c r="G18" i="32"/>
  <c r="G22" i="32" s="1"/>
  <c r="F18" i="32"/>
  <c r="F22" i="32" s="1"/>
  <c r="E18" i="32"/>
  <c r="E21" i="32" s="1"/>
  <c r="L23" i="32"/>
  <c r="G10" i="32" s="1"/>
  <c r="P9" i="32"/>
  <c r="R8" i="32"/>
  <c r="Q8" i="32"/>
  <c r="Q7" i="32"/>
  <c r="Q6" i="32"/>
  <c r="Q9" i="32" s="1"/>
  <c r="F41" i="26" l="1"/>
  <c r="D9" i="38"/>
  <c r="D13" i="38"/>
  <c r="D15" i="38"/>
  <c r="D10" i="38"/>
  <c r="D12" i="38"/>
  <c r="D14" i="38"/>
  <c r="D11" i="38"/>
  <c r="D17" i="38"/>
  <c r="D16" i="38"/>
  <c r="F28" i="32"/>
  <c r="E6" i="32"/>
  <c r="F9" i="25"/>
  <c r="F9" i="43" s="1"/>
  <c r="L51" i="39"/>
  <c r="P51" i="39" s="1"/>
  <c r="E40" i="32"/>
  <c r="H22" i="32"/>
  <c r="I22" i="32" s="1"/>
  <c r="P55" i="39"/>
  <c r="P57" i="39" s="1"/>
  <c r="F40" i="36"/>
  <c r="H18" i="36"/>
  <c r="E20" i="36"/>
  <c r="F20" i="36" s="1"/>
  <c r="Q9" i="36"/>
  <c r="E21" i="36"/>
  <c r="F21" i="36"/>
  <c r="F43" i="39"/>
  <c r="E46" i="39"/>
  <c r="D51" i="39" s="1"/>
  <c r="F24" i="39"/>
  <c r="F27" i="39" s="1"/>
  <c r="D33" i="39" s="1"/>
  <c r="E27" i="39"/>
  <c r="D32" i="39" s="1"/>
  <c r="I24" i="39"/>
  <c r="G27" i="39"/>
  <c r="D34" i="39" s="1"/>
  <c r="F44" i="39"/>
  <c r="E45" i="39"/>
  <c r="H41" i="39"/>
  <c r="E26" i="39"/>
  <c r="H22" i="39"/>
  <c r="Q10" i="36"/>
  <c r="F39" i="36"/>
  <c r="F42" i="36" s="1"/>
  <c r="D48" i="36" s="1"/>
  <c r="F48" i="36" s="1"/>
  <c r="I39" i="36"/>
  <c r="F47" i="36"/>
  <c r="E7" i="36"/>
  <c r="E9" i="36" s="1"/>
  <c r="H22" i="36"/>
  <c r="I22" i="36"/>
  <c r="I19" i="36"/>
  <c r="F28" i="36"/>
  <c r="G40" i="36"/>
  <c r="G42" i="36" s="1"/>
  <c r="D49" i="36" s="1"/>
  <c r="F49" i="36" s="1"/>
  <c r="I20" i="36"/>
  <c r="G21" i="36"/>
  <c r="G23" i="36" s="1"/>
  <c r="D30" i="36" s="1"/>
  <c r="F30" i="36" s="1"/>
  <c r="H37" i="36"/>
  <c r="E41" i="36"/>
  <c r="E42" i="36" s="1"/>
  <c r="D47" i="36" s="1"/>
  <c r="Q10" i="32"/>
  <c r="G21" i="32"/>
  <c r="G23" i="32" s="1"/>
  <c r="D30" i="32" s="1"/>
  <c r="F30" i="32" s="1"/>
  <c r="H23" i="32"/>
  <c r="F47" i="32"/>
  <c r="E7" i="32"/>
  <c r="E9" i="32" s="1"/>
  <c r="E23" i="32"/>
  <c r="D28" i="32" s="1"/>
  <c r="F39" i="32"/>
  <c r="E20" i="32"/>
  <c r="F40" i="32"/>
  <c r="E41" i="32"/>
  <c r="H37" i="32"/>
  <c r="H18" i="32"/>
  <c r="B5" i="5"/>
  <c r="U32" i="16"/>
  <c r="I21" i="32" l="1"/>
  <c r="D31" i="32"/>
  <c r="F31" i="32" s="1"/>
  <c r="G40" i="32"/>
  <c r="F23" i="36"/>
  <c r="D29" i="36" s="1"/>
  <c r="F29" i="36" s="1"/>
  <c r="E23" i="36"/>
  <c r="D28" i="36" s="1"/>
  <c r="F6" i="36" s="1"/>
  <c r="F6" i="39"/>
  <c r="F7" i="39"/>
  <c r="H26" i="39"/>
  <c r="H45" i="39"/>
  <c r="F46" i="39"/>
  <c r="D52" i="39" s="1"/>
  <c r="G44" i="39"/>
  <c r="G46" i="39" s="1"/>
  <c r="D53" i="39" s="1"/>
  <c r="I43" i="39"/>
  <c r="F7" i="36"/>
  <c r="F9" i="36"/>
  <c r="D31" i="36"/>
  <c r="F31" i="36" s="1"/>
  <c r="F32" i="36" s="1"/>
  <c r="G6" i="36" s="1"/>
  <c r="H23" i="36"/>
  <c r="I21" i="36"/>
  <c r="I23" i="36" s="1"/>
  <c r="I40" i="36"/>
  <c r="D32" i="36"/>
  <c r="H41" i="36"/>
  <c r="I41" i="36" s="1"/>
  <c r="G42" i="32"/>
  <c r="D49" i="32" s="1"/>
  <c r="F49" i="32" s="1"/>
  <c r="I40" i="32"/>
  <c r="F20" i="32"/>
  <c r="F23" i="32" s="1"/>
  <c r="D29" i="32" s="1"/>
  <c r="F29" i="32" s="1"/>
  <c r="F32" i="32" s="1"/>
  <c r="G6" i="32" s="1"/>
  <c r="H41" i="32"/>
  <c r="E42" i="32"/>
  <c r="D47" i="32" s="1"/>
  <c r="F42" i="32"/>
  <c r="D48" i="32" s="1"/>
  <c r="F48" i="32" s="1"/>
  <c r="I39" i="32"/>
  <c r="F6" i="32"/>
  <c r="B49" i="15"/>
  <c r="B48" i="15"/>
  <c r="B47" i="15"/>
  <c r="D42" i="15"/>
  <c r="C42" i="15"/>
  <c r="C47" i="15" s="1"/>
  <c r="E41" i="15"/>
  <c r="H41" i="15" s="1"/>
  <c r="B41" i="15"/>
  <c r="B50" i="15" s="1"/>
  <c r="E38" i="15"/>
  <c r="I38" i="15" s="1"/>
  <c r="G37" i="15"/>
  <c r="G41" i="15" s="1"/>
  <c r="F37" i="15"/>
  <c r="F41" i="15" s="1"/>
  <c r="E37" i="15"/>
  <c r="H37" i="15" s="1"/>
  <c r="B30" i="15"/>
  <c r="B29" i="15"/>
  <c r="B28" i="15"/>
  <c r="D23" i="15"/>
  <c r="C23" i="15"/>
  <c r="C28" i="15" s="1"/>
  <c r="B22" i="15"/>
  <c r="B31" i="15" s="1"/>
  <c r="F21" i="15"/>
  <c r="I19" i="15"/>
  <c r="E19" i="15"/>
  <c r="G18" i="15"/>
  <c r="G22" i="15" s="1"/>
  <c r="F18" i="15"/>
  <c r="F22" i="15" s="1"/>
  <c r="E18" i="15"/>
  <c r="E21" i="15" s="1"/>
  <c r="F37" i="3"/>
  <c r="H36" i="3"/>
  <c r="F38" i="26" s="1"/>
  <c r="T18" i="16"/>
  <c r="E20" i="15" l="1"/>
  <c r="E39" i="15"/>
  <c r="D32" i="32"/>
  <c r="D54" i="39"/>
  <c r="H46" i="39"/>
  <c r="F9" i="39"/>
  <c r="D35" i="39"/>
  <c r="H27" i="39"/>
  <c r="I26" i="39"/>
  <c r="I27" i="39" s="1"/>
  <c r="I44" i="39"/>
  <c r="I46" i="39" s="1"/>
  <c r="I45" i="39"/>
  <c r="I42" i="36"/>
  <c r="R6" i="36"/>
  <c r="R12" i="36"/>
  <c r="Q12" i="36"/>
  <c r="R13" i="36" s="1"/>
  <c r="D50" i="36"/>
  <c r="H42" i="36"/>
  <c r="F7" i="32"/>
  <c r="D50" i="32"/>
  <c r="F50" i="32" s="1"/>
  <c r="F51" i="32" s="1"/>
  <c r="G7" i="32" s="1"/>
  <c r="H42" i="32"/>
  <c r="I41" i="32"/>
  <c r="R6" i="32"/>
  <c r="F9" i="32"/>
  <c r="I20" i="32"/>
  <c r="I23" i="32" s="1"/>
  <c r="I42" i="32"/>
  <c r="D50" i="15"/>
  <c r="H42" i="15"/>
  <c r="E7" i="15"/>
  <c r="G21" i="15"/>
  <c r="G23" i="15" s="1"/>
  <c r="D30" i="15" s="1"/>
  <c r="E6" i="15"/>
  <c r="E9" i="15" s="1"/>
  <c r="F20" i="15"/>
  <c r="F23" i="15" s="1"/>
  <c r="D29" i="15" s="1"/>
  <c r="I41" i="15"/>
  <c r="E22" i="15"/>
  <c r="E23" i="15" s="1"/>
  <c r="D28" i="15" s="1"/>
  <c r="E40" i="15"/>
  <c r="E42" i="15" s="1"/>
  <c r="D47" i="15" s="1"/>
  <c r="H18" i="15"/>
  <c r="F40" i="15"/>
  <c r="F39" i="15"/>
  <c r="F42" i="15" s="1"/>
  <c r="D48" i="15" s="1"/>
  <c r="L47" i="34"/>
  <c r="D36" i="39" l="1"/>
  <c r="D55" i="39"/>
  <c r="F50" i="36"/>
  <c r="F51" i="36" s="1"/>
  <c r="G7" i="36" s="1"/>
  <c r="D51" i="36"/>
  <c r="R7" i="32"/>
  <c r="G9" i="32"/>
  <c r="G11" i="32" s="1"/>
  <c r="Q12" i="32"/>
  <c r="R12" i="32"/>
  <c r="D51" i="32"/>
  <c r="F7" i="15"/>
  <c r="F6" i="15"/>
  <c r="F9" i="15" s="1"/>
  <c r="H22" i="15"/>
  <c r="G40" i="15"/>
  <c r="G42" i="15" s="1"/>
  <c r="D49" i="15" s="1"/>
  <c r="I21" i="15"/>
  <c r="I39" i="15"/>
  <c r="I20" i="15"/>
  <c r="F17" i="3"/>
  <c r="R7" i="36" l="1"/>
  <c r="G9" i="36"/>
  <c r="R13" i="32"/>
  <c r="R9" i="32"/>
  <c r="R10" i="32" s="1"/>
  <c r="I40" i="15"/>
  <c r="I42" i="15" s="1"/>
  <c r="D51" i="15"/>
  <c r="D31" i="15"/>
  <c r="H23" i="15"/>
  <c r="I22" i="15"/>
  <c r="I23" i="15"/>
  <c r="R9" i="36" l="1"/>
  <c r="R10" i="36" s="1"/>
  <c r="G11" i="36"/>
  <c r="G12" i="29" s="1"/>
  <c r="D32" i="15"/>
  <c r="G12" i="10"/>
  <c r="K30" i="10"/>
  <c r="K31" i="10"/>
  <c r="K29" i="10"/>
  <c r="E50" i="29"/>
  <c r="E49" i="29"/>
  <c r="B49" i="29"/>
  <c r="E48" i="29"/>
  <c r="B48" i="29"/>
  <c r="E47" i="29"/>
  <c r="B47" i="29"/>
  <c r="D42" i="29"/>
  <c r="C42" i="29"/>
  <c r="C47" i="29" s="1"/>
  <c r="B41" i="29"/>
  <c r="B50" i="29" s="1"/>
  <c r="E38" i="29"/>
  <c r="I38" i="29" s="1"/>
  <c r="G37" i="29"/>
  <c r="G41" i="29" s="1"/>
  <c r="F37" i="29"/>
  <c r="F40" i="29" s="1"/>
  <c r="E37" i="29"/>
  <c r="E39" i="29" s="1"/>
  <c r="B30" i="29"/>
  <c r="B29" i="29"/>
  <c r="B28" i="29"/>
  <c r="D23" i="29"/>
  <c r="C23" i="29"/>
  <c r="C28" i="29" s="1"/>
  <c r="E6" i="29" s="1"/>
  <c r="B22" i="29"/>
  <c r="B31" i="29" s="1"/>
  <c r="E19" i="29"/>
  <c r="G18" i="29"/>
  <c r="F18" i="29"/>
  <c r="F22" i="29" s="1"/>
  <c r="E18" i="29"/>
  <c r="E21" i="29" s="1"/>
  <c r="L23" i="29"/>
  <c r="G10" i="29" s="1"/>
  <c r="P9" i="29"/>
  <c r="R8" i="29"/>
  <c r="Q8" i="29"/>
  <c r="Q7" i="29"/>
  <c r="Q6" i="29"/>
  <c r="Q9" i="29" s="1"/>
  <c r="L23" i="10"/>
  <c r="G10" i="10" s="1"/>
  <c r="E33" i="28"/>
  <c r="F22" i="28"/>
  <c r="J22" i="28" s="1"/>
  <c r="F20" i="28"/>
  <c r="J20" i="28" s="1"/>
  <c r="F10" i="28"/>
  <c r="J10" i="28" s="1"/>
  <c r="J23" i="28" s="1"/>
  <c r="F18" i="28"/>
  <c r="J18" i="28" s="1"/>
  <c r="F16" i="28"/>
  <c r="J16" i="28" s="1"/>
  <c r="F14" i="28"/>
  <c r="J14" i="28" s="1"/>
  <c r="E50" i="10"/>
  <c r="E49" i="10"/>
  <c r="B49" i="10"/>
  <c r="E48" i="10"/>
  <c r="B48" i="10"/>
  <c r="E47" i="10"/>
  <c r="B47" i="10"/>
  <c r="D42" i="10"/>
  <c r="C42" i="10"/>
  <c r="C47" i="10" s="1"/>
  <c r="E7" i="10" s="1"/>
  <c r="B41" i="10"/>
  <c r="B50" i="10" s="1"/>
  <c r="E38" i="10"/>
  <c r="G37" i="10"/>
  <c r="G41" i="10" s="1"/>
  <c r="F37" i="10"/>
  <c r="F40" i="10" s="1"/>
  <c r="E37" i="10"/>
  <c r="E40" i="10" s="1"/>
  <c r="B30" i="10"/>
  <c r="B29" i="10"/>
  <c r="B28" i="10"/>
  <c r="D23" i="10"/>
  <c r="C23" i="10"/>
  <c r="C28" i="10" s="1"/>
  <c r="F28" i="10" s="1"/>
  <c r="B22" i="10"/>
  <c r="B31" i="10" s="1"/>
  <c r="E19" i="10"/>
  <c r="I19" i="10" s="1"/>
  <c r="G18" i="10"/>
  <c r="G22" i="10" s="1"/>
  <c r="F18" i="10"/>
  <c r="F22" i="10" s="1"/>
  <c r="E18" i="10"/>
  <c r="E22" i="10" s="1"/>
  <c r="F41" i="29" l="1"/>
  <c r="F47" i="29"/>
  <c r="E7" i="29"/>
  <c r="E9" i="29"/>
  <c r="F21" i="29"/>
  <c r="G21" i="29" s="1"/>
  <c r="I21" i="29" s="1"/>
  <c r="H18" i="29"/>
  <c r="E22" i="29"/>
  <c r="E40" i="29"/>
  <c r="G40" i="29" s="1"/>
  <c r="G42" i="29" s="1"/>
  <c r="D49" i="29" s="1"/>
  <c r="F49" i="29" s="1"/>
  <c r="E39" i="10"/>
  <c r="G10" i="39"/>
  <c r="G10" i="15"/>
  <c r="E6" i="10"/>
  <c r="Q10" i="29"/>
  <c r="F39" i="29"/>
  <c r="F42" i="29" s="1"/>
  <c r="D48" i="29" s="1"/>
  <c r="F48" i="29" s="1"/>
  <c r="G22" i="29"/>
  <c r="I19" i="29"/>
  <c r="F28" i="29"/>
  <c r="E20" i="29"/>
  <c r="E23" i="29" s="1"/>
  <c r="D28" i="29" s="1"/>
  <c r="E41" i="29"/>
  <c r="H37" i="29"/>
  <c r="F41" i="10"/>
  <c r="G40" i="10"/>
  <c r="G42" i="10" s="1"/>
  <c r="D49" i="10" s="1"/>
  <c r="F49" i="10" s="1"/>
  <c r="H22" i="10"/>
  <c r="H23" i="10" s="1"/>
  <c r="F21" i="10"/>
  <c r="E21" i="10"/>
  <c r="G21" i="10" s="1"/>
  <c r="G23" i="10" s="1"/>
  <c r="D30" i="10" s="1"/>
  <c r="F30" i="10" s="1"/>
  <c r="E41" i="10"/>
  <c r="E20" i="10"/>
  <c r="F20" i="10" s="1"/>
  <c r="F23" i="10" s="1"/>
  <c r="D29" i="10" s="1"/>
  <c r="F29" i="10" s="1"/>
  <c r="E42" i="10"/>
  <c r="D47" i="10" s="1"/>
  <c r="F7" i="10" s="1"/>
  <c r="I38" i="10"/>
  <c r="F39" i="10"/>
  <c r="I39" i="10" s="1"/>
  <c r="F47" i="10"/>
  <c r="H18" i="10"/>
  <c r="H37" i="10"/>
  <c r="H22" i="29" l="1"/>
  <c r="I40" i="29"/>
  <c r="E23" i="10"/>
  <c r="D28" i="10" s="1"/>
  <c r="F6" i="10" s="1"/>
  <c r="D31" i="10"/>
  <c r="F31" i="10" s="1"/>
  <c r="I40" i="10"/>
  <c r="F42" i="10"/>
  <c r="D48" i="10" s="1"/>
  <c r="F48" i="10" s="1"/>
  <c r="H41" i="10"/>
  <c r="I41" i="10" s="1"/>
  <c r="I22" i="10"/>
  <c r="D31" i="29"/>
  <c r="F31" i="29" s="1"/>
  <c r="H23" i="29"/>
  <c r="G23" i="29"/>
  <c r="D30" i="29" s="1"/>
  <c r="F30" i="29" s="1"/>
  <c r="I22" i="29"/>
  <c r="H41" i="29"/>
  <c r="I41" i="29" s="1"/>
  <c r="E42" i="29"/>
  <c r="D47" i="29" s="1"/>
  <c r="F20" i="29"/>
  <c r="F23" i="29" s="1"/>
  <c r="D29" i="29" s="1"/>
  <c r="F6" i="29"/>
  <c r="I39" i="29"/>
  <c r="I21" i="10"/>
  <c r="H42" i="10"/>
  <c r="D32" i="10"/>
  <c r="F32" i="10"/>
  <c r="G6" i="10" s="1"/>
  <c r="I42" i="10"/>
  <c r="I20" i="10"/>
  <c r="I23" i="10" s="1"/>
  <c r="F29" i="29" l="1"/>
  <c r="F32" i="29" s="1"/>
  <c r="G6" i="29" s="1"/>
  <c r="R6" i="29" s="1"/>
  <c r="D50" i="10"/>
  <c r="F50" i="10"/>
  <c r="F51" i="10" s="1"/>
  <c r="G7" i="10" s="1"/>
  <c r="I20" i="29"/>
  <c r="I23" i="29" s="1"/>
  <c r="D50" i="29"/>
  <c r="H42" i="29"/>
  <c r="I42" i="29"/>
  <c r="D51" i="29"/>
  <c r="F7" i="29"/>
  <c r="F9" i="29" s="1"/>
  <c r="D32" i="29"/>
  <c r="D51" i="10"/>
  <c r="F50" i="29" l="1"/>
  <c r="F51" i="29" s="1"/>
  <c r="G7" i="29" s="1"/>
  <c r="R12" i="29"/>
  <c r="Q12" i="29"/>
  <c r="R13" i="29" s="1"/>
  <c r="R7" i="29" l="1"/>
  <c r="G9" i="29"/>
  <c r="G11" i="29" s="1"/>
  <c r="R9" i="29"/>
  <c r="R10" i="29" s="1"/>
  <c r="G12" i="32" l="1"/>
  <c r="G13" i="32" s="1"/>
  <c r="G13" i="29"/>
  <c r="H40" i="16"/>
  <c r="H11" i="34" l="1"/>
  <c r="H11" i="3"/>
  <c r="F11" i="26" s="1"/>
  <c r="H12" i="3"/>
  <c r="F12" i="26" s="1"/>
  <c r="H12" i="34"/>
  <c r="H31" i="16"/>
  <c r="I21" i="5"/>
  <c r="L59" i="34" s="1"/>
  <c r="G19" i="5"/>
  <c r="E19" i="5"/>
  <c r="M8" i="16"/>
  <c r="L45" i="3" l="1"/>
  <c r="L46" i="3"/>
  <c r="L60" i="3"/>
  <c r="G38" i="27"/>
  <c r="E38" i="27"/>
  <c r="K37" i="27"/>
  <c r="I36" i="27"/>
  <c r="S36" i="27" s="1"/>
  <c r="I34" i="27"/>
  <c r="S34" i="27" s="1"/>
  <c r="I33" i="27"/>
  <c r="S33" i="27" s="1"/>
  <c r="I32" i="27"/>
  <c r="S32" i="27" s="1"/>
  <c r="I31" i="27"/>
  <c r="S31" i="27" s="1"/>
  <c r="I29" i="27"/>
  <c r="S29" i="27" s="1"/>
  <c r="I28" i="27"/>
  <c r="S28" i="27" s="1"/>
  <c r="I27" i="27"/>
  <c r="S27" i="27" s="1"/>
  <c r="I26" i="27"/>
  <c r="S26" i="27" s="1"/>
  <c r="K23" i="27"/>
  <c r="I22" i="27"/>
  <c r="S22" i="27" s="1"/>
  <c r="I21" i="27"/>
  <c r="S21" i="27" s="1"/>
  <c r="I20" i="27"/>
  <c r="S20" i="27" s="1"/>
  <c r="I19" i="27"/>
  <c r="S19" i="27" s="1"/>
  <c r="I18" i="27"/>
  <c r="S18" i="27" s="1"/>
  <c r="I17" i="27"/>
  <c r="S17" i="27" s="1"/>
  <c r="I16" i="27"/>
  <c r="S16" i="27" s="1"/>
  <c r="I15" i="27"/>
  <c r="S15" i="27" s="1"/>
  <c r="I14" i="27"/>
  <c r="S14" i="27" s="1"/>
  <c r="I13" i="27"/>
  <c r="S13" i="27" s="1"/>
  <c r="I12" i="27"/>
  <c r="S12" i="27" s="1"/>
  <c r="I11" i="27"/>
  <c r="S11" i="27" s="1"/>
  <c r="I10" i="27"/>
  <c r="S10" i="27" s="1"/>
  <c r="I9" i="27"/>
  <c r="S9" i="27" s="1"/>
  <c r="I8" i="27"/>
  <c r="S8" i="27" s="1"/>
  <c r="O25" i="16"/>
  <c r="M9" i="16"/>
  <c r="M10" i="16"/>
  <c r="M11" i="16"/>
  <c r="M12" i="16"/>
  <c r="M7" i="16"/>
  <c r="L27" i="26"/>
  <c r="L25" i="26"/>
  <c r="K42" i="26"/>
  <c r="K40" i="26"/>
  <c r="K36" i="26"/>
  <c r="K35" i="26"/>
  <c r="K34" i="26"/>
  <c r="K33" i="26"/>
  <c r="K32" i="26"/>
  <c r="L32" i="26" s="1"/>
  <c r="K31" i="26"/>
  <c r="K30" i="26"/>
  <c r="K39" i="26" s="1"/>
  <c r="K16" i="26"/>
  <c r="K14" i="26"/>
  <c r="K17" i="26"/>
  <c r="K15" i="26"/>
  <c r="H53" i="26"/>
  <c r="K53" i="26" s="1"/>
  <c r="H49" i="26"/>
  <c r="K49" i="26" s="1"/>
  <c r="H48" i="26"/>
  <c r="K48" i="26" s="1"/>
  <c r="H30" i="26"/>
  <c r="H24" i="26"/>
  <c r="E18" i="26"/>
  <c r="S38" i="27" l="1"/>
  <c r="O13" i="44"/>
  <c r="M13" i="41"/>
  <c r="O10" i="44"/>
  <c r="M10" i="41"/>
  <c r="K10" i="27"/>
  <c r="H11" i="44"/>
  <c r="F11" i="41"/>
  <c r="K16" i="27"/>
  <c r="H17" i="44"/>
  <c r="F17" i="41"/>
  <c r="K22" i="27"/>
  <c r="H23" i="44"/>
  <c r="F23" i="41"/>
  <c r="K31" i="27"/>
  <c r="H32" i="44"/>
  <c r="F32" i="41"/>
  <c r="O9" i="44"/>
  <c r="M9" i="41"/>
  <c r="O11" i="44"/>
  <c r="M11" i="41"/>
  <c r="O17" i="44"/>
  <c r="M17" i="41"/>
  <c r="O23" i="44"/>
  <c r="M23" i="41"/>
  <c r="O32" i="44"/>
  <c r="M32" i="41"/>
  <c r="O12" i="44"/>
  <c r="M12" i="41"/>
  <c r="O19" i="44"/>
  <c r="M19" i="41"/>
  <c r="K9" i="27"/>
  <c r="H10" i="44"/>
  <c r="F10" i="41"/>
  <c r="K11" i="27"/>
  <c r="H12" i="44"/>
  <c r="F12" i="41"/>
  <c r="K17" i="27"/>
  <c r="H18" i="44"/>
  <c r="F18" i="41"/>
  <c r="H33" i="44"/>
  <c r="F33" i="41"/>
  <c r="O18" i="44"/>
  <c r="M18" i="41"/>
  <c r="O18" i="41" s="1"/>
  <c r="O24" i="44"/>
  <c r="Q24" i="44" s="1"/>
  <c r="U24" i="44" s="1"/>
  <c r="M24" i="41"/>
  <c r="O24" i="41" s="1"/>
  <c r="O33" i="44"/>
  <c r="Q33" i="44" s="1"/>
  <c r="U33" i="44" s="1"/>
  <c r="M33" i="41"/>
  <c r="K26" i="27"/>
  <c r="H27" i="44"/>
  <c r="F27" i="41"/>
  <c r="K33" i="27"/>
  <c r="H34" i="44"/>
  <c r="F34" i="41"/>
  <c r="K34" i="27"/>
  <c r="H35" i="44"/>
  <c r="F35" i="41"/>
  <c r="K18" i="27"/>
  <c r="H19" i="44"/>
  <c r="F19" i="41"/>
  <c r="K13" i="27"/>
  <c r="H14" i="44"/>
  <c r="F14" i="41"/>
  <c r="K27" i="27"/>
  <c r="H28" i="44"/>
  <c r="F28" i="41"/>
  <c r="K36" i="27"/>
  <c r="H37" i="44"/>
  <c r="F37" i="41"/>
  <c r="O27" i="44"/>
  <c r="M27" i="41"/>
  <c r="O27" i="41" s="1"/>
  <c r="O14" i="44"/>
  <c r="M14" i="41"/>
  <c r="O20" i="44"/>
  <c r="M20" i="41"/>
  <c r="O28" i="44"/>
  <c r="M28" i="41"/>
  <c r="K12" i="27"/>
  <c r="H13" i="44"/>
  <c r="F13" i="41"/>
  <c r="K19" i="27"/>
  <c r="H20" i="44"/>
  <c r="F20" i="41"/>
  <c r="K8" i="27"/>
  <c r="H9" i="44"/>
  <c r="F9" i="41"/>
  <c r="K14" i="27"/>
  <c r="H15" i="44"/>
  <c r="F15" i="41"/>
  <c r="K20" i="27"/>
  <c r="H21" i="44"/>
  <c r="F21" i="41"/>
  <c r="K28" i="27"/>
  <c r="H29" i="44"/>
  <c r="F29" i="41"/>
  <c r="O15" i="44"/>
  <c r="M15" i="41"/>
  <c r="O21" i="44"/>
  <c r="M21" i="41"/>
  <c r="O29" i="44"/>
  <c r="M29" i="41"/>
  <c r="K15" i="27"/>
  <c r="H16" i="44"/>
  <c r="F16" i="41"/>
  <c r="K21" i="27"/>
  <c r="H22" i="44"/>
  <c r="F22" i="41"/>
  <c r="K29" i="27"/>
  <c r="H30" i="44"/>
  <c r="F30" i="41"/>
  <c r="O16" i="44"/>
  <c r="M16" i="41"/>
  <c r="O22" i="44"/>
  <c r="M22" i="41"/>
  <c r="O30" i="44"/>
  <c r="M30" i="41"/>
  <c r="L34" i="26"/>
  <c r="L33" i="26"/>
  <c r="L35" i="26"/>
  <c r="L24" i="26"/>
  <c r="L36" i="26"/>
  <c r="L37" i="26"/>
  <c r="L30" i="26"/>
  <c r="K51" i="26"/>
  <c r="K32" i="27"/>
  <c r="I38" i="27"/>
  <c r="K43" i="26"/>
  <c r="K47" i="26" s="1"/>
  <c r="K50" i="26" s="1"/>
  <c r="K56" i="26" s="1"/>
  <c r="E39" i="26"/>
  <c r="E43" i="26" s="1"/>
  <c r="E44" i="26" s="1"/>
  <c r="Q18" i="44" l="1"/>
  <c r="U18" i="44" s="1"/>
  <c r="O32" i="41"/>
  <c r="O30" i="41"/>
  <c r="Q27" i="44"/>
  <c r="U27" i="44" s="1"/>
  <c r="Q30" i="44"/>
  <c r="U30" i="44" s="1"/>
  <c r="Q23" i="44"/>
  <c r="U23" i="44" s="1"/>
  <c r="O23" i="41"/>
  <c r="Q11" i="44"/>
  <c r="U11" i="44" s="1"/>
  <c r="Q28" i="44"/>
  <c r="U28" i="44" s="1"/>
  <c r="O19" i="41"/>
  <c r="O17" i="41"/>
  <c r="O12" i="41"/>
  <c r="Q22" i="44"/>
  <c r="U22" i="44" s="1"/>
  <c r="O11" i="41"/>
  <c r="O9" i="41"/>
  <c r="O22" i="41"/>
  <c r="O16" i="41"/>
  <c r="O29" i="41"/>
  <c r="O28" i="41"/>
  <c r="Q19" i="44"/>
  <c r="U19" i="44" s="1"/>
  <c r="Q9" i="44"/>
  <c r="U9" i="44" s="1"/>
  <c r="O10" i="41"/>
  <c r="O21" i="41"/>
  <c r="Q12" i="44"/>
  <c r="U12" i="44" s="1"/>
  <c r="Q10" i="44"/>
  <c r="U10" i="44" s="1"/>
  <c r="Q29" i="44"/>
  <c r="U29" i="44" s="1"/>
  <c r="Q21" i="44"/>
  <c r="U21" i="44" s="1"/>
  <c r="F39" i="41"/>
  <c r="Q20" i="44"/>
  <c r="U20" i="44" s="1"/>
  <c r="O13" i="41"/>
  <c r="O20" i="41"/>
  <c r="K38" i="27"/>
  <c r="O15" i="41"/>
  <c r="H39" i="44"/>
  <c r="O14" i="41"/>
  <c r="Q32" i="44"/>
  <c r="U32" i="44" s="1"/>
  <c r="Q13" i="44"/>
  <c r="U13" i="44" s="1"/>
  <c r="Q17" i="44"/>
  <c r="U17" i="44" s="1"/>
  <c r="Q16" i="44"/>
  <c r="U16" i="44" s="1"/>
  <c r="O34" i="44"/>
  <c r="Q34" i="44" s="1"/>
  <c r="U34" i="44" s="1"/>
  <c r="M34" i="41"/>
  <c r="O34" i="41" s="1"/>
  <c r="Q15" i="44"/>
  <c r="U15" i="44" s="1"/>
  <c r="Q14" i="44"/>
  <c r="U14" i="44" s="1"/>
  <c r="O33" i="41"/>
  <c r="L33" i="3"/>
  <c r="O37" i="16"/>
  <c r="O35" i="44" l="1"/>
  <c r="M35" i="41"/>
  <c r="O35" i="41" s="1"/>
  <c r="O31" i="16"/>
  <c r="T8" i="16"/>
  <c r="T7" i="16"/>
  <c r="P9" i="10"/>
  <c r="O38" i="44" l="1"/>
  <c r="Q38" i="44" s="1"/>
  <c r="U38" i="44" s="1"/>
  <c r="M38" i="41"/>
  <c r="O38" i="41" s="1"/>
  <c r="Q35" i="44"/>
  <c r="U35" i="44" s="1"/>
  <c r="O37" i="44"/>
  <c r="Q37" i="44" s="1"/>
  <c r="U37" i="44" s="1"/>
  <c r="M37" i="41"/>
  <c r="O37" i="41" s="1"/>
  <c r="O39" i="41" s="1"/>
  <c r="T9" i="16"/>
  <c r="Q7" i="10"/>
  <c r="Q8" i="10"/>
  <c r="Q6" i="10"/>
  <c r="Q9" i="10" s="1"/>
  <c r="Q10" i="10" s="1"/>
  <c r="H38" i="3" l="1"/>
  <c r="H38" i="34"/>
  <c r="O39" i="44"/>
  <c r="M39" i="41"/>
  <c r="Q39" i="44"/>
  <c r="H16" i="3"/>
  <c r="F17" i="26" s="1"/>
  <c r="H17" i="26" s="1"/>
  <c r="H51" i="26" s="1"/>
  <c r="L38" i="34" l="1"/>
  <c r="L61" i="34" s="1"/>
  <c r="L62" i="3"/>
  <c r="F40" i="26"/>
  <c r="H41" i="26" s="1"/>
  <c r="E30" i="16"/>
  <c r="E28" i="16"/>
  <c r="F28" i="16" s="1"/>
  <c r="E27" i="16" l="1"/>
  <c r="F27" i="16" s="1"/>
  <c r="F30" i="16"/>
  <c r="E29" i="16"/>
  <c r="F29" i="16" s="1"/>
  <c r="F31" i="16" l="1"/>
  <c r="F32" i="16" s="1"/>
  <c r="D35" i="16" s="1"/>
  <c r="D36" i="16" l="1"/>
  <c r="D38" i="16" l="1"/>
  <c r="H32" i="16"/>
  <c r="H33" i="16" s="1"/>
  <c r="H24" i="34" s="1"/>
  <c r="L25" i="34" s="1"/>
  <c r="T12" i="16"/>
  <c r="H24" i="3" l="1"/>
  <c r="F25" i="26" s="1"/>
  <c r="H29" i="3"/>
  <c r="F31" i="26"/>
  <c r="T11" i="16"/>
  <c r="H31" i="26" l="1"/>
  <c r="H22" i="3"/>
  <c r="F23" i="26" s="1"/>
  <c r="T13" i="16"/>
  <c r="U30" i="16"/>
  <c r="U29" i="16"/>
  <c r="B16" i="23"/>
  <c r="S28" i="16" s="1"/>
  <c r="S37" i="16" s="1"/>
  <c r="D14" i="16"/>
  <c r="L31" i="26" l="1"/>
  <c r="U28" i="16"/>
  <c r="U31" i="16" s="1"/>
  <c r="U41" i="16" s="1"/>
  <c r="S40" i="16"/>
  <c r="U37" i="16"/>
  <c r="U40" i="16" s="1"/>
  <c r="O12" i="16"/>
  <c r="O11" i="16"/>
  <c r="O8" i="16"/>
  <c r="O9" i="16"/>
  <c r="O10" i="16"/>
  <c r="H36" i="16" s="1"/>
  <c r="S31" i="16"/>
  <c r="U42" i="16" l="1"/>
  <c r="E20" i="16"/>
  <c r="U33" i="16"/>
  <c r="H26" i="34" s="1"/>
  <c r="K13" i="26"/>
  <c r="J14" i="2"/>
  <c r="J13" i="2"/>
  <c r="J12" i="2"/>
  <c r="J11" i="2"/>
  <c r="H27" i="34" l="1"/>
  <c r="H27" i="3"/>
  <c r="F28" i="26" s="1"/>
  <c r="H26" i="3"/>
  <c r="F27" i="26" s="1"/>
  <c r="R8" i="10"/>
  <c r="E9" i="10"/>
  <c r="G20" i="16" l="1"/>
  <c r="F9" i="10"/>
  <c r="R7" i="10"/>
  <c r="R6" i="10"/>
  <c r="R12" i="10" l="1"/>
  <c r="Q12" i="10"/>
  <c r="R13" i="10" s="1"/>
  <c r="G9" i="10"/>
  <c r="G11" i="10" l="1"/>
  <c r="G12" i="36" s="1"/>
  <c r="G13" i="36" s="1"/>
  <c r="R9" i="10"/>
  <c r="R10" i="10" s="1"/>
  <c r="H10" i="34" l="1"/>
  <c r="H10" i="3"/>
  <c r="F10" i="26" s="1"/>
  <c r="G13" i="10"/>
  <c r="H9" i="34" s="1"/>
  <c r="L12" i="34" l="1"/>
  <c r="H17" i="34"/>
  <c r="H9" i="3"/>
  <c r="F9" i="26" s="1"/>
  <c r="H12" i="26" s="1"/>
  <c r="H18" i="26" s="1"/>
  <c r="H57" i="26"/>
  <c r="H29" i="16"/>
  <c r="L12" i="3" l="1"/>
  <c r="L54" i="3" s="1"/>
  <c r="P58" i="39"/>
  <c r="L52" i="34"/>
  <c r="L17" i="34"/>
  <c r="H17" i="3"/>
  <c r="K18" i="26"/>
  <c r="L18" i="26" s="1"/>
  <c r="K57" i="26"/>
  <c r="K58" i="26" s="1"/>
  <c r="L16" i="3"/>
  <c r="L48" i="3" l="1"/>
  <c r="L50" i="34" s="1"/>
  <c r="L34" i="3"/>
  <c r="L32" i="3"/>
  <c r="L31" i="3"/>
  <c r="L23" i="3"/>
  <c r="L30" i="3"/>
  <c r="O7" i="16" l="1"/>
  <c r="O17" i="16" l="1"/>
  <c r="H35" i="16"/>
  <c r="H37" i="16" s="1"/>
  <c r="H39" i="16" l="1"/>
  <c r="H41" i="16" s="1"/>
  <c r="O34" i="16"/>
  <c r="O36" i="16" s="1"/>
  <c r="O38" i="16"/>
  <c r="O24" i="16"/>
  <c r="O28" i="16" s="1"/>
  <c r="O30" i="16" s="1"/>
  <c r="H25" i="3" l="1"/>
  <c r="O32" i="16"/>
  <c r="H39" i="34" s="1"/>
  <c r="L39" i="34" s="1"/>
  <c r="L25" i="3" l="1"/>
  <c r="F26" i="26"/>
  <c r="H26" i="26" s="1"/>
  <c r="L26" i="26" s="1"/>
  <c r="H39" i="3"/>
  <c r="F42" i="26" s="1"/>
  <c r="H42" i="26"/>
  <c r="L42" i="26" s="1"/>
  <c r="O26" i="16"/>
  <c r="H21" i="34" s="1"/>
  <c r="L22" i="34" s="1"/>
  <c r="L29" i="3"/>
  <c r="H21" i="3" l="1"/>
  <c r="F22" i="26" s="1"/>
  <c r="H23" i="26" s="1"/>
  <c r="L22" i="3" l="1"/>
  <c r="F40" i="3" l="1"/>
  <c r="D10" i="16"/>
  <c r="E14" i="16" l="1"/>
  <c r="E16" i="16" s="1"/>
  <c r="C15" i="16"/>
  <c r="F41" i="3"/>
  <c r="E21" i="16" l="1"/>
  <c r="E22" i="16" s="1"/>
  <c r="H28" i="34" s="1"/>
  <c r="G21" i="16"/>
  <c r="G22" i="16" s="1"/>
  <c r="F21" i="16"/>
  <c r="F22" i="16" s="1"/>
  <c r="L39" i="3"/>
  <c r="L28" i="34" l="1"/>
  <c r="L37" i="34" s="1"/>
  <c r="L40" i="34" s="1"/>
  <c r="H37" i="34"/>
  <c r="H40" i="34" s="1"/>
  <c r="H41" i="34" s="1"/>
  <c r="H28" i="3"/>
  <c r="H35" i="3"/>
  <c r="L40" i="26"/>
  <c r="L36" i="3" l="1"/>
  <c r="F37" i="26"/>
  <c r="H38" i="26" s="1"/>
  <c r="L28" i="3"/>
  <c r="F29" i="26"/>
  <c r="H29" i="26" s="1"/>
  <c r="L44" i="34"/>
  <c r="L41" i="34"/>
  <c r="L37" i="3"/>
  <c r="L40" i="3" s="1"/>
  <c r="H37" i="3"/>
  <c r="H40" i="3" s="1"/>
  <c r="H41" i="3" s="1"/>
  <c r="L29" i="26" l="1"/>
  <c r="H39" i="26"/>
  <c r="L46" i="34"/>
  <c r="L48" i="34" s="1"/>
  <c r="L58" i="34"/>
  <c r="L44" i="3"/>
  <c r="L39" i="26" l="1"/>
  <c r="H43" i="26"/>
  <c r="L57" i="34"/>
  <c r="L60" i="34" s="1"/>
  <c r="L62" i="34" s="1"/>
  <c r="L51" i="34"/>
  <c r="L47" i="3"/>
  <c r="L59" i="3"/>
  <c r="H44" i="26" l="1"/>
  <c r="H47" i="26"/>
  <c r="H50" i="26" s="1"/>
  <c r="H56" i="26" s="1"/>
  <c r="H58" i="26" s="1"/>
  <c r="L43" i="26"/>
  <c r="L53" i="34"/>
  <c r="L54" i="34" s="1"/>
  <c r="M31" i="39" s="1"/>
  <c r="G12" i="39"/>
  <c r="L53" i="3"/>
  <c r="G12" i="15" s="1"/>
  <c r="L58" i="3"/>
  <c r="M35" i="39" l="1"/>
  <c r="O35" i="39" s="1"/>
  <c r="E35" i="39" s="1"/>
  <c r="M50" i="39"/>
  <c r="M51" i="39" s="1"/>
  <c r="O51" i="39" s="1"/>
  <c r="M53" i="39"/>
  <c r="O53" i="39" s="1"/>
  <c r="M33" i="39"/>
  <c r="O33" i="39" s="1"/>
  <c r="E33" i="39" s="1"/>
  <c r="M54" i="39"/>
  <c r="O54" i="39" s="1"/>
  <c r="M52" i="39"/>
  <c r="O52" i="39" s="1"/>
  <c r="M32" i="39"/>
  <c r="O32" i="39" s="1"/>
  <c r="E32" i="39" s="1"/>
  <c r="M34" i="39"/>
  <c r="O34" i="39" s="1"/>
  <c r="E34" i="39" s="1"/>
  <c r="L61" i="3"/>
  <c r="L63" i="3" s="1"/>
  <c r="E51" i="39" l="1"/>
  <c r="F51" i="39" s="1"/>
  <c r="F32" i="39"/>
  <c r="E52" i="39"/>
  <c r="F52" i="39" s="1"/>
  <c r="F33" i="39"/>
  <c r="E53" i="39"/>
  <c r="F53" i="39" s="1"/>
  <c r="F34" i="39"/>
  <c r="E54" i="39"/>
  <c r="F54" i="39" s="1"/>
  <c r="F35" i="39"/>
  <c r="L55" i="3"/>
  <c r="L56" i="3" s="1"/>
  <c r="L17" i="3"/>
  <c r="L41" i="3" s="1"/>
  <c r="F36" i="39" l="1"/>
  <c r="G6" i="39" s="1"/>
  <c r="F55" i="39"/>
  <c r="G7" i="39" s="1"/>
  <c r="G9" i="39" s="1"/>
  <c r="G11" i="39" s="1"/>
  <c r="G13" i="39" s="1"/>
  <c r="M27" i="15"/>
  <c r="M30" i="15" s="1"/>
  <c r="O30" i="15" s="1"/>
  <c r="E30" i="15" s="1"/>
  <c r="O8" i="2"/>
  <c r="Q16" i="2" s="1"/>
  <c r="L16" i="2" s="1"/>
  <c r="I13" i="43" l="1"/>
  <c r="L13" i="43" s="1"/>
  <c r="N13" i="43" s="1"/>
  <c r="H9" i="46"/>
  <c r="K9" i="46" s="1"/>
  <c r="M9" i="46" s="1"/>
  <c r="L13" i="2"/>
  <c r="M31" i="15"/>
  <c r="O31" i="15" s="1"/>
  <c r="E31" i="15" s="1"/>
  <c r="M29" i="15"/>
  <c r="O29" i="15" s="1"/>
  <c r="E29" i="15" s="1"/>
  <c r="M28" i="15"/>
  <c r="O28" i="15" s="1"/>
  <c r="E28" i="15" s="1"/>
  <c r="F30" i="15"/>
  <c r="E49" i="15"/>
  <c r="F49" i="15" s="1"/>
  <c r="Q10" i="38" l="1"/>
  <c r="H5" i="46"/>
  <c r="K5" i="46" s="1"/>
  <c r="M5" i="46" s="1"/>
  <c r="I31" i="43"/>
  <c r="L31" i="43" s="1"/>
  <c r="O13" i="2"/>
  <c r="I10" i="43"/>
  <c r="L10" i="43" s="1"/>
  <c r="N10" i="43" s="1"/>
  <c r="F31" i="15"/>
  <c r="Q21" i="38"/>
  <c r="Q22" i="38"/>
  <c r="Q23" i="38"/>
  <c r="Q19" i="38"/>
  <c r="Q20" i="38"/>
  <c r="F29" i="15"/>
  <c r="F32" i="15" s="1"/>
  <c r="G6" i="15" s="1"/>
  <c r="L11" i="2"/>
  <c r="L12" i="2"/>
  <c r="E47" i="15"/>
  <c r="F47" i="15" s="1"/>
  <c r="F28" i="15"/>
  <c r="Q13" i="2"/>
  <c r="L14" i="2"/>
  <c r="E50" i="15"/>
  <c r="F50" i="15" s="1"/>
  <c r="E48" i="15"/>
  <c r="F48" i="15" s="1"/>
  <c r="F51" i="15" s="1"/>
  <c r="G7" i="15" s="1"/>
  <c r="I28" i="43" l="1"/>
  <c r="L28" i="43" s="1"/>
  <c r="I11" i="43"/>
  <c r="L11" i="43" s="1"/>
  <c r="N11" i="43" s="1"/>
  <c r="H6" i="46"/>
  <c r="K6" i="46" s="1"/>
  <c r="M6" i="46" s="1"/>
  <c r="Q11" i="38"/>
  <c r="Q8" i="38"/>
  <c r="H3" i="46"/>
  <c r="K3" i="46" s="1"/>
  <c r="M3" i="46" s="1"/>
  <c r="H4" i="46"/>
  <c r="K4" i="46" s="1"/>
  <c r="M4" i="46" s="1"/>
  <c r="Q9" i="38"/>
  <c r="O14" i="2"/>
  <c r="Q14" i="2"/>
  <c r="O12" i="2"/>
  <c r="I9" i="43"/>
  <c r="L9" i="43" s="1"/>
  <c r="N9" i="43" s="1"/>
  <c r="O11" i="2"/>
  <c r="I8" i="43"/>
  <c r="L8" i="43" s="1"/>
  <c r="N8" i="43" s="1"/>
  <c r="Q12" i="2"/>
  <c r="G9" i="15"/>
  <c r="G11" i="15" s="1"/>
  <c r="G13" i="15" s="1"/>
  <c r="Q11" i="2"/>
  <c r="Q18" i="38" l="1"/>
  <c r="Q17" i="38"/>
  <c r="Q16" i="38"/>
  <c r="Q29" i="38"/>
  <c r="Q30" i="38"/>
  <c r="Q28" i="38"/>
  <c r="Q26" i="38"/>
  <c r="Q31" i="38"/>
  <c r="Q32" i="38"/>
  <c r="Q27" i="38"/>
  <c r="Q33" i="38"/>
  <c r="Q24" i="38"/>
  <c r="Q25" i="38"/>
  <c r="Q15" i="38"/>
  <c r="Q14" i="38"/>
  <c r="R14" i="38" s="1"/>
  <c r="I29" i="43"/>
  <c r="L29" i="43" s="1"/>
  <c r="I27" i="43"/>
  <c r="L27" i="43" s="1"/>
  <c r="I26" i="43"/>
  <c r="L26" i="43" s="1"/>
  <c r="R20" i="38" l="1"/>
  <c r="R24" i="38"/>
  <c r="R32" i="38"/>
  <c r="R28" i="38"/>
  <c r="R15" i="38"/>
  <c r="F8" i="38" s="1"/>
  <c r="H8" i="38" s="1"/>
  <c r="J8" i="38" s="1"/>
  <c r="R21" i="38"/>
  <c r="F11" i="38" s="1"/>
  <c r="H11" i="38" s="1"/>
  <c r="J11" i="38" s="1"/>
  <c r="R18" i="38"/>
  <c r="R26" i="38"/>
  <c r="R22" i="38"/>
  <c r="R30" i="38"/>
  <c r="R17" i="38"/>
  <c r="F9" i="38" s="1"/>
  <c r="H9" i="38" s="1"/>
  <c r="J9" i="38" s="1"/>
  <c r="R27" i="38"/>
  <c r="F14" i="38" s="1"/>
  <c r="H14" i="38" s="1"/>
  <c r="J14" i="38" s="1"/>
  <c r="R33" i="38"/>
  <c r="F17" i="38" s="1"/>
  <c r="H17" i="38" s="1"/>
  <c r="J17" i="38" s="1"/>
  <c r="R31" i="38"/>
  <c r="F16" i="38" s="1"/>
  <c r="H16" i="38" s="1"/>
  <c r="J16" i="38" s="1"/>
  <c r="R23" i="38"/>
  <c r="F12" i="38" s="1"/>
  <c r="H12" i="38" s="1"/>
  <c r="J12" i="38" s="1"/>
  <c r="R16" i="38"/>
  <c r="R25" i="38"/>
  <c r="F13" i="38" s="1"/>
  <c r="H13" i="38" s="1"/>
  <c r="J13" i="38" s="1"/>
  <c r="R29" i="38"/>
  <c r="F15" i="38" s="1"/>
  <c r="H15" i="38" s="1"/>
  <c r="J15" i="38" s="1"/>
  <c r="R19" i="38"/>
  <c r="F10" i="38" s="1"/>
  <c r="H10" i="38" s="1"/>
  <c r="J10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AlanV</author>
    <author>Alan Vilines</author>
  </authors>
  <commentList>
    <comment ref="O28" authorId="0" shapeId="0" xr:uid="{AA0AC8BA-F766-468F-A505-DFDF89079FD3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Includes Commissioners</t>
        </r>
      </text>
    </comment>
    <comment ref="O35" authorId="1" shapeId="0" xr:uid="{1E910838-C337-43DD-BFCF-0FBE4A63D67C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new rate effective 7/1/22
 per KPPA web site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31F93110-2500-4C1E-887D-2F497218A543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7E66C9FC-60A9-4125-B216-3A2724871535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A03697BE-6DA0-435F-83B0-64737D00E81A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<sst xmlns="http://schemas.openxmlformats.org/spreadsheetml/2006/main" count="1281" uniqueCount="362">
  <si>
    <t>TOTALS</t>
  </si>
  <si>
    <t>Life</t>
  </si>
  <si>
    <t>Operating Revenues</t>
  </si>
  <si>
    <t>Total Operating Revenues</t>
  </si>
  <si>
    <t>Operating Expenses</t>
  </si>
  <si>
    <t>Total Operating Expenses</t>
  </si>
  <si>
    <t>Pro Forma Operating Expenses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</si>
  <si>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</si>
  <si>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</si>
  <si>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</si>
  <si>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</si>
  <si>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</si>
  <si>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</si>
  <si>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</si>
  <si>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</si>
  <si>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</si>
  <si>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</si>
  <si>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Contractual Services</t>
  </si>
  <si>
    <t>Miscellaneous Expenses</t>
  </si>
  <si>
    <t>Additional Working Capital</t>
  </si>
  <si>
    <t>Adjustments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</si>
  <si>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</si>
  <si>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</si>
  <si>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</si>
  <si>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</si>
  <si>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</si>
  <si>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Forfeited Discounts</t>
  </si>
  <si>
    <t>Misc. Service Revenues</t>
  </si>
  <si>
    <t>Other Water Revenues:</t>
  </si>
  <si>
    <t>DEBT SERVICE SCHDULE</t>
  </si>
  <si>
    <t>Principal</t>
  </si>
  <si>
    <t>Interest</t>
  </si>
  <si>
    <t>Totals</t>
  </si>
  <si>
    <t>REVENUE REQUIREMENTS</t>
  </si>
  <si>
    <t>Ref.</t>
  </si>
  <si>
    <t>Revenue</t>
  </si>
  <si>
    <t>Avg. Annual Principal and Interest Payments</t>
  </si>
  <si>
    <t>Gallons Sold</t>
  </si>
  <si>
    <t>TOTAL</t>
  </si>
  <si>
    <t>Interest Income</t>
  </si>
  <si>
    <t>Water Loss Adjustment: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</si>
  <si>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</si>
  <si>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</si>
  <si>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</si>
  <si>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</si>
  <si>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</si>
  <si>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</si>
  <si>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</si>
  <si>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</si>
  <si>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</si>
  <si>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</si>
  <si>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</si>
  <si>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</si>
  <si>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>Materials and Supplies</t>
  </si>
  <si>
    <t>First</t>
  </si>
  <si>
    <t>Next</t>
  </si>
  <si>
    <t>No. of Bills</t>
  </si>
  <si>
    <t>CURRENT AND PROPOSED RATES</t>
  </si>
  <si>
    <t>Pro Forma</t>
  </si>
  <si>
    <t>Test Year</t>
  </si>
  <si>
    <t>C.Y.</t>
  </si>
  <si>
    <t>Total</t>
  </si>
  <si>
    <t xml:space="preserve">   Plus:</t>
  </si>
  <si>
    <t xml:space="preserve">   Less:</t>
  </si>
  <si>
    <t>A</t>
  </si>
  <si>
    <t>B</t>
  </si>
  <si>
    <t>C</t>
  </si>
  <si>
    <t>E</t>
  </si>
  <si>
    <t>F</t>
  </si>
  <si>
    <t>G</t>
  </si>
  <si>
    <t>I</t>
  </si>
  <si>
    <t>J</t>
  </si>
  <si>
    <t>K</t>
  </si>
  <si>
    <t>Revenue Required From Water Sales</t>
  </si>
  <si>
    <t>Dental</t>
  </si>
  <si>
    <t>Dist. Contrib</t>
  </si>
  <si>
    <t>BLS avg.</t>
  </si>
  <si>
    <t>Premium</t>
  </si>
  <si>
    <t>Adj'mt.</t>
  </si>
  <si>
    <t>Allowable annual prem.</t>
  </si>
  <si>
    <t>Less prem. pd. in test yr.</t>
  </si>
  <si>
    <t>Health Ins. Adjustment</t>
  </si>
  <si>
    <t xml:space="preserve">Pro Forma </t>
  </si>
  <si>
    <t>Wage Rate</t>
  </si>
  <si>
    <t>Wages</t>
  </si>
  <si>
    <t>O. T. Wages</t>
  </si>
  <si>
    <t>Pro Forma Salaries &amp; Wages Expense</t>
  </si>
  <si>
    <t xml:space="preserve"> </t>
  </si>
  <si>
    <t>Times: 7.65 Percent FICA Rate</t>
  </si>
  <si>
    <t>Pro Forma Payroll Taxes</t>
  </si>
  <si>
    <t>Less: Test Year Payroll Taxes</t>
  </si>
  <si>
    <t>Payroll Tax Adjustment</t>
  </si>
  <si>
    <t>Total Pro Forma Pension Contribution</t>
  </si>
  <si>
    <t>Less: Test Year Pension Contribution</t>
  </si>
  <si>
    <t>Pension &amp; Benefits Adjustments</t>
  </si>
  <si>
    <t>Times: Percent Pension Contribution</t>
  </si>
  <si>
    <t>Wages applicable to CERS payments</t>
  </si>
  <si>
    <t>Salaries &amp; Wages and Associated Adjustments</t>
  </si>
  <si>
    <t>Less: Test Year Salaries &amp; Wages Exp</t>
  </si>
  <si>
    <t>Pro Forma Salaries &amp; Wages Adj'mt</t>
  </si>
  <si>
    <t>Reg. Wages</t>
  </si>
  <si>
    <t>D</t>
  </si>
  <si>
    <t>Table C</t>
  </si>
  <si>
    <t>Bad Debt</t>
  </si>
  <si>
    <t>Retirement</t>
  </si>
  <si>
    <t>Total Pen &amp; Benefits</t>
  </si>
  <si>
    <t>GASB Liability Adjustments</t>
  </si>
  <si>
    <t>Purchased Water Adjustment for PWA</t>
  </si>
  <si>
    <t>Total Retail Metered Sales</t>
  </si>
  <si>
    <t>Addition to Depreciation Expense:</t>
  </si>
  <si>
    <t>Insurance</t>
  </si>
  <si>
    <t>Sales for Resale</t>
  </si>
  <si>
    <t>Other Water Revenues</t>
  </si>
  <si>
    <t>Advertising</t>
  </si>
  <si>
    <t>Nonutility Income</t>
  </si>
  <si>
    <t xml:space="preserve">  SUMMARY  </t>
  </si>
  <si>
    <t xml:space="preserve">     5/8" X 3/4" Meters</t>
  </si>
  <si>
    <t xml:space="preserve">     1" Meters</t>
  </si>
  <si>
    <t xml:space="preserve">     2" Meters</t>
  </si>
  <si>
    <t>Pro Forma Retail Sales Revenue</t>
  </si>
  <si>
    <t>PROPOSED RATE SCHEDULES</t>
  </si>
  <si>
    <t xml:space="preserve"> Percentage Rate Increase</t>
  </si>
  <si>
    <t>5/8" x 3/4" Meters</t>
  </si>
  <si>
    <t>gallons</t>
  </si>
  <si>
    <t>Minimum Bill</t>
  </si>
  <si>
    <t>Over</t>
  </si>
  <si>
    <t>Theft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</si>
  <si>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</si>
  <si>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</si>
  <si>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</si>
  <si>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</si>
  <si>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</si>
  <si>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</si>
  <si>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</si>
  <si>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</si>
  <si>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</si>
  <si>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</si>
  <si>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</si>
  <si>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Oct</t>
  </si>
  <si>
    <t>Page 53</t>
  </si>
  <si>
    <t>Annual Report</t>
  </si>
  <si>
    <t>Difference</t>
  </si>
  <si>
    <t>Gals x 1000</t>
  </si>
  <si>
    <t>Rate</t>
  </si>
  <si>
    <t>Cost</t>
  </si>
  <si>
    <t>Test Year WP expense</t>
  </si>
  <si>
    <t>Water Purchased Adjustment</t>
  </si>
  <si>
    <t>labor adjustment</t>
  </si>
  <si>
    <t>materials adjustment</t>
  </si>
  <si>
    <t>Income from Utility Plant Leases</t>
  </si>
  <si>
    <t>Gains for Disposition of Property</t>
  </si>
  <si>
    <t>L</t>
  </si>
  <si>
    <t>Pumping Equipment</t>
  </si>
  <si>
    <t>Insurance Adjustment</t>
  </si>
  <si>
    <t>Empl. rate</t>
  </si>
  <si>
    <t>Health</t>
  </si>
  <si>
    <t>Vision</t>
  </si>
  <si>
    <t>Empl/Spouse</t>
  </si>
  <si>
    <t>Monthly</t>
  </si>
  <si>
    <t>Contrib. x No. in Tier</t>
  </si>
  <si>
    <t>Total Allowable monthly prem.</t>
  </si>
  <si>
    <t>Table A</t>
  </si>
  <si>
    <t>DEPRECIATION EXPENSE ADJUSTMENTS</t>
  </si>
  <si>
    <t>CURRENT BILLING ANALYSIS - 2021 USAGE &amp; EXISTING RATES</t>
  </si>
  <si>
    <t>PSC</t>
  </si>
  <si>
    <t>Report</t>
  </si>
  <si>
    <t>Analysis</t>
  </si>
  <si>
    <t>Billing</t>
  </si>
  <si>
    <t>Total - 2020</t>
  </si>
  <si>
    <t>Less applicable billeing adjustments</t>
  </si>
  <si>
    <t>H</t>
  </si>
  <si>
    <t>New Meter Installations:</t>
  </si>
  <si>
    <t>3/4" meters</t>
  </si>
  <si>
    <t>1" meters</t>
  </si>
  <si>
    <t>No.</t>
  </si>
  <si>
    <t>Charge</t>
  </si>
  <si>
    <t>Addition to depr. Table</t>
  </si>
  <si>
    <t>Pro Forma Taxable Salaries and Wages</t>
  </si>
  <si>
    <t>CURRENT RATE SCHEDULE *</t>
  </si>
  <si>
    <t>M</t>
  </si>
  <si>
    <t>Employee Benefits (from Auditor):</t>
  </si>
  <si>
    <t>OPEB</t>
  </si>
  <si>
    <t>Emp. Heath, Dental, etc</t>
  </si>
  <si>
    <t>GASB 68</t>
  </si>
  <si>
    <t>Reported Ins.</t>
  </si>
  <si>
    <t>Actual Dist. Pmts.</t>
  </si>
  <si>
    <t>CERS expense</t>
  </si>
  <si>
    <t>N</t>
  </si>
  <si>
    <t>Surplus Revenue With Required Adjustments</t>
  </si>
  <si>
    <t>CURRENT RATES *</t>
  </si>
  <si>
    <t xml:space="preserve">*  Anticipated rates from a Purchased Water Adjustment </t>
  </si>
  <si>
    <t>STAFF REPORT</t>
  </si>
  <si>
    <t>New empl. Not hired</t>
  </si>
  <si>
    <t>Increased Tap Fees</t>
  </si>
  <si>
    <t>&lt;==== ???</t>
  </si>
  <si>
    <t>deducted engineering</t>
  </si>
  <si>
    <t>Water Testing</t>
  </si>
  <si>
    <t>Thomas</t>
  </si>
  <si>
    <t>Pay</t>
  </si>
  <si>
    <t>Type</t>
  </si>
  <si>
    <t>Bimonthly</t>
  </si>
  <si>
    <t>Hourly</t>
  </si>
  <si>
    <t>Montgomery County Water District No. 1</t>
  </si>
  <si>
    <t>UPIS</t>
  </si>
  <si>
    <t>Accum. Dep</t>
  </si>
  <si>
    <t>NARUC</t>
  </si>
  <si>
    <t>Account Title</t>
  </si>
  <si>
    <t>Balance</t>
  </si>
  <si>
    <t>Dep. Exp.</t>
  </si>
  <si>
    <t>Dep. Lives</t>
  </si>
  <si>
    <t>Dep. Lexp</t>
  </si>
  <si>
    <t>Dep. Adj.</t>
  </si>
  <si>
    <t>Land &amp; Land Rights</t>
  </si>
  <si>
    <t>Land $Land Rights</t>
  </si>
  <si>
    <t>Structures &amp; Inprovements</t>
  </si>
  <si>
    <t>Structures and Inprovements</t>
  </si>
  <si>
    <t>Collecting &amp; Impounding Reservoirs</t>
  </si>
  <si>
    <t>Supply Mains</t>
  </si>
  <si>
    <t>Distibutions Reservoirs &amp; Standpipes</t>
  </si>
  <si>
    <t>Transmission &amp; Distibution Mains</t>
  </si>
  <si>
    <t>Meters &amp; Meter Instalations</t>
  </si>
  <si>
    <t>Hydrants</t>
  </si>
  <si>
    <t>Office Furniture and Equipment</t>
  </si>
  <si>
    <t>Office Furniture and Equipment (Software)</t>
  </si>
  <si>
    <t xml:space="preserve">Transportation Eqipment </t>
  </si>
  <si>
    <t xml:space="preserve">Misc.  Equipment </t>
  </si>
  <si>
    <t>Misc.  Equipment (Mower 4/2021)</t>
  </si>
  <si>
    <t>Misc.  Equipment (Hand Held 10/2021)</t>
  </si>
  <si>
    <t>Misc.  Equipment (Water Pump)</t>
  </si>
  <si>
    <t>Reg. Hours</t>
  </si>
  <si>
    <t>Loan No. 91-01</t>
  </si>
  <si>
    <t>January</t>
  </si>
  <si>
    <t>July</t>
  </si>
  <si>
    <t>5 Year Avg</t>
  </si>
  <si>
    <t>Annual</t>
  </si>
  <si>
    <t>Debt Service</t>
  </si>
  <si>
    <t>CERS Employer Contribution Rate 07/01/2023</t>
  </si>
  <si>
    <t>Allowable CERS Employer Contribution</t>
  </si>
  <si>
    <t>.</t>
  </si>
  <si>
    <t>Test-Period CERS Contribution</t>
  </si>
  <si>
    <t>CERS Adjustment</t>
  </si>
  <si>
    <t>Usage</t>
  </si>
  <si>
    <t>Bills</t>
  </si>
  <si>
    <t>Gallons</t>
  </si>
  <si>
    <t>REVENUE BY RATE INCREMENT</t>
  </si>
  <si>
    <t xml:space="preserve">Rate </t>
  </si>
  <si>
    <t>,</t>
  </si>
  <si>
    <t>Residential:</t>
  </si>
  <si>
    <t>Commercial</t>
  </si>
  <si>
    <t>Residential</t>
  </si>
  <si>
    <t>General Adjustment</t>
  </si>
  <si>
    <t>Billing Error</t>
  </si>
  <si>
    <t>Leak Adjustment</t>
  </si>
  <si>
    <t>Penalty Adjustment</t>
  </si>
  <si>
    <t>Misread Meter Adjustment</t>
  </si>
  <si>
    <t>Pool Sewer Adjustment</t>
  </si>
  <si>
    <t>Move Payment</t>
  </si>
  <si>
    <t>Total Adjustments</t>
  </si>
  <si>
    <t xml:space="preserve">  adjustment excess water cost</t>
  </si>
  <si>
    <t>Costs Subject to Water Loss Adjustment</t>
  </si>
  <si>
    <t xml:space="preserve">  adjustment percentage</t>
  </si>
  <si>
    <t>Purchased</t>
  </si>
  <si>
    <t>Water</t>
  </si>
  <si>
    <t>Power</t>
  </si>
  <si>
    <t>Excess Water Cost</t>
  </si>
  <si>
    <t>Divide by:</t>
  </si>
  <si>
    <t>Operating Ratio</t>
  </si>
  <si>
    <t>Subtotal</t>
  </si>
  <si>
    <t>Add:  Average Annual Interest Expense</t>
  </si>
  <si>
    <t>Less:</t>
  </si>
  <si>
    <t xml:space="preserve">Other Operating Revenue </t>
  </si>
  <si>
    <t>Revenue Required from Rates</t>
  </si>
  <si>
    <t>Normalized Revenues from Water Sales</t>
  </si>
  <si>
    <t>Percentage Increase</t>
  </si>
  <si>
    <t>Required Revenue Increase</t>
  </si>
  <si>
    <t>Monthly UPM Software Fee</t>
  </si>
  <si>
    <t>Normalizwe PWA (Case No. 2022-00242)</t>
  </si>
  <si>
    <t>Sandra Morton</t>
  </si>
  <si>
    <t>Average Debt Service</t>
  </si>
  <si>
    <t>Add:</t>
  </si>
  <si>
    <t>Non Cash Items:  Depreciation Exp.</t>
  </si>
  <si>
    <t>Working Capital</t>
  </si>
  <si>
    <t>BA - Test Year Rates</t>
  </si>
  <si>
    <t>Less:  Reported Revenue - Water Sales</t>
  </si>
  <si>
    <t>Normalization Adj.</t>
  </si>
  <si>
    <t>Less:  Normalized Revenue - Water Sales</t>
  </si>
  <si>
    <t>CURRENT BILLING ANALYSIS - 2022 USAGE &amp; PWA Rates Case No. 2022-00242</t>
  </si>
  <si>
    <t>BA - PWA Rates Case No. 2022-00242</t>
  </si>
  <si>
    <t>Normalizwe PWA (Case No. 2023-00243)</t>
  </si>
  <si>
    <t>BA - PWA Rates Case No. 2023-00243</t>
  </si>
  <si>
    <t>BA - 0.023 Rates Case No. 2023-00098</t>
  </si>
  <si>
    <t>Payroll Tax</t>
  </si>
  <si>
    <t>O</t>
  </si>
  <si>
    <t>Revenue Requirement Method:</t>
  </si>
  <si>
    <t xml:space="preserve">   due to Mt. Sterling wholesale increase.</t>
  </si>
  <si>
    <t xml:space="preserve">   Case No. 2023-00243.</t>
  </si>
  <si>
    <t>*  Rates proposed in the Purchased Water Adjustment application currently pending at the PSC Case No. 2023-00243.</t>
  </si>
  <si>
    <t>Detail</t>
  </si>
  <si>
    <t>Dif.</t>
  </si>
  <si>
    <t>Source</t>
  </si>
  <si>
    <t>P</t>
  </si>
  <si>
    <t>Q</t>
  </si>
  <si>
    <t>R</t>
  </si>
  <si>
    <t>District</t>
  </si>
  <si>
    <t>Acct.</t>
  </si>
  <si>
    <t>Computer Software</t>
  </si>
  <si>
    <t>Misc.  Equip. (Mower 4/2021)</t>
  </si>
  <si>
    <t>Misc.  Equip. (Hand Held 10/2021)</t>
  </si>
  <si>
    <t>Misc.  Equip. (Water Pump)</t>
  </si>
  <si>
    <t>CY 2024 - 2028</t>
  </si>
  <si>
    <t>CURRENT BILLING ANALYSIS - 2022 USAGE &amp;  RATES EFFECTIVE January 1, 2022</t>
  </si>
  <si>
    <t>Emp Current Wages and Test-Year Hours</t>
  </si>
  <si>
    <t>Health Insurance Adjustment</t>
  </si>
  <si>
    <t>PWA Rates Case No. 2022-00242</t>
  </si>
  <si>
    <t>PWA Rates Case No. 2023-00243</t>
  </si>
  <si>
    <t>New meters</t>
  </si>
  <si>
    <t>Depreciation. Adj - NARUC</t>
  </si>
  <si>
    <t>Contractual Services - Water Testing</t>
  </si>
  <si>
    <t>Insurance - Gen. Liability</t>
  </si>
  <si>
    <t>Gallons per</t>
  </si>
  <si>
    <t>Month</t>
  </si>
  <si>
    <t>Existing</t>
  </si>
  <si>
    <t>Bill</t>
  </si>
  <si>
    <t>Proposed</t>
  </si>
  <si>
    <t>Change</t>
  </si>
  <si>
    <t>Percentage</t>
  </si>
  <si>
    <t>Table D</t>
  </si>
  <si>
    <t>Existing and Proposed Bills</t>
  </si>
  <si>
    <t>Current Monthly Rates</t>
  </si>
  <si>
    <t>Proposed Monthly Rates</t>
  </si>
  <si>
    <t>Differences</t>
  </si>
  <si>
    <t>Current and Proposed Rates</t>
  </si>
  <si>
    <t>Table B</t>
  </si>
  <si>
    <t>Test-Year Meters</t>
  </si>
  <si>
    <t>AMR (Radio Read) Meters - CN 2023-000298</t>
  </si>
  <si>
    <t>AMR (Radio Read Software) - CN 2023-000298</t>
  </si>
  <si>
    <t>Misc.  Equipment (Mobile Reciever)  - CN 2023-000298</t>
  </si>
  <si>
    <t>Wholesale Water Rate</t>
  </si>
  <si>
    <t>per gallons</t>
  </si>
  <si>
    <t>per Gallon</t>
  </si>
  <si>
    <t>Op Ratio</t>
  </si>
  <si>
    <t>Min. Bill</t>
  </si>
  <si>
    <t>per Gal.</t>
  </si>
  <si>
    <t>Wholesale Water</t>
  </si>
  <si>
    <t xml:space="preserve">  Rate</t>
  </si>
  <si>
    <t>Total Operation and Mant. Expenses</t>
  </si>
  <si>
    <t>CURRENT BILLING ANALYSIS - 2022 USAGE &amp; PROPOSED RATES</t>
  </si>
  <si>
    <t>CURRENT BILLING ANALYSIS - 2022 USAGE &amp; PWA RATES Case No. 2023-00243</t>
  </si>
  <si>
    <t>CURRENT BILLING ANALYSIS - 2022 USAGE &amp; 0.023 RATES Case No. 2023-00098</t>
  </si>
  <si>
    <t>Dep.</t>
  </si>
  <si>
    <t>Lives</t>
  </si>
  <si>
    <t>Depreciation Schedule</t>
  </si>
  <si>
    <t>Appendix A</t>
  </si>
  <si>
    <t>Cannonsburg Water District</t>
  </si>
  <si>
    <t>CY 2023 - 2027</t>
  </si>
  <si>
    <t>Emp Title</t>
  </si>
  <si>
    <t>Office Manager</t>
  </si>
  <si>
    <t>Office Clerk</t>
  </si>
  <si>
    <t>Certified Operator</t>
  </si>
  <si>
    <t>Field Supervisor</t>
  </si>
  <si>
    <t>Maintenance</t>
  </si>
  <si>
    <t>Meter Reader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</si>
</sst>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0.0%"/>
    <numFmt numFmtId="168" formatCode="0.000%"/>
    <numFmt numFmtId="169" formatCode="_(* #,##0.000_);_(* \(#,##0.000\);_(* &quot;-&quot;??_);_(@_)"/>
    <numFmt numFmtId="170" formatCode="0_);\(0\)"/>
    <numFmt numFmtId="171" formatCode="mm/dd/yy;@"/>
    <numFmt numFmtId="172" formatCode="_(* #,##0.00000_);_(* \(#,##0.00000\);_(* &quot;-&quot;??_);_(@_)"/>
    <numFmt numFmtId="173" formatCode="_(&quot;$&quot;* #,##0.00000_);_(&quot;$&quot;* \(#,##0.00000\);_(&quot;$&quot;* &quot;-&quot;??_);_(@_)"/>
    <numFmt numFmtId="174" formatCode="#,##0.00000_);\(#,##0.00000\)"/>
    <numFmt numFmtId="175" formatCode="#,##0.00000"/>
    <numFmt numFmtId="176" formatCode="_(&quot;$&quot;* #,##0.00000_);_(&quot;$&quot;* \(#,##0.00000\);_(&quot;$&quot;* &quot;-&quot;?????_);_(@_)"/>
    <numFmt numFmtId="177" formatCode="_(&quot;$&quot;* #,##0.00_);_(&quot;$&quot;* \(#,##0.00\);_(&quot;$&quot;* &quot;-&quot;_);_(@_)"/>
  </numFmts>
  <fonts count="52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2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u val="singleAccounting"/>
      <sz val="12"/>
      <name val="Arial"/>
      <family val="2"/>
    </font>
    <font>
      <sz val="12"/>
      <color theme="3"/>
      <name val="Arial"/>
      <family val="2"/>
    </font>
    <font>
      <b/>
      <i/>
      <sz val="12"/>
      <color rgb="FFFF0000"/>
      <name val="Arial"/>
      <family val="2"/>
    </font>
    <font>
      <b/>
      <u val="singleAccounting"/>
      <sz val="12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u/>
      <sz val="18"/>
      <name val="Arial"/>
      <family val="2"/>
    </font>
    <font>
      <sz val="18"/>
      <color theme="1"/>
      <name val="Arial"/>
      <family val="2"/>
    </font>
    <font>
      <u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6" fontId="4" fillId="0" borderId="0" xfId="1" applyNumberFormat="1" applyFont="1"/>
    <xf numFmtId="164" fontId="4" fillId="0" borderId="0" xfId="2" applyNumberFormat="1" applyFont="1" applyBorder="1"/>
    <xf numFmtId="166" fontId="4" fillId="0" borderId="0" xfId="1" applyNumberFormat="1" applyFont="1" applyBorder="1"/>
    <xf numFmtId="3" fontId="4" fillId="0" borderId="0" xfId="0" applyNumberFormat="1" applyFont="1" applyAlignment="1">
      <alignment horizontal="right"/>
    </xf>
    <xf numFmtId="164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6" fontId="4" fillId="0" borderId="0" xfId="5" applyNumberFormat="1" applyFont="1"/>
    <xf numFmtId="166" fontId="4" fillId="0" borderId="1" xfId="5" applyNumberFormat="1" applyFont="1" applyBorder="1"/>
    <xf numFmtId="44" fontId="4" fillId="0" borderId="0" xfId="4" applyFont="1"/>
    <xf numFmtId="0" fontId="4" fillId="0" borderId="1" xfId="0" applyFont="1" applyBorder="1"/>
    <xf numFmtId="3" fontId="4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0" fontId="9" fillId="0" borderId="0" xfId="0" applyFont="1"/>
    <xf numFmtId="166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43" fontId="4" fillId="0" borderId="0" xfId="5" applyFont="1"/>
    <xf numFmtId="168" fontId="4" fillId="0" borderId="0" xfId="6" applyNumberFormat="1" applyFont="1"/>
    <xf numFmtId="166" fontId="4" fillId="0" borderId="0" xfId="5" applyNumberFormat="1" applyFont="1" applyAlignment="1">
      <alignment vertical="center"/>
    </xf>
    <xf numFmtId="166" fontId="4" fillId="0" borderId="0" xfId="0" applyNumberFormat="1" applyFont="1"/>
    <xf numFmtId="3" fontId="3" fillId="0" borderId="0" xfId="0" applyNumberFormat="1" applyFont="1"/>
    <xf numFmtId="0" fontId="4" fillId="0" borderId="3" xfId="0" applyFont="1" applyBorder="1"/>
    <xf numFmtId="0" fontId="4" fillId="0" borderId="2" xfId="0" applyFont="1" applyBorder="1"/>
    <xf numFmtId="0" fontId="4" fillId="0" borderId="7" xfId="0" applyFont="1" applyBorder="1"/>
    <xf numFmtId="3" fontId="13" fillId="0" borderId="0" xfId="0" applyNumberFormat="1" applyFont="1" applyAlignment="1">
      <alignment horizontal="left" vertical="center"/>
    </xf>
    <xf numFmtId="166" fontId="7" fillId="0" borderId="0" xfId="1" applyNumberFormat="1" applyFont="1"/>
    <xf numFmtId="43" fontId="4" fillId="0" borderId="0" xfId="0" applyNumberFormat="1" applyFont="1"/>
    <xf numFmtId="164" fontId="4" fillId="0" borderId="0" xfId="2" applyNumberFormat="1" applyFont="1"/>
    <xf numFmtId="166" fontId="4" fillId="0" borderId="0" xfId="5" applyNumberFormat="1" applyFont="1" applyFill="1"/>
    <xf numFmtId="166" fontId="4" fillId="0" borderId="0" xfId="5" applyNumberFormat="1" applyFont="1" applyBorder="1"/>
    <xf numFmtId="168" fontId="12" fillId="0" borderId="0" xfId="6" applyNumberFormat="1" applyFont="1"/>
    <xf numFmtId="166" fontId="4" fillId="0" borderId="1" xfId="1" applyNumberFormat="1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7" xfId="0" applyFont="1" applyBorder="1"/>
    <xf numFmtId="166" fontId="3" fillId="0" borderId="0" xfId="5" applyNumberFormat="1" applyFont="1"/>
    <xf numFmtId="43" fontId="4" fillId="0" borderId="0" xfId="1" applyFont="1"/>
    <xf numFmtId="43" fontId="7" fillId="0" borderId="0" xfId="1" applyFont="1"/>
    <xf numFmtId="3" fontId="3" fillId="0" borderId="0" xfId="0" applyNumberFormat="1" applyFont="1" applyAlignment="1">
      <alignment horizontal="left" vertical="center"/>
    </xf>
    <xf numFmtId="43" fontId="7" fillId="0" borderId="0" xfId="5" applyFont="1" applyAlignment="1">
      <alignment horizontal="center"/>
    </xf>
    <xf numFmtId="43" fontId="4" fillId="0" borderId="0" xfId="1" applyFont="1" applyAlignment="1">
      <alignment horizontal="right"/>
    </xf>
    <xf numFmtId="165" fontId="4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164" fontId="16" fillId="0" borderId="9" xfId="2" applyNumberFormat="1" applyFont="1" applyBorder="1"/>
    <xf numFmtId="164" fontId="4" fillId="0" borderId="1" xfId="2" applyNumberFormat="1" applyFont="1" applyBorder="1"/>
    <xf numFmtId="10" fontId="4" fillId="0" borderId="1" xfId="0" applyNumberFormat="1" applyFont="1" applyBorder="1"/>
    <xf numFmtId="168" fontId="3" fillId="0" borderId="0" xfId="6" applyNumberFormat="1" applyFont="1"/>
    <xf numFmtId="0" fontId="3" fillId="0" borderId="0" xfId="0" applyFont="1"/>
    <xf numFmtId="166" fontId="3" fillId="0" borderId="0" xfId="1" applyNumberFormat="1" applyFont="1"/>
    <xf numFmtId="43" fontId="3" fillId="0" borderId="0" xfId="5" applyFont="1"/>
    <xf numFmtId="3" fontId="17" fillId="0" borderId="0" xfId="0" applyNumberFormat="1" applyFont="1"/>
    <xf numFmtId="43" fontId="4" fillId="0" borderId="0" xfId="1" applyFont="1" applyAlignment="1">
      <alignment horizontal="center"/>
    </xf>
    <xf numFmtId="166" fontId="14" fillId="0" borderId="0" xfId="1" applyNumberFormat="1" applyFont="1"/>
    <xf numFmtId="43" fontId="4" fillId="0" borderId="0" xfId="1" applyFont="1" applyBorder="1"/>
    <xf numFmtId="166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166" fontId="4" fillId="0" borderId="0" xfId="5" applyNumberFormat="1" applyFont="1" applyAlignment="1">
      <alignment horizontal="right"/>
    </xf>
    <xf numFmtId="43" fontId="3" fillId="0" borderId="0" xfId="5" applyFont="1" applyAlignment="1">
      <alignment horizontal="right"/>
    </xf>
    <xf numFmtId="43" fontId="4" fillId="0" borderId="0" xfId="1" quotePrefix="1" applyFont="1" applyAlignment="1">
      <alignment horizontal="right"/>
    </xf>
    <xf numFmtId="166" fontId="7" fillId="0" borderId="0" xfId="1" applyNumberFormat="1" applyFont="1" applyBorder="1"/>
    <xf numFmtId="0" fontId="1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21" fillId="0" borderId="0" xfId="0" applyFont="1"/>
    <xf numFmtId="164" fontId="4" fillId="0" borderId="0" xfId="0" applyNumberFormat="1" applyFont="1"/>
    <xf numFmtId="3" fontId="9" fillId="0" borderId="4" xfId="0" applyNumberFormat="1" applyFont="1" applyBorder="1"/>
    <xf numFmtId="3" fontId="9" fillId="0" borderId="5" xfId="0" applyNumberFormat="1" applyFont="1" applyBorder="1"/>
    <xf numFmtId="166" fontId="4" fillId="0" borderId="0" xfId="1" applyNumberFormat="1" applyFont="1" applyBorder="1" applyAlignment="1">
      <alignment vertical="center"/>
    </xf>
    <xf numFmtId="3" fontId="20" fillId="0" borderId="0" xfId="0" applyNumberFormat="1" applyFont="1" applyAlignment="1">
      <alignment horizontal="center" vertical="center"/>
    </xf>
    <xf numFmtId="166" fontId="4" fillId="0" borderId="6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166" fontId="4" fillId="0" borderId="0" xfId="1" applyNumberFormat="1" applyFont="1" applyBorder="1" applyAlignment="1"/>
    <xf numFmtId="3" fontId="10" fillId="0" borderId="6" xfId="0" applyNumberFormat="1" applyFont="1" applyBorder="1" applyAlignment="1">
      <alignment horizontal="center" vertical="center"/>
    </xf>
    <xf numFmtId="166" fontId="9" fillId="0" borderId="6" xfId="1" applyNumberFormat="1" applyFont="1" applyBorder="1"/>
    <xf numFmtId="166" fontId="4" fillId="0" borderId="0" xfId="1" quotePrefix="1" applyNumberFormat="1" applyFont="1" applyBorder="1" applyAlignment="1">
      <alignment vertical="center"/>
    </xf>
    <xf numFmtId="166" fontId="4" fillId="0" borderId="6" xfId="1" quotePrefix="1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6" fontId="7" fillId="0" borderId="0" xfId="5" applyNumberFormat="1" applyFont="1"/>
    <xf numFmtId="0" fontId="5" fillId="0" borderId="0" xfId="0" applyFont="1" applyAlignment="1">
      <alignment horizontal="right"/>
    </xf>
    <xf numFmtId="166" fontId="7" fillId="0" borderId="0" xfId="0" applyNumberFormat="1" applyFont="1"/>
    <xf numFmtId="0" fontId="4" fillId="0" borderId="1" xfId="0" applyFont="1" applyBorder="1" applyAlignment="1">
      <alignment horizontal="left"/>
    </xf>
    <xf numFmtId="164" fontId="4" fillId="0" borderId="0" xfId="4" applyNumberFormat="1" applyFont="1" applyBorder="1"/>
    <xf numFmtId="166" fontId="7" fillId="0" borderId="0" xfId="5" applyNumberFormat="1" applyFont="1" applyFill="1"/>
    <xf numFmtId="0" fontId="11" fillId="0" borderId="0" xfId="0" applyFont="1"/>
    <xf numFmtId="10" fontId="10" fillId="0" borderId="0" xfId="6" applyNumberFormat="1" applyFont="1" applyAlignment="1"/>
    <xf numFmtId="0" fontId="10" fillId="0" borderId="0" xfId="0" applyFont="1"/>
    <xf numFmtId="166" fontId="4" fillId="0" borderId="0" xfId="5" applyNumberFormat="1" applyFont="1" applyBorder="1" applyAlignment="1"/>
    <xf numFmtId="10" fontId="9" fillId="0" borderId="0" xfId="6" applyNumberFormat="1" applyFont="1" applyAlignment="1"/>
    <xf numFmtId="44" fontId="9" fillId="0" borderId="0" xfId="0" applyNumberFormat="1" applyFont="1"/>
    <xf numFmtId="43" fontId="9" fillId="0" borderId="0" xfId="5" applyFont="1" applyAlignment="1"/>
    <xf numFmtId="0" fontId="4" fillId="0" borderId="0" xfId="0" applyFont="1" applyAlignment="1">
      <alignment horizontal="left"/>
    </xf>
    <xf numFmtId="166" fontId="4" fillId="0" borderId="1" xfId="5" applyNumberFormat="1" applyFont="1" applyBorder="1" applyAlignment="1"/>
    <xf numFmtId="166" fontId="9" fillId="0" borderId="0" xfId="5" applyNumberFormat="1" applyFont="1" applyAlignment="1"/>
    <xf numFmtId="166" fontId="4" fillId="0" borderId="0" xfId="5" applyNumberFormat="1" applyFont="1" applyAlignment="1"/>
    <xf numFmtId="0" fontId="14" fillId="0" borderId="4" xfId="0" applyFont="1" applyBorder="1"/>
    <xf numFmtId="0" fontId="14" fillId="0" borderId="1" xfId="0" applyFont="1" applyBorder="1"/>
    <xf numFmtId="166" fontId="4" fillId="0" borderId="0" xfId="1" applyNumberFormat="1" applyFont="1" applyAlignment="1">
      <alignment horizontal="center"/>
    </xf>
    <xf numFmtId="0" fontId="22" fillId="0" borderId="0" xfId="0" applyFont="1"/>
    <xf numFmtId="169" fontId="4" fillId="0" borderId="0" xfId="1" applyNumberFormat="1" applyFont="1"/>
    <xf numFmtId="166" fontId="4" fillId="0" borderId="0" xfId="1" applyNumberFormat="1" applyFont="1" applyFill="1" applyBorder="1"/>
    <xf numFmtId="166" fontId="7" fillId="0" borderId="0" xfId="1" applyNumberFormat="1" applyFont="1" applyFill="1" applyBorder="1"/>
    <xf numFmtId="0" fontId="3" fillId="0" borderId="0" xfId="0" applyFont="1" applyAlignment="1">
      <alignment horizontal="right"/>
    </xf>
    <xf numFmtId="166" fontId="6" fillId="0" borderId="0" xfId="5" applyNumberFormat="1" applyFont="1"/>
    <xf numFmtId="9" fontId="4" fillId="0" borderId="0" xfId="6" applyFont="1"/>
    <xf numFmtId="43" fontId="7" fillId="0" borderId="0" xfId="5" applyFont="1"/>
    <xf numFmtId="43" fontId="4" fillId="0" borderId="0" xfId="5" applyFont="1" applyAlignment="1">
      <alignment horizontal="right"/>
    </xf>
    <xf numFmtId="43" fontId="7" fillId="0" borderId="0" xfId="1" applyFont="1" applyAlignment="1">
      <alignment horizontal="left"/>
    </xf>
    <xf numFmtId="9" fontId="4" fillId="0" borderId="0" xfId="6" applyFont="1" applyAlignment="1">
      <alignment horizontal="right"/>
    </xf>
    <xf numFmtId="43" fontId="4" fillId="0" borderId="4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164" fontId="4" fillId="0" borderId="6" xfId="0" applyNumberFormat="1" applyFont="1" applyBorder="1"/>
    <xf numFmtId="166" fontId="4" fillId="0" borderId="6" xfId="1" applyNumberFormat="1" applyFont="1" applyBorder="1"/>
    <xf numFmtId="166" fontId="7" fillId="0" borderId="6" xfId="1" applyNumberFormat="1" applyFont="1" applyBorder="1"/>
    <xf numFmtId="166" fontId="4" fillId="0" borderId="6" xfId="0" applyNumberFormat="1" applyFont="1" applyBorder="1"/>
    <xf numFmtId="166" fontId="4" fillId="2" borderId="0" xfId="0" applyNumberFormat="1" applyFont="1" applyFill="1"/>
    <xf numFmtId="166" fontId="4" fillId="2" borderId="6" xfId="0" applyNumberFormat="1" applyFont="1" applyFill="1" applyBorder="1"/>
    <xf numFmtId="164" fontId="4" fillId="2" borderId="6" xfId="0" applyNumberFormat="1" applyFont="1" applyFill="1" applyBorder="1"/>
    <xf numFmtId="0" fontId="0" fillId="0" borderId="2" xfId="0" applyBorder="1"/>
    <xf numFmtId="44" fontId="4" fillId="0" borderId="0" xfId="4" applyFont="1" applyBorder="1" applyAlignment="1"/>
    <xf numFmtId="43" fontId="4" fillId="0" borderId="0" xfId="5" applyFont="1" applyBorder="1" applyAlignment="1"/>
    <xf numFmtId="166" fontId="14" fillId="0" borderId="1" xfId="1" applyNumberFormat="1" applyFont="1" applyBorder="1"/>
    <xf numFmtId="0" fontId="12" fillId="0" borderId="0" xfId="0" applyFont="1"/>
    <xf numFmtId="166" fontId="3" fillId="0" borderId="0" xfId="1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43" fontId="3" fillId="0" borderId="0" xfId="1" applyFont="1"/>
    <xf numFmtId="0" fontId="24" fillId="0" borderId="0" xfId="0" applyFont="1"/>
    <xf numFmtId="166" fontId="9" fillId="0" borderId="0" xfId="1" applyNumberFormat="1" applyFont="1" applyAlignment="1"/>
    <xf numFmtId="166" fontId="9" fillId="0" borderId="0" xfId="1" applyNumberFormat="1" applyFont="1" applyAlignment="1">
      <alignment vertical="center"/>
    </xf>
    <xf numFmtId="166" fontId="9" fillId="0" borderId="0" xfId="1" applyNumberFormat="1" applyFont="1"/>
    <xf numFmtId="166" fontId="5" fillId="0" borderId="0" xfId="1" applyNumberFormat="1" applyFont="1" applyAlignment="1">
      <alignment horizontal="center" vertical="center"/>
    </xf>
    <xf numFmtId="166" fontId="5" fillId="0" borderId="6" xfId="1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12" fillId="0" borderId="0" xfId="1" applyNumberFormat="1" applyFont="1" applyAlignment="1">
      <alignment vertical="center"/>
    </xf>
    <xf numFmtId="166" fontId="4" fillId="0" borderId="2" xfId="1" applyNumberFormat="1" applyFont="1" applyBorder="1"/>
    <xf numFmtId="166" fontId="4" fillId="0" borderId="0" xfId="1" applyNumberFormat="1" applyFont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6" fontId="14" fillId="0" borderId="0" xfId="0" applyNumberFormat="1" applyFont="1"/>
    <xf numFmtId="43" fontId="14" fillId="0" borderId="0" xfId="1" applyFont="1"/>
    <xf numFmtId="1" fontId="25" fillId="0" borderId="0" xfId="0" applyNumberFormat="1" applyFont="1" applyAlignment="1">
      <alignment horizontal="center"/>
    </xf>
    <xf numFmtId="0" fontId="25" fillId="0" borderId="0" xfId="0" applyFont="1"/>
    <xf numFmtId="39" fontId="25" fillId="0" borderId="0" xfId="0" applyNumberFormat="1" applyFont="1"/>
    <xf numFmtId="1" fontId="25" fillId="0" borderId="0" xfId="0" applyNumberFormat="1" applyFont="1"/>
    <xf numFmtId="170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/>
    </xf>
    <xf numFmtId="39" fontId="25" fillId="0" borderId="1" xfId="0" applyNumberFormat="1" applyFont="1" applyBorder="1" applyAlignment="1">
      <alignment horizontal="center"/>
    </xf>
    <xf numFmtId="171" fontId="25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horizontal="center"/>
    </xf>
    <xf numFmtId="42" fontId="25" fillId="0" borderId="0" xfId="0" applyNumberFormat="1" applyFont="1"/>
    <xf numFmtId="44" fontId="25" fillId="0" borderId="10" xfId="0" applyNumberFormat="1" applyFont="1" applyBorder="1"/>
    <xf numFmtId="0" fontId="1" fillId="0" borderId="0" xfId="0" applyFont="1"/>
    <xf numFmtId="166" fontId="24" fillId="0" borderId="0" xfId="5" applyNumberFormat="1" applyFont="1"/>
    <xf numFmtId="166" fontId="24" fillId="0" borderId="4" xfId="5" applyNumberFormat="1" applyFont="1" applyBorder="1"/>
    <xf numFmtId="166" fontId="24" fillId="0" borderId="5" xfId="5" applyNumberFormat="1" applyFont="1" applyBorder="1"/>
    <xf numFmtId="166" fontId="24" fillId="0" borderId="6" xfId="5" applyNumberFormat="1" applyFont="1" applyBorder="1"/>
    <xf numFmtId="3" fontId="28" fillId="0" borderId="0" xfId="0" applyNumberFormat="1" applyFont="1" applyAlignment="1">
      <alignment horizontal="left" vertical="center"/>
    </xf>
    <xf numFmtId="166" fontId="24" fillId="0" borderId="0" xfId="5" applyNumberFormat="1" applyFont="1" applyBorder="1" applyAlignment="1">
      <alignment horizontal="centerContinuous"/>
    </xf>
    <xf numFmtId="166" fontId="24" fillId="0" borderId="0" xfId="5" applyNumberFormat="1" applyFont="1" applyBorder="1"/>
    <xf numFmtId="166" fontId="24" fillId="0" borderId="0" xfId="5" applyNumberFormat="1" applyFont="1" applyBorder="1" applyAlignment="1">
      <alignment horizontal="left"/>
    </xf>
    <xf numFmtId="170" fontId="24" fillId="0" borderId="0" xfId="5" quotePrefix="1" applyNumberFormat="1" applyFont="1" applyBorder="1" applyAlignment="1">
      <alignment horizontal="center"/>
    </xf>
    <xf numFmtId="164" fontId="24" fillId="0" borderId="0" xfId="2" quotePrefix="1" applyNumberFormat="1" applyFont="1" applyBorder="1" applyAlignment="1">
      <alignment horizontal="center"/>
    </xf>
    <xf numFmtId="166" fontId="24" fillId="0" borderId="0" xfId="5" quotePrefix="1" applyNumberFormat="1" applyFont="1" applyBorder="1" applyAlignment="1">
      <alignment horizontal="center"/>
    </xf>
    <xf numFmtId="166" fontId="29" fillId="0" borderId="0" xfId="5" applyNumberFormat="1" applyFont="1" applyBorder="1" applyAlignment="1">
      <alignment horizontal="right"/>
    </xf>
    <xf numFmtId="166" fontId="24" fillId="0" borderId="0" xfId="5" applyNumberFormat="1" applyFont="1" applyBorder="1" applyAlignment="1">
      <alignment horizontal="center"/>
    </xf>
    <xf numFmtId="166" fontId="24" fillId="0" borderId="0" xfId="5" applyNumberFormat="1" applyFont="1" applyAlignment="1">
      <alignment horizontal="center"/>
    </xf>
    <xf numFmtId="166" fontId="24" fillId="0" borderId="1" xfId="5" applyNumberFormat="1" applyFont="1" applyBorder="1"/>
    <xf numFmtId="166" fontId="24" fillId="0" borderId="1" xfId="5" applyNumberFormat="1" applyFont="1" applyBorder="1" applyAlignment="1">
      <alignment horizontal="center"/>
    </xf>
    <xf numFmtId="166" fontId="24" fillId="0" borderId="1" xfId="5" quotePrefix="1" applyNumberFormat="1" applyFont="1" applyBorder="1" applyAlignment="1">
      <alignment horizontal="center"/>
    </xf>
    <xf numFmtId="10" fontId="4" fillId="0" borderId="0" xfId="0" applyNumberFormat="1" applyFont="1"/>
    <xf numFmtId="0" fontId="25" fillId="0" borderId="0" xfId="0" applyFont="1" applyAlignment="1">
      <alignment horizontal="center"/>
    </xf>
    <xf numFmtId="166" fontId="3" fillId="0" borderId="9" xfId="1" applyNumberFormat="1" applyFont="1" applyBorder="1"/>
    <xf numFmtId="166" fontId="4" fillId="0" borderId="10" xfId="0" applyNumberFormat="1" applyFont="1" applyBorder="1"/>
    <xf numFmtId="0" fontId="0" fillId="0" borderId="0" xfId="0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0" borderId="10" xfId="0" applyNumberFormat="1" applyBorder="1"/>
    <xf numFmtId="166" fontId="0" fillId="0" borderId="10" xfId="1" applyNumberFormat="1" applyFont="1" applyBorder="1"/>
    <xf numFmtId="166" fontId="0" fillId="0" borderId="0" xfId="1" applyNumberFormat="1" applyFont="1"/>
    <xf numFmtId="0" fontId="0" fillId="0" borderId="1" xfId="0" applyBorder="1"/>
    <xf numFmtId="166" fontId="0" fillId="0" borderId="0" xfId="0" applyNumberFormat="1"/>
    <xf numFmtId="44" fontId="0" fillId="0" borderId="0" xfId="2" applyFont="1"/>
    <xf numFmtId="164" fontId="0" fillId="0" borderId="0" xfId="2" applyNumberFormat="1" applyFont="1"/>
    <xf numFmtId="166" fontId="0" fillId="0" borderId="1" xfId="0" applyNumberFormat="1" applyBorder="1"/>
    <xf numFmtId="164" fontId="0" fillId="0" borderId="10" xfId="2" applyNumberFormat="1" applyFont="1" applyBorder="1"/>
    <xf numFmtId="166" fontId="4" fillId="0" borderId="1" xfId="5" applyNumberFormat="1" applyFont="1" applyBorder="1" applyAlignment="1">
      <alignment horizontal="right"/>
    </xf>
    <xf numFmtId="39" fontId="1" fillId="0" borderId="0" xfId="0" applyNumberFormat="1" applyFont="1"/>
    <xf numFmtId="39" fontId="0" fillId="0" borderId="0" xfId="0" applyNumberFormat="1"/>
    <xf numFmtId="39" fontId="4" fillId="0" borderId="0" xfId="0" applyNumberFormat="1" applyFont="1"/>
    <xf numFmtId="39" fontId="4" fillId="0" borderId="0" xfId="2" applyNumberFormat="1" applyFont="1"/>
    <xf numFmtId="39" fontId="4" fillId="0" borderId="0" xfId="1" applyNumberFormat="1" applyFont="1"/>
    <xf numFmtId="173" fontId="0" fillId="0" borderId="0" xfId="2" applyNumberFormat="1" applyFont="1"/>
    <xf numFmtId="173" fontId="0" fillId="0" borderId="0" xfId="2" applyNumberFormat="1" applyFont="1" applyBorder="1"/>
    <xf numFmtId="173" fontId="4" fillId="0" borderId="0" xfId="0" applyNumberFormat="1" applyFont="1"/>
    <xf numFmtId="37" fontId="0" fillId="0" borderId="0" xfId="2" applyNumberFormat="1" applyFont="1" applyBorder="1"/>
    <xf numFmtId="37" fontId="0" fillId="0" borderId="1" xfId="2" applyNumberFormat="1" applyFont="1" applyBorder="1"/>
    <xf numFmtId="168" fontId="4" fillId="0" borderId="1" xfId="0" applyNumberFormat="1" applyFont="1" applyBorder="1"/>
    <xf numFmtId="37" fontId="4" fillId="0" borderId="9" xfId="0" applyNumberFormat="1" applyFont="1" applyBorder="1"/>
    <xf numFmtId="37" fontId="1" fillId="0" borderId="0" xfId="0" applyNumberFormat="1" applyFont="1"/>
    <xf numFmtId="9" fontId="1" fillId="0" borderId="1" xfId="0" applyNumberFormat="1" applyFont="1" applyBorder="1"/>
    <xf numFmtId="37" fontId="1" fillId="0" borderId="0" xfId="0" applyNumberFormat="1" applyFont="1" applyAlignment="1">
      <alignment horizontal="left"/>
    </xf>
    <xf numFmtId="37" fontId="1" fillId="0" borderId="1" xfId="0" applyNumberFormat="1" applyFont="1" applyBorder="1"/>
    <xf numFmtId="42" fontId="1" fillId="0" borderId="9" xfId="0" applyNumberFormat="1" applyFont="1" applyBorder="1"/>
    <xf numFmtId="10" fontId="1" fillId="0" borderId="9" xfId="3" applyNumberFormat="1" applyFont="1" applyBorder="1"/>
    <xf numFmtId="174" fontId="4" fillId="0" borderId="0" xfId="0" applyNumberFormat="1" applyFont="1"/>
    <xf numFmtId="175" fontId="4" fillId="0" borderId="0" xfId="0" applyNumberFormat="1" applyFont="1"/>
    <xf numFmtId="176" fontId="4" fillId="0" borderId="0" xfId="1" applyNumberFormat="1" applyFont="1"/>
    <xf numFmtId="3" fontId="5" fillId="0" borderId="0" xfId="0" applyNumberFormat="1" applyFont="1" applyAlignment="1">
      <alignment horizontal="left" vertical="center"/>
    </xf>
    <xf numFmtId="166" fontId="4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166" fontId="24" fillId="0" borderId="8" xfId="5" applyNumberFormat="1" applyFont="1" applyBorder="1"/>
    <xf numFmtId="3" fontId="9" fillId="0" borderId="1" xfId="0" applyNumberFormat="1" applyFont="1" applyBorder="1"/>
    <xf numFmtId="3" fontId="10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vertical="center"/>
    </xf>
    <xf numFmtId="3" fontId="9" fillId="0" borderId="6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6" fontId="9" fillId="0" borderId="0" xfId="1" applyNumberFormat="1" applyFont="1" applyBorder="1" applyAlignment="1">
      <alignment vertical="center"/>
    </xf>
    <xf numFmtId="3" fontId="30" fillId="0" borderId="0" xfId="0" applyNumberFormat="1" applyFont="1" applyAlignment="1">
      <alignment horizontal="center" vertical="center"/>
    </xf>
    <xf numFmtId="164" fontId="9" fillId="0" borderId="6" xfId="0" applyNumberFormat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10" fontId="9" fillId="0" borderId="0" xfId="3" applyNumberFormat="1" applyFont="1" applyAlignment="1">
      <alignment vertical="center"/>
    </xf>
    <xf numFmtId="10" fontId="9" fillId="3" borderId="0" xfId="3" applyNumberFormat="1" applyFont="1" applyFill="1" applyAlignment="1">
      <alignment vertical="center"/>
    </xf>
    <xf numFmtId="164" fontId="9" fillId="3" borderId="0" xfId="2" applyNumberFormat="1" applyFont="1" applyFill="1" applyAlignment="1">
      <alignment vertical="center"/>
    </xf>
    <xf numFmtId="166" fontId="33" fillId="0" borderId="6" xfId="1" applyNumberFormat="1" applyFont="1" applyBorder="1" applyAlignment="1">
      <alignment vertical="center"/>
    </xf>
    <xf numFmtId="166" fontId="9" fillId="3" borderId="0" xfId="1" applyNumberFormat="1" applyFont="1" applyFill="1" applyAlignment="1">
      <alignment vertical="center"/>
    </xf>
    <xf numFmtId="37" fontId="9" fillId="0" borderId="0" xfId="0" applyNumberFormat="1" applyFont="1" applyAlignment="1">
      <alignment vertical="center"/>
    </xf>
    <xf numFmtId="37" fontId="9" fillId="0" borderId="6" xfId="0" applyNumberFormat="1" applyFont="1" applyBorder="1" applyAlignment="1">
      <alignment vertical="center"/>
    </xf>
    <xf numFmtId="166" fontId="33" fillId="3" borderId="0" xfId="1" applyNumberFormat="1" applyFont="1" applyFill="1" applyAlignment="1">
      <alignment vertical="center"/>
    </xf>
    <xf numFmtId="166" fontId="33" fillId="0" borderId="0" xfId="1" applyNumberFormat="1" applyFont="1" applyAlignment="1">
      <alignment vertical="center"/>
    </xf>
    <xf numFmtId="0" fontId="30" fillId="0" borderId="0" xfId="0" applyFont="1" applyAlignment="1">
      <alignment horizontal="center"/>
    </xf>
    <xf numFmtId="166" fontId="34" fillId="0" borderId="0" xfId="1" applyNumberFormat="1" applyFont="1" applyAlignment="1">
      <alignment vertical="center"/>
    </xf>
    <xf numFmtId="3" fontId="30" fillId="0" borderId="0" xfId="0" applyNumberFormat="1" applyFont="1"/>
    <xf numFmtId="166" fontId="1" fillId="0" borderId="0" xfId="5" applyNumberFormat="1" applyFont="1"/>
    <xf numFmtId="166" fontId="9" fillId="0" borderId="0" xfId="1" quotePrefix="1" applyNumberFormat="1" applyFont="1" applyAlignment="1">
      <alignment vertical="center"/>
    </xf>
    <xf numFmtId="166" fontId="9" fillId="0" borderId="6" xfId="1" quotePrefix="1" applyNumberFormat="1" applyFont="1" applyBorder="1" applyAlignment="1">
      <alignment vertical="center"/>
    </xf>
    <xf numFmtId="166" fontId="9" fillId="0" borderId="0" xfId="1" applyNumberFormat="1" applyFont="1" applyBorder="1" applyAlignment="1"/>
    <xf numFmtId="166" fontId="9" fillId="0" borderId="0" xfId="1" applyNumberFormat="1" applyFont="1" applyAlignment="1">
      <alignment horizontal="right" vertical="center"/>
    </xf>
    <xf numFmtId="164" fontId="9" fillId="0" borderId="6" xfId="2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3" fontId="30" fillId="0" borderId="1" xfId="0" applyNumberFormat="1" applyFont="1" applyBorder="1"/>
    <xf numFmtId="3" fontId="9" fillId="0" borderId="8" xfId="0" applyNumberFormat="1" applyFont="1" applyBorder="1"/>
    <xf numFmtId="42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7" fontId="4" fillId="0" borderId="0" xfId="1" applyNumberFormat="1" applyFont="1" applyBorder="1" applyAlignment="1">
      <alignment vertical="center"/>
    </xf>
    <xf numFmtId="37" fontId="20" fillId="0" borderId="0" xfId="0" applyNumberFormat="1" applyFont="1" applyAlignment="1">
      <alignment horizontal="center" vertical="center"/>
    </xf>
    <xf numFmtId="37" fontId="4" fillId="0" borderId="1" xfId="1" applyNumberFormat="1" applyFont="1" applyBorder="1" applyAlignment="1">
      <alignment vertical="center"/>
    </xf>
    <xf numFmtId="37" fontId="20" fillId="0" borderId="0" xfId="0" applyNumberFormat="1" applyFont="1" applyAlignment="1">
      <alignment horizontal="center"/>
    </xf>
    <xf numFmtId="37" fontId="4" fillId="0" borderId="1" xfId="1" applyNumberFormat="1" applyFont="1" applyBorder="1" applyAlignment="1"/>
    <xf numFmtId="3" fontId="9" fillId="0" borderId="6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vertical="center"/>
    </xf>
    <xf numFmtId="166" fontId="4" fillId="0" borderId="0" xfId="5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66" fontId="4" fillId="0" borderId="10" xfId="5" applyNumberFormat="1" applyFont="1" applyFill="1" applyBorder="1"/>
    <xf numFmtId="0" fontId="9" fillId="0" borderId="4" xfId="0" applyFont="1" applyBorder="1"/>
    <xf numFmtId="0" fontId="21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3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6" fontId="1" fillId="0" borderId="0" xfId="1" applyNumberFormat="1" applyFont="1" applyBorder="1" applyAlignment="1">
      <alignment horizontal="center" vertical="center"/>
    </xf>
    <xf numFmtId="44" fontId="9" fillId="0" borderId="0" xfId="4" applyFont="1" applyBorder="1" applyAlignment="1"/>
    <xf numFmtId="166" fontId="9" fillId="0" borderId="0" xfId="5" applyNumberFormat="1" applyFont="1" applyBorder="1" applyAlignment="1"/>
    <xf numFmtId="172" fontId="9" fillId="0" borderId="0" xfId="5" applyNumberFormat="1" applyFont="1" applyBorder="1" applyAlignment="1"/>
    <xf numFmtId="166" fontId="9" fillId="0" borderId="1" xfId="5" applyNumberFormat="1" applyFont="1" applyBorder="1" applyAlignment="1"/>
    <xf numFmtId="0" fontId="9" fillId="0" borderId="1" xfId="0" applyFont="1" applyBorder="1"/>
    <xf numFmtId="0" fontId="21" fillId="0" borderId="1" xfId="0" applyFont="1" applyBorder="1"/>
    <xf numFmtId="0" fontId="9" fillId="0" borderId="8" xfId="0" applyFont="1" applyBorder="1"/>
    <xf numFmtId="0" fontId="32" fillId="0" borderId="0" xfId="0" applyFont="1" applyAlignment="1">
      <alignment horizontal="center"/>
    </xf>
    <xf numFmtId="167" fontId="9" fillId="0" borderId="0" xfId="6" applyNumberFormat="1" applyFont="1" applyAlignment="1"/>
    <xf numFmtId="172" fontId="9" fillId="0" borderId="0" xfId="5" applyNumberFormat="1" applyFont="1" applyAlignment="1"/>
    <xf numFmtId="173" fontId="4" fillId="0" borderId="0" xfId="4" applyNumberFormat="1" applyFont="1" applyBorder="1" applyAlignment="1"/>
    <xf numFmtId="39" fontId="0" fillId="0" borderId="1" xfId="0" applyNumberFormat="1" applyBorder="1"/>
    <xf numFmtId="39" fontId="0" fillId="0" borderId="10" xfId="0" applyNumberFormat="1" applyBorder="1"/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4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1" fillId="0" borderId="0" xfId="0" applyNumberFormat="1" applyFont="1"/>
    <xf numFmtId="166" fontId="1" fillId="0" borderId="0" xfId="1" applyNumberFormat="1" applyFont="1" applyAlignment="1"/>
    <xf numFmtId="3" fontId="36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6" fontId="1" fillId="0" borderId="0" xfId="1" applyNumberFormat="1" applyFont="1" applyAlignment="1">
      <alignment vertical="center"/>
    </xf>
    <xf numFmtId="3" fontId="36" fillId="0" borderId="6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6" fontId="40" fillId="0" borderId="0" xfId="1" applyNumberFormat="1" applyFont="1" applyAlignment="1">
      <alignment vertical="center"/>
    </xf>
    <xf numFmtId="37" fontId="24" fillId="0" borderId="0" xfId="1" applyNumberFormat="1" applyFont="1" applyBorder="1" applyAlignment="1">
      <alignment vertical="center"/>
    </xf>
    <xf numFmtId="166" fontId="24" fillId="0" borderId="0" xfId="1" applyNumberFormat="1" applyFont="1" applyBorder="1" applyAlignment="1">
      <alignment vertical="center"/>
    </xf>
    <xf numFmtId="166" fontId="24" fillId="0" borderId="0" xfId="1" applyNumberFormat="1" applyFont="1" applyBorder="1"/>
    <xf numFmtId="166" fontId="1" fillId="0" borderId="6" xfId="1" applyNumberFormat="1" applyFont="1" applyBorder="1" applyAlignment="1">
      <alignment vertical="center"/>
    </xf>
    <xf numFmtId="37" fontId="24" fillId="0" borderId="0" xfId="0" applyNumberFormat="1" applyFont="1" applyAlignment="1">
      <alignment vertical="center"/>
    </xf>
    <xf numFmtId="37" fontId="39" fillId="0" borderId="0" xfId="0" applyNumberFormat="1" applyFont="1" applyAlignment="1">
      <alignment horizontal="center" vertical="center"/>
    </xf>
    <xf numFmtId="10" fontId="1" fillId="0" borderId="0" xfId="3" applyNumberFormat="1" applyFont="1" applyAlignment="1">
      <alignment vertical="center"/>
    </xf>
    <xf numFmtId="10" fontId="1" fillId="3" borderId="0" xfId="3" applyNumberFormat="1" applyFont="1" applyFill="1" applyAlignment="1">
      <alignment vertical="center"/>
    </xf>
    <xf numFmtId="164" fontId="1" fillId="3" borderId="0" xfId="2" applyNumberFormat="1" applyFont="1" applyFill="1" applyAlignment="1">
      <alignment vertical="center"/>
    </xf>
    <xf numFmtId="37" fontId="24" fillId="0" borderId="1" xfId="1" applyNumberFormat="1" applyFont="1" applyBorder="1" applyAlignment="1">
      <alignment vertical="center"/>
    </xf>
    <xf numFmtId="166" fontId="41" fillId="0" borderId="6" xfId="1" applyNumberFormat="1" applyFont="1" applyBorder="1" applyAlignment="1">
      <alignment vertical="center"/>
    </xf>
    <xf numFmtId="166" fontId="1" fillId="3" borderId="0" xfId="1" applyNumberFormat="1" applyFont="1" applyFill="1" applyAlignment="1">
      <alignment vertical="center"/>
    </xf>
    <xf numFmtId="3" fontId="36" fillId="0" borderId="0" xfId="0" applyNumberFormat="1" applyFont="1" applyAlignment="1">
      <alignment vertical="center"/>
    </xf>
    <xf numFmtId="37" fontId="1" fillId="0" borderId="6" xfId="0" applyNumberFormat="1" applyFont="1" applyBorder="1" applyAlignment="1">
      <alignment vertical="center"/>
    </xf>
    <xf numFmtId="166" fontId="41" fillId="3" borderId="0" xfId="1" applyNumberFormat="1" applyFont="1" applyFill="1" applyAlignment="1">
      <alignment vertical="center"/>
    </xf>
    <xf numFmtId="166" fontId="41" fillId="0" borderId="0" xfId="1" applyNumberFormat="1" applyFont="1" applyAlignment="1">
      <alignment vertical="center"/>
    </xf>
    <xf numFmtId="37" fontId="39" fillId="0" borderId="0" xfId="0" applyNumberFormat="1" applyFont="1" applyAlignment="1">
      <alignment horizontal="center"/>
    </xf>
    <xf numFmtId="166" fontId="42" fillId="0" borderId="0" xfId="1" applyNumberFormat="1" applyFont="1" applyAlignment="1">
      <alignment vertical="center"/>
    </xf>
    <xf numFmtId="166" fontId="43" fillId="0" borderId="0" xfId="1" applyNumberFormat="1" applyFont="1" applyAlignment="1">
      <alignment vertical="center"/>
    </xf>
    <xf numFmtId="166" fontId="1" fillId="0" borderId="0" xfId="1" applyNumberFormat="1" applyFont="1"/>
    <xf numFmtId="37" fontId="24" fillId="0" borderId="1" xfId="1" applyNumberFormat="1" applyFont="1" applyBorder="1" applyAlignment="1"/>
    <xf numFmtId="37" fontId="24" fillId="0" borderId="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166" fontId="1" fillId="0" borderId="6" xfId="1" applyNumberFormat="1" applyFont="1" applyBorder="1"/>
    <xf numFmtId="166" fontId="41" fillId="0" borderId="0" xfId="1" applyNumberFormat="1" applyFont="1" applyBorder="1" applyAlignment="1">
      <alignment vertical="center"/>
    </xf>
    <xf numFmtId="166" fontId="1" fillId="0" borderId="0" xfId="1" quotePrefix="1" applyNumberFormat="1" applyFont="1" applyAlignment="1">
      <alignment vertical="center"/>
    </xf>
    <xf numFmtId="166" fontId="1" fillId="0" borderId="0" xfId="1" quotePrefix="1" applyNumberFormat="1" applyFont="1" applyBorder="1" applyAlignment="1">
      <alignment vertical="center"/>
    </xf>
    <xf numFmtId="166" fontId="1" fillId="0" borderId="6" xfId="1" quotePrefix="1" applyNumberFormat="1" applyFont="1" applyBorder="1" applyAlignment="1">
      <alignment vertical="center"/>
    </xf>
    <xf numFmtId="166" fontId="1" fillId="0" borderId="0" xfId="1" applyNumberFormat="1" applyFont="1" applyBorder="1" applyAlignment="1"/>
    <xf numFmtId="166" fontId="1" fillId="0" borderId="0" xfId="1" applyNumberFormat="1" applyFont="1" applyBorder="1" applyAlignment="1">
      <alignment vertical="center"/>
    </xf>
    <xf numFmtId="166" fontId="41" fillId="0" borderId="1" xfId="1" applyNumberFormat="1" applyFont="1" applyBorder="1" applyAlignment="1">
      <alignment vertical="center"/>
    </xf>
    <xf numFmtId="166" fontId="1" fillId="0" borderId="0" xfId="1" applyNumberFormat="1" applyFont="1" applyAlignment="1">
      <alignment horizontal="right" vertical="center"/>
    </xf>
    <xf numFmtId="164" fontId="1" fillId="0" borderId="0" xfId="2" applyNumberFormat="1" applyFont="1" applyBorder="1" applyAlignment="1">
      <alignment vertical="center"/>
    </xf>
    <xf numFmtId="164" fontId="1" fillId="0" borderId="6" xfId="2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/>
    <xf numFmtId="42" fontId="1" fillId="0" borderId="0" xfId="0" applyNumberFormat="1" applyFont="1"/>
    <xf numFmtId="3" fontId="1" fillId="0" borderId="1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7" fontId="1" fillId="0" borderId="8" xfId="0" applyNumberFormat="1" applyFont="1" applyBorder="1" applyAlignment="1">
      <alignment vertical="center"/>
    </xf>
    <xf numFmtId="0" fontId="1" fillId="0" borderId="6" xfId="0" applyFont="1" applyBorder="1"/>
    <xf numFmtId="1" fontId="25" fillId="0" borderId="2" xfId="0" applyNumberFormat="1" applyFont="1" applyBorder="1" applyAlignment="1">
      <alignment horizontal="center"/>
    </xf>
    <xf numFmtId="39" fontId="25" fillId="0" borderId="6" xfId="0" applyNumberFormat="1" applyFont="1" applyBorder="1"/>
    <xf numFmtId="39" fontId="25" fillId="0" borderId="0" xfId="0" applyNumberFormat="1" applyFont="1" applyAlignment="1">
      <alignment horizontal="center"/>
    </xf>
    <xf numFmtId="170" fontId="25" fillId="0" borderId="6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39" fontId="25" fillId="0" borderId="8" xfId="0" applyNumberFormat="1" applyFont="1" applyBorder="1" applyAlignment="1">
      <alignment horizontal="center"/>
    </xf>
    <xf numFmtId="42" fontId="25" fillId="0" borderId="6" xfId="0" applyNumberFormat="1" applyFont="1" applyBorder="1"/>
    <xf numFmtId="44" fontId="25" fillId="0" borderId="11" xfId="0" applyNumberFormat="1" applyFont="1" applyBorder="1"/>
    <xf numFmtId="0" fontId="25" fillId="0" borderId="1" xfId="0" applyFont="1" applyBorder="1"/>
    <xf numFmtId="39" fontId="25" fillId="0" borderId="1" xfId="0" applyNumberFormat="1" applyFont="1" applyBorder="1"/>
    <xf numFmtId="39" fontId="25" fillId="0" borderId="8" xfId="0" applyNumberFormat="1" applyFont="1" applyBorder="1"/>
    <xf numFmtId="177" fontId="25" fillId="0" borderId="0" xfId="0" applyNumberFormat="1" applyFont="1"/>
    <xf numFmtId="0" fontId="25" fillId="0" borderId="2" xfId="0" applyFont="1" applyBorder="1"/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166" fontId="4" fillId="0" borderId="0" xfId="5" applyNumberFormat="1" applyFont="1" applyBorder="1" applyAlignment="1">
      <alignment horizontal="left"/>
    </xf>
    <xf numFmtId="166" fontId="4" fillId="0" borderId="0" xfId="5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1" xfId="0" applyNumberFormat="1" applyBorder="1"/>
    <xf numFmtId="166" fontId="0" fillId="0" borderId="0" xfId="1" applyNumberFormat="1" applyFont="1" applyBorder="1"/>
    <xf numFmtId="0" fontId="0" fillId="0" borderId="6" xfId="0" applyBorder="1"/>
    <xf numFmtId="44" fontId="0" fillId="0" borderId="0" xfId="2" applyFont="1" applyBorder="1"/>
    <xf numFmtId="164" fontId="0" fillId="0" borderId="0" xfId="2" applyNumberFormat="1" applyFont="1" applyBorder="1"/>
    <xf numFmtId="37" fontId="4" fillId="0" borderId="0" xfId="1" applyNumberFormat="1" applyFont="1" applyBorder="1" applyAlignment="1"/>
    <xf numFmtId="3" fontId="45" fillId="0" borderId="1" xfId="0" applyNumberFormat="1" applyFont="1" applyBorder="1" applyAlignment="1">
      <alignment horizontal="center" vertical="center"/>
    </xf>
    <xf numFmtId="37" fontId="24" fillId="0" borderId="0" xfId="1" applyNumberFormat="1" applyFont="1" applyBorder="1" applyAlignment="1"/>
    <xf numFmtId="166" fontId="4" fillId="0" borderId="1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44" fontId="0" fillId="0" borderId="0" xfId="0" applyNumberFormat="1"/>
    <xf numFmtId="173" fontId="0" fillId="0" borderId="0" xfId="0" applyNumberFormat="1"/>
    <xf numFmtId="10" fontId="0" fillId="0" borderId="0" xfId="3" applyNumberFormat="1" applyFont="1" applyBorder="1" applyAlignment="1">
      <alignment horizontal="center"/>
    </xf>
    <xf numFmtId="10" fontId="1" fillId="0" borderId="1" xfId="3" applyNumberFormat="1" applyFont="1" applyBorder="1" applyAlignment="1">
      <alignment horizontal="center"/>
    </xf>
    <xf numFmtId="10" fontId="0" fillId="0" borderId="0" xfId="3" applyNumberFormat="1" applyFont="1"/>
    <xf numFmtId="4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/>
    <xf numFmtId="3" fontId="0" fillId="0" borderId="0" xfId="0" applyNumberFormat="1" applyAlignment="1">
      <alignment horizontal="center"/>
    </xf>
    <xf numFmtId="0" fontId="0" fillId="0" borderId="7" xfId="0" applyBorder="1"/>
    <xf numFmtId="0" fontId="0" fillId="0" borderId="8" xfId="0" applyBorder="1"/>
    <xf numFmtId="10" fontId="0" fillId="0" borderId="0" xfId="3" applyNumberFormat="1" applyFont="1" applyBorder="1"/>
    <xf numFmtId="44" fontId="0" fillId="0" borderId="1" xfId="0" applyNumberFormat="1" applyBorder="1"/>
    <xf numFmtId="10" fontId="0" fillId="0" borderId="1" xfId="3" applyNumberFormat="1" applyFont="1" applyBorder="1"/>
    <xf numFmtId="0" fontId="25" fillId="0" borderId="3" xfId="0" applyFont="1" applyBorder="1"/>
    <xf numFmtId="0" fontId="25" fillId="0" borderId="4" xfId="0" applyFont="1" applyBorder="1"/>
    <xf numFmtId="39" fontId="25" fillId="0" borderId="4" xfId="0" applyNumberFormat="1" applyFont="1" applyBorder="1"/>
    <xf numFmtId="170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/>
    <xf numFmtId="0" fontId="25" fillId="0" borderId="8" xfId="0" applyFont="1" applyBorder="1"/>
    <xf numFmtId="0" fontId="1" fillId="0" borderId="0" xfId="0" applyFont="1" applyAlignment="1">
      <alignment horizontal="left" vertical="center"/>
    </xf>
    <xf numFmtId="0" fontId="0" fillId="0" borderId="4" xfId="0" applyBorder="1"/>
    <xf numFmtId="10" fontId="0" fillId="0" borderId="6" xfId="3" applyNumberFormat="1" applyFont="1" applyBorder="1"/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2" fontId="24" fillId="0" borderId="0" xfId="5" applyNumberFormat="1" applyFont="1" applyBorder="1" applyAlignment="1">
      <alignment horizontal="center"/>
    </xf>
    <xf numFmtId="42" fontId="24" fillId="0" borderId="0" xfId="5" applyNumberFormat="1" applyFont="1" applyBorder="1"/>
    <xf numFmtId="42" fontId="29" fillId="0" borderId="0" xfId="5" applyNumberFormat="1" applyFont="1" applyBorder="1" applyAlignment="1">
      <alignment horizontal="right"/>
    </xf>
    <xf numFmtId="42" fontId="24" fillId="0" borderId="9" xfId="5" applyNumberFormat="1" applyFont="1" applyBorder="1" applyAlignment="1">
      <alignment horizontal="center"/>
    </xf>
    <xf numFmtId="42" fontId="24" fillId="0" borderId="9" xfId="5" applyNumberFormat="1" applyFont="1" applyBorder="1"/>
    <xf numFmtId="173" fontId="0" fillId="0" borderId="1" xfId="0" applyNumberFormat="1" applyBorder="1"/>
    <xf numFmtId="0" fontId="0" fillId="0" borderId="0" xfId="0" applyAlignment="1">
      <alignment horizontal="center"/>
    </xf>
    <xf numFmtId="37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170" fontId="25" fillId="0" borderId="1" xfId="0" applyNumberFormat="1" applyFont="1" applyBorder="1"/>
    <xf numFmtId="1" fontId="25" fillId="0" borderId="1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43" fontId="44" fillId="0" borderId="0" xfId="1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43" fontId="23" fillId="0" borderId="0" xfId="1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Alignment="1">
      <alignment horizontal="center"/>
    </xf>
    <xf numFmtId="170" fontId="25" fillId="0" borderId="1" xfId="0" applyNumberFormat="1" applyFont="1" applyBorder="1" applyAlignment="1">
      <alignment horizontal="center"/>
    </xf>
    <xf numFmtId="3" fontId="49" fillId="0" borderId="2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49" fillId="0" borderId="6" xfId="0" applyNumberFormat="1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6" xfId="0" applyFont="1" applyBorder="1" applyAlignment="1">
      <alignment horizontal="center"/>
    </xf>
    <xf numFmtId="3" fontId="51" fillId="0" borderId="3" xfId="0" applyNumberFormat="1" applyFont="1" applyBorder="1" applyAlignment="1">
      <alignment horizontal="center"/>
    </xf>
    <xf numFmtId="3" fontId="51" fillId="0" borderId="4" xfId="0" applyNumberFormat="1" applyFont="1" applyBorder="1" applyAlignment="1">
      <alignment horizontal="center"/>
    </xf>
    <xf numFmtId="3" fontId="51" fillId="0" borderId="5" xfId="0" applyNumberFormat="1" applyFont="1" applyBorder="1" applyAlignment="1">
      <alignment horizontal="center"/>
    </xf>
    <xf numFmtId="3" fontId="51" fillId="0" borderId="2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5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3" fontId="47" fillId="0" borderId="4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66" fontId="24" fillId="0" borderId="1" xfId="5" applyNumberFormat="1" applyFont="1" applyBorder="1" applyAlignment="1">
      <alignment horizontal="center"/>
    </xf>
    <xf numFmtId="166" fontId="26" fillId="0" borderId="0" xfId="5" applyNumberFormat="1" applyFont="1" applyBorder="1" applyAlignment="1">
      <alignment horizontal="center"/>
    </xf>
    <xf numFmtId="166" fontId="27" fillId="0" borderId="0" xfId="5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 vertical="center"/>
    </xf>
    <xf numFmtId="166" fontId="1" fillId="0" borderId="0" xfId="5" applyNumberFormat="1" applyFont="1" applyBorder="1" applyAlignment="1">
      <alignment horizontal="center"/>
    </xf>
    <xf numFmtId="166" fontId="9" fillId="0" borderId="0" xfId="5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0" fontId="46" fillId="0" borderId="4" xfId="0" applyFont="1" applyBorder="1" applyAlignment="1">
      <alignment horizontal="center"/>
    </xf>
    <xf numFmtId="0" fontId="47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7" fontId="46" fillId="0" borderId="0" xfId="0" applyNumberFormat="1" applyFont="1" applyAlignment="1">
      <alignment horizontal="center"/>
    </xf>
    <xf numFmtId="37" fontId="47" fillId="0" borderId="0" xfId="0" applyNumberFormat="1" applyFont="1" applyAlignment="1">
      <alignment horizontal="center"/>
    </xf>
    <xf numFmtId="37" fontId="46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9" fillId="2" borderId="0" xfId="0" applyNumberFormat="1" applyFont="1" applyFill="1" applyAlignment="1">
      <alignment vertical="center"/>
    </xf>
    <xf numFmtId="37" fontId="20" fillId="2" borderId="0" xfId="0" applyNumberFormat="1" applyFont="1" applyFill="1" applyAlignment="1">
      <alignment horizontal="center" vertical="center"/>
    </xf>
    <xf numFmtId="37" fontId="39" fillId="2" borderId="0" xfId="0" applyNumberFormat="1" applyFont="1" applyFill="1" applyAlignment="1">
      <alignment horizontal="center" vertical="center"/>
    </xf>
    <xf numFmtId="166" fontId="4" fillId="0" borderId="0" xfId="1" applyNumberFormat="1" applyFont="1" applyAlignment="1">
      <alignment horizontal="left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Y64"/>
  <sheetViews>
    <sheetView showGridLines="0" topLeftCell="A25" zoomScale="136" zoomScaleNormal="136" workbookViewId="0">
      <selection activeCell="E31" sqref="E31"/>
    </sheetView>
  </sheetViews>
  <sheetFormatPr defaultColWidth="8.88671875" defaultRowHeight="15" x14ac:dyDescent="0.2"/>
  <cols>
    <col min="1" max="1" width="3.5546875" style="164" customWidth="1"/>
    <col min="2" max="2" width="1.77734375" style="164" customWidth="1"/>
    <col min="3" max="3" width="3.6640625" style="309" customWidth="1"/>
    <col min="4" max="4" width="2.6640625" style="309" customWidth="1"/>
    <col min="5" max="5" width="27.33203125" style="309" customWidth="1"/>
    <col min="6" max="6" width="9.77734375" style="309" customWidth="1"/>
    <col min="7" max="7" width="1.77734375" style="309" customWidth="1"/>
    <col min="8" max="8" width="10.21875" style="309" customWidth="1"/>
    <col min="9" max="9" width="1.77734375" style="309" customWidth="1"/>
    <col min="10" max="10" width="4.88671875" style="305" customWidth="1"/>
    <col min="11" max="11" width="1.77734375" style="305" customWidth="1"/>
    <col min="12" max="12" width="9.77734375" style="309" customWidth="1"/>
    <col min="13" max="13" width="1.5546875" style="309" customWidth="1"/>
    <col min="14" max="14" width="9.6640625" style="309" customWidth="1"/>
    <col min="15" max="15" width="11.33203125" style="309" customWidth="1"/>
    <col min="16" max="16" width="9.6640625" style="310" customWidth="1"/>
    <col min="17" max="17" width="18" style="309" customWidth="1"/>
    <col min="18" max="18" width="8.21875" style="309" customWidth="1"/>
    <col min="19" max="259" width="9.6640625" style="309" customWidth="1"/>
    <col min="260" max="261" width="9.6640625" style="164" customWidth="1"/>
    <col min="262" max="16384" width="8.88671875" style="164"/>
  </cols>
  <sheetData>
    <row r="2" spans="2:23" ht="6.95" customHeight="1" x14ac:dyDescent="0.2">
      <c r="B2" s="227"/>
      <c r="C2" s="306"/>
      <c r="D2" s="306"/>
      <c r="E2" s="306"/>
      <c r="F2" s="306"/>
      <c r="G2" s="306"/>
      <c r="H2" s="306"/>
      <c r="I2" s="306"/>
      <c r="J2" s="307"/>
      <c r="K2" s="307"/>
      <c r="L2" s="306"/>
      <c r="M2" s="308"/>
    </row>
    <row r="3" spans="2:23" ht="15.75" x14ac:dyDescent="0.2">
      <c r="B3" s="228"/>
      <c r="C3" s="445" t="s">
        <v>21</v>
      </c>
      <c r="D3" s="445"/>
      <c r="E3" s="445"/>
      <c r="F3" s="445"/>
      <c r="G3" s="445"/>
      <c r="H3" s="445"/>
      <c r="I3" s="445"/>
      <c r="J3" s="445"/>
      <c r="K3" s="445"/>
      <c r="L3" s="445"/>
      <c r="M3" s="312"/>
      <c r="N3" s="313"/>
      <c r="O3" s="313"/>
      <c r="P3" s="314"/>
      <c r="Q3" s="313"/>
      <c r="R3" s="313"/>
      <c r="S3" s="313"/>
      <c r="T3" s="313"/>
    </row>
    <row r="4" spans="2:23" ht="18.75" customHeight="1" x14ac:dyDescent="0.2">
      <c r="B4" s="228"/>
      <c r="C4" s="445" t="str">
        <f>Adj!B1</f>
        <v>Cannonsburg Water District</v>
      </c>
      <c r="D4" s="445"/>
      <c r="E4" s="445"/>
      <c r="F4" s="445"/>
      <c r="G4" s="445"/>
      <c r="H4" s="445"/>
      <c r="I4" s="445"/>
      <c r="J4" s="445"/>
      <c r="K4" s="445"/>
      <c r="L4" s="445"/>
      <c r="M4" s="315"/>
      <c r="N4" s="311"/>
      <c r="O4" s="164"/>
      <c r="P4" s="314"/>
      <c r="Q4" s="311"/>
      <c r="R4" s="311"/>
      <c r="S4" s="311"/>
      <c r="T4" s="311"/>
      <c r="U4" s="311"/>
      <c r="V4" s="311"/>
      <c r="W4" s="311"/>
    </row>
    <row r="5" spans="2:23" ht="6.95" customHeight="1" x14ac:dyDescent="0.2">
      <c r="B5" s="229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  <c r="N5" s="311"/>
      <c r="O5" s="164"/>
      <c r="P5" s="314"/>
      <c r="Q5" s="311"/>
      <c r="R5" s="311"/>
      <c r="S5" s="311"/>
      <c r="T5" s="311"/>
      <c r="U5" s="311"/>
      <c r="V5" s="311"/>
      <c r="W5" s="311"/>
    </row>
    <row r="6" spans="2:23" ht="6.95" customHeight="1" x14ac:dyDescent="0.2">
      <c r="B6" s="228"/>
      <c r="C6" s="313"/>
      <c r="D6" s="313"/>
      <c r="E6" s="313"/>
      <c r="F6" s="318"/>
      <c r="G6" s="318"/>
      <c r="H6" s="318"/>
      <c r="I6" s="318"/>
      <c r="J6" s="318"/>
      <c r="K6" s="318"/>
      <c r="L6" s="318"/>
      <c r="M6" s="319"/>
      <c r="N6" s="313"/>
      <c r="O6" s="313"/>
      <c r="P6" s="314"/>
      <c r="Q6" s="313"/>
      <c r="R6" s="313"/>
      <c r="S6" s="313"/>
      <c r="T6" s="313"/>
    </row>
    <row r="7" spans="2:23" ht="15.75" x14ac:dyDescent="0.2">
      <c r="B7" s="228"/>
      <c r="C7" s="313"/>
      <c r="D7" s="313"/>
      <c r="E7" s="313"/>
      <c r="F7" s="316" t="s">
        <v>59</v>
      </c>
      <c r="G7" s="318"/>
      <c r="H7" s="316" t="s">
        <v>20</v>
      </c>
      <c r="I7" s="318"/>
      <c r="J7" s="316" t="s">
        <v>34</v>
      </c>
      <c r="K7" s="318"/>
      <c r="L7" s="316" t="s">
        <v>58</v>
      </c>
      <c r="M7" s="319"/>
      <c r="N7" s="314"/>
      <c r="O7" s="314"/>
      <c r="P7" s="314"/>
      <c r="Q7" s="314"/>
      <c r="R7" s="313"/>
      <c r="S7" s="313"/>
      <c r="T7" s="313"/>
    </row>
    <row r="8" spans="2:23" x14ac:dyDescent="0.2">
      <c r="B8" s="228"/>
      <c r="C8" s="320" t="s">
        <v>2</v>
      </c>
      <c r="D8" s="313"/>
      <c r="E8" s="313"/>
      <c r="F8" s="313"/>
      <c r="G8" s="313"/>
      <c r="H8" s="313"/>
      <c r="I8" s="313"/>
      <c r="J8" s="321"/>
      <c r="K8" s="321"/>
      <c r="L8" s="313"/>
      <c r="M8" s="322"/>
      <c r="N8" s="314"/>
      <c r="O8" s="314"/>
      <c r="P8" s="314"/>
      <c r="Q8" s="314"/>
      <c r="R8" s="313"/>
      <c r="S8" s="313"/>
      <c r="T8" s="313"/>
    </row>
    <row r="9" spans="2:23" x14ac:dyDescent="0.2">
      <c r="B9" s="228"/>
      <c r="C9" s="313"/>
      <c r="D9" s="313" t="s">
        <v>108</v>
      </c>
      <c r="E9" s="313"/>
      <c r="F9" s="323">
        <v>345210</v>
      </c>
      <c r="G9" s="323"/>
      <c r="H9" s="323">
        <f>'ExBA - Beg. Rates'!G13</f>
        <v>-11362.770000000019</v>
      </c>
      <c r="I9" s="323"/>
      <c r="J9" s="324" t="s">
        <v>64</v>
      </c>
      <c r="K9" s="324"/>
      <c r="M9" s="325"/>
      <c r="N9" s="326" t="s">
        <v>282</v>
      </c>
      <c r="O9" s="314"/>
      <c r="P9" s="314"/>
      <c r="Q9" s="314"/>
      <c r="R9" s="313"/>
      <c r="S9" s="313"/>
      <c r="T9" s="313"/>
    </row>
    <row r="10" spans="2:23" x14ac:dyDescent="0.2">
      <c r="B10" s="228"/>
      <c r="C10" s="313"/>
      <c r="D10" s="313"/>
      <c r="E10" s="313"/>
      <c r="F10" s="323"/>
      <c r="G10" s="323"/>
      <c r="H10" s="327">
        <f>'BA - PWA 2022-00242'!G13</f>
        <v>10486.180000000051</v>
      </c>
      <c r="I10" s="327"/>
      <c r="J10" s="324" t="s">
        <v>65</v>
      </c>
      <c r="K10" s="324"/>
      <c r="M10" s="325"/>
      <c r="N10" s="326" t="s">
        <v>287</v>
      </c>
      <c r="O10" s="314"/>
      <c r="P10" s="314"/>
      <c r="Q10" s="314"/>
      <c r="R10" s="313"/>
      <c r="S10" s="313"/>
      <c r="T10" s="313"/>
    </row>
    <row r="11" spans="2:23" x14ac:dyDescent="0.2">
      <c r="B11" s="228"/>
      <c r="C11" s="313"/>
      <c r="D11" s="313"/>
      <c r="E11" s="313"/>
      <c r="F11" s="323"/>
      <c r="G11" s="323"/>
      <c r="H11" s="327">
        <f>'BA - 0.023 CN 2023-00098'!G13</f>
        <v>29437.25</v>
      </c>
      <c r="I11" s="327"/>
      <c r="J11" s="324" t="s">
        <v>66</v>
      </c>
      <c r="K11" s="324"/>
      <c r="M11" s="325"/>
      <c r="N11" s="326" t="s">
        <v>290</v>
      </c>
      <c r="O11" s="314"/>
      <c r="P11" s="314"/>
      <c r="Q11" s="314"/>
      <c r="R11" s="313"/>
      <c r="S11" s="313"/>
      <c r="T11" s="313"/>
    </row>
    <row r="12" spans="2:23" x14ac:dyDescent="0.2">
      <c r="B12" s="228"/>
      <c r="C12" s="313"/>
      <c r="D12" s="313"/>
      <c r="E12" s="313"/>
      <c r="F12" s="328"/>
      <c r="G12" s="328"/>
      <c r="H12" s="329">
        <f>'BA - PWA CN 2023-00243'!G13</f>
        <v>13739.959999999963</v>
      </c>
      <c r="I12" s="329"/>
      <c r="J12" s="324" t="s">
        <v>101</v>
      </c>
      <c r="K12" s="324"/>
      <c r="L12" s="323">
        <f>SUM(F9,H9,H10,H11,H12)</f>
        <v>387510.62</v>
      </c>
      <c r="M12" s="330"/>
      <c r="N12" s="326" t="s">
        <v>289</v>
      </c>
      <c r="O12" s="314"/>
      <c r="P12" s="314"/>
      <c r="Q12" s="314"/>
      <c r="R12" s="313"/>
      <c r="S12" s="313"/>
      <c r="T12" s="313"/>
    </row>
    <row r="13" spans="2:23" x14ac:dyDescent="0.2">
      <c r="B13" s="228"/>
      <c r="C13" s="313"/>
      <c r="D13" s="313" t="s">
        <v>28</v>
      </c>
      <c r="E13" s="313"/>
      <c r="F13" s="331"/>
      <c r="G13" s="331"/>
      <c r="H13" s="327"/>
      <c r="I13" s="327"/>
      <c r="J13" s="332"/>
      <c r="K13" s="332"/>
      <c r="L13" s="216"/>
      <c r="M13" s="325"/>
      <c r="O13" s="314"/>
      <c r="P13" s="314"/>
      <c r="Q13" s="314"/>
      <c r="R13" s="313"/>
      <c r="S13" s="313"/>
      <c r="T13" s="313"/>
    </row>
    <row r="14" spans="2:23" x14ac:dyDescent="0.2">
      <c r="B14" s="228"/>
      <c r="C14" s="313"/>
      <c r="D14" s="313"/>
      <c r="E14" s="313" t="s">
        <v>26</v>
      </c>
      <c r="F14" s="327"/>
      <c r="G14" s="327"/>
      <c r="H14" s="327"/>
      <c r="I14" s="327"/>
      <c r="J14" s="332"/>
      <c r="K14" s="332"/>
      <c r="L14" s="327"/>
      <c r="M14" s="330"/>
      <c r="N14" s="326"/>
      <c r="O14" s="314"/>
      <c r="P14" s="314"/>
      <c r="Q14" s="333"/>
      <c r="R14" s="313"/>
      <c r="S14" s="313"/>
      <c r="T14" s="313"/>
    </row>
    <row r="15" spans="2:23" x14ac:dyDescent="0.2">
      <c r="B15" s="228"/>
      <c r="C15" s="313"/>
      <c r="D15" s="313"/>
      <c r="E15" s="313" t="s">
        <v>27</v>
      </c>
      <c r="F15" s="327"/>
      <c r="G15" s="327"/>
      <c r="H15" s="327"/>
      <c r="I15" s="327"/>
      <c r="J15" s="332"/>
      <c r="K15" s="332"/>
      <c r="L15" s="327"/>
      <c r="M15" s="330"/>
      <c r="N15" s="326">
        <f>L15+L14</f>
        <v>0</v>
      </c>
      <c r="O15" s="314"/>
      <c r="Q15" s="334"/>
      <c r="R15" s="335"/>
      <c r="S15" s="313"/>
      <c r="T15" s="313"/>
    </row>
    <row r="16" spans="2:23" ht="17.25" x14ac:dyDescent="0.2">
      <c r="B16" s="228"/>
      <c r="C16" s="313"/>
      <c r="D16" s="313"/>
      <c r="E16" s="164" t="s">
        <v>112</v>
      </c>
      <c r="F16" s="336">
        <v>43813</v>
      </c>
      <c r="G16" s="327"/>
      <c r="H16" s="336">
        <f>-Adj!T9</f>
        <v>-4000</v>
      </c>
      <c r="I16" s="327"/>
      <c r="J16" s="332" t="s">
        <v>67</v>
      </c>
      <c r="K16" s="332"/>
      <c r="L16" s="336">
        <f>F16+H16</f>
        <v>39813</v>
      </c>
      <c r="M16" s="337"/>
      <c r="N16" s="326" t="s">
        <v>315</v>
      </c>
      <c r="O16" s="314"/>
      <c r="Q16" s="334"/>
      <c r="R16" s="338"/>
      <c r="S16" s="313"/>
      <c r="T16" s="313"/>
    </row>
    <row r="17" spans="2:20" ht="15.75" x14ac:dyDescent="0.2">
      <c r="B17" s="228"/>
      <c r="C17" s="339" t="s">
        <v>3</v>
      </c>
      <c r="D17" s="313"/>
      <c r="E17" s="313"/>
      <c r="F17" s="331">
        <f>SUM(F9,F16)</f>
        <v>389023</v>
      </c>
      <c r="G17" s="331"/>
      <c r="H17" s="331">
        <f>SUM(H9:H12,H16)</f>
        <v>38300.619999999995</v>
      </c>
      <c r="I17" s="331"/>
      <c r="J17" s="332"/>
      <c r="K17" s="332"/>
      <c r="L17" s="331">
        <f>SUM(L12,L16)</f>
        <v>427323.62</v>
      </c>
      <c r="M17" s="325"/>
      <c r="N17" s="314"/>
      <c r="O17" s="314"/>
      <c r="Q17" s="334"/>
      <c r="R17" s="338"/>
      <c r="S17" s="313"/>
      <c r="T17" s="313"/>
    </row>
    <row r="18" spans="2:20" x14ac:dyDescent="0.2">
      <c r="B18" s="228"/>
      <c r="C18" s="313"/>
      <c r="D18" s="313"/>
      <c r="E18" s="313"/>
      <c r="F18" s="331"/>
      <c r="G18" s="331"/>
      <c r="H18" s="327"/>
      <c r="I18" s="327"/>
      <c r="J18" s="332"/>
      <c r="K18" s="332"/>
      <c r="L18" s="331"/>
      <c r="M18" s="340"/>
      <c r="N18" s="314"/>
      <c r="O18" s="314"/>
      <c r="Q18" s="334"/>
      <c r="R18" s="338"/>
      <c r="S18" s="313"/>
      <c r="T18" s="313"/>
    </row>
    <row r="19" spans="2:20" ht="17.25" x14ac:dyDescent="0.2">
      <c r="B19" s="228"/>
      <c r="C19" s="320" t="s">
        <v>4</v>
      </c>
      <c r="D19" s="313"/>
      <c r="E19" s="313"/>
      <c r="F19" s="331"/>
      <c r="G19" s="331"/>
      <c r="H19" s="327"/>
      <c r="I19" s="327"/>
      <c r="J19" s="332"/>
      <c r="K19" s="332"/>
      <c r="L19" s="331"/>
      <c r="M19" s="340"/>
      <c r="N19" s="314"/>
      <c r="O19" s="314"/>
      <c r="Q19" s="334"/>
      <c r="R19" s="341"/>
      <c r="S19" s="313"/>
      <c r="T19" s="313"/>
    </row>
    <row r="20" spans="2:20" ht="17.25" x14ac:dyDescent="0.2">
      <c r="B20" s="228"/>
      <c r="C20" s="313"/>
      <c r="D20" s="313" t="s">
        <v>8</v>
      </c>
      <c r="E20" s="313"/>
      <c r="F20" s="327"/>
      <c r="G20" s="327"/>
      <c r="H20" s="327"/>
      <c r="I20" s="327"/>
      <c r="J20" s="332"/>
      <c r="K20" s="332"/>
      <c r="L20" s="331"/>
      <c r="M20" s="340"/>
      <c r="N20" s="314"/>
      <c r="O20" s="342"/>
      <c r="Q20" s="334"/>
      <c r="R20" s="335"/>
      <c r="S20" s="313"/>
      <c r="T20" s="313"/>
    </row>
    <row r="21" spans="2:20" x14ac:dyDescent="0.2">
      <c r="B21" s="228"/>
      <c r="C21" s="313"/>
      <c r="D21" s="313"/>
      <c r="E21" s="313" t="s">
        <v>12</v>
      </c>
      <c r="F21" s="327">
        <v>121573</v>
      </c>
      <c r="G21" s="327"/>
      <c r="H21" s="327">
        <f>Adj!O26</f>
        <v>-581</v>
      </c>
      <c r="I21" s="327"/>
      <c r="J21" s="332" t="s">
        <v>68</v>
      </c>
      <c r="K21" s="332"/>
      <c r="L21" s="331"/>
      <c r="M21" s="340"/>
      <c r="N21" s="326" t="s">
        <v>311</v>
      </c>
      <c r="O21" s="314"/>
      <c r="Q21" s="333"/>
      <c r="R21" s="313"/>
      <c r="S21" s="313"/>
      <c r="T21" s="313"/>
    </row>
    <row r="22" spans="2:20" x14ac:dyDescent="0.2">
      <c r="B22" s="228"/>
      <c r="C22" s="313"/>
      <c r="D22" s="313"/>
      <c r="E22" s="313"/>
      <c r="F22" s="327"/>
      <c r="G22" s="327"/>
      <c r="H22" s="327">
        <f>-Adj!T11</f>
        <v>-1200</v>
      </c>
      <c r="I22" s="327"/>
      <c r="J22" s="332" t="s">
        <v>69</v>
      </c>
      <c r="K22" s="332"/>
      <c r="L22" s="331">
        <f>SUM(F21:H22)</f>
        <v>119792</v>
      </c>
      <c r="M22" s="340"/>
      <c r="N22" s="326" t="s">
        <v>315</v>
      </c>
      <c r="O22" s="314"/>
      <c r="P22" s="314"/>
      <c r="Q22" s="313"/>
      <c r="R22" s="313"/>
      <c r="S22" s="313"/>
      <c r="T22" s="313"/>
    </row>
    <row r="23" spans="2:20" x14ac:dyDescent="0.2">
      <c r="B23" s="228"/>
      <c r="C23" s="313"/>
      <c r="D23" s="313"/>
      <c r="E23" s="313" t="s">
        <v>13</v>
      </c>
      <c r="F23" s="327">
        <v>7200</v>
      </c>
      <c r="G23" s="327"/>
      <c r="H23" s="327"/>
      <c r="I23" s="327"/>
      <c r="J23" s="332"/>
      <c r="K23" s="332"/>
      <c r="L23" s="331">
        <f t="shared" ref="L23:L34" si="0">F23+H23</f>
        <v>7200</v>
      </c>
      <c r="M23" s="340"/>
      <c r="N23" s="314"/>
      <c r="O23" s="314"/>
      <c r="P23" s="314"/>
      <c r="Q23" s="314"/>
      <c r="S23" s="313"/>
      <c r="T23" s="313"/>
    </row>
    <row r="24" spans="2:20" x14ac:dyDescent="0.2">
      <c r="B24" s="228"/>
      <c r="C24" s="313"/>
      <c r="D24" s="313"/>
      <c r="E24" s="313" t="s">
        <v>14</v>
      </c>
      <c r="F24" s="327">
        <v>23587</v>
      </c>
      <c r="G24" s="327"/>
      <c r="H24" s="327">
        <f>Adj!H33</f>
        <v>-1440</v>
      </c>
      <c r="I24" s="327"/>
      <c r="J24" s="343" t="s">
        <v>170</v>
      </c>
      <c r="K24" s="343"/>
      <c r="L24" s="331"/>
      <c r="M24" s="340"/>
      <c r="N24" s="326" t="s">
        <v>312</v>
      </c>
      <c r="O24" s="314"/>
      <c r="P24" s="314"/>
      <c r="S24" s="313"/>
      <c r="T24" s="313"/>
    </row>
    <row r="25" spans="2:20" x14ac:dyDescent="0.2">
      <c r="B25" s="228"/>
      <c r="C25" s="313"/>
      <c r="D25" s="313"/>
      <c r="E25" s="313"/>
      <c r="F25" s="327"/>
      <c r="G25" s="327"/>
      <c r="H25" s="327">
        <f>Adj!H41</f>
        <v>-1747</v>
      </c>
      <c r="I25" s="327"/>
      <c r="J25" s="332" t="s">
        <v>70</v>
      </c>
      <c r="K25" s="332"/>
      <c r="L25" s="331">
        <f>SUM(F24:H25)</f>
        <v>20400</v>
      </c>
      <c r="M25" s="340"/>
      <c r="N25" s="326" t="s">
        <v>186</v>
      </c>
      <c r="O25" s="314"/>
      <c r="P25" s="314"/>
      <c r="S25" s="313"/>
      <c r="T25" s="313"/>
    </row>
    <row r="26" spans="2:20" x14ac:dyDescent="0.2">
      <c r="B26" s="228"/>
      <c r="C26" s="313"/>
      <c r="D26" s="313"/>
      <c r="E26" s="313" t="s">
        <v>15</v>
      </c>
      <c r="F26" s="327">
        <v>143183</v>
      </c>
      <c r="G26" s="327"/>
      <c r="H26" s="327">
        <f>Adj!U33</f>
        <v>5703</v>
      </c>
      <c r="I26" s="327"/>
      <c r="J26" s="343" t="s">
        <v>71</v>
      </c>
      <c r="K26" s="343"/>
      <c r="L26" s="331"/>
      <c r="M26" s="340"/>
      <c r="N26" s="326" t="s">
        <v>313</v>
      </c>
      <c r="O26" s="310"/>
      <c r="P26" s="314"/>
      <c r="S26" s="313"/>
      <c r="T26" s="313"/>
    </row>
    <row r="27" spans="2:20" x14ac:dyDescent="0.2">
      <c r="B27" s="228"/>
      <c r="C27" s="313"/>
      <c r="D27" s="313"/>
      <c r="E27" s="313"/>
      <c r="F27" s="327"/>
      <c r="G27" s="327"/>
      <c r="H27" s="327">
        <f>Adj!U42</f>
        <v>11823</v>
      </c>
      <c r="I27" s="327"/>
      <c r="J27" s="343" t="s">
        <v>72</v>
      </c>
      <c r="K27" s="343"/>
      <c r="L27" s="331"/>
      <c r="M27" s="340"/>
      <c r="N27" s="326" t="s">
        <v>314</v>
      </c>
      <c r="O27" s="310"/>
      <c r="P27" s="314"/>
      <c r="S27" s="313"/>
      <c r="T27" s="313"/>
    </row>
    <row r="28" spans="2:20" x14ac:dyDescent="0.2">
      <c r="B28" s="228"/>
      <c r="C28" s="313"/>
      <c r="D28" s="313"/>
      <c r="E28" s="313"/>
      <c r="F28" s="327"/>
      <c r="G28" s="327"/>
      <c r="H28" s="327">
        <f>Adj!E22</f>
        <v>-2765</v>
      </c>
      <c r="I28" s="327"/>
      <c r="J28" s="343" t="s">
        <v>151</v>
      </c>
      <c r="K28" s="343"/>
      <c r="L28" s="331">
        <f>SUM(F26,H26,H27,H28)</f>
        <v>157944</v>
      </c>
      <c r="M28" s="340"/>
      <c r="N28" s="326" t="s">
        <v>264</v>
      </c>
      <c r="O28" s="310"/>
      <c r="P28" s="314"/>
      <c r="S28" s="313"/>
      <c r="T28" s="313"/>
    </row>
    <row r="29" spans="2:20" x14ac:dyDescent="0.2">
      <c r="B29" s="228"/>
      <c r="C29" s="313"/>
      <c r="D29" s="313"/>
      <c r="E29" s="313" t="s">
        <v>53</v>
      </c>
      <c r="F29" s="327">
        <v>5967</v>
      </c>
      <c r="G29" s="327"/>
      <c r="H29" s="327">
        <f>-Adj!T12</f>
        <v>-2800</v>
      </c>
      <c r="I29" s="327"/>
      <c r="J29" s="343" t="s">
        <v>69</v>
      </c>
      <c r="K29" s="343"/>
      <c r="L29" s="331">
        <f t="shared" si="0"/>
        <v>3167</v>
      </c>
      <c r="M29" s="340"/>
      <c r="N29" s="326" t="s">
        <v>315</v>
      </c>
      <c r="O29" s="314"/>
      <c r="P29" s="344"/>
      <c r="Q29" s="314"/>
      <c r="R29" s="313"/>
      <c r="S29" s="313"/>
      <c r="T29" s="313"/>
    </row>
    <row r="30" spans="2:20" x14ac:dyDescent="0.2">
      <c r="B30" s="228"/>
      <c r="C30" s="313"/>
      <c r="D30" s="313"/>
      <c r="E30" s="313" t="s">
        <v>17</v>
      </c>
      <c r="F30" s="327">
        <v>7470</v>
      </c>
      <c r="G30" s="327"/>
      <c r="H30" s="327"/>
      <c r="I30" s="327"/>
      <c r="J30" s="332"/>
      <c r="K30" s="332"/>
      <c r="L30" s="331">
        <f t="shared" si="0"/>
        <v>7470</v>
      </c>
      <c r="M30" s="340"/>
      <c r="N30" s="345"/>
      <c r="O30" s="314"/>
      <c r="P30" s="314"/>
      <c r="Q30" s="314"/>
      <c r="R30" s="313"/>
      <c r="S30" s="313"/>
      <c r="T30" s="313"/>
    </row>
    <row r="31" spans="2:20" ht="15" customHeight="1" x14ac:dyDescent="0.2">
      <c r="B31" s="228"/>
      <c r="C31" s="313"/>
      <c r="D31" s="313"/>
      <c r="E31" s="313" t="s">
        <v>196</v>
      </c>
      <c r="F31" s="327">
        <v>3847</v>
      </c>
      <c r="G31" s="327"/>
      <c r="H31" s="327"/>
      <c r="I31" s="327"/>
      <c r="J31" s="332"/>
      <c r="K31" s="332"/>
      <c r="L31" s="331">
        <f t="shared" si="0"/>
        <v>3847</v>
      </c>
      <c r="M31" s="340"/>
      <c r="N31" s="314"/>
      <c r="O31" s="314"/>
      <c r="P31" s="314"/>
      <c r="Q31" s="314"/>
      <c r="R31" s="313"/>
      <c r="S31" s="313"/>
      <c r="T31" s="313"/>
    </row>
    <row r="32" spans="2:20" x14ac:dyDescent="0.2">
      <c r="B32" s="228"/>
      <c r="C32" s="313"/>
      <c r="D32" s="313"/>
      <c r="E32" s="313" t="s">
        <v>22</v>
      </c>
      <c r="F32" s="327">
        <v>1503</v>
      </c>
      <c r="G32" s="327"/>
      <c r="H32" s="327"/>
      <c r="I32" s="327"/>
      <c r="J32" s="332"/>
      <c r="K32" s="332"/>
      <c r="L32" s="331">
        <f t="shared" si="0"/>
        <v>1503</v>
      </c>
      <c r="M32" s="340"/>
      <c r="N32" s="314"/>
      <c r="O32" s="314"/>
      <c r="P32" s="346"/>
      <c r="Q32" s="314"/>
      <c r="R32" s="313"/>
      <c r="S32" s="313"/>
      <c r="T32" s="313"/>
    </row>
    <row r="33" spans="2:20" x14ac:dyDescent="0.2">
      <c r="B33" s="228"/>
      <c r="C33" s="313"/>
      <c r="D33" s="313"/>
      <c r="E33" s="313" t="s">
        <v>110</v>
      </c>
      <c r="F33" s="327">
        <v>8171</v>
      </c>
      <c r="G33" s="327"/>
      <c r="H33" s="327"/>
      <c r="I33" s="327"/>
      <c r="J33" s="332"/>
      <c r="K33" s="332"/>
      <c r="L33" s="331">
        <f>F33</f>
        <v>8171</v>
      </c>
      <c r="M33" s="340"/>
      <c r="N33" s="314"/>
      <c r="O33" s="314"/>
      <c r="P33" s="346"/>
      <c r="Q33" s="314"/>
      <c r="R33" s="313"/>
      <c r="S33" s="313"/>
      <c r="T33" s="313"/>
    </row>
    <row r="34" spans="2:20" ht="15.75" x14ac:dyDescent="0.2">
      <c r="B34" s="228"/>
      <c r="C34" s="313"/>
      <c r="D34" s="313"/>
      <c r="E34" s="509" t="s">
        <v>103</v>
      </c>
      <c r="F34" s="327">
        <v>800</v>
      </c>
      <c r="G34" s="327"/>
      <c r="H34" s="327"/>
      <c r="I34" s="327"/>
      <c r="J34" s="332"/>
      <c r="K34" s="332"/>
      <c r="L34" s="331">
        <f t="shared" si="0"/>
        <v>800</v>
      </c>
      <c r="M34" s="340"/>
      <c r="N34" s="314"/>
      <c r="O34" s="314"/>
      <c r="P34" s="346"/>
      <c r="Q34" s="314"/>
      <c r="R34" s="313"/>
      <c r="S34" s="313"/>
      <c r="T34" s="313"/>
    </row>
    <row r="35" spans="2:20" ht="17.25" x14ac:dyDescent="0.2">
      <c r="B35" s="228"/>
      <c r="C35" s="313"/>
      <c r="D35" s="313"/>
      <c r="E35" s="313" t="s">
        <v>18</v>
      </c>
      <c r="F35" s="327">
        <v>53335</v>
      </c>
      <c r="G35" s="327"/>
      <c r="H35" s="327">
        <f>Adj!F22</f>
        <v>-220</v>
      </c>
      <c r="I35" s="327"/>
      <c r="J35" s="511" t="s">
        <v>72</v>
      </c>
      <c r="K35" s="332"/>
      <c r="L35" s="331"/>
      <c r="M35" s="337"/>
      <c r="N35" s="326" t="s">
        <v>264</v>
      </c>
      <c r="O35" s="314"/>
      <c r="P35" s="346"/>
      <c r="Q35" s="314"/>
      <c r="R35" s="313"/>
      <c r="S35" s="313"/>
      <c r="T35" s="313"/>
    </row>
    <row r="36" spans="2:20" ht="17.25" x14ac:dyDescent="0.2">
      <c r="B36" s="228"/>
      <c r="C36" s="313"/>
      <c r="E36" s="313"/>
      <c r="F36" s="336"/>
      <c r="G36" s="327"/>
      <c r="H36" s="347">
        <f>Adj!T18</f>
        <v>16224</v>
      </c>
      <c r="I36" s="402"/>
      <c r="J36" s="343" t="s">
        <v>179</v>
      </c>
      <c r="K36" s="343"/>
      <c r="L36" s="348">
        <f>SUM(F35,H35,H36)</f>
        <v>69339</v>
      </c>
      <c r="M36" s="337"/>
      <c r="N36" s="326" t="s">
        <v>275</v>
      </c>
      <c r="O36" s="314"/>
      <c r="P36" s="346"/>
      <c r="Q36" s="314"/>
      <c r="R36" s="313"/>
      <c r="S36" s="313"/>
      <c r="T36" s="313"/>
    </row>
    <row r="37" spans="2:20" ht="15.75" x14ac:dyDescent="0.2">
      <c r="B37" s="228"/>
      <c r="C37" s="313"/>
      <c r="D37" s="339" t="s">
        <v>9</v>
      </c>
      <c r="E37" s="313"/>
      <c r="F37" s="327">
        <f>SUM(F21:F36)</f>
        <v>376636</v>
      </c>
      <c r="G37" s="327"/>
      <c r="H37" s="327">
        <f>SUM(H21:H36)</f>
        <v>22997</v>
      </c>
      <c r="I37" s="327"/>
      <c r="J37" s="332"/>
      <c r="K37" s="332"/>
      <c r="L37" s="327">
        <f>SUM(L21:L36)</f>
        <v>399633</v>
      </c>
      <c r="M37" s="340"/>
      <c r="N37" s="314"/>
      <c r="O37" s="314"/>
      <c r="P37" s="346"/>
      <c r="Q37" s="314"/>
      <c r="R37" s="313"/>
      <c r="S37" s="313"/>
      <c r="T37" s="313"/>
    </row>
    <row r="38" spans="2:20" x14ac:dyDescent="0.2">
      <c r="B38" s="228"/>
      <c r="C38" s="313"/>
      <c r="D38" s="313" t="s">
        <v>10</v>
      </c>
      <c r="F38" s="327">
        <v>49432</v>
      </c>
      <c r="G38" s="327"/>
      <c r="H38" s="327">
        <f>'Dep Adj '!S38</f>
        <v>6036</v>
      </c>
      <c r="I38" s="327"/>
      <c r="J38" s="343" t="s">
        <v>187</v>
      </c>
      <c r="K38" s="343"/>
      <c r="L38" s="331">
        <f>F38</f>
        <v>49432</v>
      </c>
      <c r="M38" s="340"/>
      <c r="N38" s="326" t="s">
        <v>316</v>
      </c>
      <c r="O38" s="314"/>
      <c r="P38" s="346"/>
      <c r="Q38" s="314"/>
      <c r="R38" s="313"/>
      <c r="S38" s="313"/>
      <c r="T38" s="313"/>
    </row>
    <row r="39" spans="2:20" ht="17.25" x14ac:dyDescent="0.2">
      <c r="B39" s="228"/>
      <c r="C39" s="313"/>
      <c r="D39" s="313" t="s">
        <v>11</v>
      </c>
      <c r="E39" s="313"/>
      <c r="F39" s="348">
        <v>11818</v>
      </c>
      <c r="G39" s="331"/>
      <c r="H39" s="348">
        <f>Adj!O32</f>
        <v>506.35350000000108</v>
      </c>
      <c r="I39" s="331"/>
      <c r="J39" s="332" t="s">
        <v>300</v>
      </c>
      <c r="K39" s="332"/>
      <c r="L39" s="348">
        <f>F39+H39</f>
        <v>12324.353500000001</v>
      </c>
      <c r="M39" s="337"/>
      <c r="N39" s="326" t="s">
        <v>291</v>
      </c>
      <c r="O39" s="314"/>
      <c r="P39" s="346"/>
      <c r="Q39" s="314"/>
      <c r="R39" s="313"/>
      <c r="S39" s="313"/>
      <c r="T39" s="313"/>
    </row>
    <row r="40" spans="2:20" ht="15.75" x14ac:dyDescent="0.2">
      <c r="B40" s="228"/>
      <c r="C40" s="339" t="s">
        <v>5</v>
      </c>
      <c r="D40" s="313"/>
      <c r="E40" s="313"/>
      <c r="F40" s="336">
        <f>SUM(F37:F39)</f>
        <v>437886</v>
      </c>
      <c r="G40" s="327"/>
      <c r="H40" s="347">
        <f>SUM(H37:H39)</f>
        <v>29539.353500000001</v>
      </c>
      <c r="I40" s="402"/>
      <c r="J40" s="343"/>
      <c r="K40" s="343"/>
      <c r="L40" s="336">
        <f>SUM(L37:L39)</f>
        <v>461389.35350000003</v>
      </c>
      <c r="M40" s="325"/>
      <c r="N40" s="314"/>
      <c r="O40" s="314"/>
      <c r="P40" s="346"/>
      <c r="Q40" s="314"/>
      <c r="R40" s="313"/>
      <c r="S40" s="313"/>
      <c r="T40" s="313"/>
    </row>
    <row r="41" spans="2:20" ht="16.5" thickBot="1" x14ac:dyDescent="0.25">
      <c r="B41" s="228"/>
      <c r="C41" s="339" t="s">
        <v>23</v>
      </c>
      <c r="D41" s="313"/>
      <c r="E41" s="313"/>
      <c r="F41" s="349">
        <f>F17-F40</f>
        <v>-48863</v>
      </c>
      <c r="G41" s="350"/>
      <c r="H41" s="349">
        <f>H17-H40</f>
        <v>8761.2664999999943</v>
      </c>
      <c r="I41" s="350"/>
      <c r="J41" s="321"/>
      <c r="K41" s="321"/>
      <c r="L41" s="349">
        <f>L17-L40</f>
        <v>-34065.733500000031</v>
      </c>
      <c r="M41" s="325"/>
      <c r="N41" s="314"/>
      <c r="O41" s="314"/>
      <c r="P41" s="346"/>
      <c r="Q41" s="314"/>
      <c r="R41" s="313"/>
      <c r="S41" s="313"/>
      <c r="T41" s="313"/>
    </row>
    <row r="42" spans="2:20" ht="15.75" thickTop="1" x14ac:dyDescent="0.2">
      <c r="B42" s="229"/>
      <c r="C42" s="369"/>
      <c r="D42" s="369"/>
      <c r="E42" s="369"/>
      <c r="F42" s="370"/>
      <c r="G42" s="370"/>
      <c r="H42" s="369"/>
      <c r="I42" s="369"/>
      <c r="J42" s="371"/>
      <c r="K42" s="371"/>
      <c r="L42" s="370"/>
      <c r="M42" s="372"/>
      <c r="N42" s="314"/>
      <c r="O42" s="314"/>
      <c r="P42" s="346"/>
      <c r="Q42" s="314"/>
      <c r="R42" s="313"/>
      <c r="S42" s="313"/>
      <c r="T42" s="313"/>
    </row>
    <row r="43" spans="2:20" ht="20.25" x14ac:dyDescent="0.2">
      <c r="B43" s="228"/>
      <c r="C43" s="446" t="s">
        <v>33</v>
      </c>
      <c r="D43" s="446"/>
      <c r="E43" s="446"/>
      <c r="F43" s="446"/>
      <c r="G43" s="446"/>
      <c r="H43" s="446"/>
      <c r="I43" s="446"/>
      <c r="J43" s="446"/>
      <c r="K43" s="446"/>
      <c r="L43" s="446"/>
      <c r="M43" s="315"/>
      <c r="N43" s="314"/>
      <c r="O43" s="314"/>
      <c r="P43" s="346"/>
      <c r="Q43" s="314"/>
      <c r="R43" s="313"/>
      <c r="S43" s="313"/>
      <c r="T43" s="313"/>
    </row>
    <row r="44" spans="2:20" ht="15.75" x14ac:dyDescent="0.2">
      <c r="B44" s="228"/>
      <c r="C44" s="339" t="s">
        <v>6</v>
      </c>
      <c r="D44" s="313"/>
      <c r="E44" s="313"/>
      <c r="H44" s="313"/>
      <c r="I44" s="313"/>
      <c r="J44" s="321"/>
      <c r="K44" s="321"/>
      <c r="L44" s="350">
        <f>L40</f>
        <v>461389.35350000003</v>
      </c>
      <c r="M44" s="325"/>
      <c r="N44" s="314"/>
      <c r="O44" s="314"/>
      <c r="P44" s="346"/>
      <c r="Q44" s="314"/>
      <c r="R44" s="313"/>
      <c r="S44" s="313"/>
      <c r="T44" s="313"/>
    </row>
    <row r="45" spans="2:20" x14ac:dyDescent="0.2">
      <c r="B45" s="228"/>
      <c r="C45" s="313" t="s">
        <v>62</v>
      </c>
      <c r="D45" s="313"/>
      <c r="E45" s="313" t="s">
        <v>36</v>
      </c>
      <c r="H45" s="313"/>
      <c r="I45" s="313"/>
      <c r="J45" s="352" t="s">
        <v>301</v>
      </c>
      <c r="K45" s="352"/>
      <c r="L45" s="255">
        <f>'Debt Sch'!I21</f>
        <v>70149</v>
      </c>
      <c r="M45" s="353"/>
      <c r="N45" s="314"/>
      <c r="O45" s="314"/>
      <c r="P45" s="346"/>
      <c r="Q45" s="314"/>
      <c r="R45" s="313"/>
      <c r="S45" s="313"/>
      <c r="T45" s="313"/>
    </row>
    <row r="46" spans="2:20" ht="17.25" x14ac:dyDescent="0.2">
      <c r="B46" s="228"/>
      <c r="C46" s="313"/>
      <c r="D46" s="313"/>
      <c r="E46" s="313" t="s">
        <v>19</v>
      </c>
      <c r="H46" s="313"/>
      <c r="I46" s="313"/>
      <c r="J46" s="352" t="s">
        <v>302</v>
      </c>
      <c r="K46" s="352"/>
      <c r="L46" s="354">
        <f>ROUND(L45*0.2,0)</f>
        <v>14030</v>
      </c>
      <c r="M46" s="337"/>
      <c r="N46" s="314"/>
      <c r="O46" s="314"/>
      <c r="P46" s="346"/>
      <c r="Q46" s="314"/>
      <c r="R46" s="313"/>
      <c r="S46" s="313"/>
      <c r="T46" s="313"/>
    </row>
    <row r="47" spans="2:20" ht="15.75" x14ac:dyDescent="0.2">
      <c r="B47" s="228"/>
      <c r="C47" s="339" t="s">
        <v>24</v>
      </c>
      <c r="D47" s="313"/>
      <c r="E47" s="313"/>
      <c r="H47" s="313"/>
      <c r="I47" s="313"/>
      <c r="J47" s="321"/>
      <c r="K47" s="321"/>
      <c r="L47" s="350">
        <f>SUM(L44:L46)</f>
        <v>545568.35349999997</v>
      </c>
      <c r="M47" s="325"/>
      <c r="N47" s="314"/>
      <c r="O47" s="355"/>
      <c r="P47" s="314"/>
      <c r="Q47" s="314"/>
      <c r="R47" s="313"/>
      <c r="S47" s="313"/>
      <c r="T47" s="313"/>
    </row>
    <row r="48" spans="2:20" x14ac:dyDescent="0.2">
      <c r="B48" s="228"/>
      <c r="C48" s="313" t="s">
        <v>63</v>
      </c>
      <c r="D48" s="313"/>
      <c r="E48" s="313" t="s">
        <v>7</v>
      </c>
      <c r="H48" s="313"/>
      <c r="I48" s="313"/>
      <c r="J48" s="321"/>
      <c r="K48" s="321"/>
      <c r="L48" s="356">
        <f>-L16</f>
        <v>-39813</v>
      </c>
      <c r="M48" s="357"/>
      <c r="N48" s="314"/>
      <c r="O48" s="355"/>
      <c r="P48" s="314"/>
      <c r="Q48" s="314"/>
      <c r="R48" s="313"/>
      <c r="S48" s="313"/>
      <c r="T48" s="313"/>
    </row>
    <row r="49" spans="2:20" x14ac:dyDescent="0.2">
      <c r="B49" s="228"/>
      <c r="C49" s="313"/>
      <c r="D49" s="313"/>
      <c r="E49" s="313" t="s">
        <v>149</v>
      </c>
      <c r="H49" s="313"/>
      <c r="I49" s="313"/>
      <c r="J49" s="321"/>
      <c r="K49" s="321"/>
      <c r="L49" s="356"/>
      <c r="M49" s="357"/>
      <c r="N49" s="314"/>
      <c r="O49" s="355"/>
      <c r="P49" s="314"/>
      <c r="Q49" s="314"/>
      <c r="R49" s="313"/>
      <c r="S49" s="313"/>
      <c r="T49" s="313"/>
    </row>
    <row r="50" spans="2:20" x14ac:dyDescent="0.2">
      <c r="B50" s="228"/>
      <c r="C50" s="313"/>
      <c r="D50" s="313"/>
      <c r="E50" s="313" t="s">
        <v>150</v>
      </c>
      <c r="F50" s="358"/>
      <c r="G50" s="358"/>
      <c r="H50" s="359"/>
      <c r="I50" s="359"/>
      <c r="J50" s="321"/>
      <c r="K50" s="321"/>
      <c r="L50" s="356"/>
      <c r="M50" s="357"/>
      <c r="N50" s="314"/>
      <c r="O50" s="355"/>
      <c r="P50" s="314"/>
      <c r="Q50" s="314"/>
      <c r="R50" s="313"/>
      <c r="S50" s="313"/>
      <c r="T50" s="313"/>
    </row>
    <row r="51" spans="2:20" x14ac:dyDescent="0.2">
      <c r="B51" s="228"/>
      <c r="C51" s="313"/>
      <c r="D51" s="313"/>
      <c r="E51" s="313" t="s">
        <v>39</v>
      </c>
      <c r="H51" s="313"/>
      <c r="I51" s="313"/>
      <c r="J51" s="321"/>
      <c r="K51" s="321"/>
      <c r="L51" s="356">
        <v>-138</v>
      </c>
      <c r="M51" s="357"/>
      <c r="N51" s="314"/>
      <c r="O51" s="164"/>
      <c r="P51" s="314"/>
      <c r="Q51" s="314"/>
      <c r="R51" s="314"/>
      <c r="S51" s="313"/>
      <c r="T51" s="313"/>
    </row>
    <row r="52" spans="2:20" ht="17.25" x14ac:dyDescent="0.2">
      <c r="B52" s="228"/>
      <c r="C52" s="313"/>
      <c r="D52" s="313"/>
      <c r="E52" s="164" t="s">
        <v>114</v>
      </c>
      <c r="H52" s="313"/>
      <c r="I52" s="313"/>
      <c r="J52" s="321"/>
      <c r="K52" s="321"/>
      <c r="L52" s="360"/>
      <c r="M52" s="337"/>
      <c r="N52" s="314"/>
      <c r="P52" s="314"/>
      <c r="Q52" s="314"/>
      <c r="R52" s="361"/>
      <c r="S52" s="313"/>
      <c r="T52" s="313"/>
    </row>
    <row r="53" spans="2:20" ht="15.75" x14ac:dyDescent="0.2">
      <c r="B53" s="228"/>
      <c r="C53" s="339" t="s">
        <v>73</v>
      </c>
      <c r="D53" s="313"/>
      <c r="E53" s="313"/>
      <c r="H53" s="313"/>
      <c r="I53" s="313"/>
      <c r="J53" s="321"/>
      <c r="K53" s="321"/>
      <c r="L53" s="362">
        <f>L47+SUM(L48:L52)</f>
        <v>505617.35349999997</v>
      </c>
      <c r="M53" s="363"/>
      <c r="O53" s="351"/>
      <c r="P53" s="314"/>
      <c r="Q53" s="350"/>
      <c r="R53" s="313"/>
      <c r="S53" s="313"/>
      <c r="T53" s="313"/>
    </row>
    <row r="54" spans="2:20" ht="17.25" x14ac:dyDescent="0.2">
      <c r="B54" s="228"/>
      <c r="C54" s="313"/>
      <c r="D54" s="313"/>
      <c r="E54" s="313" t="s">
        <v>25</v>
      </c>
      <c r="H54" s="313"/>
      <c r="I54" s="313"/>
      <c r="J54" s="321"/>
      <c r="K54" s="321"/>
      <c r="L54" s="354">
        <f>-L12</f>
        <v>-387510.62</v>
      </c>
      <c r="M54" s="337"/>
      <c r="N54" s="314"/>
      <c r="P54" s="314"/>
      <c r="Q54" s="314"/>
      <c r="R54" s="313"/>
      <c r="S54" s="313"/>
      <c r="T54" s="313"/>
    </row>
    <row r="55" spans="2:20" ht="16.5" thickBot="1" x14ac:dyDescent="0.25">
      <c r="B55" s="228"/>
      <c r="C55" s="339" t="s">
        <v>188</v>
      </c>
      <c r="D55" s="313"/>
      <c r="E55" s="313"/>
      <c r="H55" s="313"/>
      <c r="I55" s="313"/>
      <c r="J55" s="321"/>
      <c r="K55" s="321"/>
      <c r="L55" s="364">
        <f>SUM(L53:L54)</f>
        <v>118106.73349999997</v>
      </c>
      <c r="M55" s="325"/>
      <c r="N55" s="314"/>
      <c r="O55" s="164"/>
      <c r="P55" s="314"/>
      <c r="Q55" s="314"/>
      <c r="S55" s="313"/>
      <c r="T55" s="313"/>
    </row>
    <row r="56" spans="2:20" ht="15" customHeight="1" thickTop="1" thickBot="1" x14ac:dyDescent="0.25">
      <c r="B56" s="228"/>
      <c r="L56" s="221">
        <f>ROUND(L55/(-L54),4)</f>
        <v>0.30480000000000002</v>
      </c>
      <c r="M56" s="373"/>
      <c r="P56" s="309"/>
      <c r="T56" s="305"/>
    </row>
    <row r="57" spans="2:20" ht="15.75" thickTop="1" x14ac:dyDescent="0.2">
      <c r="B57" s="229"/>
      <c r="C57" s="365"/>
      <c r="D57" s="365"/>
      <c r="E57" s="365"/>
      <c r="F57" s="365"/>
      <c r="G57" s="365"/>
      <c r="H57" s="365"/>
      <c r="I57" s="365"/>
      <c r="J57" s="366"/>
      <c r="K57" s="366"/>
      <c r="L57" s="365"/>
      <c r="M57" s="367"/>
    </row>
    <row r="58" spans="2:20" x14ac:dyDescent="0.2">
      <c r="C58" s="313" t="s">
        <v>24</v>
      </c>
      <c r="L58" s="368">
        <f>L47</f>
        <v>545568.35349999997</v>
      </c>
    </row>
    <row r="59" spans="2:20" x14ac:dyDescent="0.2">
      <c r="C59" s="309" t="s">
        <v>269</v>
      </c>
      <c r="E59" s="309" t="s">
        <v>6</v>
      </c>
      <c r="L59" s="216">
        <f>-L44</f>
        <v>-461389.35350000003</v>
      </c>
    </row>
    <row r="60" spans="2:20" x14ac:dyDescent="0.2">
      <c r="E60" s="309" t="s">
        <v>278</v>
      </c>
      <c r="L60" s="219">
        <f>-L45</f>
        <v>-70149</v>
      </c>
    </row>
    <row r="61" spans="2:20" x14ac:dyDescent="0.2">
      <c r="C61" s="309" t="s">
        <v>267</v>
      </c>
      <c r="L61" s="216">
        <f>SUM(L58:L60)</f>
        <v>14029.999999999942</v>
      </c>
    </row>
    <row r="62" spans="2:20" x14ac:dyDescent="0.2">
      <c r="C62" s="309" t="s">
        <v>279</v>
      </c>
      <c r="E62" s="309" t="s">
        <v>280</v>
      </c>
      <c r="L62" s="219" t="e">
        <f>+#REF!</f>
        <v>#REF!</v>
      </c>
    </row>
    <row r="63" spans="2:20" ht="15.75" thickBot="1" x14ac:dyDescent="0.25">
      <c r="C63" s="309" t="s">
        <v>281</v>
      </c>
      <c r="L63" s="364" t="e">
        <f>SUM(L61:L62)</f>
        <v>#REF!</v>
      </c>
    </row>
    <row r="64" spans="2:20" ht="15.75" thickTop="1" x14ac:dyDescent="0.2"/>
  </sheetData>
  <mergeCells count="3">
    <mergeCell ref="C4:L4"/>
    <mergeCell ref="C43:L43"/>
    <mergeCell ref="C3:L3"/>
  </mergeCells>
  <printOptions horizontalCentered="1"/>
  <pageMargins left="1.1000000000000001" right="1" top="0.6" bottom="0.5" header="0" footer="0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23"/>
  <sheetViews>
    <sheetView workbookViewId="0">
      <selection activeCell="L11" sqref="L11"/>
    </sheetView>
  </sheetViews>
  <sheetFormatPr defaultColWidth="8.88671875" defaultRowHeight="15.75" x14ac:dyDescent="0.25"/>
  <cols>
    <col min="1" max="1" width="9.6640625" style="19" customWidth="1"/>
    <col min="2" max="2" width="1.109375" style="19" customWidth="1"/>
    <col min="3" max="3" width="4.77734375" style="19" customWidth="1"/>
    <col min="4" max="4" width="7.33203125" style="19" customWidth="1"/>
    <col min="5" max="5" width="6.33203125" style="19" customWidth="1"/>
    <col min="6" max="6" width="8.44140625" style="73" customWidth="1"/>
    <col min="7" max="7" width="13.33203125" style="19" customWidth="1"/>
    <col min="8" max="8" width="1.21875" style="19" customWidth="1"/>
    <col min="9" max="9" width="4.77734375" style="19" customWidth="1"/>
    <col min="10" max="10" width="7.33203125" style="19" customWidth="1"/>
    <col min="11" max="11" width="6.33203125" style="19" customWidth="1"/>
    <col min="12" max="12" width="7.77734375" style="73" customWidth="1"/>
    <col min="13" max="13" width="13.33203125" style="19" customWidth="1"/>
    <col min="14" max="206" width="9.6640625" style="19" customWidth="1"/>
    <col min="207" max="16384" width="8.88671875" style="19"/>
  </cols>
  <sheetData>
    <row r="2" spans="2:18" x14ac:dyDescent="0.25">
      <c r="B2" s="40"/>
      <c r="C2" s="283"/>
      <c r="D2" s="283"/>
      <c r="E2" s="283"/>
      <c r="F2" s="284"/>
      <c r="G2" s="283"/>
      <c r="H2" s="283"/>
      <c r="I2" s="283"/>
      <c r="J2" s="283"/>
      <c r="K2" s="283"/>
      <c r="L2" s="284"/>
      <c r="M2" s="285"/>
    </row>
    <row r="3" spans="2:18" x14ac:dyDescent="0.25">
      <c r="B3" s="39"/>
      <c r="C3" s="481" t="s">
        <v>102</v>
      </c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2:18" x14ac:dyDescent="0.25">
      <c r="B4" s="39"/>
      <c r="C4" s="481" t="s">
        <v>57</v>
      </c>
      <c r="D4" s="481"/>
      <c r="E4" s="481"/>
      <c r="F4" s="481"/>
      <c r="G4" s="481"/>
      <c r="H4" s="481"/>
      <c r="I4" s="481"/>
      <c r="J4" s="481"/>
      <c r="K4" s="481"/>
      <c r="L4" s="481"/>
      <c r="M4" s="482"/>
      <c r="O4" s="19" t="s">
        <v>293</v>
      </c>
      <c r="R4" s="19" t="s">
        <v>340</v>
      </c>
    </row>
    <row r="5" spans="2:18" x14ac:dyDescent="0.25">
      <c r="B5" s="39"/>
      <c r="C5" s="483" t="str">
        <f>Adj!B1</f>
        <v>Cannonsburg Water District</v>
      </c>
      <c r="D5" s="483"/>
      <c r="E5" s="483"/>
      <c r="F5" s="483"/>
      <c r="G5" s="483"/>
      <c r="H5" s="483"/>
      <c r="I5" s="483"/>
      <c r="J5" s="483"/>
      <c r="K5" s="483"/>
      <c r="L5" s="483"/>
      <c r="M5" s="484"/>
      <c r="N5" s="232"/>
      <c r="O5" s="232"/>
      <c r="P5" s="232"/>
      <c r="Q5" s="232"/>
    </row>
    <row r="6" spans="2:18" x14ac:dyDescent="0.25">
      <c r="B6" s="39"/>
      <c r="M6" s="286"/>
    </row>
    <row r="7" spans="2:18" x14ac:dyDescent="0.25">
      <c r="B7" s="40"/>
      <c r="C7" s="283"/>
      <c r="D7" s="283"/>
      <c r="E7" s="283"/>
      <c r="F7" s="284"/>
      <c r="G7" s="285"/>
      <c r="H7" s="40"/>
      <c r="I7" s="283"/>
      <c r="J7" s="283"/>
      <c r="K7" s="283"/>
      <c r="L7" s="284"/>
      <c r="M7" s="285"/>
    </row>
    <row r="8" spans="2:18" x14ac:dyDescent="0.25">
      <c r="B8" s="39"/>
      <c r="C8" s="479" t="s">
        <v>178</v>
      </c>
      <c r="D8" s="479"/>
      <c r="E8" s="479"/>
      <c r="F8" s="479"/>
      <c r="G8" s="480"/>
      <c r="I8" s="479" t="s">
        <v>120</v>
      </c>
      <c r="J8" s="479"/>
      <c r="K8" s="479"/>
      <c r="L8" s="479"/>
      <c r="M8" s="480"/>
      <c r="O8" s="96">
        <f>IF(R4="DSC",'SAO - DSC'!L56,IF('Rates Comp'!R4="Op Ratio",'SAO - Op Ratio'!L54,"Error"))</f>
        <v>0.36699999999999999</v>
      </c>
      <c r="P8" s="97" t="s">
        <v>121</v>
      </c>
    </row>
    <row r="9" spans="2:18" x14ac:dyDescent="0.25">
      <c r="B9" s="39"/>
      <c r="G9" s="286"/>
      <c r="M9" s="286"/>
    </row>
    <row r="10" spans="2:18" x14ac:dyDescent="0.25">
      <c r="B10" s="39"/>
      <c r="C10" s="95"/>
      <c r="G10" s="286"/>
      <c r="I10" s="95"/>
      <c r="L10" s="287"/>
      <c r="M10" s="286"/>
    </row>
    <row r="11" spans="2:18" x14ac:dyDescent="0.25">
      <c r="B11" s="39"/>
      <c r="C11" s="288" t="s">
        <v>54</v>
      </c>
      <c r="D11" s="289">
        <v>2000</v>
      </c>
      <c r="E11" s="19" t="s">
        <v>123</v>
      </c>
      <c r="F11" s="290">
        <f>'BA - PWA CN 2023-00243'!E28</f>
        <v>27.22</v>
      </c>
      <c r="G11" s="286" t="s">
        <v>124</v>
      </c>
      <c r="I11" s="288" t="s">
        <v>54</v>
      </c>
      <c r="J11" s="291">
        <f>D11</f>
        <v>2000</v>
      </c>
      <c r="K11" s="19" t="s">
        <v>123</v>
      </c>
      <c r="L11" s="290">
        <f>+IF(R$4="DSC",'PropBA - DSC'!E28,IF(R$4="Op Ratio",'PropBA - Op Ratio'!E32,"Error"))</f>
        <v>37.18</v>
      </c>
      <c r="M11" s="286" t="s">
        <v>124</v>
      </c>
      <c r="O11" s="99">
        <f>(L11-F11)/F11</f>
        <v>0.36590742101396034</v>
      </c>
      <c r="Q11" s="100">
        <f>L11-F11</f>
        <v>9.9600000000000009</v>
      </c>
    </row>
    <row r="12" spans="2:18" x14ac:dyDescent="0.25">
      <c r="B12" s="39"/>
      <c r="C12" s="288" t="s">
        <v>55</v>
      </c>
      <c r="D12" s="289">
        <v>3000</v>
      </c>
      <c r="E12" s="19" t="s">
        <v>123</v>
      </c>
      <c r="F12" s="292">
        <f>'BA - PWA CN 2023-00243'!E29</f>
        <v>8.94E-3</v>
      </c>
      <c r="G12" s="286" t="s">
        <v>339</v>
      </c>
      <c r="I12" s="288" t="s">
        <v>55</v>
      </c>
      <c r="J12" s="291">
        <f>D12</f>
        <v>3000</v>
      </c>
      <c r="K12" s="19" t="s">
        <v>123</v>
      </c>
      <c r="L12" s="292">
        <f>+IF(R$4="DSC",'PropBA - DSC'!E29,IF(R$4="Op Ratio",'PropBA - Op Ratio'!E33,"Error"))</f>
        <v>1.2230000000000001E-2</v>
      </c>
      <c r="M12" s="286" t="s">
        <v>339</v>
      </c>
      <c r="O12" s="99">
        <f>(L12-F12)/F12</f>
        <v>0.36800894854586141</v>
      </c>
      <c r="Q12" s="299">
        <f>L12-F12</f>
        <v>3.2900000000000013E-3</v>
      </c>
    </row>
    <row r="13" spans="2:18" x14ac:dyDescent="0.25">
      <c r="B13" s="39"/>
      <c r="C13" s="288" t="s">
        <v>55</v>
      </c>
      <c r="D13" s="289">
        <v>5000</v>
      </c>
      <c r="E13" s="19" t="s">
        <v>123</v>
      </c>
      <c r="F13" s="292">
        <f>'BA - PWA CN 2023-00243'!E30</f>
        <v>8.1300000000000001E-3</v>
      </c>
      <c r="G13" s="286" t="s">
        <v>339</v>
      </c>
      <c r="I13" s="288" t="s">
        <v>55</v>
      </c>
      <c r="J13" s="291">
        <f>D13</f>
        <v>5000</v>
      </c>
      <c r="K13" s="19" t="s">
        <v>123</v>
      </c>
      <c r="L13" s="292">
        <f>+IF(R$4="DSC",'PropBA - DSC'!E30,IF(R$4="Op Ratio",'PropBA - Op Ratio'!E34,"Error"))</f>
        <v>1.1120000000000001E-2</v>
      </c>
      <c r="M13" s="286" t="s">
        <v>339</v>
      </c>
      <c r="O13" s="99">
        <f>(L13-F13)/F13</f>
        <v>0.36777367773677755</v>
      </c>
      <c r="Q13" s="299">
        <f>L13-F13</f>
        <v>2.9900000000000013E-3</v>
      </c>
    </row>
    <row r="14" spans="2:18" x14ac:dyDescent="0.25">
      <c r="B14" s="39"/>
      <c r="C14" s="288" t="s">
        <v>125</v>
      </c>
      <c r="D14" s="289">
        <f>SUM(D11:D13)</f>
        <v>10000</v>
      </c>
      <c r="E14" s="19" t="s">
        <v>123</v>
      </c>
      <c r="F14" s="292">
        <f>'BA - PWA CN 2023-00243'!E31</f>
        <v>7.3200000000000001E-3</v>
      </c>
      <c r="G14" s="286" t="s">
        <v>339</v>
      </c>
      <c r="I14" s="288" t="s">
        <v>125</v>
      </c>
      <c r="J14" s="291">
        <f>D14</f>
        <v>10000</v>
      </c>
      <c r="K14" s="19" t="s">
        <v>123</v>
      </c>
      <c r="L14" s="292">
        <f>+IF(R$4="DSC",'PropBA - DSC'!E31,IF(R$4="Op Ratio",'PropBA - Op Ratio'!E35,"Error"))</f>
        <v>1.0010000000000002E-2</v>
      </c>
      <c r="M14" s="286" t="s">
        <v>339</v>
      </c>
      <c r="O14" s="99">
        <f>(L14-F14)/F14</f>
        <v>0.36748633879781439</v>
      </c>
      <c r="Q14" s="299">
        <f>L14-F14</f>
        <v>2.6900000000000014E-3</v>
      </c>
    </row>
    <row r="15" spans="2:18" x14ac:dyDescent="0.25">
      <c r="B15" s="39"/>
      <c r="C15" s="291"/>
      <c r="F15" s="19"/>
      <c r="G15" s="286"/>
      <c r="I15" s="291"/>
      <c r="L15" s="19"/>
      <c r="M15" s="286"/>
      <c r="Q15" s="101"/>
    </row>
    <row r="16" spans="2:18" x14ac:dyDescent="0.25">
      <c r="B16" s="39"/>
      <c r="C16" s="102" t="s">
        <v>337</v>
      </c>
      <c r="F16" s="19">
        <f>CurRates!F14</f>
        <v>4.2199999999999998E-3</v>
      </c>
      <c r="G16" s="286" t="s">
        <v>339</v>
      </c>
      <c r="I16" s="102" t="s">
        <v>337</v>
      </c>
      <c r="L16" s="19">
        <f>F16+Q16</f>
        <v>5.77E-3</v>
      </c>
      <c r="M16" s="286" t="s">
        <v>339</v>
      </c>
      <c r="Q16" s="299">
        <f>ROUND(O8*F16,5)</f>
        <v>1.5499999999999999E-3</v>
      </c>
    </row>
    <row r="17" spans="2:20" x14ac:dyDescent="0.25">
      <c r="B17" s="41"/>
      <c r="C17" s="293"/>
      <c r="D17" s="294"/>
      <c r="E17" s="294"/>
      <c r="F17" s="295"/>
      <c r="G17" s="296"/>
      <c r="H17" s="294"/>
      <c r="I17" s="294"/>
      <c r="J17" s="294"/>
      <c r="K17" s="294"/>
      <c r="L17" s="295"/>
      <c r="M17" s="296"/>
    </row>
    <row r="18" spans="2:20" x14ac:dyDescent="0.25">
      <c r="C18" s="104"/>
    </row>
    <row r="19" spans="2:20" x14ac:dyDescent="0.25">
      <c r="C19" s="478" t="s">
        <v>296</v>
      </c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R19" s="297"/>
      <c r="S19" s="297"/>
      <c r="T19" s="297"/>
    </row>
    <row r="20" spans="2:20" x14ac:dyDescent="0.25"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P20" s="104"/>
      <c r="R20" s="100"/>
      <c r="S20" s="100"/>
      <c r="T20" s="298"/>
    </row>
    <row r="21" spans="2:20" x14ac:dyDescent="0.25">
      <c r="C21" s="104"/>
      <c r="P21" s="104"/>
      <c r="R21" s="101"/>
      <c r="S21" s="101"/>
      <c r="T21" s="298"/>
    </row>
    <row r="22" spans="2:20" x14ac:dyDescent="0.25">
      <c r="C22" s="104"/>
      <c r="P22" s="104"/>
      <c r="R22" s="101"/>
      <c r="S22" s="101"/>
      <c r="T22" s="298"/>
    </row>
    <row r="23" spans="2:20" x14ac:dyDescent="0.25">
      <c r="N23" s="104"/>
      <c r="O23" s="104"/>
      <c r="P23" s="104"/>
      <c r="R23" s="101"/>
      <c r="S23" s="101"/>
      <c r="T23" s="298"/>
    </row>
  </sheetData>
  <mergeCells count="6">
    <mergeCell ref="C19:M20"/>
    <mergeCell ref="C8:G8"/>
    <mergeCell ref="I8:M8"/>
    <mergeCell ref="C3:M3"/>
    <mergeCell ref="C4:M4"/>
    <mergeCell ref="C5:M5"/>
  </mergeCells>
  <printOptions horizontalCentered="1"/>
  <pageMargins left="0.8" right="0.55000000000000004" top="1.2" bottom="0.5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2"/>
  <sheetViews>
    <sheetView showGridLines="0" zoomScaleNormal="100" workbookViewId="0">
      <selection sqref="A1:I52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85" t="s">
        <v>310</v>
      </c>
      <c r="B1" s="486"/>
      <c r="C1" s="486"/>
      <c r="D1" s="486"/>
      <c r="E1" s="486"/>
      <c r="F1" s="486"/>
      <c r="G1" s="486"/>
      <c r="H1" s="486"/>
      <c r="I1" s="487"/>
    </row>
    <row r="2" spans="1:20" ht="18.75" x14ac:dyDescent="0.25">
      <c r="A2" s="488" t="str">
        <f>'SAO - DSC'!C4</f>
        <v>Cannonsburg Water District</v>
      </c>
      <c r="B2" s="489"/>
      <c r="C2" s="489"/>
      <c r="D2" s="489"/>
      <c r="E2" s="489"/>
      <c r="F2" s="489"/>
      <c r="G2" s="489"/>
      <c r="H2" s="489"/>
      <c r="I2" s="490"/>
    </row>
    <row r="3" spans="1:20" x14ac:dyDescent="0.25">
      <c r="A3" s="29"/>
      <c r="I3" s="71"/>
      <c r="M3" s="12"/>
    </row>
    <row r="4" spans="1:20" ht="17.25" x14ac:dyDescent="0.4">
      <c r="A4" s="29"/>
      <c r="C4" s="491" t="s">
        <v>115</v>
      </c>
      <c r="D4" s="491"/>
      <c r="E4" s="491"/>
      <c r="F4" s="491"/>
      <c r="G4" s="491"/>
      <c r="I4" s="71"/>
      <c r="J4" s="109"/>
      <c r="M4" s="91"/>
      <c r="N4" s="28"/>
      <c r="O4" s="69"/>
      <c r="P4" s="120" t="s">
        <v>164</v>
      </c>
      <c r="Q4" s="120" t="s">
        <v>143</v>
      </c>
      <c r="R4" s="121" t="s">
        <v>167</v>
      </c>
      <c r="S4" s="44"/>
      <c r="T4" s="44"/>
    </row>
    <row r="5" spans="1:20" ht="17.25" x14ac:dyDescent="0.4">
      <c r="A5" s="29"/>
      <c r="C5" s="92"/>
      <c r="D5" s="15"/>
      <c r="E5" s="9" t="s">
        <v>56</v>
      </c>
      <c r="F5" s="9" t="s">
        <v>37</v>
      </c>
      <c r="G5" s="9" t="s">
        <v>35</v>
      </c>
      <c r="H5" s="2"/>
      <c r="I5" s="71"/>
      <c r="M5" s="26"/>
      <c r="N5" s="29"/>
      <c r="P5" s="122" t="s">
        <v>165</v>
      </c>
      <c r="Q5" s="122" t="s">
        <v>166</v>
      </c>
      <c r="R5" s="123" t="s">
        <v>166</v>
      </c>
      <c r="S5" s="44"/>
      <c r="T5" s="44"/>
    </row>
    <row r="6" spans="1:20" x14ac:dyDescent="0.25">
      <c r="A6" s="29"/>
      <c r="C6" s="1" t="s">
        <v>249</v>
      </c>
      <c r="E6" s="36">
        <f>C28</f>
        <v>7965</v>
      </c>
      <c r="F6" s="36">
        <f>D28</f>
        <v>13099240</v>
      </c>
      <c r="G6" s="93">
        <f>F32</f>
        <v>309315.94999999995</v>
      </c>
      <c r="H6" s="93"/>
      <c r="I6" s="71"/>
      <c r="N6" s="29" t="s">
        <v>116</v>
      </c>
      <c r="Q6" s="4">
        <f>2523865+25441</f>
        <v>2549306</v>
      </c>
      <c r="R6" s="124">
        <f>G6</f>
        <v>309315.94999999995</v>
      </c>
    </row>
    <row r="7" spans="1:20" x14ac:dyDescent="0.25">
      <c r="A7" s="29"/>
      <c r="C7" s="1" t="s">
        <v>248</v>
      </c>
      <c r="E7" s="36">
        <f>C47</f>
        <v>656</v>
      </c>
      <c r="F7" s="36">
        <f>D47</f>
        <v>693140</v>
      </c>
      <c r="G7" s="36">
        <f>F51</f>
        <v>29012.28</v>
      </c>
      <c r="H7" s="36"/>
      <c r="I7" s="71"/>
      <c r="N7" s="29" t="s">
        <v>117</v>
      </c>
      <c r="Q7" s="5">
        <f>47173+18227</f>
        <v>65400</v>
      </c>
      <c r="R7" s="125">
        <f>G7</f>
        <v>29012.28</v>
      </c>
    </row>
    <row r="8" spans="1:20" ht="17.25" x14ac:dyDescent="0.4">
      <c r="A8" s="29"/>
      <c r="E8" s="13"/>
      <c r="F8" s="203"/>
      <c r="G8" s="13"/>
      <c r="H8" s="36"/>
      <c r="I8" s="71"/>
      <c r="N8" s="29" t="s">
        <v>118</v>
      </c>
      <c r="Q8" s="67">
        <f>46170+110949</f>
        <v>157119</v>
      </c>
      <c r="R8" s="126">
        <f>G8</f>
        <v>0</v>
      </c>
    </row>
    <row r="9" spans="1:20" x14ac:dyDescent="0.25">
      <c r="A9" s="29"/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338328.23</v>
      </c>
      <c r="H9" s="93"/>
      <c r="I9" s="71"/>
      <c r="K9" s="26"/>
      <c r="L9" s="207"/>
      <c r="N9" s="29" t="s">
        <v>32</v>
      </c>
      <c r="P9" s="4">
        <f>'SAO - DSC'!F9</f>
        <v>345210</v>
      </c>
      <c r="Q9" s="5">
        <f>SUM(Q6:Q8)</f>
        <v>2771825</v>
      </c>
      <c r="R9" s="125">
        <f>G9</f>
        <v>338328.23</v>
      </c>
    </row>
    <row r="10" spans="1:20" x14ac:dyDescent="0.25">
      <c r="A10" s="29"/>
      <c r="C10" s="389" t="s">
        <v>169</v>
      </c>
      <c r="G10" s="13">
        <f>L23</f>
        <v>-4481</v>
      </c>
      <c r="H10" s="36"/>
      <c r="I10" s="127"/>
      <c r="N10" s="29"/>
      <c r="P10" s="4"/>
      <c r="Q10" s="26">
        <f>Q9-P9</f>
        <v>2426615</v>
      </c>
      <c r="R10" s="127">
        <f>R9-Q9</f>
        <v>-2433496.77</v>
      </c>
    </row>
    <row r="11" spans="1:20" x14ac:dyDescent="0.25">
      <c r="A11" s="29"/>
      <c r="C11" s="281" t="s">
        <v>119</v>
      </c>
      <c r="G11" s="74">
        <f>G9+G10</f>
        <v>333847.23</v>
      </c>
      <c r="H11" s="74"/>
      <c r="I11" s="124"/>
      <c r="N11" s="29" t="s">
        <v>168</v>
      </c>
      <c r="P11" s="4">
        <v>2587900</v>
      </c>
      <c r="R11" s="71"/>
    </row>
    <row r="12" spans="1:20" ht="15.75" x14ac:dyDescent="0.25">
      <c r="A12" s="29"/>
      <c r="C12" s="1" t="s">
        <v>283</v>
      </c>
      <c r="F12" s="10"/>
      <c r="G12" s="13">
        <f>-'SAO - DSC'!F9</f>
        <v>-345210</v>
      </c>
      <c r="I12" s="124"/>
      <c r="N12" s="29"/>
      <c r="Q12" s="128">
        <f>F9/1000*0.09</f>
        <v>1241.3141999999998</v>
      </c>
      <c r="R12" s="129">
        <f>F9/1000*0.18</f>
        <v>2482.6283999999996</v>
      </c>
      <c r="S12"/>
    </row>
    <row r="13" spans="1:20" ht="15.75" thickBot="1" x14ac:dyDescent="0.3">
      <c r="A13" s="29"/>
      <c r="C13" s="1" t="s">
        <v>284</v>
      </c>
      <c r="F13" s="10"/>
      <c r="G13" s="282">
        <f>SUM(G11:G12)</f>
        <v>-11362.770000000019</v>
      </c>
      <c r="I13" s="124"/>
      <c r="N13" s="29"/>
      <c r="R13" s="130">
        <f>P9+Q12+R12</f>
        <v>348933.94260000001</v>
      </c>
    </row>
    <row r="14" spans="1:20" ht="15.75" thickTop="1" x14ac:dyDescent="0.25">
      <c r="A14" s="29"/>
      <c r="F14" s="10"/>
      <c r="G14" s="390"/>
      <c r="I14" s="124"/>
      <c r="N14" s="29"/>
      <c r="R14" s="71"/>
    </row>
    <row r="15" spans="1:20" x14ac:dyDescent="0.25">
      <c r="A15" s="29"/>
      <c r="I15" s="71"/>
    </row>
    <row r="16" spans="1:20" x14ac:dyDescent="0.25">
      <c r="A16" s="29" t="s">
        <v>247</v>
      </c>
      <c r="I16" s="71"/>
    </row>
    <row r="17" spans="1:12" ht="15.75" x14ac:dyDescent="0.25">
      <c r="A17" s="391"/>
      <c r="B17" s="186"/>
      <c r="C17" s="186"/>
      <c r="D17" s="186"/>
      <c r="E17" s="186" t="s">
        <v>54</v>
      </c>
      <c r="F17" s="186" t="s">
        <v>55</v>
      </c>
      <c r="G17" s="187" t="s">
        <v>55</v>
      </c>
      <c r="H17" s="186" t="s">
        <v>125</v>
      </c>
      <c r="I17" s="392" t="s">
        <v>61</v>
      </c>
      <c r="K17" s="204" t="s">
        <v>251</v>
      </c>
      <c r="L17" s="208">
        <v>-692.07</v>
      </c>
    </row>
    <row r="18" spans="1:12" ht="15.75" x14ac:dyDescent="0.25">
      <c r="A18" s="391"/>
      <c r="B18" s="188" t="s">
        <v>241</v>
      </c>
      <c r="C18" s="188" t="s">
        <v>242</v>
      </c>
      <c r="D18" s="188" t="s">
        <v>243</v>
      </c>
      <c r="E18" s="189">
        <f>B19</f>
        <v>2000</v>
      </c>
      <c r="F18" s="189">
        <f>B20</f>
        <v>3000</v>
      </c>
      <c r="G18" s="190">
        <f>B21</f>
        <v>5000</v>
      </c>
      <c r="H18" s="191">
        <f>SUM(E18:G18)</f>
        <v>10000</v>
      </c>
      <c r="I18" s="393"/>
      <c r="K18" s="204" t="s">
        <v>250</v>
      </c>
      <c r="L18" s="208">
        <v>-1376.6</v>
      </c>
    </row>
    <row r="19" spans="1:12" ht="15.75" x14ac:dyDescent="0.25">
      <c r="A19" s="391" t="s">
        <v>54</v>
      </c>
      <c r="B19" s="187">
        <v>2000</v>
      </c>
      <c r="C19" s="192">
        <v>2848</v>
      </c>
      <c r="D19" s="192">
        <v>2865240</v>
      </c>
      <c r="E19" s="192">
        <f>D19</f>
        <v>2865240</v>
      </c>
      <c r="F19" s="192">
        <v>0</v>
      </c>
      <c r="G19" s="187">
        <v>0</v>
      </c>
      <c r="H19" s="192">
        <v>0</v>
      </c>
      <c r="I19" s="394">
        <f>SUM(E19:H19)</f>
        <v>2865240</v>
      </c>
      <c r="K19" s="204" t="s">
        <v>252</v>
      </c>
      <c r="L19" s="208">
        <v>-1053.5899999999999</v>
      </c>
    </row>
    <row r="20" spans="1:12" ht="15.75" x14ac:dyDescent="0.25">
      <c r="A20" s="391" t="s">
        <v>55</v>
      </c>
      <c r="B20" s="187">
        <v>3000</v>
      </c>
      <c r="C20" s="192">
        <v>3562</v>
      </c>
      <c r="D20" s="192">
        <v>11559720</v>
      </c>
      <c r="E20" s="192">
        <f>$C20*E$18</f>
        <v>7124000</v>
      </c>
      <c r="F20" s="192">
        <f>D20-E20</f>
        <v>4435720</v>
      </c>
      <c r="G20" s="187">
        <v>0</v>
      </c>
      <c r="H20" s="192">
        <v>0</v>
      </c>
      <c r="I20" s="394">
        <f t="shared" ref="I20:I22" si="0">SUM(E20:H20)</f>
        <v>11559720</v>
      </c>
      <c r="K20" s="204" t="s">
        <v>254</v>
      </c>
      <c r="L20" s="206">
        <v>-1320.84</v>
      </c>
    </row>
    <row r="21" spans="1:12" ht="15.75" x14ac:dyDescent="0.25">
      <c r="A21" s="391" t="s">
        <v>55</v>
      </c>
      <c r="B21" s="187">
        <v>5000</v>
      </c>
      <c r="C21" s="192">
        <v>1198</v>
      </c>
      <c r="D21" s="192">
        <v>7846570</v>
      </c>
      <c r="E21" s="192">
        <f t="shared" ref="E21:G22" si="1">$C21*E$18</f>
        <v>2396000</v>
      </c>
      <c r="F21" s="192">
        <f t="shared" si="1"/>
        <v>3594000</v>
      </c>
      <c r="G21" s="187">
        <f>D21-E21-F21</f>
        <v>1856570</v>
      </c>
      <c r="H21" s="192">
        <v>0</v>
      </c>
      <c r="I21" s="394">
        <f t="shared" si="0"/>
        <v>7846570</v>
      </c>
      <c r="K21" s="204" t="s">
        <v>253</v>
      </c>
      <c r="L21" s="206">
        <v>-5.79</v>
      </c>
    </row>
    <row r="22" spans="1:12" ht="15.75" x14ac:dyDescent="0.25">
      <c r="A22" s="391" t="s">
        <v>125</v>
      </c>
      <c r="B22" s="187">
        <f>SUM(B19:B21)</f>
        <v>10000</v>
      </c>
      <c r="C22" s="192">
        <v>357</v>
      </c>
      <c r="D22" s="192">
        <v>7741880</v>
      </c>
      <c r="E22" s="192">
        <f t="shared" si="1"/>
        <v>714000</v>
      </c>
      <c r="F22" s="192">
        <f t="shared" si="1"/>
        <v>1071000</v>
      </c>
      <c r="G22" s="192">
        <f t="shared" si="1"/>
        <v>1785000</v>
      </c>
      <c r="H22" s="192">
        <f>D22-E22-F22-G22</f>
        <v>4171880</v>
      </c>
      <c r="I22" s="394">
        <f t="shared" si="0"/>
        <v>7741880</v>
      </c>
      <c r="K22" s="204" t="s">
        <v>255</v>
      </c>
      <c r="L22" s="204">
        <v>-31.81</v>
      </c>
    </row>
    <row r="23" spans="1:12" ht="16.5" thickBot="1" x14ac:dyDescent="0.3">
      <c r="A23" s="391"/>
      <c r="B23" t="s">
        <v>0</v>
      </c>
      <c r="C23" s="194">
        <f t="shared" ref="C23:I23" si="2">SUM(C19:C22)</f>
        <v>7965</v>
      </c>
      <c r="D23" s="194">
        <f t="shared" si="2"/>
        <v>30013410</v>
      </c>
      <c r="E23" s="194">
        <f t="shared" si="2"/>
        <v>13099240</v>
      </c>
      <c r="F23" s="194">
        <f t="shared" si="2"/>
        <v>9100720</v>
      </c>
      <c r="G23" s="195">
        <f t="shared" si="2"/>
        <v>3641570</v>
      </c>
      <c r="H23" s="194">
        <f t="shared" si="2"/>
        <v>4171880</v>
      </c>
      <c r="I23" s="395">
        <f t="shared" si="2"/>
        <v>30013410</v>
      </c>
      <c r="K23" s="204" t="s">
        <v>257</v>
      </c>
      <c r="L23" s="205">
        <f>ROUND(SUM(L17:L22),0)</f>
        <v>-4481</v>
      </c>
    </row>
    <row r="24" spans="1:12" ht="16.5" thickTop="1" x14ac:dyDescent="0.25">
      <c r="A24" s="131"/>
      <c r="B24"/>
      <c r="C24"/>
      <c r="D24"/>
      <c r="E24"/>
      <c r="F24"/>
      <c r="G24" s="396"/>
      <c r="H24"/>
      <c r="I24" s="397"/>
    </row>
    <row r="25" spans="1:12" ht="15.75" x14ac:dyDescent="0.25">
      <c r="A25" s="131"/>
      <c r="B25" t="s">
        <v>244</v>
      </c>
      <c r="C25"/>
      <c r="D25"/>
      <c r="E25"/>
      <c r="F25"/>
      <c r="G25" s="396"/>
      <c r="H25"/>
      <c r="I25" s="397"/>
    </row>
    <row r="26" spans="1:12" ht="15.75" x14ac:dyDescent="0.25">
      <c r="A26" s="131"/>
      <c r="B26"/>
      <c r="C26"/>
      <c r="D26"/>
      <c r="E26"/>
      <c r="F26"/>
      <c r="G26" s="396"/>
      <c r="H26"/>
      <c r="I26" s="397"/>
    </row>
    <row r="27" spans="1:12" ht="15.75" x14ac:dyDescent="0.25">
      <c r="A27" s="131"/>
      <c r="B27" s="197"/>
      <c r="C27" s="197" t="s">
        <v>242</v>
      </c>
      <c r="D27" s="197" t="s">
        <v>243</v>
      </c>
      <c r="E27" s="197" t="s">
        <v>245</v>
      </c>
      <c r="F27" s="197" t="s">
        <v>35</v>
      </c>
      <c r="G27" s="396"/>
      <c r="H27"/>
      <c r="I27" s="397"/>
    </row>
    <row r="28" spans="1:12" ht="15.75" x14ac:dyDescent="0.25">
      <c r="A28" s="391" t="s">
        <v>54</v>
      </c>
      <c r="B28" s="192">
        <f>B19</f>
        <v>2000</v>
      </c>
      <c r="C28" s="198">
        <f>C23</f>
        <v>7965</v>
      </c>
      <c r="D28" s="198">
        <f>E23</f>
        <v>13099240</v>
      </c>
      <c r="E28" s="398">
        <v>23.63</v>
      </c>
      <c r="F28" s="399">
        <f>E28*C28</f>
        <v>188212.94999999998</v>
      </c>
      <c r="G28" s="396"/>
      <c r="H28"/>
      <c r="I28" s="397"/>
    </row>
    <row r="29" spans="1:12" ht="15.75" x14ac:dyDescent="0.25">
      <c r="A29" s="391" t="s">
        <v>55</v>
      </c>
      <c r="B29" s="192">
        <f t="shared" ref="B29:B31" si="3">B20</f>
        <v>3000</v>
      </c>
      <c r="C29"/>
      <c r="D29" s="198">
        <f>F23</f>
        <v>9100720</v>
      </c>
      <c r="E29" s="210">
        <v>7.6699999999999997E-3</v>
      </c>
      <c r="F29" s="212">
        <f>ROUND(D29*E29,0)</f>
        <v>69803</v>
      </c>
      <c r="G29" s="396"/>
      <c r="H29"/>
      <c r="I29" s="397"/>
      <c r="K29" s="211">
        <f>E29/1000</f>
        <v>7.6699999999999994E-6</v>
      </c>
    </row>
    <row r="30" spans="1:12" ht="15.75" x14ac:dyDescent="0.25">
      <c r="A30" s="391" t="s">
        <v>55</v>
      </c>
      <c r="B30" s="192">
        <f t="shared" si="3"/>
        <v>5000</v>
      </c>
      <c r="C30"/>
      <c r="D30" s="198">
        <f>G23</f>
        <v>3641570</v>
      </c>
      <c r="E30" s="210">
        <v>6.9499999999999996E-3</v>
      </c>
      <c r="F30" s="212">
        <f t="shared" ref="F30:F31" si="4">ROUND(D30*E30,0)</f>
        <v>25309</v>
      </c>
      <c r="G30" s="396"/>
      <c r="H30"/>
      <c r="I30" s="397"/>
      <c r="K30" s="211">
        <f t="shared" ref="K30:K31" si="5">E30/1000</f>
        <v>6.9499999999999995E-6</v>
      </c>
    </row>
    <row r="31" spans="1:12" ht="15.75" x14ac:dyDescent="0.25">
      <c r="A31" s="391" t="s">
        <v>125</v>
      </c>
      <c r="B31" s="192">
        <f t="shared" si="3"/>
        <v>10000</v>
      </c>
      <c r="C31" s="197"/>
      <c r="D31" s="201">
        <f>H22</f>
        <v>4171880</v>
      </c>
      <c r="E31" s="210">
        <v>6.2300000000000003E-3</v>
      </c>
      <c r="F31" s="213">
        <f t="shared" si="4"/>
        <v>25991</v>
      </c>
      <c r="G31" s="396"/>
      <c r="H31"/>
      <c r="I31" s="397"/>
      <c r="K31" s="211">
        <f t="shared" si="5"/>
        <v>6.2300000000000005E-6</v>
      </c>
    </row>
    <row r="32" spans="1:12" ht="16.5" thickBot="1" x14ac:dyDescent="0.3">
      <c r="A32" s="131"/>
      <c r="B32" t="s">
        <v>38</v>
      </c>
      <c r="C32"/>
      <c r="D32" s="194">
        <f>SUM(D28:D31)</f>
        <v>30013410</v>
      </c>
      <c r="E32"/>
      <c r="F32" s="202">
        <f>SUM(F28:F31)</f>
        <v>309315.94999999995</v>
      </c>
      <c r="G32" s="396"/>
      <c r="H32"/>
      <c r="I32" s="397" t="s">
        <v>246</v>
      </c>
    </row>
    <row r="33" spans="1:9" ht="16.5" thickTop="1" x14ac:dyDescent="0.25">
      <c r="A33" s="131"/>
      <c r="B33"/>
      <c r="C33"/>
      <c r="D33"/>
      <c r="E33"/>
      <c r="F33"/>
      <c r="G33" s="396"/>
      <c r="H33"/>
      <c r="I33" s="397"/>
    </row>
    <row r="34" spans="1:9" ht="15.75" x14ac:dyDescent="0.25">
      <c r="A34" s="131"/>
      <c r="B34"/>
      <c r="C34"/>
      <c r="D34"/>
      <c r="E34"/>
      <c r="F34"/>
      <c r="G34" s="396"/>
      <c r="H34"/>
      <c r="I34" s="397"/>
    </row>
    <row r="35" spans="1:9" ht="15.75" x14ac:dyDescent="0.25">
      <c r="A35" s="228" t="s">
        <v>248</v>
      </c>
      <c r="B35"/>
      <c r="C35"/>
      <c r="D35"/>
      <c r="E35"/>
      <c r="F35"/>
      <c r="G35" s="396"/>
      <c r="H35"/>
      <c r="I35" s="397"/>
    </row>
    <row r="36" spans="1:9" x14ac:dyDescent="0.25">
      <c r="A36" s="391"/>
      <c r="B36" s="186"/>
      <c r="C36" s="186"/>
      <c r="D36" s="186"/>
      <c r="E36" s="186" t="s">
        <v>54</v>
      </c>
      <c r="F36" s="186" t="s">
        <v>55</v>
      </c>
      <c r="G36" s="187" t="s">
        <v>55</v>
      </c>
      <c r="H36" s="186" t="s">
        <v>125</v>
      </c>
      <c r="I36" s="392" t="s">
        <v>61</v>
      </c>
    </row>
    <row r="37" spans="1:9" x14ac:dyDescent="0.25">
      <c r="A37" s="391"/>
      <c r="B37" s="188" t="s">
        <v>241</v>
      </c>
      <c r="C37" s="188" t="s">
        <v>242</v>
      </c>
      <c r="D37" s="188" t="s">
        <v>243</v>
      </c>
      <c r="E37" s="189">
        <f>B38</f>
        <v>2000</v>
      </c>
      <c r="F37" s="189">
        <f>B39</f>
        <v>3000</v>
      </c>
      <c r="G37" s="190">
        <f>B40</f>
        <v>5000</v>
      </c>
      <c r="H37" s="191">
        <f>SUM(E37:G37)</f>
        <v>10000</v>
      </c>
      <c r="I37" s="393"/>
    </row>
    <row r="38" spans="1:9" x14ac:dyDescent="0.25">
      <c r="A38" s="391" t="s">
        <v>54</v>
      </c>
      <c r="B38" s="187">
        <v>2000</v>
      </c>
      <c r="C38" s="192">
        <v>441</v>
      </c>
      <c r="D38" s="192">
        <v>263140</v>
      </c>
      <c r="E38" s="192">
        <f>D38</f>
        <v>263140</v>
      </c>
      <c r="F38" s="192">
        <v>0</v>
      </c>
      <c r="G38" s="187">
        <v>0</v>
      </c>
      <c r="H38" s="192">
        <v>0</v>
      </c>
      <c r="I38" s="394">
        <f>SUM(E38:H38)</f>
        <v>263140</v>
      </c>
    </row>
    <row r="39" spans="1:9" x14ac:dyDescent="0.25">
      <c r="A39" s="391" t="s">
        <v>55</v>
      </c>
      <c r="B39" s="187">
        <v>3000</v>
      </c>
      <c r="C39" s="192">
        <v>89</v>
      </c>
      <c r="D39" s="192">
        <v>289820</v>
      </c>
      <c r="E39" s="192">
        <f>$C39*E$37</f>
        <v>178000</v>
      </c>
      <c r="F39" s="192">
        <f>D39-E39</f>
        <v>111820</v>
      </c>
      <c r="G39" s="187">
        <v>0</v>
      </c>
      <c r="H39" s="192">
        <v>0</v>
      </c>
      <c r="I39" s="394">
        <f t="shared" ref="I39:I41" si="6">SUM(E39:H39)</f>
        <v>289820</v>
      </c>
    </row>
    <row r="40" spans="1:9" x14ac:dyDescent="0.25">
      <c r="A40" s="391" t="s">
        <v>55</v>
      </c>
      <c r="B40" s="187">
        <v>5000</v>
      </c>
      <c r="C40" s="192">
        <v>53</v>
      </c>
      <c r="D40" s="192">
        <v>337910</v>
      </c>
      <c r="E40" s="192">
        <f t="shared" ref="E40:G41" si="7">$C40*E$37</f>
        <v>106000</v>
      </c>
      <c r="F40" s="192">
        <f t="shared" si="7"/>
        <v>159000</v>
      </c>
      <c r="G40" s="187">
        <f>D40-E40-F40</f>
        <v>72910</v>
      </c>
      <c r="H40" s="192">
        <v>0</v>
      </c>
      <c r="I40" s="394">
        <f t="shared" si="6"/>
        <v>337910</v>
      </c>
    </row>
    <row r="41" spans="1:9" x14ac:dyDescent="0.25">
      <c r="A41" s="391" t="s">
        <v>125</v>
      </c>
      <c r="B41" s="187">
        <f>SUM(B38:B40)</f>
        <v>10000</v>
      </c>
      <c r="C41" s="192">
        <v>73</v>
      </c>
      <c r="D41" s="192">
        <v>1807180</v>
      </c>
      <c r="E41" s="192">
        <f t="shared" si="7"/>
        <v>146000</v>
      </c>
      <c r="F41" s="192">
        <f t="shared" si="7"/>
        <v>219000</v>
      </c>
      <c r="G41" s="192">
        <f t="shared" si="7"/>
        <v>365000</v>
      </c>
      <c r="H41" s="192">
        <f>D41-E41-F41-G41</f>
        <v>1077180</v>
      </c>
      <c r="I41" s="394">
        <f t="shared" si="6"/>
        <v>1807180</v>
      </c>
    </row>
    <row r="42" spans="1:9" ht="16.5" thickBot="1" x14ac:dyDescent="0.3">
      <c r="A42" s="391"/>
      <c r="B42" t="s">
        <v>0</v>
      </c>
      <c r="C42" s="194">
        <f t="shared" ref="C42:I42" si="8">SUM(C38:C41)</f>
        <v>656</v>
      </c>
      <c r="D42" s="194">
        <f t="shared" si="8"/>
        <v>2698050</v>
      </c>
      <c r="E42" s="194">
        <f t="shared" si="8"/>
        <v>693140</v>
      </c>
      <c r="F42" s="194">
        <f t="shared" si="8"/>
        <v>489820</v>
      </c>
      <c r="G42" s="195">
        <f t="shared" si="8"/>
        <v>437910</v>
      </c>
      <c r="H42" s="194">
        <f t="shared" si="8"/>
        <v>1077180</v>
      </c>
      <c r="I42" s="395">
        <f t="shared" si="8"/>
        <v>2698050</v>
      </c>
    </row>
    <row r="43" spans="1:9" ht="16.5" thickTop="1" x14ac:dyDescent="0.25">
      <c r="A43" s="131"/>
      <c r="B43"/>
      <c r="C43"/>
      <c r="D43"/>
      <c r="E43"/>
      <c r="F43"/>
      <c r="G43" s="396"/>
      <c r="H43"/>
      <c r="I43" s="397"/>
    </row>
    <row r="44" spans="1:9" ht="15.75" x14ac:dyDescent="0.25">
      <c r="A44" s="131"/>
      <c r="B44" t="s">
        <v>244</v>
      </c>
      <c r="C44"/>
      <c r="D44"/>
      <c r="E44"/>
      <c r="F44"/>
      <c r="G44" s="396"/>
      <c r="H44"/>
      <c r="I44" s="397"/>
    </row>
    <row r="45" spans="1:9" ht="15.75" x14ac:dyDescent="0.25">
      <c r="A45" s="131"/>
      <c r="B45"/>
      <c r="C45"/>
      <c r="D45"/>
      <c r="E45"/>
      <c r="F45"/>
      <c r="G45" s="396"/>
      <c r="H45"/>
      <c r="I45" s="397"/>
    </row>
    <row r="46" spans="1:9" ht="15.75" x14ac:dyDescent="0.25">
      <c r="A46" s="131"/>
      <c r="B46" s="197"/>
      <c r="C46" s="197" t="s">
        <v>242</v>
      </c>
      <c r="D46" s="197" t="s">
        <v>243</v>
      </c>
      <c r="E46" s="197" t="s">
        <v>245</v>
      </c>
      <c r="F46" s="197" t="s">
        <v>35</v>
      </c>
      <c r="G46" s="396"/>
      <c r="H46"/>
      <c r="I46" s="397"/>
    </row>
    <row r="47" spans="1:9" ht="15.75" x14ac:dyDescent="0.25">
      <c r="A47" s="391" t="s">
        <v>54</v>
      </c>
      <c r="B47" s="192">
        <f>B38</f>
        <v>2000</v>
      </c>
      <c r="C47" s="198">
        <f>C42</f>
        <v>656</v>
      </c>
      <c r="D47" s="198">
        <f>E42</f>
        <v>693140</v>
      </c>
      <c r="E47" s="398">
        <f>E28</f>
        <v>23.63</v>
      </c>
      <c r="F47" s="399">
        <f>E47*C47</f>
        <v>15501.279999999999</v>
      </c>
      <c r="G47" s="396"/>
      <c r="H47"/>
      <c r="I47" s="397"/>
    </row>
    <row r="48" spans="1:9" ht="15.75" x14ac:dyDescent="0.25">
      <c r="A48" s="391" t="s">
        <v>55</v>
      </c>
      <c r="B48" s="192">
        <f t="shared" ref="B48:B50" si="9">B39</f>
        <v>3000</v>
      </c>
      <c r="C48"/>
      <c r="D48" s="198">
        <f>F42</f>
        <v>489820</v>
      </c>
      <c r="E48" s="210">
        <f t="shared" ref="E48:E50" si="10">E29</f>
        <v>7.6699999999999997E-3</v>
      </c>
      <c r="F48" s="212">
        <f>ROUND(D48*E48,0)</f>
        <v>3757</v>
      </c>
      <c r="G48" s="396"/>
      <c r="H48"/>
      <c r="I48" s="397"/>
    </row>
    <row r="49" spans="1:9" ht="15.75" x14ac:dyDescent="0.25">
      <c r="A49" s="391" t="s">
        <v>55</v>
      </c>
      <c r="B49" s="192">
        <f t="shared" si="9"/>
        <v>5000</v>
      </c>
      <c r="C49"/>
      <c r="D49" s="198">
        <f>G42</f>
        <v>437910</v>
      </c>
      <c r="E49" s="210">
        <f t="shared" si="10"/>
        <v>6.9499999999999996E-3</v>
      </c>
      <c r="F49" s="212">
        <f t="shared" ref="F49:F50" si="11">ROUND(D49*E49,0)</f>
        <v>3043</v>
      </c>
      <c r="G49" s="396"/>
      <c r="H49"/>
      <c r="I49" s="397"/>
    </row>
    <row r="50" spans="1:9" ht="15.75" x14ac:dyDescent="0.25">
      <c r="A50" s="391" t="s">
        <v>125</v>
      </c>
      <c r="B50" s="192">
        <f t="shared" si="9"/>
        <v>10000</v>
      </c>
      <c r="C50" s="197"/>
      <c r="D50" s="201">
        <f>H41</f>
        <v>1077180</v>
      </c>
      <c r="E50" s="210">
        <f t="shared" si="10"/>
        <v>6.2300000000000003E-3</v>
      </c>
      <c r="F50" s="213">
        <f t="shared" si="11"/>
        <v>6711</v>
      </c>
      <c r="G50" s="396"/>
      <c r="H50"/>
      <c r="I50" s="397"/>
    </row>
    <row r="51" spans="1:9" ht="16.5" thickBot="1" x14ac:dyDescent="0.3">
      <c r="A51" s="131"/>
      <c r="B51" t="s">
        <v>38</v>
      </c>
      <c r="C51"/>
      <c r="D51" s="194">
        <f>SUM(D47:D50)</f>
        <v>2698050</v>
      </c>
      <c r="E51"/>
      <c r="F51" s="202">
        <f>SUM(F47:F50)</f>
        <v>29012.28</v>
      </c>
      <c r="G51" s="396"/>
      <c r="H51"/>
      <c r="I51" s="397" t="s">
        <v>246</v>
      </c>
    </row>
    <row r="52" spans="1:9" ht="15.75" thickTop="1" x14ac:dyDescent="0.25">
      <c r="A52" s="30"/>
      <c r="B52" s="15"/>
      <c r="C52" s="15"/>
      <c r="D52" s="15"/>
      <c r="E52" s="15"/>
      <c r="F52" s="15"/>
      <c r="G52" s="15"/>
      <c r="H52" s="15"/>
      <c r="I52" s="72"/>
    </row>
  </sheetData>
  <mergeCells count="3">
    <mergeCell ref="A1:I1"/>
    <mergeCell ref="A2:I2"/>
    <mergeCell ref="C4:G4"/>
  </mergeCells>
  <printOptions horizontalCentered="1"/>
  <pageMargins left="0.7" right="0.6" top="1.1499999999999999" bottom="0.85" header="0.3" footer="0.3"/>
  <pageSetup scale="89" fitToHeight="2" orientation="portrait" r:id="rId1"/>
  <headerFooter>
    <oddFooter>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80A-58A8-40B9-9C3C-939234618911}">
  <dimension ref="A1:G19"/>
  <sheetViews>
    <sheetView workbookViewId="0">
      <selection activeCell="C14" sqref="C14"/>
    </sheetView>
  </sheetViews>
  <sheetFormatPr defaultRowHeight="15" x14ac:dyDescent="0.2"/>
  <cols>
    <col min="1" max="1" width="9.6640625" customWidth="1"/>
    <col min="2" max="2" width="1.109375" customWidth="1"/>
    <col min="3" max="3" width="4.77734375" customWidth="1"/>
    <col min="4" max="4" width="7.33203125" customWidth="1"/>
    <col min="5" max="5" width="6.33203125" customWidth="1"/>
    <col min="6" max="6" width="11.6640625" customWidth="1"/>
    <col min="7" max="7" width="13.33203125" customWidth="1"/>
  </cols>
  <sheetData>
    <row r="1" spans="1:7" ht="15.75" x14ac:dyDescent="0.25">
      <c r="A1" s="19"/>
      <c r="B1" s="19"/>
      <c r="C1" s="19"/>
      <c r="D1" s="19"/>
      <c r="E1" s="19"/>
      <c r="F1" s="73"/>
      <c r="G1" s="19"/>
    </row>
    <row r="2" spans="1:7" ht="15.75" x14ac:dyDescent="0.25">
      <c r="A2" s="19"/>
      <c r="B2" s="28"/>
      <c r="C2" s="69"/>
      <c r="D2" s="69"/>
      <c r="E2" s="69"/>
      <c r="F2" s="106"/>
      <c r="G2" s="70"/>
    </row>
    <row r="3" spans="1:7" ht="18.75" x14ac:dyDescent="0.3">
      <c r="A3" s="19"/>
      <c r="B3" s="29"/>
      <c r="C3" s="492" t="s">
        <v>189</v>
      </c>
      <c r="D3" s="492"/>
      <c r="E3" s="492"/>
      <c r="F3" s="492"/>
      <c r="G3" s="493"/>
    </row>
    <row r="4" spans="1:7" ht="18.75" x14ac:dyDescent="0.25">
      <c r="A4" s="19"/>
      <c r="B4" s="29"/>
      <c r="C4" s="489" t="str">
        <f>Adj!B1</f>
        <v>Cannonsburg Water District</v>
      </c>
      <c r="D4" s="489"/>
      <c r="E4" s="489"/>
      <c r="F4" s="489"/>
      <c r="G4" s="490"/>
    </row>
    <row r="5" spans="1:7" ht="15.75" x14ac:dyDescent="0.25">
      <c r="A5" s="19"/>
      <c r="B5" s="30"/>
      <c r="C5" s="15"/>
      <c r="D5" s="15"/>
      <c r="E5" s="15"/>
      <c r="F5" s="107"/>
      <c r="G5" s="72"/>
    </row>
    <row r="6" spans="1:7" ht="15.75" x14ac:dyDescent="0.25">
      <c r="A6" s="19"/>
      <c r="B6" s="28"/>
      <c r="C6" s="69"/>
      <c r="D6" s="69"/>
      <c r="E6" s="69"/>
      <c r="F6" s="106"/>
      <c r="G6" s="70"/>
    </row>
    <row r="7" spans="1:7" ht="15.75" x14ac:dyDescent="0.25">
      <c r="A7" s="19"/>
      <c r="B7" s="29"/>
      <c r="C7" s="8" t="s">
        <v>122</v>
      </c>
      <c r="D7" s="1"/>
      <c r="E7" s="1"/>
      <c r="F7" s="68"/>
      <c r="G7" s="71"/>
    </row>
    <row r="8" spans="1:7" ht="15.75" x14ac:dyDescent="0.25">
      <c r="A8" s="19"/>
      <c r="B8" s="29"/>
      <c r="C8" s="10" t="s">
        <v>54</v>
      </c>
      <c r="D8" s="98">
        <v>2000</v>
      </c>
      <c r="E8" s="1" t="s">
        <v>123</v>
      </c>
      <c r="F8" s="132">
        <f>'BA - PWA CN 2023-00243'!E47</f>
        <v>27.22</v>
      </c>
      <c r="G8" s="71" t="s">
        <v>124</v>
      </c>
    </row>
    <row r="9" spans="1:7" ht="15.75" x14ac:dyDescent="0.25">
      <c r="A9" s="19"/>
      <c r="B9" s="29"/>
      <c r="C9" s="10" t="s">
        <v>55</v>
      </c>
      <c r="D9" s="98">
        <v>3000</v>
      </c>
      <c r="E9" s="1" t="s">
        <v>123</v>
      </c>
      <c r="F9" s="300">
        <f>'BA - PWA CN 2023-00243'!E48</f>
        <v>8.94E-3</v>
      </c>
      <c r="G9" s="71" t="s">
        <v>338</v>
      </c>
    </row>
    <row r="10" spans="1:7" ht="15.75" x14ac:dyDescent="0.25">
      <c r="A10" s="19"/>
      <c r="B10" s="29"/>
      <c r="C10" s="10" t="s">
        <v>55</v>
      </c>
      <c r="D10" s="98">
        <v>5000</v>
      </c>
      <c r="E10" s="1" t="s">
        <v>123</v>
      </c>
      <c r="F10" s="300">
        <f>'BA - PWA CN 2023-00243'!E49</f>
        <v>8.1300000000000001E-3</v>
      </c>
      <c r="G10" s="71" t="s">
        <v>338</v>
      </c>
    </row>
    <row r="11" spans="1:7" ht="15.75" x14ac:dyDescent="0.25">
      <c r="A11" s="19"/>
      <c r="B11" s="29"/>
      <c r="C11" s="10" t="s">
        <v>125</v>
      </c>
      <c r="D11" s="98">
        <v>10000</v>
      </c>
      <c r="E11" s="1" t="s">
        <v>123</v>
      </c>
      <c r="F11" s="300">
        <f>'BA - PWA CN 2023-00243'!E50</f>
        <v>7.3200000000000001E-3</v>
      </c>
      <c r="G11" s="71" t="s">
        <v>338</v>
      </c>
    </row>
    <row r="12" spans="1:7" ht="15.75" x14ac:dyDescent="0.25">
      <c r="A12" s="19"/>
      <c r="B12" s="29"/>
      <c r="C12" s="98"/>
      <c r="D12" s="1"/>
      <c r="E12" s="1"/>
      <c r="F12" s="1"/>
      <c r="G12" s="71"/>
    </row>
    <row r="13" spans="1:7" ht="15.75" x14ac:dyDescent="0.25">
      <c r="A13" s="19"/>
      <c r="B13" s="29"/>
      <c r="C13" s="10"/>
      <c r="D13" s="98"/>
      <c r="E13" s="1"/>
      <c r="F13" s="133"/>
      <c r="G13" s="71"/>
    </row>
    <row r="14" spans="1:7" ht="15.75" x14ac:dyDescent="0.25">
      <c r="A14" s="19"/>
      <c r="B14" s="29"/>
      <c r="C14" s="1" t="s">
        <v>337</v>
      </c>
      <c r="D14" s="98"/>
      <c r="E14" s="1"/>
      <c r="F14" s="300">
        <v>4.2199999999999998E-3</v>
      </c>
      <c r="G14" s="71" t="s">
        <v>338</v>
      </c>
    </row>
    <row r="15" spans="1:7" ht="15.75" x14ac:dyDescent="0.25">
      <c r="A15" s="19"/>
      <c r="B15" s="30"/>
      <c r="C15" s="103"/>
      <c r="D15" s="15"/>
      <c r="E15" s="15"/>
      <c r="F15" s="107"/>
      <c r="G15" s="72"/>
    </row>
    <row r="16" spans="1:7" ht="15.75" x14ac:dyDescent="0.25">
      <c r="A16" s="19"/>
      <c r="B16" s="19"/>
      <c r="C16" s="104"/>
      <c r="D16" s="19"/>
      <c r="E16" s="19"/>
      <c r="F16" s="73"/>
      <c r="G16" s="19"/>
    </row>
    <row r="17" spans="1:7" ht="15.75" x14ac:dyDescent="0.25">
      <c r="A17" s="19"/>
      <c r="B17" s="105" t="s">
        <v>190</v>
      </c>
      <c r="C17" s="140"/>
      <c r="D17" s="1"/>
      <c r="E17" s="1"/>
      <c r="F17" s="68"/>
      <c r="G17" s="1"/>
    </row>
    <row r="18" spans="1:7" ht="15.75" x14ac:dyDescent="0.25">
      <c r="B18" s="140"/>
      <c r="C18" s="102" t="s">
        <v>294</v>
      </c>
      <c r="D18" s="140"/>
      <c r="E18" s="140"/>
      <c r="F18" s="140"/>
      <c r="G18" s="140"/>
    </row>
    <row r="19" spans="1:7" ht="15.75" x14ac:dyDescent="0.25">
      <c r="C19" s="102" t="s">
        <v>295</v>
      </c>
    </row>
  </sheetData>
  <mergeCells count="2">
    <mergeCell ref="C3:G3"/>
    <mergeCell ref="C4:G4"/>
  </mergeCells>
  <printOptions horizontalCentered="1"/>
  <pageMargins left="0.7" right="0.7" top="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4E93-25C0-4335-819C-80639B8DC409}">
  <dimension ref="A1:T52"/>
  <sheetViews>
    <sheetView showGridLines="0" workbookViewId="0">
      <selection sqref="A1:I52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85" t="s">
        <v>286</v>
      </c>
      <c r="B1" s="486"/>
      <c r="C1" s="486"/>
      <c r="D1" s="486"/>
      <c r="E1" s="486"/>
      <c r="F1" s="486"/>
      <c r="G1" s="486"/>
      <c r="H1" s="486"/>
      <c r="I1" s="487"/>
    </row>
    <row r="2" spans="1:20" ht="18.75" x14ac:dyDescent="0.25">
      <c r="A2" s="488" t="str">
        <f>'SAO - DSC'!C4</f>
        <v>Cannonsburg Water District</v>
      </c>
      <c r="B2" s="489"/>
      <c r="C2" s="489"/>
      <c r="D2" s="489"/>
      <c r="E2" s="489"/>
      <c r="F2" s="489"/>
      <c r="G2" s="489"/>
      <c r="H2" s="489"/>
      <c r="I2" s="490"/>
    </row>
    <row r="3" spans="1:20" x14ac:dyDescent="0.25">
      <c r="A3" s="29"/>
      <c r="I3" s="71"/>
      <c r="M3" s="12"/>
    </row>
    <row r="4" spans="1:20" ht="17.25" x14ac:dyDescent="0.4">
      <c r="A4" s="29"/>
      <c r="C4" s="491" t="s">
        <v>115</v>
      </c>
      <c r="D4" s="491"/>
      <c r="E4" s="491"/>
      <c r="F4" s="491"/>
      <c r="G4" s="491"/>
      <c r="I4" s="71"/>
      <c r="J4" s="109"/>
      <c r="M4" s="91"/>
      <c r="N4" s="28"/>
      <c r="O4" s="69"/>
      <c r="P4" s="120" t="s">
        <v>164</v>
      </c>
      <c r="Q4" s="120" t="s">
        <v>143</v>
      </c>
      <c r="R4" s="121" t="s">
        <v>167</v>
      </c>
      <c r="S4" s="44"/>
      <c r="T4" s="44"/>
    </row>
    <row r="5" spans="1:20" ht="17.25" x14ac:dyDescent="0.4">
      <c r="A5" s="29"/>
      <c r="C5" s="92"/>
      <c r="D5" s="15"/>
      <c r="E5" s="9" t="s">
        <v>56</v>
      </c>
      <c r="F5" s="9" t="s">
        <v>37</v>
      </c>
      <c r="G5" s="9" t="s">
        <v>35</v>
      </c>
      <c r="H5" s="2"/>
      <c r="I5" s="71"/>
      <c r="M5" s="26"/>
      <c r="N5" s="29"/>
      <c r="P5" s="122" t="s">
        <v>165</v>
      </c>
      <c r="Q5" s="122" t="s">
        <v>166</v>
      </c>
      <c r="R5" s="123" t="s">
        <v>166</v>
      </c>
      <c r="S5" s="44"/>
      <c r="T5" s="44"/>
    </row>
    <row r="6" spans="1:20" x14ac:dyDescent="0.25">
      <c r="A6" s="29"/>
      <c r="C6" s="1" t="s">
        <v>249</v>
      </c>
      <c r="E6" s="36">
        <f>C28</f>
        <v>7965</v>
      </c>
      <c r="F6" s="36">
        <f>D28</f>
        <v>13099240</v>
      </c>
      <c r="G6" s="93">
        <f>F32</f>
        <v>318840.65000000002</v>
      </c>
      <c r="H6" s="93"/>
      <c r="I6" s="71"/>
      <c r="N6" s="29" t="s">
        <v>116</v>
      </c>
      <c r="Q6" s="4">
        <f>2523865+25441</f>
        <v>2549306</v>
      </c>
      <c r="R6" s="124">
        <f>G6</f>
        <v>318840.65000000002</v>
      </c>
    </row>
    <row r="7" spans="1:20" x14ac:dyDescent="0.25">
      <c r="A7" s="29"/>
      <c r="C7" s="1" t="s">
        <v>248</v>
      </c>
      <c r="E7" s="36">
        <f>C47</f>
        <v>656</v>
      </c>
      <c r="F7" s="36">
        <f>D47</f>
        <v>693140</v>
      </c>
      <c r="G7" s="36">
        <f>F51</f>
        <v>29973.760000000002</v>
      </c>
      <c r="H7" s="36"/>
      <c r="I7" s="71"/>
      <c r="N7" s="29" t="s">
        <v>117</v>
      </c>
      <c r="Q7" s="5">
        <f>47173+18227</f>
        <v>65400</v>
      </c>
      <c r="R7" s="125">
        <f>G7</f>
        <v>29973.760000000002</v>
      </c>
    </row>
    <row r="8" spans="1:20" ht="17.25" x14ac:dyDescent="0.4">
      <c r="A8" s="29"/>
      <c r="E8" s="13"/>
      <c r="F8" s="203"/>
      <c r="G8" s="13"/>
      <c r="H8" s="36"/>
      <c r="I8" s="71"/>
      <c r="N8" s="29" t="s">
        <v>118</v>
      </c>
      <c r="Q8" s="67">
        <f>46170+110949</f>
        <v>157119</v>
      </c>
      <c r="R8" s="126">
        <f>G8</f>
        <v>0</v>
      </c>
    </row>
    <row r="9" spans="1:20" x14ac:dyDescent="0.25">
      <c r="A9" s="29"/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348814.41000000003</v>
      </c>
      <c r="H9" s="93"/>
      <c r="I9" s="71"/>
      <c r="K9" s="26"/>
      <c r="L9" s="207"/>
      <c r="N9" s="29" t="s">
        <v>32</v>
      </c>
      <c r="P9" s="4">
        <f>'SAO - DSC'!F9</f>
        <v>345210</v>
      </c>
      <c r="Q9" s="5">
        <f>SUM(Q6:Q8)</f>
        <v>2771825</v>
      </c>
      <c r="R9" s="125">
        <f>G9</f>
        <v>348814.41000000003</v>
      </c>
    </row>
    <row r="10" spans="1:20" x14ac:dyDescent="0.25">
      <c r="A10" s="29"/>
      <c r="C10" s="389" t="s">
        <v>169</v>
      </c>
      <c r="G10" s="13">
        <f>L23</f>
        <v>-4481</v>
      </c>
      <c r="H10" s="36"/>
      <c r="I10" s="127"/>
      <c r="N10" s="29"/>
      <c r="P10" s="4"/>
      <c r="Q10" s="26">
        <f>Q9-P9</f>
        <v>2426615</v>
      </c>
      <c r="R10" s="127">
        <f>R9-Q9</f>
        <v>-2423010.59</v>
      </c>
    </row>
    <row r="11" spans="1:20" x14ac:dyDescent="0.25">
      <c r="A11" s="29"/>
      <c r="C11" s="281" t="s">
        <v>119</v>
      </c>
      <c r="G11" s="74">
        <f>G9+G10</f>
        <v>344333.41000000003</v>
      </c>
      <c r="H11" s="74"/>
      <c r="I11" s="124"/>
      <c r="N11" s="29" t="s">
        <v>168</v>
      </c>
      <c r="P11" s="4">
        <v>2587900</v>
      </c>
      <c r="R11" s="71"/>
    </row>
    <row r="12" spans="1:20" ht="15.75" x14ac:dyDescent="0.25">
      <c r="A12" s="29"/>
      <c r="C12" s="1" t="s">
        <v>285</v>
      </c>
      <c r="F12" s="10"/>
      <c r="G12" s="13">
        <f>-'ExBA - Beg. Rates'!G11</f>
        <v>-333847.23</v>
      </c>
      <c r="I12" s="124"/>
      <c r="N12" s="29"/>
      <c r="Q12" s="128">
        <f>F9/1000*0.09</f>
        <v>1241.3141999999998</v>
      </c>
      <c r="R12" s="129">
        <f>F9/1000*0.18</f>
        <v>2482.6283999999996</v>
      </c>
      <c r="S12"/>
    </row>
    <row r="13" spans="1:20" ht="15.75" thickBot="1" x14ac:dyDescent="0.3">
      <c r="A13" s="29"/>
      <c r="C13" s="1" t="s">
        <v>284</v>
      </c>
      <c r="F13" s="10"/>
      <c r="G13" s="282">
        <f>SUM(G11:G12)</f>
        <v>10486.180000000051</v>
      </c>
      <c r="I13" s="124"/>
      <c r="N13" s="29"/>
      <c r="R13" s="130">
        <f>P9+Q12+R12</f>
        <v>348933.94260000001</v>
      </c>
    </row>
    <row r="14" spans="1:20" ht="15.75" thickTop="1" x14ac:dyDescent="0.25">
      <c r="A14" s="29"/>
      <c r="F14" s="10"/>
      <c r="G14" s="390"/>
      <c r="I14" s="124"/>
      <c r="N14" s="29"/>
      <c r="R14" s="71"/>
    </row>
    <row r="15" spans="1:20" x14ac:dyDescent="0.25">
      <c r="A15" s="29"/>
      <c r="I15" s="71"/>
    </row>
    <row r="16" spans="1:20" x14ac:dyDescent="0.25">
      <c r="A16" s="29" t="s">
        <v>247</v>
      </c>
      <c r="I16" s="71"/>
    </row>
    <row r="17" spans="1:12" ht="15.75" x14ac:dyDescent="0.25">
      <c r="A17" s="391"/>
      <c r="B17" s="186"/>
      <c r="C17" s="186"/>
      <c r="D17" s="186"/>
      <c r="E17" s="186" t="s">
        <v>54</v>
      </c>
      <c r="F17" s="186" t="s">
        <v>55</v>
      </c>
      <c r="G17" s="187" t="s">
        <v>55</v>
      </c>
      <c r="H17" s="186" t="s">
        <v>125</v>
      </c>
      <c r="I17" s="392" t="s">
        <v>61</v>
      </c>
      <c r="K17" s="204" t="s">
        <v>251</v>
      </c>
      <c r="L17" s="208">
        <v>-692.07</v>
      </c>
    </row>
    <row r="18" spans="1:12" ht="15.75" x14ac:dyDescent="0.25">
      <c r="A18" s="391"/>
      <c r="B18" s="188" t="s">
        <v>241</v>
      </c>
      <c r="C18" s="188" t="s">
        <v>242</v>
      </c>
      <c r="D18" s="188" t="s">
        <v>243</v>
      </c>
      <c r="E18" s="189">
        <f>B19</f>
        <v>2000</v>
      </c>
      <c r="F18" s="189">
        <f>B20</f>
        <v>3000</v>
      </c>
      <c r="G18" s="190">
        <f>B21</f>
        <v>5000</v>
      </c>
      <c r="H18" s="191">
        <f>SUM(E18:G18)</f>
        <v>10000</v>
      </c>
      <c r="I18" s="393"/>
      <c r="K18" s="204" t="s">
        <v>250</v>
      </c>
      <c r="L18" s="208">
        <v>-1376.6</v>
      </c>
    </row>
    <row r="19" spans="1:12" ht="15.75" x14ac:dyDescent="0.25">
      <c r="A19" s="391" t="s">
        <v>54</v>
      </c>
      <c r="B19" s="187">
        <v>2000</v>
      </c>
      <c r="C19" s="192">
        <v>2848</v>
      </c>
      <c r="D19" s="192">
        <v>2865240</v>
      </c>
      <c r="E19" s="192">
        <f>D19</f>
        <v>2865240</v>
      </c>
      <c r="F19" s="192">
        <v>0</v>
      </c>
      <c r="G19" s="187">
        <v>0</v>
      </c>
      <c r="H19" s="192">
        <v>0</v>
      </c>
      <c r="I19" s="394">
        <f>SUM(E19:H19)</f>
        <v>2865240</v>
      </c>
      <c r="K19" s="204" t="s">
        <v>252</v>
      </c>
      <c r="L19" s="208">
        <v>-1053.5899999999999</v>
      </c>
    </row>
    <row r="20" spans="1:12" ht="15.75" x14ac:dyDescent="0.25">
      <c r="A20" s="391" t="s">
        <v>55</v>
      </c>
      <c r="B20" s="187">
        <v>3000</v>
      </c>
      <c r="C20" s="192">
        <v>3562</v>
      </c>
      <c r="D20" s="192">
        <v>11559720</v>
      </c>
      <c r="E20" s="192">
        <f>$C20*E$18</f>
        <v>7124000</v>
      </c>
      <c r="F20" s="192">
        <f>D20-E20</f>
        <v>4435720</v>
      </c>
      <c r="G20" s="187">
        <v>0</v>
      </c>
      <c r="H20" s="192">
        <v>0</v>
      </c>
      <c r="I20" s="394">
        <f t="shared" ref="I20:I22" si="0">SUM(E20:H20)</f>
        <v>11559720</v>
      </c>
      <c r="K20" s="204" t="s">
        <v>254</v>
      </c>
      <c r="L20" s="206">
        <v>-1320.84</v>
      </c>
    </row>
    <row r="21" spans="1:12" ht="15.75" x14ac:dyDescent="0.25">
      <c r="A21" s="391" t="s">
        <v>55</v>
      </c>
      <c r="B21" s="187">
        <v>5000</v>
      </c>
      <c r="C21" s="192">
        <v>1198</v>
      </c>
      <c r="D21" s="192">
        <v>7846570</v>
      </c>
      <c r="E21" s="192">
        <f t="shared" ref="E21:G22" si="1">$C21*E$18</f>
        <v>2396000</v>
      </c>
      <c r="F21" s="192">
        <f t="shared" si="1"/>
        <v>3594000</v>
      </c>
      <c r="G21" s="187">
        <f>D21-E21-F21</f>
        <v>1856570</v>
      </c>
      <c r="H21" s="192">
        <v>0</v>
      </c>
      <c r="I21" s="394">
        <f t="shared" si="0"/>
        <v>7846570</v>
      </c>
      <c r="K21" s="204" t="s">
        <v>253</v>
      </c>
      <c r="L21" s="206">
        <v>-5.79</v>
      </c>
    </row>
    <row r="22" spans="1:12" ht="15.75" x14ac:dyDescent="0.25">
      <c r="A22" s="391" t="s">
        <v>125</v>
      </c>
      <c r="B22" s="187">
        <f>SUM(B19:B21)</f>
        <v>10000</v>
      </c>
      <c r="C22" s="192">
        <v>357</v>
      </c>
      <c r="D22" s="192">
        <v>7741880</v>
      </c>
      <c r="E22" s="192">
        <f t="shared" si="1"/>
        <v>714000</v>
      </c>
      <c r="F22" s="192">
        <f t="shared" si="1"/>
        <v>1071000</v>
      </c>
      <c r="G22" s="192">
        <f t="shared" si="1"/>
        <v>1785000</v>
      </c>
      <c r="H22" s="192">
        <f>D22-E22-F22-G22</f>
        <v>4171880</v>
      </c>
      <c r="I22" s="394">
        <f t="shared" si="0"/>
        <v>7741880</v>
      </c>
      <c r="K22" s="204" t="s">
        <v>255</v>
      </c>
      <c r="L22" s="204">
        <v>-31.81</v>
      </c>
    </row>
    <row r="23" spans="1:12" ht="16.5" thickBot="1" x14ac:dyDescent="0.3">
      <c r="A23" s="391"/>
      <c r="B23" t="s">
        <v>0</v>
      </c>
      <c r="C23" s="194">
        <f t="shared" ref="C23:I23" si="2">SUM(C19:C22)</f>
        <v>7965</v>
      </c>
      <c r="D23" s="194">
        <f t="shared" si="2"/>
        <v>30013410</v>
      </c>
      <c r="E23" s="194">
        <f t="shared" si="2"/>
        <v>13099240</v>
      </c>
      <c r="F23" s="194">
        <f t="shared" si="2"/>
        <v>9100720</v>
      </c>
      <c r="G23" s="195">
        <f t="shared" si="2"/>
        <v>3641570</v>
      </c>
      <c r="H23" s="194">
        <f t="shared" si="2"/>
        <v>4171880</v>
      </c>
      <c r="I23" s="395">
        <f t="shared" si="2"/>
        <v>30013410</v>
      </c>
      <c r="K23" s="204" t="s">
        <v>257</v>
      </c>
      <c r="L23" s="205">
        <f>ROUND(SUM(L17:L22),0)</f>
        <v>-4481</v>
      </c>
    </row>
    <row r="24" spans="1:12" ht="16.5" thickTop="1" x14ac:dyDescent="0.25">
      <c r="A24" s="131"/>
      <c r="B24"/>
      <c r="C24"/>
      <c r="D24"/>
      <c r="E24"/>
      <c r="F24"/>
      <c r="G24" s="396"/>
      <c r="H24"/>
      <c r="I24" s="397"/>
    </row>
    <row r="25" spans="1:12" ht="15.75" x14ac:dyDescent="0.25">
      <c r="A25" s="131"/>
      <c r="B25" t="s">
        <v>244</v>
      </c>
      <c r="C25"/>
      <c r="D25"/>
      <c r="E25"/>
      <c r="F25"/>
      <c r="G25" s="396"/>
      <c r="H25"/>
      <c r="I25" s="397"/>
    </row>
    <row r="26" spans="1:12" ht="15.75" x14ac:dyDescent="0.25">
      <c r="A26" s="131"/>
      <c r="B26"/>
      <c r="C26"/>
      <c r="D26"/>
      <c r="E26"/>
      <c r="F26"/>
      <c r="G26" s="396"/>
      <c r="H26"/>
      <c r="I26" s="397"/>
    </row>
    <row r="27" spans="1:12" ht="15.75" x14ac:dyDescent="0.25">
      <c r="A27" s="131"/>
      <c r="B27" s="197"/>
      <c r="C27" s="197" t="s">
        <v>242</v>
      </c>
      <c r="D27" s="197" t="s">
        <v>243</v>
      </c>
      <c r="E27" s="197" t="s">
        <v>245</v>
      </c>
      <c r="F27" s="197" t="s">
        <v>35</v>
      </c>
      <c r="G27" s="396"/>
      <c r="H27"/>
      <c r="I27" s="397"/>
    </row>
    <row r="28" spans="1:12" ht="15.75" x14ac:dyDescent="0.25">
      <c r="A28" s="391" t="s">
        <v>54</v>
      </c>
      <c r="B28" s="192">
        <f>B19</f>
        <v>2000</v>
      </c>
      <c r="C28" s="198">
        <f>C23</f>
        <v>7965</v>
      </c>
      <c r="D28" s="198">
        <f>E23</f>
        <v>13099240</v>
      </c>
      <c r="E28" s="398">
        <v>24.21</v>
      </c>
      <c r="F28" s="399">
        <f>E28*C28</f>
        <v>192832.65</v>
      </c>
      <c r="G28" s="396"/>
      <c r="H28"/>
      <c r="I28" s="397"/>
    </row>
    <row r="29" spans="1:12" ht="15.75" x14ac:dyDescent="0.25">
      <c r="A29" s="391" t="s">
        <v>55</v>
      </c>
      <c r="B29" s="192">
        <f t="shared" ref="B29:B31" si="3">B20</f>
        <v>3000</v>
      </c>
      <c r="C29"/>
      <c r="D29" s="198">
        <f>F23</f>
        <v>9100720</v>
      </c>
      <c r="E29" s="210">
        <v>7.9600000000000001E-3</v>
      </c>
      <c r="F29" s="212">
        <f>ROUND(D29*E29,0)</f>
        <v>72442</v>
      </c>
      <c r="G29" s="396"/>
      <c r="H29"/>
      <c r="I29" s="397"/>
      <c r="K29" s="211">
        <f>E29/1000</f>
        <v>7.96E-6</v>
      </c>
    </row>
    <row r="30" spans="1:12" ht="15.75" x14ac:dyDescent="0.25">
      <c r="A30" s="391" t="s">
        <v>55</v>
      </c>
      <c r="B30" s="192">
        <f t="shared" si="3"/>
        <v>5000</v>
      </c>
      <c r="C30"/>
      <c r="D30" s="198">
        <f>G23</f>
        <v>3641570</v>
      </c>
      <c r="E30" s="210">
        <v>7.2399999999999999E-3</v>
      </c>
      <c r="F30" s="212">
        <f t="shared" ref="F30:F31" si="4">ROUND(D30*E30,0)</f>
        <v>26365</v>
      </c>
      <c r="G30" s="396"/>
      <c r="H30"/>
      <c r="I30" s="397"/>
      <c r="K30" s="211">
        <f t="shared" ref="K30:K31" si="5">E30/1000</f>
        <v>7.2400000000000001E-6</v>
      </c>
    </row>
    <row r="31" spans="1:12" ht="15.75" x14ac:dyDescent="0.25">
      <c r="A31" s="391" t="s">
        <v>125</v>
      </c>
      <c r="B31" s="192">
        <f t="shared" si="3"/>
        <v>10000</v>
      </c>
      <c r="C31" s="197"/>
      <c r="D31" s="201">
        <f>H22</f>
        <v>4171880</v>
      </c>
      <c r="E31" s="210">
        <v>6.5199999999999998E-3</v>
      </c>
      <c r="F31" s="213">
        <f t="shared" si="4"/>
        <v>27201</v>
      </c>
      <c r="G31" s="396"/>
      <c r="H31"/>
      <c r="I31" s="397"/>
      <c r="K31" s="211">
        <f t="shared" si="5"/>
        <v>6.5199999999999994E-6</v>
      </c>
    </row>
    <row r="32" spans="1:12" ht="16.5" thickBot="1" x14ac:dyDescent="0.3">
      <c r="A32" s="131"/>
      <c r="B32" t="s">
        <v>38</v>
      </c>
      <c r="C32"/>
      <c r="D32" s="194">
        <f>SUM(D28:D31)</f>
        <v>30013410</v>
      </c>
      <c r="E32"/>
      <c r="F32" s="202">
        <f>SUM(F28:F31)</f>
        <v>318840.65000000002</v>
      </c>
      <c r="G32" s="396"/>
      <c r="H32"/>
      <c r="I32" s="397" t="s">
        <v>246</v>
      </c>
    </row>
    <row r="33" spans="1:9" ht="16.5" thickTop="1" x14ac:dyDescent="0.25">
      <c r="A33" s="131"/>
      <c r="B33"/>
      <c r="C33"/>
      <c r="D33"/>
      <c r="E33"/>
      <c r="F33"/>
      <c r="G33" s="396"/>
      <c r="H33"/>
      <c r="I33" s="397"/>
    </row>
    <row r="34" spans="1:9" ht="15.75" x14ac:dyDescent="0.25">
      <c r="A34" s="131"/>
      <c r="B34"/>
      <c r="C34"/>
      <c r="D34"/>
      <c r="E34"/>
      <c r="F34"/>
      <c r="G34" s="396"/>
      <c r="H34"/>
      <c r="I34" s="397"/>
    </row>
    <row r="35" spans="1:9" ht="15.75" x14ac:dyDescent="0.25">
      <c r="A35" s="228" t="s">
        <v>248</v>
      </c>
      <c r="B35"/>
      <c r="C35"/>
      <c r="D35"/>
      <c r="E35"/>
      <c r="F35"/>
      <c r="G35" s="396"/>
      <c r="H35"/>
      <c r="I35" s="397"/>
    </row>
    <row r="36" spans="1:9" x14ac:dyDescent="0.25">
      <c r="A36" s="391"/>
      <c r="B36" s="186"/>
      <c r="C36" s="186"/>
      <c r="D36" s="186"/>
      <c r="E36" s="186" t="s">
        <v>54</v>
      </c>
      <c r="F36" s="186" t="s">
        <v>55</v>
      </c>
      <c r="G36" s="187" t="s">
        <v>55</v>
      </c>
      <c r="H36" s="186" t="s">
        <v>125</v>
      </c>
      <c r="I36" s="392" t="s">
        <v>61</v>
      </c>
    </row>
    <row r="37" spans="1:9" x14ac:dyDescent="0.25">
      <c r="A37" s="391"/>
      <c r="B37" s="188" t="s">
        <v>241</v>
      </c>
      <c r="C37" s="188" t="s">
        <v>242</v>
      </c>
      <c r="D37" s="188" t="s">
        <v>243</v>
      </c>
      <c r="E37" s="189">
        <f>B38</f>
        <v>2000</v>
      </c>
      <c r="F37" s="189">
        <f>B39</f>
        <v>3000</v>
      </c>
      <c r="G37" s="190">
        <f>B40</f>
        <v>5000</v>
      </c>
      <c r="H37" s="191">
        <f>SUM(E37:G37)</f>
        <v>10000</v>
      </c>
      <c r="I37" s="393"/>
    </row>
    <row r="38" spans="1:9" x14ac:dyDescent="0.25">
      <c r="A38" s="391" t="s">
        <v>54</v>
      </c>
      <c r="B38" s="187">
        <v>2000</v>
      </c>
      <c r="C38" s="192">
        <v>441</v>
      </c>
      <c r="D38" s="192">
        <v>263140</v>
      </c>
      <c r="E38" s="192">
        <f>D38</f>
        <v>263140</v>
      </c>
      <c r="F38" s="192">
        <v>0</v>
      </c>
      <c r="G38" s="187">
        <v>0</v>
      </c>
      <c r="H38" s="192">
        <v>0</v>
      </c>
      <c r="I38" s="394">
        <f>SUM(E38:H38)</f>
        <v>263140</v>
      </c>
    </row>
    <row r="39" spans="1:9" x14ac:dyDescent="0.25">
      <c r="A39" s="391" t="s">
        <v>55</v>
      </c>
      <c r="B39" s="187">
        <v>3000</v>
      </c>
      <c r="C39" s="192">
        <v>89</v>
      </c>
      <c r="D39" s="192">
        <v>289820</v>
      </c>
      <c r="E39" s="192">
        <f>$C39*E$37</f>
        <v>178000</v>
      </c>
      <c r="F39" s="192">
        <f>D39-E39</f>
        <v>111820</v>
      </c>
      <c r="G39" s="187">
        <v>0</v>
      </c>
      <c r="H39" s="192">
        <v>0</v>
      </c>
      <c r="I39" s="394">
        <f t="shared" ref="I39:I41" si="6">SUM(E39:H39)</f>
        <v>289820</v>
      </c>
    </row>
    <row r="40" spans="1:9" x14ac:dyDescent="0.25">
      <c r="A40" s="391" t="s">
        <v>55</v>
      </c>
      <c r="B40" s="187">
        <v>5000</v>
      </c>
      <c r="C40" s="192">
        <v>53</v>
      </c>
      <c r="D40" s="192">
        <v>337910</v>
      </c>
      <c r="E40" s="192">
        <f t="shared" ref="E40:G41" si="7">$C40*E$37</f>
        <v>106000</v>
      </c>
      <c r="F40" s="192">
        <f t="shared" si="7"/>
        <v>159000</v>
      </c>
      <c r="G40" s="187">
        <f>D40-E40-F40</f>
        <v>72910</v>
      </c>
      <c r="H40" s="192">
        <v>0</v>
      </c>
      <c r="I40" s="394">
        <f t="shared" si="6"/>
        <v>337910</v>
      </c>
    </row>
    <row r="41" spans="1:9" x14ac:dyDescent="0.25">
      <c r="A41" s="391" t="s">
        <v>125</v>
      </c>
      <c r="B41" s="187">
        <f>SUM(B38:B40)</f>
        <v>10000</v>
      </c>
      <c r="C41" s="192">
        <v>73</v>
      </c>
      <c r="D41" s="192">
        <v>1807180</v>
      </c>
      <c r="E41" s="192">
        <f t="shared" si="7"/>
        <v>146000</v>
      </c>
      <c r="F41" s="192">
        <f t="shared" si="7"/>
        <v>219000</v>
      </c>
      <c r="G41" s="192">
        <f t="shared" si="7"/>
        <v>365000</v>
      </c>
      <c r="H41" s="192">
        <f>D41-E41-F41-G41</f>
        <v>1077180</v>
      </c>
      <c r="I41" s="394">
        <f t="shared" si="6"/>
        <v>1807180</v>
      </c>
    </row>
    <row r="42" spans="1:9" ht="16.5" thickBot="1" x14ac:dyDescent="0.3">
      <c r="A42" s="391"/>
      <c r="B42" t="s">
        <v>0</v>
      </c>
      <c r="C42" s="194">
        <f t="shared" ref="C42:I42" si="8">SUM(C38:C41)</f>
        <v>656</v>
      </c>
      <c r="D42" s="194">
        <f t="shared" si="8"/>
        <v>2698050</v>
      </c>
      <c r="E42" s="194">
        <f t="shared" si="8"/>
        <v>693140</v>
      </c>
      <c r="F42" s="194">
        <f t="shared" si="8"/>
        <v>489820</v>
      </c>
      <c r="G42" s="195">
        <f t="shared" si="8"/>
        <v>437910</v>
      </c>
      <c r="H42" s="194">
        <f t="shared" si="8"/>
        <v>1077180</v>
      </c>
      <c r="I42" s="395">
        <f t="shared" si="8"/>
        <v>2698050</v>
      </c>
    </row>
    <row r="43" spans="1:9" ht="16.5" thickTop="1" x14ac:dyDescent="0.25">
      <c r="A43" s="131"/>
      <c r="B43"/>
      <c r="C43"/>
      <c r="D43"/>
      <c r="E43"/>
      <c r="F43"/>
      <c r="G43" s="396"/>
      <c r="H43"/>
      <c r="I43" s="397"/>
    </row>
    <row r="44" spans="1:9" ht="15.75" x14ac:dyDescent="0.25">
      <c r="A44" s="131"/>
      <c r="B44" t="s">
        <v>244</v>
      </c>
      <c r="C44"/>
      <c r="D44"/>
      <c r="E44"/>
      <c r="F44"/>
      <c r="G44" s="396"/>
      <c r="H44"/>
      <c r="I44" s="397"/>
    </row>
    <row r="45" spans="1:9" ht="15.75" x14ac:dyDescent="0.25">
      <c r="A45" s="131"/>
      <c r="B45"/>
      <c r="C45"/>
      <c r="D45"/>
      <c r="E45"/>
      <c r="F45"/>
      <c r="G45" s="396"/>
      <c r="H45"/>
      <c r="I45" s="397"/>
    </row>
    <row r="46" spans="1:9" ht="15.75" x14ac:dyDescent="0.25">
      <c r="A46" s="131"/>
      <c r="B46" s="197"/>
      <c r="C46" s="197" t="s">
        <v>242</v>
      </c>
      <c r="D46" s="197" t="s">
        <v>243</v>
      </c>
      <c r="E46" s="197" t="s">
        <v>245</v>
      </c>
      <c r="F46" s="197" t="s">
        <v>35</v>
      </c>
      <c r="G46" s="396"/>
      <c r="H46"/>
      <c r="I46" s="397"/>
    </row>
    <row r="47" spans="1:9" ht="15.75" x14ac:dyDescent="0.25">
      <c r="A47" s="391" t="s">
        <v>54</v>
      </c>
      <c r="B47" s="192">
        <f>B38</f>
        <v>2000</v>
      </c>
      <c r="C47" s="198">
        <f>C42</f>
        <v>656</v>
      </c>
      <c r="D47" s="198">
        <f>E42</f>
        <v>693140</v>
      </c>
      <c r="E47" s="398">
        <f>E28</f>
        <v>24.21</v>
      </c>
      <c r="F47" s="399">
        <f>E47*C47</f>
        <v>15881.76</v>
      </c>
      <c r="G47" s="396"/>
      <c r="H47"/>
      <c r="I47" s="397"/>
    </row>
    <row r="48" spans="1:9" ht="15.75" x14ac:dyDescent="0.25">
      <c r="A48" s="391" t="s">
        <v>55</v>
      </c>
      <c r="B48" s="192">
        <f t="shared" ref="B48:B50" si="9">B39</f>
        <v>3000</v>
      </c>
      <c r="C48"/>
      <c r="D48" s="198">
        <f>F42</f>
        <v>489820</v>
      </c>
      <c r="E48" s="210">
        <f t="shared" ref="E48:E50" si="10">E29</f>
        <v>7.9600000000000001E-3</v>
      </c>
      <c r="F48" s="212">
        <f>ROUND(D48*E48,0)</f>
        <v>3899</v>
      </c>
      <c r="G48" s="396"/>
      <c r="H48"/>
      <c r="I48" s="397"/>
    </row>
    <row r="49" spans="1:9" ht="15.75" x14ac:dyDescent="0.25">
      <c r="A49" s="391" t="s">
        <v>55</v>
      </c>
      <c r="B49" s="192">
        <f t="shared" si="9"/>
        <v>5000</v>
      </c>
      <c r="C49"/>
      <c r="D49" s="198">
        <f>G42</f>
        <v>437910</v>
      </c>
      <c r="E49" s="210">
        <f t="shared" si="10"/>
        <v>7.2399999999999999E-3</v>
      </c>
      <c r="F49" s="212">
        <f t="shared" ref="F49:F50" si="11">ROUND(D49*E49,0)</f>
        <v>3170</v>
      </c>
      <c r="G49" s="396"/>
      <c r="H49"/>
      <c r="I49" s="397"/>
    </row>
    <row r="50" spans="1:9" ht="15.75" x14ac:dyDescent="0.25">
      <c r="A50" s="391" t="s">
        <v>125</v>
      </c>
      <c r="B50" s="192">
        <f t="shared" si="9"/>
        <v>10000</v>
      </c>
      <c r="C50" s="197"/>
      <c r="D50" s="201">
        <f>H41</f>
        <v>1077180</v>
      </c>
      <c r="E50" s="210">
        <f t="shared" si="10"/>
        <v>6.5199999999999998E-3</v>
      </c>
      <c r="F50" s="213">
        <f t="shared" si="11"/>
        <v>7023</v>
      </c>
      <c r="G50" s="396"/>
      <c r="H50"/>
      <c r="I50" s="397"/>
    </row>
    <row r="51" spans="1:9" ht="16.5" thickBot="1" x14ac:dyDescent="0.3">
      <c r="A51" s="131"/>
      <c r="B51" t="s">
        <v>38</v>
      </c>
      <c r="C51"/>
      <c r="D51" s="194">
        <f>SUM(D47:D50)</f>
        <v>2698050</v>
      </c>
      <c r="E51"/>
      <c r="F51" s="202">
        <f>SUM(F47:F50)</f>
        <v>29973.760000000002</v>
      </c>
      <c r="G51" s="396"/>
      <c r="H51"/>
      <c r="I51" s="397" t="s">
        <v>246</v>
      </c>
    </row>
    <row r="52" spans="1:9" ht="15.75" thickTop="1" x14ac:dyDescent="0.25">
      <c r="A52" s="30"/>
      <c r="B52" s="15"/>
      <c r="C52" s="15"/>
      <c r="D52" s="15"/>
      <c r="E52" s="15"/>
      <c r="F52" s="15"/>
      <c r="G52" s="15"/>
      <c r="H52" s="15"/>
      <c r="I52" s="72"/>
    </row>
  </sheetData>
  <mergeCells count="3">
    <mergeCell ref="A1:I1"/>
    <mergeCell ref="A2:I2"/>
    <mergeCell ref="C4:G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CBF0-4AC7-49E8-B87E-CC9096F6BF9D}">
  <dimension ref="A1:T52"/>
  <sheetViews>
    <sheetView showGridLines="0" workbookViewId="0">
      <selection sqref="A1:I52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85" t="s">
        <v>348</v>
      </c>
      <c r="B1" s="486"/>
      <c r="C1" s="486"/>
      <c r="D1" s="486"/>
      <c r="E1" s="486"/>
      <c r="F1" s="486"/>
      <c r="G1" s="486"/>
      <c r="H1" s="486"/>
      <c r="I1" s="487"/>
    </row>
    <row r="2" spans="1:20" ht="18.75" x14ac:dyDescent="0.25">
      <c r="A2" s="488" t="str">
        <f>'SAO - DSC'!C4</f>
        <v>Cannonsburg Water District</v>
      </c>
      <c r="B2" s="489"/>
      <c r="C2" s="489"/>
      <c r="D2" s="489"/>
      <c r="E2" s="489"/>
      <c r="F2" s="489"/>
      <c r="G2" s="489"/>
      <c r="H2" s="489"/>
      <c r="I2" s="490"/>
    </row>
    <row r="3" spans="1:20" x14ac:dyDescent="0.25">
      <c r="A3" s="29"/>
      <c r="I3" s="71"/>
      <c r="M3" s="12"/>
    </row>
    <row r="4" spans="1:20" ht="17.25" x14ac:dyDescent="0.4">
      <c r="A4" s="29"/>
      <c r="C4" s="491" t="s">
        <v>115</v>
      </c>
      <c r="D4" s="491"/>
      <c r="E4" s="491"/>
      <c r="F4" s="491"/>
      <c r="G4" s="491"/>
      <c r="I4" s="71"/>
      <c r="J4" s="109"/>
      <c r="M4" s="91"/>
      <c r="N4" s="28"/>
      <c r="O4" s="69"/>
      <c r="P4" s="120" t="s">
        <v>164</v>
      </c>
      <c r="Q4" s="120" t="s">
        <v>143</v>
      </c>
      <c r="R4" s="121" t="s">
        <v>167</v>
      </c>
      <c r="S4" s="44"/>
      <c r="T4" s="44"/>
    </row>
    <row r="5" spans="1:20" ht="17.25" x14ac:dyDescent="0.4">
      <c r="A5" s="29"/>
      <c r="C5" s="92"/>
      <c r="D5" s="15"/>
      <c r="E5" s="9" t="s">
        <v>56</v>
      </c>
      <c r="F5" s="9" t="s">
        <v>37</v>
      </c>
      <c r="G5" s="9" t="s">
        <v>35</v>
      </c>
      <c r="H5" s="2"/>
      <c r="I5" s="71"/>
      <c r="M5" s="26"/>
      <c r="N5" s="29"/>
      <c r="P5" s="122" t="s">
        <v>165</v>
      </c>
      <c r="Q5" s="122" t="s">
        <v>166</v>
      </c>
      <c r="R5" s="123" t="s">
        <v>166</v>
      </c>
      <c r="S5" s="44"/>
      <c r="T5" s="44"/>
    </row>
    <row r="6" spans="1:20" x14ac:dyDescent="0.25">
      <c r="A6" s="29"/>
      <c r="C6" s="1" t="s">
        <v>249</v>
      </c>
      <c r="E6" s="36">
        <f>C28</f>
        <v>7965</v>
      </c>
      <c r="F6" s="36">
        <f>D28</f>
        <v>13099240</v>
      </c>
      <c r="G6" s="93">
        <f>F32</f>
        <v>345830.9</v>
      </c>
      <c r="H6" s="93"/>
      <c r="I6" s="71"/>
      <c r="N6" s="29" t="s">
        <v>116</v>
      </c>
      <c r="Q6" s="4">
        <f>2523865+25441</f>
        <v>2549306</v>
      </c>
      <c r="R6" s="124">
        <f>G6</f>
        <v>345830.9</v>
      </c>
    </row>
    <row r="7" spans="1:20" x14ac:dyDescent="0.25">
      <c r="A7" s="29"/>
      <c r="C7" s="1" t="s">
        <v>248</v>
      </c>
      <c r="E7" s="36">
        <f>C47</f>
        <v>656</v>
      </c>
      <c r="F7" s="36">
        <f>D47</f>
        <v>693140</v>
      </c>
      <c r="G7" s="36">
        <f>F51</f>
        <v>32420.760000000002</v>
      </c>
      <c r="H7" s="36"/>
      <c r="I7" s="71"/>
      <c r="N7" s="29" t="s">
        <v>117</v>
      </c>
      <c r="Q7" s="5">
        <f>47173+18227</f>
        <v>65400</v>
      </c>
      <c r="R7" s="125">
        <f>G7</f>
        <v>32420.760000000002</v>
      </c>
    </row>
    <row r="8" spans="1:20" ht="17.25" x14ac:dyDescent="0.4">
      <c r="A8" s="29"/>
      <c r="E8" s="13"/>
      <c r="F8" s="203"/>
      <c r="G8" s="13"/>
      <c r="H8" s="36"/>
      <c r="I8" s="71"/>
      <c r="N8" s="29" t="s">
        <v>118</v>
      </c>
      <c r="Q8" s="67">
        <f>46170+110949</f>
        <v>157119</v>
      </c>
      <c r="R8" s="126">
        <f>G8</f>
        <v>0</v>
      </c>
    </row>
    <row r="9" spans="1:20" x14ac:dyDescent="0.25">
      <c r="A9" s="29"/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378251.66000000003</v>
      </c>
      <c r="H9" s="93"/>
      <c r="I9" s="71"/>
      <c r="K9" s="26"/>
      <c r="L9" s="207"/>
      <c r="N9" s="29" t="s">
        <v>32</v>
      </c>
      <c r="P9" s="4">
        <f>'SAO - DSC'!F9</f>
        <v>345210</v>
      </c>
      <c r="Q9" s="5">
        <f>SUM(Q6:Q8)</f>
        <v>2771825</v>
      </c>
      <c r="R9" s="125">
        <f>G9</f>
        <v>378251.66000000003</v>
      </c>
    </row>
    <row r="10" spans="1:20" x14ac:dyDescent="0.25">
      <c r="A10" s="29"/>
      <c r="C10" s="389" t="s">
        <v>169</v>
      </c>
      <c r="G10" s="13">
        <f>L23</f>
        <v>-4481</v>
      </c>
      <c r="H10" s="36"/>
      <c r="I10" s="127"/>
      <c r="N10" s="29"/>
      <c r="P10" s="4"/>
      <c r="Q10" s="26">
        <f>Q9-P9</f>
        <v>2426615</v>
      </c>
      <c r="R10" s="127">
        <f>R9-Q9</f>
        <v>-2393573.34</v>
      </c>
    </row>
    <row r="11" spans="1:20" x14ac:dyDescent="0.25">
      <c r="A11" s="29"/>
      <c r="C11" s="281" t="s">
        <v>119</v>
      </c>
      <c r="G11" s="74">
        <f>G9+G10</f>
        <v>373770.66000000003</v>
      </c>
      <c r="H11" s="74"/>
      <c r="I11" s="124"/>
      <c r="N11" s="29" t="s">
        <v>168</v>
      </c>
      <c r="P11" s="4">
        <v>2587900</v>
      </c>
      <c r="R11" s="71"/>
    </row>
    <row r="12" spans="1:20" ht="15.75" x14ac:dyDescent="0.25">
      <c r="A12" s="29"/>
      <c r="C12" s="1" t="s">
        <v>285</v>
      </c>
      <c r="F12" s="10"/>
      <c r="G12" s="13">
        <f>-'BA - PWA 2022-00242'!G11</f>
        <v>-344333.41000000003</v>
      </c>
      <c r="I12" s="124"/>
      <c r="N12" s="29"/>
      <c r="Q12" s="128">
        <f>F9/1000*0.09</f>
        <v>1241.3141999999998</v>
      </c>
      <c r="R12" s="129">
        <f>F9/1000*0.18</f>
        <v>2482.6283999999996</v>
      </c>
      <c r="S12"/>
    </row>
    <row r="13" spans="1:20" ht="15.75" thickBot="1" x14ac:dyDescent="0.3">
      <c r="A13" s="29"/>
      <c r="C13" s="1" t="s">
        <v>284</v>
      </c>
      <c r="F13" s="10"/>
      <c r="G13" s="282">
        <f>SUM(G11:G12)</f>
        <v>29437.25</v>
      </c>
      <c r="I13" s="124"/>
      <c r="N13" s="29"/>
      <c r="R13" s="130">
        <f>P9+Q12+R12</f>
        <v>348933.94260000001</v>
      </c>
    </row>
    <row r="14" spans="1:20" ht="15.75" thickTop="1" x14ac:dyDescent="0.25">
      <c r="A14" s="29"/>
      <c r="F14" s="10"/>
      <c r="G14" s="390"/>
      <c r="I14" s="124"/>
      <c r="N14" s="29"/>
      <c r="R14" s="71"/>
    </row>
    <row r="15" spans="1:20" x14ac:dyDescent="0.25">
      <c r="A15" s="29"/>
      <c r="I15" s="71"/>
    </row>
    <row r="16" spans="1:20" x14ac:dyDescent="0.25">
      <c r="A16" s="29" t="s">
        <v>247</v>
      </c>
      <c r="I16" s="71"/>
    </row>
    <row r="17" spans="1:12" ht="15.75" x14ac:dyDescent="0.25">
      <c r="A17" s="391"/>
      <c r="B17" s="186"/>
      <c r="C17" s="186"/>
      <c r="D17" s="186"/>
      <c r="E17" s="186" t="s">
        <v>54</v>
      </c>
      <c r="F17" s="186" t="s">
        <v>55</v>
      </c>
      <c r="G17" s="187" t="s">
        <v>55</v>
      </c>
      <c r="H17" s="186" t="s">
        <v>125</v>
      </c>
      <c r="I17" s="392" t="s">
        <v>61</v>
      </c>
      <c r="K17" s="204" t="s">
        <v>251</v>
      </c>
      <c r="L17" s="208">
        <v>-692.07</v>
      </c>
    </row>
    <row r="18" spans="1:12" ht="15.75" x14ac:dyDescent="0.25">
      <c r="A18" s="391"/>
      <c r="B18" s="188" t="s">
        <v>241</v>
      </c>
      <c r="C18" s="188" t="s">
        <v>242</v>
      </c>
      <c r="D18" s="188" t="s">
        <v>243</v>
      </c>
      <c r="E18" s="189">
        <f>B19</f>
        <v>2000</v>
      </c>
      <c r="F18" s="189">
        <f>B20</f>
        <v>3000</v>
      </c>
      <c r="G18" s="190">
        <f>B21</f>
        <v>5000</v>
      </c>
      <c r="H18" s="191">
        <f>SUM(E18:G18)</f>
        <v>10000</v>
      </c>
      <c r="I18" s="393"/>
      <c r="K18" s="204" t="s">
        <v>250</v>
      </c>
      <c r="L18" s="208">
        <v>-1376.6</v>
      </c>
    </row>
    <row r="19" spans="1:12" ht="15.75" x14ac:dyDescent="0.25">
      <c r="A19" s="391" t="s">
        <v>54</v>
      </c>
      <c r="B19" s="187">
        <v>2000</v>
      </c>
      <c r="C19" s="192">
        <v>2848</v>
      </c>
      <c r="D19" s="192">
        <v>2865240</v>
      </c>
      <c r="E19" s="192">
        <f>D19</f>
        <v>2865240</v>
      </c>
      <c r="F19" s="192">
        <v>0</v>
      </c>
      <c r="G19" s="187">
        <v>0</v>
      </c>
      <c r="H19" s="192">
        <v>0</v>
      </c>
      <c r="I19" s="394">
        <f>SUM(E19:H19)</f>
        <v>2865240</v>
      </c>
      <c r="K19" s="204" t="s">
        <v>252</v>
      </c>
      <c r="L19" s="208">
        <v>-1053.5899999999999</v>
      </c>
    </row>
    <row r="20" spans="1:12" ht="15.75" x14ac:dyDescent="0.25">
      <c r="A20" s="391" t="s">
        <v>55</v>
      </c>
      <c r="B20" s="187">
        <v>3000</v>
      </c>
      <c r="C20" s="192">
        <v>3562</v>
      </c>
      <c r="D20" s="192">
        <v>11559720</v>
      </c>
      <c r="E20" s="192">
        <f>$C20*E$18</f>
        <v>7124000</v>
      </c>
      <c r="F20" s="192">
        <f>D20-E20</f>
        <v>4435720</v>
      </c>
      <c r="G20" s="187">
        <v>0</v>
      </c>
      <c r="H20" s="192">
        <v>0</v>
      </c>
      <c r="I20" s="394">
        <f t="shared" ref="I20:I22" si="0">SUM(E20:H20)</f>
        <v>11559720</v>
      </c>
      <c r="K20" s="204" t="s">
        <v>254</v>
      </c>
      <c r="L20" s="206">
        <v>-1320.84</v>
      </c>
    </row>
    <row r="21" spans="1:12" ht="15.75" x14ac:dyDescent="0.25">
      <c r="A21" s="391" t="s">
        <v>55</v>
      </c>
      <c r="B21" s="187">
        <v>5000</v>
      </c>
      <c r="C21" s="192">
        <v>1198</v>
      </c>
      <c r="D21" s="192">
        <v>7846570</v>
      </c>
      <c r="E21" s="192">
        <f t="shared" ref="E21:G22" si="1">$C21*E$18</f>
        <v>2396000</v>
      </c>
      <c r="F21" s="192">
        <f t="shared" si="1"/>
        <v>3594000</v>
      </c>
      <c r="G21" s="187">
        <f>D21-E21-F21</f>
        <v>1856570</v>
      </c>
      <c r="H21" s="192">
        <v>0</v>
      </c>
      <c r="I21" s="394">
        <f t="shared" si="0"/>
        <v>7846570</v>
      </c>
      <c r="K21" s="204" t="s">
        <v>253</v>
      </c>
      <c r="L21" s="206">
        <v>-5.79</v>
      </c>
    </row>
    <row r="22" spans="1:12" ht="15.75" x14ac:dyDescent="0.25">
      <c r="A22" s="391" t="s">
        <v>125</v>
      </c>
      <c r="B22" s="187">
        <f>SUM(B19:B21)</f>
        <v>10000</v>
      </c>
      <c r="C22" s="192">
        <v>357</v>
      </c>
      <c r="D22" s="192">
        <v>7741880</v>
      </c>
      <c r="E22" s="192">
        <f t="shared" si="1"/>
        <v>714000</v>
      </c>
      <c r="F22" s="192">
        <f t="shared" si="1"/>
        <v>1071000</v>
      </c>
      <c r="G22" s="192">
        <f t="shared" si="1"/>
        <v>1785000</v>
      </c>
      <c r="H22" s="192">
        <f>D22-E22-F22-G22</f>
        <v>4171880</v>
      </c>
      <c r="I22" s="394">
        <f t="shared" si="0"/>
        <v>7741880</v>
      </c>
      <c r="K22" s="204" t="s">
        <v>255</v>
      </c>
      <c r="L22" s="204">
        <v>-31.81</v>
      </c>
    </row>
    <row r="23" spans="1:12" ht="16.5" thickBot="1" x14ac:dyDescent="0.3">
      <c r="A23" s="391"/>
      <c r="B23" t="s">
        <v>0</v>
      </c>
      <c r="C23" s="194">
        <f t="shared" ref="C23:I23" si="2">SUM(C19:C22)</f>
        <v>7965</v>
      </c>
      <c r="D23" s="194">
        <f t="shared" si="2"/>
        <v>30013410</v>
      </c>
      <c r="E23" s="194">
        <f t="shared" si="2"/>
        <v>13099240</v>
      </c>
      <c r="F23" s="194">
        <f t="shared" si="2"/>
        <v>9100720</v>
      </c>
      <c r="G23" s="195">
        <f t="shared" si="2"/>
        <v>3641570</v>
      </c>
      <c r="H23" s="194">
        <f t="shared" si="2"/>
        <v>4171880</v>
      </c>
      <c r="I23" s="395">
        <f t="shared" si="2"/>
        <v>30013410</v>
      </c>
      <c r="K23" s="204" t="s">
        <v>257</v>
      </c>
      <c r="L23" s="205">
        <f>ROUND(SUM(L17:L22),0)</f>
        <v>-4481</v>
      </c>
    </row>
    <row r="24" spans="1:12" ht="16.5" thickTop="1" x14ac:dyDescent="0.25">
      <c r="A24" s="131"/>
      <c r="B24"/>
      <c r="C24"/>
      <c r="D24"/>
      <c r="E24"/>
      <c r="F24"/>
      <c r="G24" s="396"/>
      <c r="H24"/>
      <c r="I24" s="397"/>
    </row>
    <row r="25" spans="1:12" ht="15.75" x14ac:dyDescent="0.25">
      <c r="A25" s="131"/>
      <c r="B25" t="s">
        <v>244</v>
      </c>
      <c r="C25"/>
      <c r="D25"/>
      <c r="E25"/>
      <c r="F25"/>
      <c r="G25" s="396"/>
      <c r="H25"/>
      <c r="I25" s="397"/>
    </row>
    <row r="26" spans="1:12" ht="15.75" x14ac:dyDescent="0.25">
      <c r="A26" s="131"/>
      <c r="B26"/>
      <c r="C26"/>
      <c r="D26"/>
      <c r="E26"/>
      <c r="F26"/>
      <c r="G26" s="396"/>
      <c r="H26"/>
      <c r="I26" s="397"/>
    </row>
    <row r="27" spans="1:12" ht="15.75" x14ac:dyDescent="0.25">
      <c r="A27" s="131"/>
      <c r="B27" s="197"/>
      <c r="C27" s="197" t="s">
        <v>242</v>
      </c>
      <c r="D27" s="197" t="s">
        <v>243</v>
      </c>
      <c r="E27" s="197" t="s">
        <v>245</v>
      </c>
      <c r="F27" s="197" t="s">
        <v>35</v>
      </c>
      <c r="G27" s="396"/>
      <c r="H27"/>
      <c r="I27" s="397"/>
    </row>
    <row r="28" spans="1:12" ht="15.75" x14ac:dyDescent="0.25">
      <c r="A28" s="391" t="s">
        <v>54</v>
      </c>
      <c r="B28" s="192">
        <f>B19</f>
        <v>2000</v>
      </c>
      <c r="C28" s="198">
        <f>C23</f>
        <v>7965</v>
      </c>
      <c r="D28" s="198">
        <f>E23</f>
        <v>13099240</v>
      </c>
      <c r="E28" s="398">
        <v>26.46</v>
      </c>
      <c r="F28" s="399">
        <f>E28*C28</f>
        <v>210753.9</v>
      </c>
      <c r="G28" s="396"/>
      <c r="H28"/>
      <c r="I28" s="397"/>
    </row>
    <row r="29" spans="1:12" ht="15.75" x14ac:dyDescent="0.25">
      <c r="A29" s="391" t="s">
        <v>55</v>
      </c>
      <c r="B29" s="192">
        <f t="shared" ref="B29:B31" si="3">B20</f>
        <v>3000</v>
      </c>
      <c r="C29"/>
      <c r="D29" s="198">
        <f>F23</f>
        <v>9100720</v>
      </c>
      <c r="E29" s="210">
        <v>8.5599999999999999E-3</v>
      </c>
      <c r="F29" s="212">
        <f>ROUND(D29*E29,0)</f>
        <v>77902</v>
      </c>
      <c r="G29" s="396"/>
      <c r="H29"/>
      <c r="I29" s="397"/>
    </row>
    <row r="30" spans="1:12" ht="15.75" x14ac:dyDescent="0.25">
      <c r="A30" s="391" t="s">
        <v>55</v>
      </c>
      <c r="B30" s="192">
        <f t="shared" si="3"/>
        <v>5000</v>
      </c>
      <c r="C30"/>
      <c r="D30" s="198">
        <f>G23</f>
        <v>3641570</v>
      </c>
      <c r="E30" s="210">
        <v>7.7499999999999999E-3</v>
      </c>
      <c r="F30" s="212">
        <f t="shared" ref="F30:F31" si="4">ROUND(D30*E30,0)</f>
        <v>28222</v>
      </c>
      <c r="G30" s="396"/>
      <c r="H30"/>
      <c r="I30" s="397"/>
    </row>
    <row r="31" spans="1:12" ht="15.75" x14ac:dyDescent="0.25">
      <c r="A31" s="391" t="s">
        <v>125</v>
      </c>
      <c r="B31" s="192">
        <f t="shared" si="3"/>
        <v>10000</v>
      </c>
      <c r="C31" s="197"/>
      <c r="D31" s="201">
        <f>H22</f>
        <v>4171880</v>
      </c>
      <c r="E31" s="210">
        <v>6.94E-3</v>
      </c>
      <c r="F31" s="213">
        <f t="shared" si="4"/>
        <v>28953</v>
      </c>
      <c r="G31" s="396"/>
      <c r="H31"/>
      <c r="I31" s="397"/>
    </row>
    <row r="32" spans="1:12" ht="16.5" thickBot="1" x14ac:dyDescent="0.3">
      <c r="A32" s="131"/>
      <c r="B32" t="s">
        <v>38</v>
      </c>
      <c r="C32"/>
      <c r="D32" s="194">
        <f>SUM(D28:D31)</f>
        <v>30013410</v>
      </c>
      <c r="E32"/>
      <c r="F32" s="202">
        <f>SUM(F28:F31)</f>
        <v>345830.9</v>
      </c>
      <c r="G32" s="396"/>
      <c r="H32"/>
      <c r="I32" s="397" t="s">
        <v>246</v>
      </c>
    </row>
    <row r="33" spans="1:9" ht="16.5" thickTop="1" x14ac:dyDescent="0.25">
      <c r="A33" s="131"/>
      <c r="B33"/>
      <c r="C33"/>
      <c r="D33"/>
      <c r="E33"/>
      <c r="F33"/>
      <c r="G33" s="396"/>
      <c r="H33"/>
      <c r="I33" s="397"/>
    </row>
    <row r="34" spans="1:9" ht="15.75" x14ac:dyDescent="0.25">
      <c r="A34" s="131"/>
      <c r="B34"/>
      <c r="C34"/>
      <c r="D34"/>
      <c r="E34"/>
      <c r="F34"/>
      <c r="G34" s="396"/>
      <c r="H34"/>
      <c r="I34" s="397"/>
    </row>
    <row r="35" spans="1:9" ht="15.75" x14ac:dyDescent="0.25">
      <c r="A35" s="228" t="s">
        <v>248</v>
      </c>
      <c r="B35"/>
      <c r="C35"/>
      <c r="D35"/>
      <c r="E35"/>
      <c r="F35"/>
      <c r="G35" s="396"/>
      <c r="H35"/>
      <c r="I35" s="397"/>
    </row>
    <row r="36" spans="1:9" x14ac:dyDescent="0.25">
      <c r="A36" s="391"/>
      <c r="B36" s="186"/>
      <c r="C36" s="186"/>
      <c r="D36" s="186"/>
      <c r="E36" s="186" t="s">
        <v>54</v>
      </c>
      <c r="F36" s="186" t="s">
        <v>55</v>
      </c>
      <c r="G36" s="187" t="s">
        <v>55</v>
      </c>
      <c r="H36" s="186" t="s">
        <v>125</v>
      </c>
      <c r="I36" s="392" t="s">
        <v>61</v>
      </c>
    </row>
    <row r="37" spans="1:9" x14ac:dyDescent="0.25">
      <c r="A37" s="391"/>
      <c r="B37" s="188" t="s">
        <v>241</v>
      </c>
      <c r="C37" s="188" t="s">
        <v>242</v>
      </c>
      <c r="D37" s="188" t="s">
        <v>243</v>
      </c>
      <c r="E37" s="189">
        <f>B38</f>
        <v>2000</v>
      </c>
      <c r="F37" s="189">
        <f>B39</f>
        <v>3000</v>
      </c>
      <c r="G37" s="190">
        <f>B40</f>
        <v>5000</v>
      </c>
      <c r="H37" s="191">
        <f>SUM(E37:G37)</f>
        <v>10000</v>
      </c>
      <c r="I37" s="393"/>
    </row>
    <row r="38" spans="1:9" x14ac:dyDescent="0.25">
      <c r="A38" s="391" t="s">
        <v>54</v>
      </c>
      <c r="B38" s="187">
        <v>2000</v>
      </c>
      <c r="C38" s="192">
        <v>441</v>
      </c>
      <c r="D38" s="192">
        <v>263140</v>
      </c>
      <c r="E38" s="192">
        <f>D38</f>
        <v>263140</v>
      </c>
      <c r="F38" s="192">
        <v>0</v>
      </c>
      <c r="G38" s="187">
        <v>0</v>
      </c>
      <c r="H38" s="192">
        <v>0</v>
      </c>
      <c r="I38" s="394">
        <f>SUM(E38:H38)</f>
        <v>263140</v>
      </c>
    </row>
    <row r="39" spans="1:9" x14ac:dyDescent="0.25">
      <c r="A39" s="391" t="s">
        <v>55</v>
      </c>
      <c r="B39" s="187">
        <v>3000</v>
      </c>
      <c r="C39" s="192">
        <v>89</v>
      </c>
      <c r="D39" s="192">
        <v>289820</v>
      </c>
      <c r="E39" s="192">
        <f>$C39*E$37</f>
        <v>178000</v>
      </c>
      <c r="F39" s="192">
        <f>D39-E39</f>
        <v>111820</v>
      </c>
      <c r="G39" s="187">
        <v>0</v>
      </c>
      <c r="H39" s="192">
        <v>0</v>
      </c>
      <c r="I39" s="394">
        <f t="shared" ref="I39:I41" si="5">SUM(E39:H39)</f>
        <v>289820</v>
      </c>
    </row>
    <row r="40" spans="1:9" x14ac:dyDescent="0.25">
      <c r="A40" s="391" t="s">
        <v>55</v>
      </c>
      <c r="B40" s="187">
        <v>5000</v>
      </c>
      <c r="C40" s="192">
        <v>53</v>
      </c>
      <c r="D40" s="192">
        <v>337910</v>
      </c>
      <c r="E40" s="192">
        <f t="shared" ref="E40:G41" si="6">$C40*E$37</f>
        <v>106000</v>
      </c>
      <c r="F40" s="192">
        <f t="shared" si="6"/>
        <v>159000</v>
      </c>
      <c r="G40" s="187">
        <f>D40-E40-F40</f>
        <v>72910</v>
      </c>
      <c r="H40" s="192">
        <v>0</v>
      </c>
      <c r="I40" s="394">
        <f t="shared" si="5"/>
        <v>337910</v>
      </c>
    </row>
    <row r="41" spans="1:9" x14ac:dyDescent="0.25">
      <c r="A41" s="391" t="s">
        <v>125</v>
      </c>
      <c r="B41" s="187">
        <f>SUM(B38:B40)</f>
        <v>10000</v>
      </c>
      <c r="C41" s="192">
        <v>73</v>
      </c>
      <c r="D41" s="192">
        <v>1807180</v>
      </c>
      <c r="E41" s="192">
        <f t="shared" si="6"/>
        <v>146000</v>
      </c>
      <c r="F41" s="192">
        <f t="shared" si="6"/>
        <v>219000</v>
      </c>
      <c r="G41" s="192">
        <f t="shared" si="6"/>
        <v>365000</v>
      </c>
      <c r="H41" s="192">
        <f>D41-E41-F41-G41</f>
        <v>1077180</v>
      </c>
      <c r="I41" s="394">
        <f t="shared" si="5"/>
        <v>1807180</v>
      </c>
    </row>
    <row r="42" spans="1:9" ht="16.5" thickBot="1" x14ac:dyDescent="0.3">
      <c r="A42" s="391"/>
      <c r="B42" t="s">
        <v>0</v>
      </c>
      <c r="C42" s="194">
        <f t="shared" ref="C42:I42" si="7">SUM(C38:C41)</f>
        <v>656</v>
      </c>
      <c r="D42" s="194">
        <f t="shared" si="7"/>
        <v>2698050</v>
      </c>
      <c r="E42" s="194">
        <f t="shared" si="7"/>
        <v>693140</v>
      </c>
      <c r="F42" s="194">
        <f t="shared" si="7"/>
        <v>489820</v>
      </c>
      <c r="G42" s="195">
        <f t="shared" si="7"/>
        <v>437910</v>
      </c>
      <c r="H42" s="194">
        <f t="shared" si="7"/>
        <v>1077180</v>
      </c>
      <c r="I42" s="395">
        <f t="shared" si="7"/>
        <v>2698050</v>
      </c>
    </row>
    <row r="43" spans="1:9" ht="16.5" thickTop="1" x14ac:dyDescent="0.25">
      <c r="A43" s="131"/>
      <c r="B43"/>
      <c r="C43"/>
      <c r="D43"/>
      <c r="E43"/>
      <c r="F43"/>
      <c r="G43" s="396"/>
      <c r="H43"/>
      <c r="I43" s="397"/>
    </row>
    <row r="44" spans="1:9" ht="15.75" x14ac:dyDescent="0.25">
      <c r="A44" s="131"/>
      <c r="B44" t="s">
        <v>244</v>
      </c>
      <c r="C44"/>
      <c r="D44"/>
      <c r="E44"/>
      <c r="F44"/>
      <c r="G44" s="396"/>
      <c r="H44"/>
      <c r="I44" s="397"/>
    </row>
    <row r="45" spans="1:9" ht="15.75" x14ac:dyDescent="0.25">
      <c r="A45" s="131"/>
      <c r="B45"/>
      <c r="C45"/>
      <c r="D45"/>
      <c r="E45"/>
      <c r="F45"/>
      <c r="G45" s="396"/>
      <c r="H45"/>
      <c r="I45" s="397"/>
    </row>
    <row r="46" spans="1:9" ht="15.75" x14ac:dyDescent="0.25">
      <c r="A46" s="131"/>
      <c r="B46" s="197"/>
      <c r="C46" s="197" t="s">
        <v>242</v>
      </c>
      <c r="D46" s="197" t="s">
        <v>243</v>
      </c>
      <c r="E46" s="197" t="s">
        <v>245</v>
      </c>
      <c r="F46" s="197" t="s">
        <v>35</v>
      </c>
      <c r="G46" s="396"/>
      <c r="H46"/>
      <c r="I46" s="397"/>
    </row>
    <row r="47" spans="1:9" ht="15.75" x14ac:dyDescent="0.25">
      <c r="A47" s="391" t="s">
        <v>54</v>
      </c>
      <c r="B47" s="192">
        <f>B38</f>
        <v>2000</v>
      </c>
      <c r="C47" s="198">
        <f>C42</f>
        <v>656</v>
      </c>
      <c r="D47" s="198">
        <f>E42</f>
        <v>693140</v>
      </c>
      <c r="E47" s="398">
        <f>E28</f>
        <v>26.46</v>
      </c>
      <c r="F47" s="399">
        <f>E47*C47</f>
        <v>17357.760000000002</v>
      </c>
      <c r="G47" s="396"/>
      <c r="H47"/>
      <c r="I47" s="397"/>
    </row>
    <row r="48" spans="1:9" ht="15.75" x14ac:dyDescent="0.25">
      <c r="A48" s="391" t="s">
        <v>55</v>
      </c>
      <c r="B48" s="192">
        <f t="shared" ref="B48:B50" si="8">B39</f>
        <v>3000</v>
      </c>
      <c r="C48"/>
      <c r="D48" s="198">
        <f>F42</f>
        <v>489820</v>
      </c>
      <c r="E48" s="210">
        <f t="shared" ref="E48:E50" si="9">E29</f>
        <v>8.5599999999999999E-3</v>
      </c>
      <c r="F48" s="212">
        <f>ROUND(D48*E48,0)</f>
        <v>4193</v>
      </c>
      <c r="G48" s="396"/>
      <c r="H48"/>
      <c r="I48" s="397"/>
    </row>
    <row r="49" spans="1:9" ht="15.75" x14ac:dyDescent="0.25">
      <c r="A49" s="391" t="s">
        <v>55</v>
      </c>
      <c r="B49" s="192">
        <f t="shared" si="8"/>
        <v>5000</v>
      </c>
      <c r="C49"/>
      <c r="D49" s="198">
        <f>G42</f>
        <v>437910</v>
      </c>
      <c r="E49" s="210">
        <f t="shared" si="9"/>
        <v>7.7499999999999999E-3</v>
      </c>
      <c r="F49" s="212">
        <f t="shared" ref="F49:F50" si="10">ROUND(D49*E49,0)</f>
        <v>3394</v>
      </c>
      <c r="G49" s="396"/>
      <c r="H49"/>
      <c r="I49" s="397"/>
    </row>
    <row r="50" spans="1:9" ht="15.75" x14ac:dyDescent="0.25">
      <c r="A50" s="391" t="s">
        <v>125</v>
      </c>
      <c r="B50" s="192">
        <f t="shared" si="8"/>
        <v>10000</v>
      </c>
      <c r="C50" s="197"/>
      <c r="D50" s="201">
        <f>H41</f>
        <v>1077180</v>
      </c>
      <c r="E50" s="210">
        <f t="shared" si="9"/>
        <v>6.94E-3</v>
      </c>
      <c r="F50" s="213">
        <f t="shared" si="10"/>
        <v>7476</v>
      </c>
      <c r="G50" s="396"/>
      <c r="H50"/>
      <c r="I50" s="397"/>
    </row>
    <row r="51" spans="1:9" ht="16.5" thickBot="1" x14ac:dyDescent="0.3">
      <c r="A51" s="131"/>
      <c r="B51" t="s">
        <v>38</v>
      </c>
      <c r="C51"/>
      <c r="D51" s="194">
        <f>SUM(D47:D50)</f>
        <v>2698050</v>
      </c>
      <c r="E51"/>
      <c r="F51" s="202">
        <f>SUM(F47:F50)</f>
        <v>32420.760000000002</v>
      </c>
      <c r="G51" s="396"/>
      <c r="H51"/>
      <c r="I51" s="397" t="s">
        <v>246</v>
      </c>
    </row>
    <row r="52" spans="1:9" ht="15.75" thickTop="1" x14ac:dyDescent="0.25">
      <c r="A52" s="30"/>
      <c r="B52" s="15"/>
      <c r="C52" s="15"/>
      <c r="D52" s="15"/>
      <c r="E52" s="15"/>
      <c r="F52" s="15"/>
      <c r="G52" s="15"/>
      <c r="H52" s="15"/>
      <c r="I52" s="72"/>
    </row>
  </sheetData>
  <mergeCells count="3">
    <mergeCell ref="A1:I1"/>
    <mergeCell ref="A2:I2"/>
    <mergeCell ref="C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FEE6-4DAA-4ED7-B336-F7E5355C94A0}">
  <dimension ref="A1:T52"/>
  <sheetViews>
    <sheetView showGridLines="0" workbookViewId="0">
      <selection activeCell="A2" sqref="A1:I52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92" t="s">
        <v>347</v>
      </c>
      <c r="B1" s="492"/>
      <c r="C1" s="492"/>
      <c r="D1" s="492"/>
      <c r="E1" s="492"/>
      <c r="F1" s="492"/>
      <c r="G1" s="492"/>
      <c r="H1" s="492"/>
      <c r="I1" s="492"/>
    </row>
    <row r="2" spans="1:20" ht="18.75" x14ac:dyDescent="0.25">
      <c r="A2" s="494" t="str">
        <f>'SAO - DSC'!C4</f>
        <v>Cannonsburg Water District</v>
      </c>
      <c r="B2" s="495"/>
      <c r="C2" s="495"/>
      <c r="D2" s="495"/>
      <c r="E2" s="495"/>
      <c r="F2" s="495"/>
      <c r="G2" s="495"/>
      <c r="H2" s="495"/>
      <c r="I2" s="496"/>
    </row>
    <row r="3" spans="1:20" x14ac:dyDescent="0.25">
      <c r="A3" s="29"/>
      <c r="I3" s="71"/>
      <c r="M3" s="12"/>
    </row>
    <row r="4" spans="1:20" ht="17.25" x14ac:dyDescent="0.4">
      <c r="A4" s="29"/>
      <c r="C4" s="491" t="s">
        <v>115</v>
      </c>
      <c r="D4" s="491"/>
      <c r="E4" s="491"/>
      <c r="F4" s="491"/>
      <c r="G4" s="491"/>
      <c r="I4" s="71"/>
      <c r="J4" s="109"/>
      <c r="M4" s="91"/>
      <c r="N4" s="28"/>
      <c r="O4" s="69"/>
      <c r="P4" s="120" t="s">
        <v>164</v>
      </c>
      <c r="Q4" s="120" t="s">
        <v>143</v>
      </c>
      <c r="R4" s="121" t="s">
        <v>167</v>
      </c>
      <c r="S4" s="44"/>
      <c r="T4" s="44"/>
    </row>
    <row r="5" spans="1:20" ht="17.25" x14ac:dyDescent="0.4">
      <c r="A5" s="29"/>
      <c r="C5" s="92"/>
      <c r="D5" s="15"/>
      <c r="E5" s="9" t="s">
        <v>56</v>
      </c>
      <c r="F5" s="9" t="s">
        <v>37</v>
      </c>
      <c r="G5" s="9" t="s">
        <v>35</v>
      </c>
      <c r="H5" s="2"/>
      <c r="I5" s="71"/>
      <c r="M5" s="26"/>
      <c r="N5" s="29"/>
      <c r="P5" s="122" t="s">
        <v>165</v>
      </c>
      <c r="Q5" s="122" t="s">
        <v>166</v>
      </c>
      <c r="R5" s="123" t="s">
        <v>166</v>
      </c>
      <c r="S5" s="44"/>
      <c r="T5" s="44"/>
    </row>
    <row r="6" spans="1:20" x14ac:dyDescent="0.25">
      <c r="A6" s="29"/>
      <c r="C6" s="1" t="s">
        <v>249</v>
      </c>
      <c r="E6" s="36">
        <f>C28</f>
        <v>7965</v>
      </c>
      <c r="F6" s="36">
        <f>D28</f>
        <v>13099240</v>
      </c>
      <c r="G6" s="93">
        <f>F32</f>
        <v>358311.3</v>
      </c>
      <c r="H6" s="93"/>
      <c r="I6" s="71"/>
      <c r="N6" s="29" t="s">
        <v>116</v>
      </c>
      <c r="Q6" s="4">
        <f>2523865+25441</f>
        <v>2549306</v>
      </c>
      <c r="R6" s="124">
        <f>G6</f>
        <v>358311.3</v>
      </c>
    </row>
    <row r="7" spans="1:20" x14ac:dyDescent="0.25">
      <c r="A7" s="29"/>
      <c r="C7" s="1" t="s">
        <v>248</v>
      </c>
      <c r="E7" s="36">
        <f>C47</f>
        <v>656</v>
      </c>
      <c r="F7" s="36">
        <f>D47</f>
        <v>693140</v>
      </c>
      <c r="G7" s="36">
        <f>F51</f>
        <v>33680.32</v>
      </c>
      <c r="H7" s="36"/>
      <c r="I7" s="71"/>
      <c r="N7" s="29" t="s">
        <v>117</v>
      </c>
      <c r="Q7" s="5">
        <f>47173+18227</f>
        <v>65400</v>
      </c>
      <c r="R7" s="125">
        <f>G7</f>
        <v>33680.32</v>
      </c>
    </row>
    <row r="8" spans="1:20" ht="17.25" x14ac:dyDescent="0.4">
      <c r="A8" s="29"/>
      <c r="E8" s="13"/>
      <c r="F8" s="203"/>
      <c r="G8" s="13"/>
      <c r="H8" s="36"/>
      <c r="I8" s="71"/>
      <c r="N8" s="29" t="s">
        <v>118</v>
      </c>
      <c r="Q8" s="67">
        <f>46170+110949</f>
        <v>157119</v>
      </c>
      <c r="R8" s="126">
        <f>G8</f>
        <v>0</v>
      </c>
    </row>
    <row r="9" spans="1:20" x14ac:dyDescent="0.25">
      <c r="A9" s="29"/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391991.62</v>
      </c>
      <c r="H9" s="93"/>
      <c r="I9" s="71"/>
      <c r="K9" s="26"/>
      <c r="L9" s="207"/>
      <c r="N9" s="29" t="s">
        <v>32</v>
      </c>
      <c r="P9" s="4">
        <f>'SAO - DSC'!F9</f>
        <v>345210</v>
      </c>
      <c r="Q9" s="5">
        <f>SUM(Q6:Q8)</f>
        <v>2771825</v>
      </c>
      <c r="R9" s="125">
        <f>G9</f>
        <v>391991.62</v>
      </c>
    </row>
    <row r="10" spans="1:20" x14ac:dyDescent="0.25">
      <c r="A10" s="29"/>
      <c r="C10" s="389" t="s">
        <v>169</v>
      </c>
      <c r="G10" s="13">
        <f>L23</f>
        <v>-4481</v>
      </c>
      <c r="H10" s="36"/>
      <c r="I10" s="127"/>
      <c r="N10" s="29"/>
      <c r="P10" s="4"/>
      <c r="Q10" s="26">
        <f>Q9-P9</f>
        <v>2426615</v>
      </c>
      <c r="R10" s="127">
        <f>R9-Q9</f>
        <v>-2379833.38</v>
      </c>
    </row>
    <row r="11" spans="1:20" x14ac:dyDescent="0.25">
      <c r="A11" s="29"/>
      <c r="C11" s="281" t="s">
        <v>119</v>
      </c>
      <c r="G11" s="74">
        <f>G9+G10</f>
        <v>387510.62</v>
      </c>
      <c r="H11" s="74"/>
      <c r="I11" s="124"/>
      <c r="N11" s="29" t="s">
        <v>168</v>
      </c>
      <c r="P11" s="4">
        <v>2587900</v>
      </c>
      <c r="R11" s="71"/>
    </row>
    <row r="12" spans="1:20" ht="15.75" x14ac:dyDescent="0.25">
      <c r="A12" s="29"/>
      <c r="C12" s="1" t="s">
        <v>285</v>
      </c>
      <c r="F12" s="10"/>
      <c r="G12" s="13">
        <f>-'BA - 0.023 CN 2023-00098'!G11</f>
        <v>-373770.66000000003</v>
      </c>
      <c r="I12" s="124"/>
      <c r="N12" s="29"/>
      <c r="Q12" s="128">
        <f>F9/1000*0.09</f>
        <v>1241.3141999999998</v>
      </c>
      <c r="R12" s="129">
        <f>F9/1000*0.18</f>
        <v>2482.6283999999996</v>
      </c>
      <c r="S12"/>
    </row>
    <row r="13" spans="1:20" ht="15.75" thickBot="1" x14ac:dyDescent="0.3">
      <c r="A13" s="29"/>
      <c r="C13" s="1" t="s">
        <v>284</v>
      </c>
      <c r="F13" s="10"/>
      <c r="G13" s="282">
        <f>SUM(G11:G12)</f>
        <v>13739.959999999963</v>
      </c>
      <c r="I13" s="124"/>
      <c r="N13" s="29"/>
      <c r="R13" s="130">
        <f>P9+Q12+R12</f>
        <v>348933.94260000001</v>
      </c>
    </row>
    <row r="14" spans="1:20" ht="15.75" thickTop="1" x14ac:dyDescent="0.25">
      <c r="A14" s="29"/>
      <c r="F14" s="10"/>
      <c r="G14" s="390"/>
      <c r="I14" s="124"/>
      <c r="N14" s="29"/>
      <c r="R14" s="71"/>
    </row>
    <row r="15" spans="1:20" x14ac:dyDescent="0.25">
      <c r="A15" s="29"/>
      <c r="I15" s="71"/>
    </row>
    <row r="16" spans="1:20" x14ac:dyDescent="0.25">
      <c r="A16" s="29" t="s">
        <v>247</v>
      </c>
      <c r="I16" s="71"/>
    </row>
    <row r="17" spans="1:12" ht="15.75" x14ac:dyDescent="0.25">
      <c r="A17" s="391"/>
      <c r="B17" s="186"/>
      <c r="C17" s="186"/>
      <c r="D17" s="186"/>
      <c r="E17" s="186" t="s">
        <v>54</v>
      </c>
      <c r="F17" s="186" t="s">
        <v>55</v>
      </c>
      <c r="G17" s="187" t="s">
        <v>55</v>
      </c>
      <c r="H17" s="186" t="s">
        <v>125</v>
      </c>
      <c r="I17" s="392" t="s">
        <v>61</v>
      </c>
      <c r="K17" s="204" t="s">
        <v>251</v>
      </c>
      <c r="L17" s="208">
        <v>-692.07</v>
      </c>
    </row>
    <row r="18" spans="1:12" ht="15.75" x14ac:dyDescent="0.25">
      <c r="A18" s="391"/>
      <c r="B18" s="188" t="s">
        <v>241</v>
      </c>
      <c r="C18" s="188" t="s">
        <v>242</v>
      </c>
      <c r="D18" s="188" t="s">
        <v>243</v>
      </c>
      <c r="E18" s="189">
        <f>B19</f>
        <v>2000</v>
      </c>
      <c r="F18" s="189">
        <f>B20</f>
        <v>3000</v>
      </c>
      <c r="G18" s="190">
        <f>B21</f>
        <v>5000</v>
      </c>
      <c r="H18" s="191">
        <f>SUM(E18:G18)</f>
        <v>10000</v>
      </c>
      <c r="I18" s="393"/>
      <c r="K18" s="204" t="s">
        <v>250</v>
      </c>
      <c r="L18" s="208">
        <v>-1376.6</v>
      </c>
    </row>
    <row r="19" spans="1:12" ht="15.75" x14ac:dyDescent="0.25">
      <c r="A19" s="391" t="s">
        <v>54</v>
      </c>
      <c r="B19" s="187">
        <v>2000</v>
      </c>
      <c r="C19" s="192">
        <v>2848</v>
      </c>
      <c r="D19" s="192">
        <v>2865240</v>
      </c>
      <c r="E19" s="192">
        <f>D19</f>
        <v>2865240</v>
      </c>
      <c r="F19" s="192">
        <v>0</v>
      </c>
      <c r="G19" s="187">
        <v>0</v>
      </c>
      <c r="H19" s="192">
        <v>0</v>
      </c>
      <c r="I19" s="394">
        <f>SUM(E19:H19)</f>
        <v>2865240</v>
      </c>
      <c r="K19" s="204" t="s">
        <v>252</v>
      </c>
      <c r="L19" s="208">
        <v>-1053.5899999999999</v>
      </c>
    </row>
    <row r="20" spans="1:12" ht="15.75" x14ac:dyDescent="0.25">
      <c r="A20" s="391" t="s">
        <v>55</v>
      </c>
      <c r="B20" s="187">
        <v>3000</v>
      </c>
      <c r="C20" s="192">
        <v>3562</v>
      </c>
      <c r="D20" s="192">
        <v>11559720</v>
      </c>
      <c r="E20" s="192">
        <f>$C20*E$18</f>
        <v>7124000</v>
      </c>
      <c r="F20" s="192">
        <f>D20-E20</f>
        <v>4435720</v>
      </c>
      <c r="G20" s="187">
        <v>0</v>
      </c>
      <c r="H20" s="192">
        <v>0</v>
      </c>
      <c r="I20" s="394">
        <f t="shared" ref="I20:I22" si="0">SUM(E20:H20)</f>
        <v>11559720</v>
      </c>
      <c r="K20" s="204" t="s">
        <v>254</v>
      </c>
      <c r="L20" s="206">
        <v>-1320.84</v>
      </c>
    </row>
    <row r="21" spans="1:12" ht="15.75" x14ac:dyDescent="0.25">
      <c r="A21" s="391" t="s">
        <v>55</v>
      </c>
      <c r="B21" s="187">
        <v>5000</v>
      </c>
      <c r="C21" s="192">
        <v>1198</v>
      </c>
      <c r="D21" s="192">
        <v>7846570</v>
      </c>
      <c r="E21" s="192">
        <f t="shared" ref="E21:G22" si="1">$C21*E$18</f>
        <v>2396000</v>
      </c>
      <c r="F21" s="192">
        <f t="shared" si="1"/>
        <v>3594000</v>
      </c>
      <c r="G21" s="187">
        <f>D21-E21-F21</f>
        <v>1856570</v>
      </c>
      <c r="H21" s="192">
        <v>0</v>
      </c>
      <c r="I21" s="394">
        <f t="shared" si="0"/>
        <v>7846570</v>
      </c>
      <c r="K21" s="204" t="s">
        <v>253</v>
      </c>
      <c r="L21" s="206">
        <v>-5.79</v>
      </c>
    </row>
    <row r="22" spans="1:12" ht="15.75" x14ac:dyDescent="0.25">
      <c r="A22" s="391" t="s">
        <v>125</v>
      </c>
      <c r="B22" s="187">
        <f>SUM(B19:B21)</f>
        <v>10000</v>
      </c>
      <c r="C22" s="192">
        <v>357</v>
      </c>
      <c r="D22" s="192">
        <v>7741880</v>
      </c>
      <c r="E22" s="192">
        <f t="shared" si="1"/>
        <v>714000</v>
      </c>
      <c r="F22" s="192">
        <f t="shared" si="1"/>
        <v>1071000</v>
      </c>
      <c r="G22" s="192">
        <f t="shared" si="1"/>
        <v>1785000</v>
      </c>
      <c r="H22" s="192">
        <f>D22-E22-F22-G22</f>
        <v>4171880</v>
      </c>
      <c r="I22" s="394">
        <f t="shared" si="0"/>
        <v>7741880</v>
      </c>
      <c r="K22" s="204" t="s">
        <v>255</v>
      </c>
      <c r="L22" s="204">
        <v>-31.81</v>
      </c>
    </row>
    <row r="23" spans="1:12" ht="16.5" thickBot="1" x14ac:dyDescent="0.3">
      <c r="A23" s="391"/>
      <c r="B23" t="s">
        <v>0</v>
      </c>
      <c r="C23" s="194">
        <f t="shared" ref="C23:I23" si="2">SUM(C19:C22)</f>
        <v>7965</v>
      </c>
      <c r="D23" s="194">
        <f t="shared" si="2"/>
        <v>30013410</v>
      </c>
      <c r="E23" s="194">
        <f t="shared" si="2"/>
        <v>13099240</v>
      </c>
      <c r="F23" s="194">
        <f t="shared" si="2"/>
        <v>9100720</v>
      </c>
      <c r="G23" s="195">
        <f t="shared" si="2"/>
        <v>3641570</v>
      </c>
      <c r="H23" s="194">
        <f t="shared" si="2"/>
        <v>4171880</v>
      </c>
      <c r="I23" s="395">
        <f t="shared" si="2"/>
        <v>30013410</v>
      </c>
      <c r="K23" s="204" t="s">
        <v>257</v>
      </c>
      <c r="L23" s="205">
        <f>ROUND(SUM(L17:L22),0)</f>
        <v>-4481</v>
      </c>
    </row>
    <row r="24" spans="1:12" ht="16.5" thickTop="1" x14ac:dyDescent="0.25">
      <c r="A24" s="131"/>
      <c r="B24"/>
      <c r="C24"/>
      <c r="D24"/>
      <c r="E24"/>
      <c r="F24"/>
      <c r="G24" s="396"/>
      <c r="H24"/>
      <c r="I24" s="397"/>
    </row>
    <row r="25" spans="1:12" ht="15.75" x14ac:dyDescent="0.25">
      <c r="A25" s="131"/>
      <c r="B25" t="s">
        <v>244</v>
      </c>
      <c r="C25"/>
      <c r="D25"/>
      <c r="E25"/>
      <c r="F25"/>
      <c r="G25" s="396"/>
      <c r="H25"/>
      <c r="I25" s="397"/>
    </row>
    <row r="26" spans="1:12" ht="15.75" x14ac:dyDescent="0.25">
      <c r="A26" s="131"/>
      <c r="B26"/>
      <c r="C26"/>
      <c r="D26"/>
      <c r="E26"/>
      <c r="F26"/>
      <c r="G26" s="396"/>
      <c r="H26"/>
      <c r="I26" s="397"/>
    </row>
    <row r="27" spans="1:12" ht="15.75" x14ac:dyDescent="0.25">
      <c r="A27" s="131"/>
      <c r="B27" s="197"/>
      <c r="C27" s="197" t="s">
        <v>242</v>
      </c>
      <c r="D27" s="197" t="s">
        <v>243</v>
      </c>
      <c r="E27" s="197" t="s">
        <v>245</v>
      </c>
      <c r="F27" s="197" t="s">
        <v>35</v>
      </c>
      <c r="G27" s="396"/>
      <c r="H27"/>
      <c r="I27" s="397"/>
    </row>
    <row r="28" spans="1:12" ht="15.75" x14ac:dyDescent="0.25">
      <c r="A28" s="391" t="s">
        <v>54</v>
      </c>
      <c r="B28" s="192">
        <f>B19</f>
        <v>2000</v>
      </c>
      <c r="C28" s="198">
        <f>C23</f>
        <v>7965</v>
      </c>
      <c r="D28" s="198">
        <f>E23</f>
        <v>13099240</v>
      </c>
      <c r="E28" s="398">
        <v>27.22</v>
      </c>
      <c r="F28" s="399">
        <f>E28*C28</f>
        <v>216807.3</v>
      </c>
      <c r="G28" s="396"/>
      <c r="H28"/>
      <c r="I28" s="397"/>
    </row>
    <row r="29" spans="1:12" ht="15.75" x14ac:dyDescent="0.25">
      <c r="A29" s="391" t="s">
        <v>55</v>
      </c>
      <c r="B29" s="192">
        <f t="shared" ref="B29:B31" si="3">B20</f>
        <v>3000</v>
      </c>
      <c r="C29"/>
      <c r="D29" s="198">
        <f>F23</f>
        <v>9100720</v>
      </c>
      <c r="E29" s="210">
        <v>8.94E-3</v>
      </c>
      <c r="F29" s="212">
        <f>ROUND(D29*E29,0)</f>
        <v>81360</v>
      </c>
      <c r="G29" s="396"/>
      <c r="H29"/>
      <c r="I29" s="397"/>
      <c r="K29" s="211">
        <f>E29/1000</f>
        <v>8.9400000000000008E-6</v>
      </c>
    </row>
    <row r="30" spans="1:12" ht="15.75" x14ac:dyDescent="0.25">
      <c r="A30" s="391" t="s">
        <v>55</v>
      </c>
      <c r="B30" s="192">
        <f t="shared" si="3"/>
        <v>5000</v>
      </c>
      <c r="C30"/>
      <c r="D30" s="198">
        <f>G23</f>
        <v>3641570</v>
      </c>
      <c r="E30" s="210">
        <v>8.1300000000000001E-3</v>
      </c>
      <c r="F30" s="212">
        <f t="shared" ref="F30:F31" si="4">ROUND(D30*E30,0)</f>
        <v>29606</v>
      </c>
      <c r="G30" s="396"/>
      <c r="H30"/>
      <c r="I30" s="397"/>
      <c r="K30" s="211">
        <f t="shared" ref="K30:K31" si="5">E30/1000</f>
        <v>8.1300000000000001E-6</v>
      </c>
    </row>
    <row r="31" spans="1:12" ht="15.75" x14ac:dyDescent="0.25">
      <c r="A31" s="391" t="s">
        <v>125</v>
      </c>
      <c r="B31" s="192">
        <f t="shared" si="3"/>
        <v>10000</v>
      </c>
      <c r="C31" s="197"/>
      <c r="D31" s="201">
        <f>H22</f>
        <v>4171880</v>
      </c>
      <c r="E31" s="210">
        <v>7.3200000000000001E-3</v>
      </c>
      <c r="F31" s="213">
        <f t="shared" si="4"/>
        <v>30538</v>
      </c>
      <c r="G31" s="396"/>
      <c r="H31"/>
      <c r="I31" s="397"/>
      <c r="K31" s="211">
        <f t="shared" si="5"/>
        <v>7.3200000000000002E-6</v>
      </c>
    </row>
    <row r="32" spans="1:12" ht="16.5" thickBot="1" x14ac:dyDescent="0.3">
      <c r="A32" s="131"/>
      <c r="B32" t="s">
        <v>38</v>
      </c>
      <c r="C32"/>
      <c r="D32" s="194">
        <f>SUM(D28:D31)</f>
        <v>30013410</v>
      </c>
      <c r="E32"/>
      <c r="F32" s="202">
        <f>SUM(F28:F31)</f>
        <v>358311.3</v>
      </c>
      <c r="G32" s="396"/>
      <c r="H32"/>
      <c r="I32" s="397" t="s">
        <v>246</v>
      </c>
    </row>
    <row r="33" spans="1:9" ht="16.5" thickTop="1" x14ac:dyDescent="0.25">
      <c r="A33" s="131"/>
      <c r="B33"/>
      <c r="C33"/>
      <c r="D33"/>
      <c r="E33"/>
      <c r="F33"/>
      <c r="G33" s="396"/>
      <c r="H33"/>
      <c r="I33" s="397"/>
    </row>
    <row r="34" spans="1:9" ht="15.75" x14ac:dyDescent="0.25">
      <c r="A34" s="131"/>
      <c r="B34"/>
      <c r="C34"/>
      <c r="D34"/>
      <c r="E34"/>
      <c r="F34"/>
      <c r="G34" s="396"/>
      <c r="H34"/>
      <c r="I34" s="397"/>
    </row>
    <row r="35" spans="1:9" ht="15.75" x14ac:dyDescent="0.25">
      <c r="A35" s="228" t="s">
        <v>248</v>
      </c>
      <c r="B35"/>
      <c r="C35"/>
      <c r="D35"/>
      <c r="E35"/>
      <c r="F35"/>
      <c r="G35" s="396"/>
      <c r="H35"/>
      <c r="I35" s="397"/>
    </row>
    <row r="36" spans="1:9" x14ac:dyDescent="0.25">
      <c r="A36" s="391"/>
      <c r="B36" s="186"/>
      <c r="C36" s="186"/>
      <c r="D36" s="186"/>
      <c r="E36" s="186" t="s">
        <v>54</v>
      </c>
      <c r="F36" s="186" t="s">
        <v>55</v>
      </c>
      <c r="G36" s="187" t="s">
        <v>55</v>
      </c>
      <c r="H36" s="186" t="s">
        <v>125</v>
      </c>
      <c r="I36" s="392" t="s">
        <v>61</v>
      </c>
    </row>
    <row r="37" spans="1:9" x14ac:dyDescent="0.25">
      <c r="A37" s="391"/>
      <c r="B37" s="188" t="s">
        <v>241</v>
      </c>
      <c r="C37" s="188" t="s">
        <v>242</v>
      </c>
      <c r="D37" s="188" t="s">
        <v>243</v>
      </c>
      <c r="E37" s="189">
        <f>B38</f>
        <v>2000</v>
      </c>
      <c r="F37" s="189">
        <f>B39</f>
        <v>3000</v>
      </c>
      <c r="G37" s="190">
        <f>B40</f>
        <v>5000</v>
      </c>
      <c r="H37" s="191">
        <f>SUM(E37:G37)</f>
        <v>10000</v>
      </c>
      <c r="I37" s="393"/>
    </row>
    <row r="38" spans="1:9" x14ac:dyDescent="0.25">
      <c r="A38" s="391" t="s">
        <v>54</v>
      </c>
      <c r="B38" s="187">
        <v>2000</v>
      </c>
      <c r="C38" s="192">
        <v>441</v>
      </c>
      <c r="D38" s="192">
        <v>263140</v>
      </c>
      <c r="E38" s="192">
        <f>D38</f>
        <v>263140</v>
      </c>
      <c r="F38" s="192">
        <v>0</v>
      </c>
      <c r="G38" s="187">
        <v>0</v>
      </c>
      <c r="H38" s="192">
        <v>0</v>
      </c>
      <c r="I38" s="394">
        <f>SUM(E38:H38)</f>
        <v>263140</v>
      </c>
    </row>
    <row r="39" spans="1:9" x14ac:dyDescent="0.25">
      <c r="A39" s="391" t="s">
        <v>55</v>
      </c>
      <c r="B39" s="187">
        <v>3000</v>
      </c>
      <c r="C39" s="192">
        <v>89</v>
      </c>
      <c r="D39" s="192">
        <v>289820</v>
      </c>
      <c r="E39" s="192">
        <f>$C39*E$37</f>
        <v>178000</v>
      </c>
      <c r="F39" s="192">
        <f>D39-E39</f>
        <v>111820</v>
      </c>
      <c r="G39" s="187">
        <v>0</v>
      </c>
      <c r="H39" s="192">
        <v>0</v>
      </c>
      <c r="I39" s="394">
        <f t="shared" ref="I39:I41" si="6">SUM(E39:H39)</f>
        <v>289820</v>
      </c>
    </row>
    <row r="40" spans="1:9" x14ac:dyDescent="0.25">
      <c r="A40" s="391" t="s">
        <v>55</v>
      </c>
      <c r="B40" s="187">
        <v>5000</v>
      </c>
      <c r="C40" s="192">
        <v>53</v>
      </c>
      <c r="D40" s="192">
        <v>337910</v>
      </c>
      <c r="E40" s="192">
        <f t="shared" ref="E40:G41" si="7">$C40*E$37</f>
        <v>106000</v>
      </c>
      <c r="F40" s="192">
        <f t="shared" si="7"/>
        <v>159000</v>
      </c>
      <c r="G40" s="187">
        <f>D40-E40-F40</f>
        <v>72910</v>
      </c>
      <c r="H40" s="192">
        <v>0</v>
      </c>
      <c r="I40" s="394">
        <f t="shared" si="6"/>
        <v>337910</v>
      </c>
    </row>
    <row r="41" spans="1:9" x14ac:dyDescent="0.25">
      <c r="A41" s="391" t="s">
        <v>125</v>
      </c>
      <c r="B41" s="187">
        <f>SUM(B38:B40)</f>
        <v>10000</v>
      </c>
      <c r="C41" s="192">
        <v>73</v>
      </c>
      <c r="D41" s="192">
        <v>1807180</v>
      </c>
      <c r="E41" s="192">
        <f t="shared" si="7"/>
        <v>146000</v>
      </c>
      <c r="F41" s="192">
        <f t="shared" si="7"/>
        <v>219000</v>
      </c>
      <c r="G41" s="192">
        <f t="shared" si="7"/>
        <v>365000</v>
      </c>
      <c r="H41" s="192">
        <f>D41-E41-F41-G41</f>
        <v>1077180</v>
      </c>
      <c r="I41" s="394">
        <f t="shared" si="6"/>
        <v>1807180</v>
      </c>
    </row>
    <row r="42" spans="1:9" ht="16.5" thickBot="1" x14ac:dyDescent="0.3">
      <c r="A42" s="391"/>
      <c r="B42" t="s">
        <v>0</v>
      </c>
      <c r="C42" s="194">
        <f t="shared" ref="C42:I42" si="8">SUM(C38:C41)</f>
        <v>656</v>
      </c>
      <c r="D42" s="194">
        <f t="shared" si="8"/>
        <v>2698050</v>
      </c>
      <c r="E42" s="194">
        <f t="shared" si="8"/>
        <v>693140</v>
      </c>
      <c r="F42" s="194">
        <f t="shared" si="8"/>
        <v>489820</v>
      </c>
      <c r="G42" s="195">
        <f t="shared" si="8"/>
        <v>437910</v>
      </c>
      <c r="H42" s="194">
        <f t="shared" si="8"/>
        <v>1077180</v>
      </c>
      <c r="I42" s="395">
        <f t="shared" si="8"/>
        <v>2698050</v>
      </c>
    </row>
    <row r="43" spans="1:9" ht="16.5" thickTop="1" x14ac:dyDescent="0.25">
      <c r="A43" s="131"/>
      <c r="B43"/>
      <c r="C43"/>
      <c r="D43"/>
      <c r="E43"/>
      <c r="F43"/>
      <c r="G43" s="396"/>
      <c r="H43"/>
      <c r="I43" s="397"/>
    </row>
    <row r="44" spans="1:9" ht="15.75" x14ac:dyDescent="0.25">
      <c r="A44" s="131"/>
      <c r="B44" t="s">
        <v>244</v>
      </c>
      <c r="C44"/>
      <c r="D44"/>
      <c r="E44"/>
      <c r="F44"/>
      <c r="G44" s="396"/>
      <c r="H44"/>
      <c r="I44" s="397"/>
    </row>
    <row r="45" spans="1:9" ht="15.75" x14ac:dyDescent="0.25">
      <c r="A45" s="131"/>
      <c r="B45"/>
      <c r="C45"/>
      <c r="D45"/>
      <c r="E45"/>
      <c r="F45"/>
      <c r="G45" s="396"/>
      <c r="H45"/>
      <c r="I45" s="397"/>
    </row>
    <row r="46" spans="1:9" ht="15.75" x14ac:dyDescent="0.25">
      <c r="A46" s="131"/>
      <c r="B46" s="197"/>
      <c r="C46" s="197" t="s">
        <v>242</v>
      </c>
      <c r="D46" s="197" t="s">
        <v>243</v>
      </c>
      <c r="E46" s="197" t="s">
        <v>245</v>
      </c>
      <c r="F46" s="197" t="s">
        <v>35</v>
      </c>
      <c r="G46" s="396"/>
      <c r="H46"/>
      <c r="I46" s="397"/>
    </row>
    <row r="47" spans="1:9" ht="15.75" x14ac:dyDescent="0.25">
      <c r="A47" s="391" t="s">
        <v>54</v>
      </c>
      <c r="B47" s="192">
        <f>B38</f>
        <v>2000</v>
      </c>
      <c r="C47" s="198">
        <f>C42</f>
        <v>656</v>
      </c>
      <c r="D47" s="198">
        <f>E42</f>
        <v>693140</v>
      </c>
      <c r="E47" s="398">
        <f>E28</f>
        <v>27.22</v>
      </c>
      <c r="F47" s="399">
        <f>E47*C47</f>
        <v>17856.32</v>
      </c>
      <c r="G47" s="396"/>
      <c r="H47"/>
      <c r="I47" s="397"/>
    </row>
    <row r="48" spans="1:9" ht="15.75" x14ac:dyDescent="0.25">
      <c r="A48" s="391" t="s">
        <v>55</v>
      </c>
      <c r="B48" s="192">
        <f t="shared" ref="B48:B50" si="9">B39</f>
        <v>3000</v>
      </c>
      <c r="C48"/>
      <c r="D48" s="198">
        <f>F42</f>
        <v>489820</v>
      </c>
      <c r="E48" s="210">
        <f t="shared" ref="E48:E50" si="10">E29</f>
        <v>8.94E-3</v>
      </c>
      <c r="F48" s="212">
        <f>ROUND(D48*E48,0)</f>
        <v>4379</v>
      </c>
      <c r="G48" s="396"/>
      <c r="H48"/>
      <c r="I48" s="397"/>
    </row>
    <row r="49" spans="1:9" ht="15.75" x14ac:dyDescent="0.25">
      <c r="A49" s="391" t="s">
        <v>55</v>
      </c>
      <c r="B49" s="192">
        <f t="shared" si="9"/>
        <v>5000</v>
      </c>
      <c r="C49"/>
      <c r="D49" s="198">
        <f>G42</f>
        <v>437910</v>
      </c>
      <c r="E49" s="210">
        <f t="shared" si="10"/>
        <v>8.1300000000000001E-3</v>
      </c>
      <c r="F49" s="212">
        <f t="shared" ref="F49:F50" si="11">ROUND(D49*E49,0)</f>
        <v>3560</v>
      </c>
      <c r="G49" s="396"/>
      <c r="H49"/>
      <c r="I49" s="397"/>
    </row>
    <row r="50" spans="1:9" ht="15.75" x14ac:dyDescent="0.25">
      <c r="A50" s="391" t="s">
        <v>125</v>
      </c>
      <c r="B50" s="192">
        <f t="shared" si="9"/>
        <v>10000</v>
      </c>
      <c r="C50" s="197"/>
      <c r="D50" s="201">
        <f>H41</f>
        <v>1077180</v>
      </c>
      <c r="E50" s="210">
        <f t="shared" si="10"/>
        <v>7.3200000000000001E-3</v>
      </c>
      <c r="F50" s="213">
        <f t="shared" si="11"/>
        <v>7885</v>
      </c>
      <c r="G50" s="396"/>
      <c r="H50"/>
      <c r="I50" s="397"/>
    </row>
    <row r="51" spans="1:9" ht="16.5" thickBot="1" x14ac:dyDescent="0.3">
      <c r="A51" s="131"/>
      <c r="B51" t="s">
        <v>38</v>
      </c>
      <c r="C51"/>
      <c r="D51" s="194">
        <f>SUM(D47:D50)</f>
        <v>2698050</v>
      </c>
      <c r="E51"/>
      <c r="F51" s="202">
        <f>SUM(F47:F50)</f>
        <v>33680.32</v>
      </c>
      <c r="G51" s="396"/>
      <c r="H51"/>
      <c r="I51" s="397" t="s">
        <v>246</v>
      </c>
    </row>
    <row r="52" spans="1:9" ht="15.75" thickTop="1" x14ac:dyDescent="0.25">
      <c r="A52" s="30"/>
      <c r="B52" s="15"/>
      <c r="C52" s="15"/>
      <c r="D52" s="15"/>
      <c r="E52" s="15"/>
      <c r="F52" s="15"/>
      <c r="G52" s="15"/>
      <c r="H52" s="15"/>
      <c r="I52" s="72"/>
    </row>
  </sheetData>
  <mergeCells count="3">
    <mergeCell ref="A1:I1"/>
    <mergeCell ref="A2:I2"/>
    <mergeCell ref="C4:G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EAC9-546B-4275-804A-7D8B20FBAA43}">
  <dimension ref="A3:J34"/>
  <sheetViews>
    <sheetView topLeftCell="A13" workbookViewId="0">
      <selection activeCell="J23" sqref="J23"/>
    </sheetView>
  </sheetViews>
  <sheetFormatPr defaultRowHeight="15" x14ac:dyDescent="0.2"/>
  <cols>
    <col min="1" max="6" width="8.88671875" style="205"/>
    <col min="7" max="7" width="1.77734375" style="205" customWidth="1"/>
    <col min="8" max="8" width="8.88671875" style="205"/>
    <col min="9" max="9" width="1.77734375" style="205" customWidth="1"/>
    <col min="10" max="16384" width="8.88671875" style="205"/>
  </cols>
  <sheetData>
    <row r="3" spans="1:10" x14ac:dyDescent="0.2">
      <c r="H3" s="304" t="s">
        <v>299</v>
      </c>
    </row>
    <row r="4" spans="1:10" x14ac:dyDescent="0.2">
      <c r="E4" s="497" t="s">
        <v>297</v>
      </c>
      <c r="F4" s="497"/>
      <c r="G4" s="304"/>
      <c r="H4" s="303" t="s">
        <v>32</v>
      </c>
      <c r="I4" s="304"/>
      <c r="J4" s="303" t="s">
        <v>298</v>
      </c>
    </row>
    <row r="5" spans="1:10" x14ac:dyDescent="0.2">
      <c r="A5" s="204" t="s">
        <v>251</v>
      </c>
      <c r="E5" s="205">
        <v>24.34</v>
      </c>
    </row>
    <row r="6" spans="1:10" x14ac:dyDescent="0.2">
      <c r="A6" s="204" t="s">
        <v>251</v>
      </c>
      <c r="E6" s="205">
        <v>35.479999999999997</v>
      </c>
    </row>
    <row r="7" spans="1:10" x14ac:dyDescent="0.2">
      <c r="A7" s="204" t="s">
        <v>251</v>
      </c>
      <c r="E7" s="205">
        <v>682.67</v>
      </c>
    </row>
    <row r="8" spans="1:10" x14ac:dyDescent="0.2">
      <c r="A8" s="204" t="s">
        <v>251</v>
      </c>
      <c r="E8" s="205">
        <v>-26.08</v>
      </c>
    </row>
    <row r="9" spans="1:10" x14ac:dyDescent="0.2">
      <c r="A9" s="204" t="s">
        <v>251</v>
      </c>
      <c r="E9" s="205">
        <v>-24.34</v>
      </c>
    </row>
    <row r="10" spans="1:10" x14ac:dyDescent="0.2">
      <c r="A10" s="204" t="s">
        <v>251</v>
      </c>
      <c r="F10" s="205">
        <f>SUM(E5:E9)</f>
        <v>692.06999999999994</v>
      </c>
      <c r="H10" s="205">
        <v>692.07</v>
      </c>
      <c r="J10" s="205">
        <f>H10-F10</f>
        <v>0</v>
      </c>
    </row>
    <row r="11" spans="1:10" x14ac:dyDescent="0.2">
      <c r="A11" s="204" t="s">
        <v>250</v>
      </c>
      <c r="E11" s="205">
        <v>14.89</v>
      </c>
    </row>
    <row r="12" spans="1:10" x14ac:dyDescent="0.2">
      <c r="A12" s="204" t="s">
        <v>250</v>
      </c>
      <c r="E12" s="205">
        <v>84.29</v>
      </c>
    </row>
    <row r="13" spans="1:10" x14ac:dyDescent="0.2">
      <c r="A13" s="204" t="s">
        <v>250</v>
      </c>
      <c r="E13" s="205">
        <v>281.36</v>
      </c>
    </row>
    <row r="14" spans="1:10" x14ac:dyDescent="0.2">
      <c r="A14" s="204" t="s">
        <v>250</v>
      </c>
      <c r="E14" s="205">
        <v>981.27</v>
      </c>
      <c r="F14" s="205">
        <f>SUM(E11:E14)</f>
        <v>1361.81</v>
      </c>
      <c r="H14" s="205">
        <v>1376.6</v>
      </c>
      <c r="J14" s="205">
        <f>H14-F14</f>
        <v>14.789999999999964</v>
      </c>
    </row>
    <row r="15" spans="1:10" x14ac:dyDescent="0.2">
      <c r="A15" s="204" t="s">
        <v>252</v>
      </c>
      <c r="E15" s="205">
        <v>59.2</v>
      </c>
    </row>
    <row r="16" spans="1:10" x14ac:dyDescent="0.2">
      <c r="A16" s="204" t="s">
        <v>252</v>
      </c>
      <c r="E16" s="205">
        <v>994.39</v>
      </c>
      <c r="F16" s="205">
        <f>SUM(E15:E16)</f>
        <v>1053.5899999999999</v>
      </c>
      <c r="H16" s="205">
        <v>1053.5899999999999</v>
      </c>
      <c r="J16" s="205">
        <f>H16-F16</f>
        <v>0</v>
      </c>
    </row>
    <row r="17" spans="1:10" x14ac:dyDescent="0.2">
      <c r="A17" s="204" t="s">
        <v>254</v>
      </c>
      <c r="E17" s="205">
        <v>1305.27</v>
      </c>
    </row>
    <row r="18" spans="1:10" x14ac:dyDescent="0.2">
      <c r="A18" s="204" t="s">
        <v>254</v>
      </c>
      <c r="E18" s="205">
        <v>15.57</v>
      </c>
      <c r="F18" s="205">
        <f>SUM(E17:E18)</f>
        <v>1320.84</v>
      </c>
      <c r="H18" s="205">
        <v>1320.84</v>
      </c>
      <c r="J18" s="205">
        <f>H18-F18</f>
        <v>0</v>
      </c>
    </row>
    <row r="19" spans="1:10" x14ac:dyDescent="0.2">
      <c r="A19" s="204" t="s">
        <v>256</v>
      </c>
      <c r="E19" s="205">
        <v>24.31</v>
      </c>
    </row>
    <row r="20" spans="1:10" x14ac:dyDescent="0.2">
      <c r="A20" s="204" t="s">
        <v>256</v>
      </c>
      <c r="E20" s="205">
        <v>63.07</v>
      </c>
      <c r="F20" s="205">
        <f>SUM(E19:E20)</f>
        <v>87.38</v>
      </c>
      <c r="H20" s="205">
        <v>91.72</v>
      </c>
      <c r="J20" s="205">
        <f>H20-F20</f>
        <v>4.3400000000000034</v>
      </c>
    </row>
    <row r="21" spans="1:10" x14ac:dyDescent="0.2">
      <c r="A21" s="204" t="s">
        <v>253</v>
      </c>
      <c r="E21" s="205">
        <v>5.79</v>
      </c>
    </row>
    <row r="22" spans="1:10" x14ac:dyDescent="0.2">
      <c r="A22" s="204" t="s">
        <v>255</v>
      </c>
      <c r="E22" s="205">
        <v>31.81</v>
      </c>
      <c r="F22" s="205">
        <f>SUM(E21:E22)</f>
        <v>37.6</v>
      </c>
      <c r="H22" s="205">
        <v>31.81</v>
      </c>
      <c r="J22" s="205">
        <f>H22-F22</f>
        <v>-5.7900000000000027</v>
      </c>
    </row>
    <row r="23" spans="1:10" ht="15.75" thickBot="1" x14ac:dyDescent="0.25">
      <c r="A23" s="204"/>
      <c r="J23" s="302">
        <f>SUM(J10,J14,J16,J18,J20,J22)</f>
        <v>13.339999999999964</v>
      </c>
    </row>
    <row r="24" spans="1:10" ht="15.75" thickTop="1" x14ac:dyDescent="0.2">
      <c r="A24" s="204"/>
    </row>
    <row r="25" spans="1:10" x14ac:dyDescent="0.2">
      <c r="A25" s="204"/>
    </row>
    <row r="26" spans="1:10" x14ac:dyDescent="0.2">
      <c r="A26" s="204"/>
    </row>
    <row r="27" spans="1:10" x14ac:dyDescent="0.2">
      <c r="A27" s="204" t="s">
        <v>251</v>
      </c>
      <c r="E27" s="205">
        <v>-692.07</v>
      </c>
    </row>
    <row r="28" spans="1:10" x14ac:dyDescent="0.2">
      <c r="A28" s="204" t="s">
        <v>250</v>
      </c>
      <c r="E28" s="205">
        <v>-1376.6</v>
      </c>
    </row>
    <row r="29" spans="1:10" x14ac:dyDescent="0.2">
      <c r="A29" s="204" t="s">
        <v>252</v>
      </c>
      <c r="E29" s="205">
        <v>-1053.5899999999999</v>
      </c>
    </row>
    <row r="30" spans="1:10" x14ac:dyDescent="0.2">
      <c r="A30" s="204" t="s">
        <v>254</v>
      </c>
      <c r="E30" s="205">
        <v>-1320.84</v>
      </c>
    </row>
    <row r="31" spans="1:10" x14ac:dyDescent="0.2">
      <c r="A31" s="204" t="s">
        <v>253</v>
      </c>
      <c r="E31" s="205">
        <v>-5.79</v>
      </c>
    </row>
    <row r="32" spans="1:10" x14ac:dyDescent="0.2">
      <c r="A32" s="204" t="s">
        <v>255</v>
      </c>
      <c r="E32" s="301">
        <v>-31.81</v>
      </c>
    </row>
    <row r="33" spans="1:5" ht="15.75" thickBot="1" x14ac:dyDescent="0.25">
      <c r="A33" s="204" t="s">
        <v>257</v>
      </c>
      <c r="E33" s="302">
        <f>SUM(E27:E32)</f>
        <v>-4480.7000000000007</v>
      </c>
    </row>
    <row r="34" spans="1:5" ht="15.75" thickTop="1" x14ac:dyDescent="0.2"/>
  </sheetData>
  <sortState xmlns:xlrd2="http://schemas.microsoft.com/office/spreadsheetml/2017/richdata2" ref="A5:E22">
    <sortCondition ref="A5:A22"/>
  </sortState>
  <mergeCells count="1">
    <mergeCell ref="E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showGridLines="0" workbookViewId="0">
      <selection sqref="A1:I52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85" t="s">
        <v>346</v>
      </c>
      <c r="B1" s="486"/>
      <c r="C1" s="486"/>
      <c r="D1" s="486"/>
      <c r="E1" s="486"/>
      <c r="F1" s="486"/>
      <c r="G1" s="486"/>
      <c r="H1" s="486"/>
      <c r="I1" s="487"/>
    </row>
    <row r="2" spans="1:20" ht="18.75" x14ac:dyDescent="0.25">
      <c r="A2" s="488" t="str">
        <f>Adj!B1</f>
        <v>Cannonsburg Water District</v>
      </c>
      <c r="B2" s="489"/>
      <c r="C2" s="489"/>
      <c r="D2" s="489"/>
      <c r="E2" s="489"/>
      <c r="F2" s="489"/>
      <c r="G2" s="489"/>
      <c r="H2" s="489"/>
      <c r="I2" s="490"/>
    </row>
    <row r="3" spans="1:20" x14ac:dyDescent="0.25">
      <c r="A3" s="29"/>
      <c r="I3" s="71"/>
    </row>
    <row r="4" spans="1:20" ht="17.25" x14ac:dyDescent="0.4">
      <c r="A4" s="29"/>
      <c r="C4" s="90" t="s">
        <v>115</v>
      </c>
      <c r="I4" s="71"/>
      <c r="J4" s="109"/>
      <c r="S4" s="44"/>
      <c r="T4" s="44"/>
    </row>
    <row r="5" spans="1:20" ht="17.25" x14ac:dyDescent="0.4">
      <c r="A5" s="29"/>
      <c r="C5" s="92"/>
      <c r="D5" s="15"/>
      <c r="E5" s="9" t="s">
        <v>56</v>
      </c>
      <c r="F5" s="9" t="s">
        <v>37</v>
      </c>
      <c r="G5" s="9" t="s">
        <v>35</v>
      </c>
      <c r="H5" s="2"/>
      <c r="I5" s="71"/>
      <c r="S5" s="44"/>
      <c r="T5" s="44"/>
    </row>
    <row r="6" spans="1:20" x14ac:dyDescent="0.25">
      <c r="A6" s="29"/>
      <c r="C6" s="1" t="s">
        <v>249</v>
      </c>
      <c r="E6" s="36">
        <f>C28</f>
        <v>7965</v>
      </c>
      <c r="F6" s="36">
        <f>D28</f>
        <v>13099240</v>
      </c>
      <c r="G6" s="93">
        <f>F32</f>
        <v>467603.1</v>
      </c>
      <c r="H6" s="93"/>
      <c r="I6" s="71"/>
    </row>
    <row r="7" spans="1:20" x14ac:dyDescent="0.25">
      <c r="A7" s="29"/>
      <c r="C7" s="1" t="s">
        <v>248</v>
      </c>
      <c r="E7" s="36">
        <f>C47</f>
        <v>656</v>
      </c>
      <c r="F7" s="36">
        <f>D47</f>
        <v>693140</v>
      </c>
      <c r="G7" s="36">
        <f>F51</f>
        <v>43945.24</v>
      </c>
      <c r="H7" s="36"/>
      <c r="I7" s="71"/>
    </row>
    <row r="8" spans="1:20" x14ac:dyDescent="0.25">
      <c r="A8" s="29"/>
      <c r="E8" s="13"/>
      <c r="F8" s="203"/>
      <c r="G8" s="13"/>
      <c r="H8" s="36"/>
      <c r="I8" s="71"/>
    </row>
    <row r="9" spans="1:20" x14ac:dyDescent="0.25">
      <c r="A9" s="29"/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511548.33999999997</v>
      </c>
      <c r="H9" s="93"/>
      <c r="I9" s="71"/>
    </row>
    <row r="10" spans="1:20" x14ac:dyDescent="0.25">
      <c r="A10" s="29"/>
      <c r="C10" s="389" t="s">
        <v>169</v>
      </c>
      <c r="G10" s="13">
        <f>ROUND('BA Adj'!E33,0)</f>
        <v>-4481</v>
      </c>
      <c r="H10" s="36"/>
      <c r="I10" s="127"/>
    </row>
    <row r="11" spans="1:20" x14ac:dyDescent="0.25">
      <c r="A11" s="29"/>
      <c r="C11" s="281" t="s">
        <v>119</v>
      </c>
      <c r="G11" s="74">
        <f>G9+G10</f>
        <v>507067.33999999997</v>
      </c>
      <c r="H11" s="74"/>
      <c r="I11" s="124"/>
    </row>
    <row r="12" spans="1:20" ht="15.75" x14ac:dyDescent="0.25">
      <c r="A12" s="29"/>
      <c r="C12" s="1" t="s">
        <v>285</v>
      </c>
      <c r="F12" s="10"/>
      <c r="G12" s="13">
        <f>-'SAO - DSC'!L53</f>
        <v>-505617.35349999997</v>
      </c>
      <c r="I12" s="124"/>
      <c r="S12"/>
    </row>
    <row r="13" spans="1:20" ht="15.75" thickBot="1" x14ac:dyDescent="0.3">
      <c r="A13" s="29"/>
      <c r="C13" s="1" t="s">
        <v>284</v>
      </c>
      <c r="F13" s="10"/>
      <c r="G13" s="282">
        <f>SUM(G11:G12)</f>
        <v>1449.9864999999991</v>
      </c>
      <c r="I13" s="124"/>
    </row>
    <row r="14" spans="1:20" ht="15.75" thickTop="1" x14ac:dyDescent="0.25">
      <c r="A14" s="29"/>
      <c r="F14" s="10"/>
      <c r="G14" s="390"/>
      <c r="I14" s="124"/>
    </row>
    <row r="15" spans="1:20" x14ac:dyDescent="0.25">
      <c r="A15" s="29"/>
      <c r="I15" s="71"/>
    </row>
    <row r="16" spans="1:20" x14ac:dyDescent="0.25">
      <c r="A16" s="29" t="s">
        <v>247</v>
      </c>
      <c r="I16" s="71"/>
    </row>
    <row r="17" spans="1:15" x14ac:dyDescent="0.25">
      <c r="A17" s="391"/>
      <c r="B17" s="186"/>
      <c r="C17" s="186"/>
      <c r="D17" s="186"/>
      <c r="E17" s="186" t="s">
        <v>54</v>
      </c>
      <c r="F17" s="186" t="s">
        <v>55</v>
      </c>
      <c r="G17" s="187" t="s">
        <v>55</v>
      </c>
      <c r="H17" s="186" t="s">
        <v>125</v>
      </c>
      <c r="I17" s="392" t="s">
        <v>61</v>
      </c>
    </row>
    <row r="18" spans="1:15" x14ac:dyDescent="0.25">
      <c r="A18" s="391"/>
      <c r="B18" s="188" t="s">
        <v>241</v>
      </c>
      <c r="C18" s="188" t="s">
        <v>242</v>
      </c>
      <c r="D18" s="188" t="s">
        <v>243</v>
      </c>
      <c r="E18" s="189">
        <f>B19</f>
        <v>2000</v>
      </c>
      <c r="F18" s="189">
        <f>B20</f>
        <v>3000</v>
      </c>
      <c r="G18" s="190">
        <f>B21</f>
        <v>5000</v>
      </c>
      <c r="H18" s="191">
        <f>SUM(E18:G18)</f>
        <v>10000</v>
      </c>
      <c r="I18" s="393"/>
    </row>
    <row r="19" spans="1:15" x14ac:dyDescent="0.25">
      <c r="A19" s="391" t="s">
        <v>54</v>
      </c>
      <c r="B19" s="187">
        <v>2000</v>
      </c>
      <c r="C19" s="192">
        <v>2848</v>
      </c>
      <c r="D19" s="192">
        <v>2865240</v>
      </c>
      <c r="E19" s="192">
        <f>D19</f>
        <v>2865240</v>
      </c>
      <c r="F19" s="192">
        <v>0</v>
      </c>
      <c r="G19" s="187">
        <v>0</v>
      </c>
      <c r="H19" s="192">
        <v>0</v>
      </c>
      <c r="I19" s="394">
        <f>SUM(E19:H19)</f>
        <v>2865240</v>
      </c>
    </row>
    <row r="20" spans="1:15" x14ac:dyDescent="0.25">
      <c r="A20" s="391" t="s">
        <v>55</v>
      </c>
      <c r="B20" s="187">
        <v>3000</v>
      </c>
      <c r="C20" s="192">
        <v>3562</v>
      </c>
      <c r="D20" s="192">
        <v>11559720</v>
      </c>
      <c r="E20" s="192">
        <f>$C20*E$18</f>
        <v>7124000</v>
      </c>
      <c r="F20" s="192">
        <f>D20-E20</f>
        <v>4435720</v>
      </c>
      <c r="G20" s="187">
        <v>0</v>
      </c>
      <c r="H20" s="192">
        <v>0</v>
      </c>
      <c r="I20" s="394">
        <f t="shared" ref="I20:I22" si="0">SUM(E20:H20)</f>
        <v>11559720</v>
      </c>
    </row>
    <row r="21" spans="1:15" x14ac:dyDescent="0.25">
      <c r="A21" s="391" t="s">
        <v>55</v>
      </c>
      <c r="B21" s="187">
        <v>5000</v>
      </c>
      <c r="C21" s="192">
        <v>1198</v>
      </c>
      <c r="D21" s="192">
        <v>7846570</v>
      </c>
      <c r="E21" s="192">
        <f t="shared" ref="E21:G22" si="1">$C21*E$18</f>
        <v>2396000</v>
      </c>
      <c r="F21" s="192">
        <f t="shared" si="1"/>
        <v>3594000</v>
      </c>
      <c r="G21" s="187">
        <f>D21-E21-F21</f>
        <v>1856570</v>
      </c>
      <c r="H21" s="192">
        <v>0</v>
      </c>
      <c r="I21" s="394">
        <f t="shared" si="0"/>
        <v>7846570</v>
      </c>
    </row>
    <row r="22" spans="1:15" x14ac:dyDescent="0.25">
      <c r="A22" s="391" t="s">
        <v>125</v>
      </c>
      <c r="B22" s="187">
        <f>SUM(B19:B21)</f>
        <v>10000</v>
      </c>
      <c r="C22" s="192">
        <v>357</v>
      </c>
      <c r="D22" s="192">
        <v>7741880</v>
      </c>
      <c r="E22" s="192">
        <f t="shared" si="1"/>
        <v>714000</v>
      </c>
      <c r="F22" s="192">
        <f t="shared" si="1"/>
        <v>1071000</v>
      </c>
      <c r="G22" s="192">
        <f t="shared" si="1"/>
        <v>1785000</v>
      </c>
      <c r="H22" s="192">
        <f>D22-E22-F22-G22</f>
        <v>4171880</v>
      </c>
      <c r="I22" s="394">
        <f t="shared" si="0"/>
        <v>7741880</v>
      </c>
    </row>
    <row r="23" spans="1:15" ht="16.5" thickBot="1" x14ac:dyDescent="0.3">
      <c r="A23" s="391"/>
      <c r="B23" t="s">
        <v>0</v>
      </c>
      <c r="C23" s="194">
        <f t="shared" ref="C23:I23" si="2">SUM(C19:C22)</f>
        <v>7965</v>
      </c>
      <c r="D23" s="194">
        <f t="shared" si="2"/>
        <v>30013410</v>
      </c>
      <c r="E23" s="194">
        <f t="shared" si="2"/>
        <v>13099240</v>
      </c>
      <c r="F23" s="194">
        <f t="shared" si="2"/>
        <v>9100720</v>
      </c>
      <c r="G23" s="195">
        <f t="shared" si="2"/>
        <v>3641570</v>
      </c>
      <c r="H23" s="194">
        <f t="shared" si="2"/>
        <v>4171880</v>
      </c>
      <c r="I23" s="395">
        <f t="shared" si="2"/>
        <v>30013410</v>
      </c>
    </row>
    <row r="24" spans="1:15" ht="16.5" thickTop="1" x14ac:dyDescent="0.25">
      <c r="A24" s="131"/>
      <c r="B24"/>
      <c r="C24"/>
      <c r="D24"/>
      <c r="E24"/>
      <c r="F24"/>
      <c r="G24" s="396"/>
      <c r="H24"/>
      <c r="I24" s="397"/>
    </row>
    <row r="25" spans="1:15" ht="15.75" x14ac:dyDescent="0.25">
      <c r="A25" s="131"/>
      <c r="B25" t="s">
        <v>244</v>
      </c>
      <c r="C25"/>
      <c r="D25"/>
      <c r="E25"/>
      <c r="F25"/>
      <c r="G25" s="396"/>
      <c r="H25"/>
      <c r="I25" s="397"/>
    </row>
    <row r="26" spans="1:15" ht="15.75" x14ac:dyDescent="0.25">
      <c r="A26" s="131"/>
      <c r="B26"/>
      <c r="C26"/>
      <c r="D26"/>
      <c r="E26"/>
      <c r="F26"/>
      <c r="G26" s="396"/>
      <c r="H26"/>
      <c r="I26" s="397"/>
    </row>
    <row r="27" spans="1:15" ht="15.75" x14ac:dyDescent="0.25">
      <c r="A27" s="131"/>
      <c r="B27" s="197"/>
      <c r="C27" s="197" t="s">
        <v>242</v>
      </c>
      <c r="D27" s="197" t="s">
        <v>243</v>
      </c>
      <c r="E27" s="197" t="s">
        <v>245</v>
      </c>
      <c r="F27" s="197" t="s">
        <v>35</v>
      </c>
      <c r="G27" s="396"/>
      <c r="H27"/>
      <c r="I27" s="397"/>
      <c r="M27" s="182">
        <f>'SAO - DSC'!L56</f>
        <v>0.30480000000000002</v>
      </c>
    </row>
    <row r="28" spans="1:15" ht="15.75" x14ac:dyDescent="0.25">
      <c r="A28" s="391" t="s">
        <v>54</v>
      </c>
      <c r="B28" s="192">
        <f>B19</f>
        <v>2000</v>
      </c>
      <c r="C28" s="198">
        <f>C23</f>
        <v>7965</v>
      </c>
      <c r="D28" s="198">
        <f>E23</f>
        <v>13099240</v>
      </c>
      <c r="E28" s="398">
        <f>O28</f>
        <v>35.54</v>
      </c>
      <c r="F28" s="399">
        <f>E28*C28</f>
        <v>283076.09999999998</v>
      </c>
      <c r="G28" s="396"/>
      <c r="H28"/>
      <c r="I28" s="397"/>
      <c r="L28" s="206">
        <f>'BA - PWA CN 2023-00243'!E28</f>
        <v>27.22</v>
      </c>
      <c r="M28" s="1">
        <f>ROUND(M27*L28,2)</f>
        <v>8.3000000000000007</v>
      </c>
      <c r="N28" s="1">
        <v>0.02</v>
      </c>
      <c r="O28" s="206">
        <f>SUM(L28:N28)</f>
        <v>35.54</v>
      </c>
    </row>
    <row r="29" spans="1:15" ht="15.75" x14ac:dyDescent="0.25">
      <c r="A29" s="391" t="s">
        <v>55</v>
      </c>
      <c r="B29" s="192">
        <f t="shared" ref="B29:B31" si="3">B20</f>
        <v>3000</v>
      </c>
      <c r="C29"/>
      <c r="D29" s="198">
        <f>F23</f>
        <v>9100720</v>
      </c>
      <c r="E29" s="210">
        <f t="shared" ref="E29:E31" si="4">O29</f>
        <v>1.1650000000000001E-2</v>
      </c>
      <c r="F29" s="212">
        <f>ROUND(D29*E29,0)</f>
        <v>106023</v>
      </c>
      <c r="G29" s="396"/>
      <c r="H29"/>
      <c r="I29" s="397"/>
      <c r="L29" s="222">
        <f>'BA - PWA CN 2023-00243'!E29</f>
        <v>8.94E-3</v>
      </c>
      <c r="M29" s="222">
        <f>ROUND(L29*M$27,4)</f>
        <v>2.7000000000000001E-3</v>
      </c>
      <c r="N29" s="222">
        <v>1.0000000000000001E-5</v>
      </c>
      <c r="O29" s="222">
        <f>SUM(L29:N29)</f>
        <v>1.1650000000000001E-2</v>
      </c>
    </row>
    <row r="30" spans="1:15" ht="15.75" x14ac:dyDescent="0.25">
      <c r="A30" s="391" t="s">
        <v>55</v>
      </c>
      <c r="B30" s="192">
        <f t="shared" si="3"/>
        <v>5000</v>
      </c>
      <c r="C30"/>
      <c r="D30" s="198">
        <f>G23</f>
        <v>3641570</v>
      </c>
      <c r="E30" s="210">
        <f t="shared" si="4"/>
        <v>1.064E-2</v>
      </c>
      <c r="F30" s="212">
        <f t="shared" ref="F30:F31" si="5">ROUND(D30*E30,0)</f>
        <v>38746</v>
      </c>
      <c r="G30" s="396"/>
      <c r="H30"/>
      <c r="I30" s="397"/>
      <c r="L30" s="222">
        <f>'BA - PWA CN 2023-00243'!E30</f>
        <v>8.1300000000000001E-3</v>
      </c>
      <c r="M30" s="222">
        <f t="shared" ref="M30:M31" si="6">ROUND(L30*M$27,4)</f>
        <v>2.5000000000000001E-3</v>
      </c>
      <c r="N30" s="222">
        <v>1.0000000000000001E-5</v>
      </c>
      <c r="O30" s="222">
        <f t="shared" ref="O30:O31" si="7">SUM(L30:N30)</f>
        <v>1.064E-2</v>
      </c>
    </row>
    <row r="31" spans="1:15" ht="15.75" x14ac:dyDescent="0.25">
      <c r="A31" s="391" t="s">
        <v>125</v>
      </c>
      <c r="B31" s="192">
        <f t="shared" si="3"/>
        <v>10000</v>
      </c>
      <c r="C31" s="197"/>
      <c r="D31" s="201">
        <f>H22</f>
        <v>4171880</v>
      </c>
      <c r="E31" s="210">
        <f t="shared" si="4"/>
        <v>9.5300000000000003E-3</v>
      </c>
      <c r="F31" s="213">
        <f t="shared" si="5"/>
        <v>39758</v>
      </c>
      <c r="G31" s="396"/>
      <c r="H31"/>
      <c r="I31" s="397"/>
      <c r="L31" s="222">
        <f>'BA - PWA CN 2023-00243'!E31</f>
        <v>7.3200000000000001E-3</v>
      </c>
      <c r="M31" s="222">
        <f t="shared" si="6"/>
        <v>2.2000000000000001E-3</v>
      </c>
      <c r="N31" s="222">
        <v>1.0000000000000001E-5</v>
      </c>
      <c r="O31" s="222">
        <f t="shared" si="7"/>
        <v>9.5300000000000003E-3</v>
      </c>
    </row>
    <row r="32" spans="1:15" ht="16.5" thickBot="1" x14ac:dyDescent="0.3">
      <c r="A32" s="131"/>
      <c r="B32" t="s">
        <v>38</v>
      </c>
      <c r="C32"/>
      <c r="D32" s="194">
        <f>SUM(D28:D31)</f>
        <v>30013410</v>
      </c>
      <c r="E32"/>
      <c r="F32" s="202">
        <f>SUM(F28:F31)</f>
        <v>467603.1</v>
      </c>
      <c r="G32" s="396"/>
      <c r="H32"/>
      <c r="I32" s="397" t="s">
        <v>246</v>
      </c>
    </row>
    <row r="33" spans="1:9" ht="16.5" thickTop="1" x14ac:dyDescent="0.25">
      <c r="A33" s="131"/>
      <c r="B33"/>
      <c r="C33"/>
      <c r="D33"/>
      <c r="E33"/>
      <c r="F33"/>
      <c r="G33" s="396"/>
      <c r="H33"/>
      <c r="I33" s="397"/>
    </row>
    <row r="34" spans="1:9" ht="15.75" x14ac:dyDescent="0.25">
      <c r="A34" s="131"/>
      <c r="B34"/>
      <c r="C34"/>
      <c r="D34"/>
      <c r="E34"/>
      <c r="F34"/>
      <c r="G34" s="396"/>
      <c r="H34"/>
      <c r="I34" s="397"/>
    </row>
    <row r="35" spans="1:9" ht="15.75" x14ac:dyDescent="0.25">
      <c r="A35" s="228" t="s">
        <v>248</v>
      </c>
      <c r="B35"/>
      <c r="C35"/>
      <c r="D35"/>
      <c r="E35"/>
      <c r="F35"/>
      <c r="G35" s="396"/>
      <c r="H35"/>
      <c r="I35" s="397"/>
    </row>
    <row r="36" spans="1:9" x14ac:dyDescent="0.25">
      <c r="A36" s="391"/>
      <c r="B36" s="186"/>
      <c r="C36" s="186"/>
      <c r="D36" s="186"/>
      <c r="E36" s="186" t="s">
        <v>54</v>
      </c>
      <c r="F36" s="186" t="s">
        <v>55</v>
      </c>
      <c r="G36" s="187" t="s">
        <v>55</v>
      </c>
      <c r="H36" s="186" t="s">
        <v>125</v>
      </c>
      <c r="I36" s="392" t="s">
        <v>61</v>
      </c>
    </row>
    <row r="37" spans="1:9" x14ac:dyDescent="0.25">
      <c r="A37" s="391"/>
      <c r="B37" s="188" t="s">
        <v>241</v>
      </c>
      <c r="C37" s="188" t="s">
        <v>242</v>
      </c>
      <c r="D37" s="188" t="s">
        <v>243</v>
      </c>
      <c r="E37" s="189">
        <f>B38</f>
        <v>2000</v>
      </c>
      <c r="F37" s="189">
        <f>B39</f>
        <v>3000</v>
      </c>
      <c r="G37" s="190">
        <f>B40</f>
        <v>5000</v>
      </c>
      <c r="H37" s="191">
        <f>SUM(E37:G37)</f>
        <v>10000</v>
      </c>
      <c r="I37" s="393"/>
    </row>
    <row r="38" spans="1:9" x14ac:dyDescent="0.25">
      <c r="A38" s="391" t="s">
        <v>54</v>
      </c>
      <c r="B38" s="187">
        <v>2000</v>
      </c>
      <c r="C38" s="192">
        <v>441</v>
      </c>
      <c r="D38" s="192">
        <v>263140</v>
      </c>
      <c r="E38" s="192">
        <f>D38</f>
        <v>263140</v>
      </c>
      <c r="F38" s="192">
        <v>0</v>
      </c>
      <c r="G38" s="187">
        <v>0</v>
      </c>
      <c r="H38" s="192">
        <v>0</v>
      </c>
      <c r="I38" s="394">
        <f>SUM(E38:H38)</f>
        <v>263140</v>
      </c>
    </row>
    <row r="39" spans="1:9" x14ac:dyDescent="0.25">
      <c r="A39" s="391" t="s">
        <v>55</v>
      </c>
      <c r="B39" s="187">
        <v>3000</v>
      </c>
      <c r="C39" s="192">
        <v>89</v>
      </c>
      <c r="D39" s="192">
        <v>289820</v>
      </c>
      <c r="E39" s="192">
        <f>$C39*E$37</f>
        <v>178000</v>
      </c>
      <c r="F39" s="192">
        <f>D39-E39</f>
        <v>111820</v>
      </c>
      <c r="G39" s="187">
        <v>0</v>
      </c>
      <c r="H39" s="192">
        <v>0</v>
      </c>
      <c r="I39" s="394">
        <f t="shared" ref="I39:I41" si="8">SUM(E39:H39)</f>
        <v>289820</v>
      </c>
    </row>
    <row r="40" spans="1:9" x14ac:dyDescent="0.25">
      <c r="A40" s="391" t="s">
        <v>55</v>
      </c>
      <c r="B40" s="187">
        <v>5000</v>
      </c>
      <c r="C40" s="192">
        <v>53</v>
      </c>
      <c r="D40" s="192">
        <v>337910</v>
      </c>
      <c r="E40" s="192">
        <f t="shared" ref="E40:G41" si="9">$C40*E$37</f>
        <v>106000</v>
      </c>
      <c r="F40" s="192">
        <f t="shared" si="9"/>
        <v>159000</v>
      </c>
      <c r="G40" s="187">
        <f>D40-E40-F40</f>
        <v>72910</v>
      </c>
      <c r="H40" s="192">
        <v>0</v>
      </c>
      <c r="I40" s="394">
        <f t="shared" si="8"/>
        <v>337910</v>
      </c>
    </row>
    <row r="41" spans="1:9" x14ac:dyDescent="0.25">
      <c r="A41" s="391" t="s">
        <v>125</v>
      </c>
      <c r="B41" s="187">
        <f>SUM(B38:B40)</f>
        <v>10000</v>
      </c>
      <c r="C41" s="192">
        <v>73</v>
      </c>
      <c r="D41" s="192">
        <v>1807180</v>
      </c>
      <c r="E41" s="192">
        <f t="shared" si="9"/>
        <v>146000</v>
      </c>
      <c r="F41" s="192">
        <f t="shared" si="9"/>
        <v>219000</v>
      </c>
      <c r="G41" s="192">
        <f t="shared" si="9"/>
        <v>365000</v>
      </c>
      <c r="H41" s="192">
        <f>D41-E41-F41-G41</f>
        <v>1077180</v>
      </c>
      <c r="I41" s="394">
        <f t="shared" si="8"/>
        <v>1807180</v>
      </c>
    </row>
    <row r="42" spans="1:9" ht="16.5" thickBot="1" x14ac:dyDescent="0.3">
      <c r="A42" s="391"/>
      <c r="B42" t="s">
        <v>0</v>
      </c>
      <c r="C42" s="194">
        <f t="shared" ref="C42:I42" si="10">SUM(C38:C41)</f>
        <v>656</v>
      </c>
      <c r="D42" s="194">
        <f t="shared" si="10"/>
        <v>2698050</v>
      </c>
      <c r="E42" s="194">
        <f t="shared" si="10"/>
        <v>693140</v>
      </c>
      <c r="F42" s="194">
        <f t="shared" si="10"/>
        <v>489820</v>
      </c>
      <c r="G42" s="195">
        <f t="shared" si="10"/>
        <v>437910</v>
      </c>
      <c r="H42" s="194">
        <f t="shared" si="10"/>
        <v>1077180</v>
      </c>
      <c r="I42" s="395">
        <f t="shared" si="10"/>
        <v>2698050</v>
      </c>
    </row>
    <row r="43" spans="1:9" ht="16.5" thickTop="1" x14ac:dyDescent="0.25">
      <c r="A43" s="131"/>
      <c r="B43"/>
      <c r="C43"/>
      <c r="D43"/>
      <c r="E43"/>
      <c r="F43"/>
      <c r="G43" s="396"/>
      <c r="H43"/>
      <c r="I43" s="397"/>
    </row>
    <row r="44" spans="1:9" ht="15.75" x14ac:dyDescent="0.25">
      <c r="A44" s="131"/>
      <c r="B44" t="s">
        <v>244</v>
      </c>
      <c r="C44"/>
      <c r="D44"/>
      <c r="E44"/>
      <c r="F44"/>
      <c r="G44" s="396"/>
      <c r="H44"/>
      <c r="I44" s="397"/>
    </row>
    <row r="45" spans="1:9" ht="15.75" x14ac:dyDescent="0.25">
      <c r="A45" s="131"/>
      <c r="B45"/>
      <c r="C45"/>
      <c r="D45"/>
      <c r="E45"/>
      <c r="F45"/>
      <c r="G45" s="396"/>
      <c r="H45"/>
      <c r="I45" s="397"/>
    </row>
    <row r="46" spans="1:9" ht="15.75" x14ac:dyDescent="0.25">
      <c r="A46" s="131"/>
      <c r="B46" s="197"/>
      <c r="C46" s="197" t="s">
        <v>242</v>
      </c>
      <c r="D46" s="197" t="s">
        <v>243</v>
      </c>
      <c r="E46" s="197" t="s">
        <v>245</v>
      </c>
      <c r="F46" s="197" t="s">
        <v>35</v>
      </c>
      <c r="G46" s="396"/>
      <c r="H46"/>
      <c r="I46" s="397"/>
    </row>
    <row r="47" spans="1:9" ht="15.75" x14ac:dyDescent="0.25">
      <c r="A47" s="391" t="s">
        <v>54</v>
      </c>
      <c r="B47" s="192">
        <f>B38</f>
        <v>2000</v>
      </c>
      <c r="C47" s="198">
        <f>C42</f>
        <v>656</v>
      </c>
      <c r="D47" s="198">
        <f>E42</f>
        <v>693140</v>
      </c>
      <c r="E47" s="398">
        <f>E28</f>
        <v>35.54</v>
      </c>
      <c r="F47" s="399">
        <f>E47*C47</f>
        <v>23314.239999999998</v>
      </c>
      <c r="G47" s="396"/>
      <c r="H47"/>
      <c r="I47" s="397"/>
    </row>
    <row r="48" spans="1:9" ht="15.75" x14ac:dyDescent="0.25">
      <c r="A48" s="391" t="s">
        <v>55</v>
      </c>
      <c r="B48" s="192">
        <f t="shared" ref="B48:B50" si="11">B39</f>
        <v>3000</v>
      </c>
      <c r="C48"/>
      <c r="D48" s="198">
        <f>F42</f>
        <v>489820</v>
      </c>
      <c r="E48" s="210">
        <f t="shared" ref="E48:E50" si="12">E29</f>
        <v>1.1650000000000001E-2</v>
      </c>
      <c r="F48" s="212">
        <f>ROUND(D48*E48,0)</f>
        <v>5706</v>
      </c>
      <c r="G48" s="396"/>
      <c r="H48"/>
      <c r="I48" s="397"/>
    </row>
    <row r="49" spans="1:9" ht="15.75" x14ac:dyDescent="0.25">
      <c r="A49" s="391" t="s">
        <v>55</v>
      </c>
      <c r="B49" s="192">
        <f t="shared" si="11"/>
        <v>5000</v>
      </c>
      <c r="C49"/>
      <c r="D49" s="198">
        <f>G42</f>
        <v>437910</v>
      </c>
      <c r="E49" s="210">
        <f t="shared" si="12"/>
        <v>1.064E-2</v>
      </c>
      <c r="F49" s="212">
        <f t="shared" ref="F49:F50" si="13">ROUND(D49*E49,0)</f>
        <v>4659</v>
      </c>
      <c r="G49" s="396"/>
      <c r="H49"/>
      <c r="I49" s="397"/>
    </row>
    <row r="50" spans="1:9" ht="15.75" x14ac:dyDescent="0.25">
      <c r="A50" s="391" t="s">
        <v>125</v>
      </c>
      <c r="B50" s="192">
        <f t="shared" si="11"/>
        <v>10000</v>
      </c>
      <c r="C50" s="197"/>
      <c r="D50" s="201">
        <f>H41</f>
        <v>1077180</v>
      </c>
      <c r="E50" s="210">
        <f t="shared" si="12"/>
        <v>9.5300000000000003E-3</v>
      </c>
      <c r="F50" s="213">
        <f t="shared" si="13"/>
        <v>10266</v>
      </c>
      <c r="G50" s="396"/>
      <c r="H50"/>
      <c r="I50" s="397"/>
    </row>
    <row r="51" spans="1:9" ht="16.5" thickBot="1" x14ac:dyDescent="0.3">
      <c r="A51" s="131"/>
      <c r="B51" t="s">
        <v>38</v>
      </c>
      <c r="C51"/>
      <c r="D51" s="194">
        <f>SUM(D47:D50)</f>
        <v>2698050</v>
      </c>
      <c r="E51"/>
      <c r="F51" s="202">
        <f>SUM(F47:F50)</f>
        <v>43945.24</v>
      </c>
      <c r="G51" s="396"/>
      <c r="H51"/>
      <c r="I51" s="397" t="s">
        <v>246</v>
      </c>
    </row>
    <row r="52" spans="1:9" ht="15.75" thickTop="1" x14ac:dyDescent="0.25">
      <c r="A52" s="30"/>
      <c r="B52" s="15"/>
      <c r="C52" s="15"/>
      <c r="D52" s="15"/>
      <c r="E52" s="15"/>
      <c r="F52" s="15"/>
      <c r="G52" s="15"/>
      <c r="H52" s="15"/>
      <c r="I52" s="72"/>
    </row>
  </sheetData>
  <mergeCells count="2">
    <mergeCell ref="A1:I1"/>
    <mergeCell ref="A2:I2"/>
  </mergeCells>
  <printOptions horizontalCentered="1"/>
  <pageMargins left="0.6" right="0.6" top="1" bottom="1" header="0.3" footer="0.3"/>
  <pageSetup scale="97" fitToHeight="2" orientation="portrait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BFB-29BA-4560-AEFE-C03B5B437A42}">
  <dimension ref="A1:T58"/>
  <sheetViews>
    <sheetView topLeftCell="D12" workbookViewId="0">
      <selection sqref="A1:I1"/>
    </sheetView>
  </sheetViews>
  <sheetFormatPr defaultColWidth="8.88671875" defaultRowHeight="15" x14ac:dyDescent="0.2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9.21875" style="1" bestFit="1" customWidth="1"/>
    <col min="11" max="11" width="21.6640625" style="1" customWidth="1"/>
    <col min="12" max="12" width="11.44140625" style="206" customWidth="1"/>
    <col min="13" max="13" width="9" style="1" bestFit="1" customWidth="1"/>
    <col min="14" max="15" width="8.88671875" style="1"/>
    <col min="16" max="16" width="9.88671875" style="1" customWidth="1"/>
    <col min="17" max="17" width="9.44140625" style="1" customWidth="1"/>
    <col min="18" max="18" width="10.21875" style="1" bestFit="1" customWidth="1"/>
    <col min="19" max="16384" width="8.88671875" style="1"/>
  </cols>
  <sheetData>
    <row r="1" spans="1:20" ht="18.75" x14ac:dyDescent="0.3">
      <c r="A1" s="492" t="s">
        <v>163</v>
      </c>
      <c r="B1" s="492"/>
      <c r="C1" s="492"/>
      <c r="D1" s="492"/>
      <c r="E1" s="492"/>
      <c r="F1" s="492"/>
      <c r="G1" s="492"/>
      <c r="H1" s="492"/>
      <c r="I1" s="492"/>
    </row>
    <row r="2" spans="1:20" ht="18.75" x14ac:dyDescent="0.25">
      <c r="A2" s="489" t="str">
        <f>Adj!B1</f>
        <v>Cannonsburg Water District</v>
      </c>
      <c r="B2" s="489"/>
      <c r="C2" s="489"/>
      <c r="D2" s="489"/>
      <c r="E2" s="489"/>
      <c r="F2" s="489"/>
      <c r="G2" s="489"/>
      <c r="H2" s="489"/>
      <c r="I2" s="489"/>
    </row>
    <row r="4" spans="1:20" ht="17.25" x14ac:dyDescent="0.4">
      <c r="C4" s="90" t="s">
        <v>115</v>
      </c>
      <c r="J4" s="109"/>
      <c r="S4" s="44"/>
      <c r="T4" s="44"/>
    </row>
    <row r="5" spans="1:20" ht="17.25" x14ac:dyDescent="0.4">
      <c r="C5" s="92"/>
      <c r="D5" s="15"/>
      <c r="E5" s="9" t="s">
        <v>56</v>
      </c>
      <c r="F5" s="9" t="s">
        <v>37</v>
      </c>
      <c r="G5" s="9" t="s">
        <v>35</v>
      </c>
      <c r="H5" s="2"/>
      <c r="S5" s="44"/>
      <c r="T5" s="44"/>
    </row>
    <row r="6" spans="1:20" x14ac:dyDescent="0.25">
      <c r="C6" s="1" t="s">
        <v>249</v>
      </c>
      <c r="E6" s="12">
        <f>C32</f>
        <v>7965</v>
      </c>
      <c r="F6" s="12">
        <f>D32</f>
        <v>13099240</v>
      </c>
      <c r="G6" s="7">
        <f>F36</f>
        <v>489695.7</v>
      </c>
      <c r="H6" s="7"/>
    </row>
    <row r="7" spans="1:20" x14ac:dyDescent="0.25">
      <c r="C7" s="1" t="s">
        <v>248</v>
      </c>
      <c r="E7" s="12">
        <f>C51</f>
        <v>656</v>
      </c>
      <c r="F7" s="12">
        <f>D51</f>
        <v>693140</v>
      </c>
      <c r="G7" s="12">
        <f>F55</f>
        <v>46033.08</v>
      </c>
      <c r="H7" s="12"/>
    </row>
    <row r="8" spans="1:20" x14ac:dyDescent="0.25">
      <c r="E8" s="13"/>
      <c r="F8" s="203"/>
      <c r="G8" s="13"/>
      <c r="H8" s="12"/>
    </row>
    <row r="9" spans="1:20" x14ac:dyDescent="0.25">
      <c r="C9" s="1" t="s">
        <v>32</v>
      </c>
      <c r="E9" s="26">
        <f>SUM(E6:E8)</f>
        <v>8621</v>
      </c>
      <c r="F9" s="36">
        <f>SUM(F6:F8)</f>
        <v>13792380</v>
      </c>
      <c r="G9" s="93">
        <f>SUM(G6:G8)</f>
        <v>535728.78</v>
      </c>
      <c r="H9" s="93"/>
    </row>
    <row r="10" spans="1:20" x14ac:dyDescent="0.25">
      <c r="C10" s="280" t="s">
        <v>169</v>
      </c>
      <c r="G10" s="13">
        <f>ROUND('BA Adj'!E33,0)</f>
        <v>-4481</v>
      </c>
      <c r="H10" s="12"/>
      <c r="I10" s="26"/>
    </row>
    <row r="11" spans="1:20" x14ac:dyDescent="0.25">
      <c r="C11" s="281" t="s">
        <v>119</v>
      </c>
      <c r="G11" s="74">
        <f>G9+G10</f>
        <v>531247.78</v>
      </c>
      <c r="H11" s="74"/>
      <c r="I11" s="74"/>
    </row>
    <row r="12" spans="1:20" ht="15.75" x14ac:dyDescent="0.25">
      <c r="C12" s="1" t="s">
        <v>285</v>
      </c>
      <c r="F12" s="10"/>
      <c r="G12" s="13">
        <f>-'SAO - Op Ratio'!L51</f>
        <v>-529728</v>
      </c>
      <c r="I12" s="74"/>
      <c r="S12"/>
    </row>
    <row r="13" spans="1:20" ht="15.75" thickBot="1" x14ac:dyDescent="0.3">
      <c r="C13" s="1" t="s">
        <v>284</v>
      </c>
      <c r="F13" s="10"/>
      <c r="G13" s="282">
        <f>SUM(G11:G12)</f>
        <v>1519.7800000000279</v>
      </c>
      <c r="I13" s="74"/>
    </row>
    <row r="14" spans="1:20" ht="15.75" thickTop="1" x14ac:dyDescent="0.25">
      <c r="F14" s="10"/>
      <c r="G14" s="35"/>
      <c r="I14" s="74"/>
    </row>
    <row r="15" spans="1:20" ht="18" x14ac:dyDescent="0.4">
      <c r="F15" s="10"/>
      <c r="G15" s="94"/>
      <c r="I15" s="74"/>
      <c r="J15"/>
    </row>
    <row r="16" spans="1:20" ht="15.75" x14ac:dyDescent="0.25">
      <c r="A16" s="95"/>
      <c r="J16"/>
    </row>
    <row r="17" spans="1:16" ht="15.75" x14ac:dyDescent="0.25">
      <c r="E17" s="2"/>
      <c r="F17" s="2"/>
      <c r="G17" s="2"/>
      <c r="H17" s="2"/>
      <c r="J17"/>
    </row>
    <row r="20" spans="1:16" x14ac:dyDescent="0.25">
      <c r="A20" s="1" t="s">
        <v>247</v>
      </c>
    </row>
    <row r="21" spans="1:16" x14ac:dyDescent="0.25">
      <c r="A21" s="186"/>
      <c r="B21" s="186"/>
      <c r="C21" s="186"/>
      <c r="D21" s="186"/>
      <c r="E21" s="186" t="s">
        <v>54</v>
      </c>
      <c r="F21" s="186" t="s">
        <v>55</v>
      </c>
      <c r="G21" s="187" t="s">
        <v>55</v>
      </c>
      <c r="H21" s="186" t="s">
        <v>125</v>
      </c>
      <c r="I21" s="186" t="s">
        <v>61</v>
      </c>
    </row>
    <row r="22" spans="1:16" x14ac:dyDescent="0.25">
      <c r="A22" s="186"/>
      <c r="B22" s="188" t="s">
        <v>241</v>
      </c>
      <c r="C22" s="188" t="s">
        <v>242</v>
      </c>
      <c r="D22" s="188" t="s">
        <v>243</v>
      </c>
      <c r="E22" s="189">
        <f>B23</f>
        <v>2000</v>
      </c>
      <c r="F22" s="189">
        <f>B24</f>
        <v>3000</v>
      </c>
      <c r="G22" s="190">
        <f>B25</f>
        <v>5000</v>
      </c>
      <c r="H22" s="191">
        <f>SUM(E22:G22)</f>
        <v>10000</v>
      </c>
      <c r="I22" s="188"/>
    </row>
    <row r="23" spans="1:16" x14ac:dyDescent="0.25">
      <c r="A23" s="186" t="s">
        <v>54</v>
      </c>
      <c r="B23" s="187">
        <v>2000</v>
      </c>
      <c r="C23" s="192">
        <v>2848</v>
      </c>
      <c r="D23" s="192">
        <v>2865240</v>
      </c>
      <c r="E23" s="192">
        <f>D23</f>
        <v>2865240</v>
      </c>
      <c r="F23" s="192">
        <v>0</v>
      </c>
      <c r="G23" s="193">
        <v>0</v>
      </c>
      <c r="H23" s="192">
        <v>0</v>
      </c>
      <c r="I23" s="192">
        <f>SUM(E23:H23)</f>
        <v>2865240</v>
      </c>
    </row>
    <row r="24" spans="1:16" x14ac:dyDescent="0.25">
      <c r="A24" s="186" t="s">
        <v>55</v>
      </c>
      <c r="B24" s="187">
        <v>3000</v>
      </c>
      <c r="C24" s="192">
        <v>3562</v>
      </c>
      <c r="D24" s="192">
        <v>11559720</v>
      </c>
      <c r="E24" s="192">
        <f>$C24*E$22</f>
        <v>7124000</v>
      </c>
      <c r="F24" s="192">
        <f>D24-E24</f>
        <v>4435720</v>
      </c>
      <c r="G24" s="193">
        <v>0</v>
      </c>
      <c r="H24" s="192">
        <v>0</v>
      </c>
      <c r="I24" s="192">
        <f t="shared" ref="I24:I26" si="0">SUM(E24:H24)</f>
        <v>11559720</v>
      </c>
    </row>
    <row r="25" spans="1:16" x14ac:dyDescent="0.25">
      <c r="A25" s="186" t="s">
        <v>55</v>
      </c>
      <c r="B25" s="187">
        <v>5000</v>
      </c>
      <c r="C25" s="192">
        <v>1198</v>
      </c>
      <c r="D25" s="192">
        <v>7846570</v>
      </c>
      <c r="E25" s="192">
        <f t="shared" ref="E25:G26" si="1">$C25*E$22</f>
        <v>2396000</v>
      </c>
      <c r="F25" s="192">
        <f t="shared" si="1"/>
        <v>3594000</v>
      </c>
      <c r="G25" s="193">
        <f>D25-E25-F25</f>
        <v>1856570</v>
      </c>
      <c r="H25" s="192">
        <v>0</v>
      </c>
      <c r="I25" s="192">
        <f t="shared" si="0"/>
        <v>7846570</v>
      </c>
    </row>
    <row r="26" spans="1:16" x14ac:dyDescent="0.25">
      <c r="A26" s="186" t="s">
        <v>125</v>
      </c>
      <c r="B26" s="187">
        <f>SUM(B23:B25)</f>
        <v>10000</v>
      </c>
      <c r="C26" s="192">
        <v>357</v>
      </c>
      <c r="D26" s="192">
        <v>7741880</v>
      </c>
      <c r="E26" s="192">
        <f t="shared" si="1"/>
        <v>714000</v>
      </c>
      <c r="F26" s="192">
        <f t="shared" si="1"/>
        <v>1071000</v>
      </c>
      <c r="G26" s="192">
        <f t="shared" si="1"/>
        <v>1785000</v>
      </c>
      <c r="H26" s="192">
        <f>D26-E26-F26-G26</f>
        <v>4171880</v>
      </c>
      <c r="I26" s="192">
        <f t="shared" si="0"/>
        <v>7741880</v>
      </c>
    </row>
    <row r="27" spans="1:16" ht="16.5" thickBot="1" x14ac:dyDescent="0.3">
      <c r="A27" s="186"/>
      <c r="B27" t="s">
        <v>0</v>
      </c>
      <c r="C27" s="194">
        <f t="shared" ref="C27:I27" si="2">SUM(C23:C26)</f>
        <v>7965</v>
      </c>
      <c r="D27" s="194">
        <f t="shared" si="2"/>
        <v>30013410</v>
      </c>
      <c r="E27" s="194">
        <f t="shared" si="2"/>
        <v>13099240</v>
      </c>
      <c r="F27" s="194">
        <f t="shared" si="2"/>
        <v>9100720</v>
      </c>
      <c r="G27" s="195">
        <f t="shared" si="2"/>
        <v>3641570</v>
      </c>
      <c r="H27" s="194">
        <f t="shared" si="2"/>
        <v>4171880</v>
      </c>
      <c r="I27" s="194">
        <f t="shared" si="2"/>
        <v>30013410</v>
      </c>
    </row>
    <row r="28" spans="1:16" ht="16.5" thickTop="1" x14ac:dyDescent="0.25">
      <c r="A28"/>
      <c r="B28"/>
      <c r="C28"/>
      <c r="D28"/>
      <c r="E28"/>
      <c r="F28"/>
      <c r="G28" s="196"/>
      <c r="H28"/>
      <c r="I28"/>
    </row>
    <row r="29" spans="1:16" ht="15.75" x14ac:dyDescent="0.25">
      <c r="A29"/>
      <c r="B29" t="s">
        <v>244</v>
      </c>
      <c r="C29"/>
      <c r="D29"/>
      <c r="E29"/>
      <c r="F29"/>
      <c r="G29" s="196"/>
      <c r="H29"/>
      <c r="I29"/>
    </row>
    <row r="30" spans="1:16" ht="15.75" x14ac:dyDescent="0.25">
      <c r="A30"/>
      <c r="B30"/>
      <c r="C30"/>
      <c r="D30"/>
      <c r="E30"/>
      <c r="F30"/>
      <c r="G30" s="196"/>
      <c r="H30"/>
      <c r="I30"/>
    </row>
    <row r="31" spans="1:16" ht="15.75" x14ac:dyDescent="0.25">
      <c r="A31"/>
      <c r="B31" s="197"/>
      <c r="C31" s="197" t="s">
        <v>242</v>
      </c>
      <c r="D31" s="197" t="s">
        <v>243</v>
      </c>
      <c r="E31" s="197" t="s">
        <v>245</v>
      </c>
      <c r="F31" s="197" t="s">
        <v>35</v>
      </c>
      <c r="G31" s="196"/>
      <c r="H31"/>
      <c r="I31"/>
      <c r="M31" s="182">
        <f>'SAO - Op Ratio'!L54</f>
        <v>0.36699999999999999</v>
      </c>
    </row>
    <row r="32" spans="1:16" ht="15.75" x14ac:dyDescent="0.25">
      <c r="A32" s="186" t="s">
        <v>54</v>
      </c>
      <c r="B32" s="192">
        <f>B23</f>
        <v>2000</v>
      </c>
      <c r="C32" s="198">
        <f>C27</f>
        <v>7965</v>
      </c>
      <c r="D32" s="198">
        <f>E27</f>
        <v>13099240</v>
      </c>
      <c r="E32" s="199">
        <f>O32</f>
        <v>37.18</v>
      </c>
      <c r="F32" s="200">
        <f>E32*C32</f>
        <v>296138.7</v>
      </c>
      <c r="G32" s="196"/>
      <c r="H32"/>
      <c r="I32"/>
      <c r="L32" s="206">
        <f>'BA - PWA CN 2023-00243'!E28</f>
        <v>27.22</v>
      </c>
      <c r="M32" s="1">
        <f>ROUND(M31*L32,2)</f>
        <v>9.99</v>
      </c>
      <c r="N32" s="1">
        <v>-0.03</v>
      </c>
      <c r="O32" s="206">
        <f>SUM(L32:N32)</f>
        <v>37.18</v>
      </c>
      <c r="P32" s="33">
        <f>C32*L32</f>
        <v>216807.3</v>
      </c>
    </row>
    <row r="33" spans="1:16" ht="15.75" x14ac:dyDescent="0.25">
      <c r="A33" s="186" t="s">
        <v>55</v>
      </c>
      <c r="B33" s="192">
        <f t="shared" ref="B33:B35" si="3">B24</f>
        <v>3000</v>
      </c>
      <c r="C33"/>
      <c r="D33" s="198">
        <f>F27</f>
        <v>9100720</v>
      </c>
      <c r="E33" s="209">
        <f t="shared" ref="E33:E35" si="4">O33</f>
        <v>1.2230000000000001E-2</v>
      </c>
      <c r="F33" s="212">
        <f>ROUND(D33*E33,0)</f>
        <v>111302</v>
      </c>
      <c r="G33" s="196"/>
      <c r="H33"/>
      <c r="I33"/>
      <c r="L33" s="222">
        <f>'BA - PWA CN 2023-00243'!E29</f>
        <v>8.94E-3</v>
      </c>
      <c r="M33" s="222">
        <f>ROUND(L33*M$31,4)</f>
        <v>3.3E-3</v>
      </c>
      <c r="N33" s="1">
        <v>-1.0000000000000001E-5</v>
      </c>
      <c r="O33" s="222">
        <f>SUM(L33:N33)</f>
        <v>1.2230000000000001E-2</v>
      </c>
      <c r="P33" s="33">
        <f>L33*D33</f>
        <v>81360.436799999996</v>
      </c>
    </row>
    <row r="34" spans="1:16" ht="15.75" x14ac:dyDescent="0.25">
      <c r="A34" s="186" t="s">
        <v>55</v>
      </c>
      <c r="B34" s="192">
        <f t="shared" si="3"/>
        <v>5000</v>
      </c>
      <c r="C34"/>
      <c r="D34" s="198">
        <f>G27</f>
        <v>3641570</v>
      </c>
      <c r="E34" s="209">
        <f t="shared" si="4"/>
        <v>1.1120000000000001E-2</v>
      </c>
      <c r="F34" s="212">
        <f t="shared" ref="F34:F35" si="5">ROUND(D34*E34,0)</f>
        <v>40494</v>
      </c>
      <c r="G34" s="196"/>
      <c r="H34"/>
      <c r="I34"/>
      <c r="L34" s="222">
        <f>'BA - PWA CN 2023-00243'!E30</f>
        <v>8.1300000000000001E-3</v>
      </c>
      <c r="M34" s="222">
        <f t="shared" ref="M34:M35" si="6">ROUND(L34*M$31,4)</f>
        <v>3.0000000000000001E-3</v>
      </c>
      <c r="N34" s="1">
        <v>-1.0000000000000001E-5</v>
      </c>
      <c r="O34" s="222">
        <f t="shared" ref="O34:O35" si="7">SUM(L34:N34)</f>
        <v>1.1120000000000001E-2</v>
      </c>
      <c r="P34" s="33">
        <f t="shared" ref="P34:P35" si="8">L34*D34</f>
        <v>29605.964100000001</v>
      </c>
    </row>
    <row r="35" spans="1:16" ht="15.75" x14ac:dyDescent="0.25">
      <c r="A35" s="186" t="s">
        <v>125</v>
      </c>
      <c r="B35" s="192">
        <f t="shared" si="3"/>
        <v>10000</v>
      </c>
      <c r="C35" s="197"/>
      <c r="D35" s="201">
        <f>H26</f>
        <v>4171880</v>
      </c>
      <c r="E35" s="209">
        <f t="shared" si="4"/>
        <v>1.0010000000000002E-2</v>
      </c>
      <c r="F35" s="213">
        <f t="shared" si="5"/>
        <v>41761</v>
      </c>
      <c r="G35" s="196"/>
      <c r="H35"/>
      <c r="I35"/>
      <c r="L35" s="222">
        <f>'BA - PWA CN 2023-00243'!E31</f>
        <v>7.3200000000000001E-3</v>
      </c>
      <c r="M35" s="222">
        <f t="shared" si="6"/>
        <v>2.7000000000000001E-3</v>
      </c>
      <c r="N35" s="1">
        <v>-1.0000000000000001E-5</v>
      </c>
      <c r="O35" s="222">
        <f t="shared" si="7"/>
        <v>1.0010000000000002E-2</v>
      </c>
      <c r="P35" s="33">
        <f t="shared" si="8"/>
        <v>30538.161599999999</v>
      </c>
    </row>
    <row r="36" spans="1:16" ht="16.5" thickBot="1" x14ac:dyDescent="0.3">
      <c r="A36"/>
      <c r="B36" t="s">
        <v>38</v>
      </c>
      <c r="C36"/>
      <c r="D36" s="194">
        <f>SUM(D32:D35)</f>
        <v>30013410</v>
      </c>
      <c r="E36"/>
      <c r="F36" s="202">
        <f>SUM(F32:F35)</f>
        <v>489695.7</v>
      </c>
      <c r="G36" s="196"/>
      <c r="H36"/>
      <c r="I36" t="s">
        <v>246</v>
      </c>
      <c r="P36" s="33">
        <f>SUM(P32:P35)</f>
        <v>358311.86249999993</v>
      </c>
    </row>
    <row r="37" spans="1:16" ht="16.5" thickTop="1" x14ac:dyDescent="0.25">
      <c r="A37"/>
      <c r="B37"/>
      <c r="C37"/>
      <c r="D37"/>
      <c r="E37"/>
      <c r="F37"/>
      <c r="G37" s="196"/>
      <c r="H37"/>
      <c r="I37"/>
    </row>
    <row r="38" spans="1:16" ht="15.75" x14ac:dyDescent="0.25">
      <c r="A38"/>
      <c r="B38"/>
      <c r="C38"/>
      <c r="D38"/>
      <c r="E38"/>
      <c r="F38"/>
      <c r="G38" s="196"/>
      <c r="H38"/>
      <c r="I38"/>
    </row>
    <row r="39" spans="1:16" ht="15.75" x14ac:dyDescent="0.25">
      <c r="A39" s="164" t="s">
        <v>248</v>
      </c>
      <c r="B39"/>
      <c r="C39"/>
      <c r="D39"/>
      <c r="E39"/>
      <c r="F39"/>
      <c r="G39" s="196"/>
      <c r="H39"/>
      <c r="I39"/>
    </row>
    <row r="40" spans="1:16" x14ac:dyDescent="0.25">
      <c r="A40" s="186"/>
      <c r="B40" s="186"/>
      <c r="C40" s="186"/>
      <c r="D40" s="186"/>
      <c r="E40" s="186" t="s">
        <v>54</v>
      </c>
      <c r="F40" s="186" t="s">
        <v>55</v>
      </c>
      <c r="G40" s="187" t="s">
        <v>55</v>
      </c>
      <c r="H40" s="186" t="s">
        <v>125</v>
      </c>
      <c r="I40" s="186" t="s">
        <v>61</v>
      </c>
    </row>
    <row r="41" spans="1:16" x14ac:dyDescent="0.25">
      <c r="A41" s="186"/>
      <c r="B41" s="188" t="s">
        <v>241</v>
      </c>
      <c r="C41" s="188" t="s">
        <v>242</v>
      </c>
      <c r="D41" s="188" t="s">
        <v>243</v>
      </c>
      <c r="E41" s="189">
        <f>B42</f>
        <v>2000</v>
      </c>
      <c r="F41" s="189">
        <f>B43</f>
        <v>3000</v>
      </c>
      <c r="G41" s="190">
        <f>B44</f>
        <v>5000</v>
      </c>
      <c r="H41" s="191">
        <f>SUM(E41:G41)</f>
        <v>10000</v>
      </c>
      <c r="I41" s="188"/>
    </row>
    <row r="42" spans="1:16" x14ac:dyDescent="0.25">
      <c r="A42" s="186" t="s">
        <v>54</v>
      </c>
      <c r="B42" s="187">
        <v>2000</v>
      </c>
      <c r="C42" s="192">
        <v>441</v>
      </c>
      <c r="D42" s="192">
        <v>263140</v>
      </c>
      <c r="E42" s="192">
        <f>D42</f>
        <v>263140</v>
      </c>
      <c r="F42" s="192">
        <v>0</v>
      </c>
      <c r="G42" s="193">
        <v>0</v>
      </c>
      <c r="H42" s="192">
        <v>0</v>
      </c>
      <c r="I42" s="192">
        <f>SUM(E42:H42)</f>
        <v>263140</v>
      </c>
    </row>
    <row r="43" spans="1:16" x14ac:dyDescent="0.25">
      <c r="A43" s="186" t="s">
        <v>55</v>
      </c>
      <c r="B43" s="187">
        <v>3000</v>
      </c>
      <c r="C43" s="192">
        <v>89</v>
      </c>
      <c r="D43" s="192">
        <v>289820</v>
      </c>
      <c r="E43" s="192">
        <f>$C43*E$41</f>
        <v>178000</v>
      </c>
      <c r="F43" s="192">
        <f>D43-E43</f>
        <v>111820</v>
      </c>
      <c r="G43" s="193">
        <v>0</v>
      </c>
      <c r="H43" s="192">
        <v>0</v>
      </c>
      <c r="I43" s="192">
        <f t="shared" ref="I43:I45" si="9">SUM(E43:H43)</f>
        <v>289820</v>
      </c>
    </row>
    <row r="44" spans="1:16" x14ac:dyDescent="0.25">
      <c r="A44" s="186" t="s">
        <v>55</v>
      </c>
      <c r="B44" s="187">
        <v>5000</v>
      </c>
      <c r="C44" s="192">
        <v>53</v>
      </c>
      <c r="D44" s="192">
        <v>337910</v>
      </c>
      <c r="E44" s="192">
        <f t="shared" ref="E44:G45" si="10">$C44*E$41</f>
        <v>106000</v>
      </c>
      <c r="F44" s="192">
        <f t="shared" si="10"/>
        <v>159000</v>
      </c>
      <c r="G44" s="193">
        <f>D44-E44-F44</f>
        <v>72910</v>
      </c>
      <c r="H44" s="192">
        <v>0</v>
      </c>
      <c r="I44" s="192">
        <f t="shared" si="9"/>
        <v>337910</v>
      </c>
    </row>
    <row r="45" spans="1:16" x14ac:dyDescent="0.25">
      <c r="A45" s="186" t="s">
        <v>125</v>
      </c>
      <c r="B45" s="187">
        <f>SUM(B42:B44)</f>
        <v>10000</v>
      </c>
      <c r="C45" s="192">
        <v>73</v>
      </c>
      <c r="D45" s="192">
        <v>1807180</v>
      </c>
      <c r="E45" s="192">
        <f t="shared" si="10"/>
        <v>146000</v>
      </c>
      <c r="F45" s="192">
        <f t="shared" si="10"/>
        <v>219000</v>
      </c>
      <c r="G45" s="192">
        <f t="shared" si="10"/>
        <v>365000</v>
      </c>
      <c r="H45" s="192">
        <f>D45-E45-F45-G45</f>
        <v>1077180</v>
      </c>
      <c r="I45" s="192">
        <f t="shared" si="9"/>
        <v>1807180</v>
      </c>
    </row>
    <row r="46" spans="1:16" ht="16.5" thickBot="1" x14ac:dyDescent="0.3">
      <c r="A46" s="186"/>
      <c r="B46" t="s">
        <v>0</v>
      </c>
      <c r="C46" s="194">
        <f t="shared" ref="C46:I46" si="11">SUM(C42:C45)</f>
        <v>656</v>
      </c>
      <c r="D46" s="194">
        <f t="shared" si="11"/>
        <v>2698050</v>
      </c>
      <c r="E46" s="194">
        <f t="shared" si="11"/>
        <v>693140</v>
      </c>
      <c r="F46" s="194">
        <f t="shared" si="11"/>
        <v>489820</v>
      </c>
      <c r="G46" s="195">
        <f t="shared" si="11"/>
        <v>437910</v>
      </c>
      <c r="H46" s="194">
        <f t="shared" si="11"/>
        <v>1077180</v>
      </c>
      <c r="I46" s="194">
        <f t="shared" si="11"/>
        <v>2698050</v>
      </c>
    </row>
    <row r="47" spans="1:16" ht="16.5" thickTop="1" x14ac:dyDescent="0.25">
      <c r="A47"/>
      <c r="B47"/>
      <c r="C47"/>
      <c r="D47"/>
      <c r="E47"/>
      <c r="F47"/>
      <c r="G47" s="196"/>
      <c r="H47"/>
      <c r="I47"/>
    </row>
    <row r="48" spans="1:16" ht="15.75" x14ac:dyDescent="0.25">
      <c r="A48"/>
      <c r="B48" t="s">
        <v>244</v>
      </c>
      <c r="C48"/>
      <c r="D48"/>
      <c r="E48"/>
      <c r="F48"/>
      <c r="G48" s="196"/>
      <c r="H48"/>
      <c r="I48"/>
    </row>
    <row r="49" spans="1:16" ht="15.75" x14ac:dyDescent="0.25">
      <c r="A49"/>
      <c r="B49"/>
      <c r="C49"/>
      <c r="D49"/>
      <c r="E49"/>
      <c r="F49"/>
      <c r="G49" s="196"/>
      <c r="H49"/>
      <c r="I49"/>
    </row>
    <row r="50" spans="1:16" ht="15.75" x14ac:dyDescent="0.25">
      <c r="A50"/>
      <c r="B50" s="197"/>
      <c r="C50" s="197" t="s">
        <v>242</v>
      </c>
      <c r="D50" s="197" t="s">
        <v>243</v>
      </c>
      <c r="E50" s="197" t="s">
        <v>245</v>
      </c>
      <c r="F50" s="197" t="s">
        <v>35</v>
      </c>
      <c r="G50" s="196"/>
      <c r="H50"/>
      <c r="I50"/>
      <c r="M50" s="182">
        <f>M31</f>
        <v>0.36699999999999999</v>
      </c>
    </row>
    <row r="51" spans="1:16" ht="15.75" x14ac:dyDescent="0.25">
      <c r="A51" s="186" t="s">
        <v>54</v>
      </c>
      <c r="B51" s="192">
        <f>B42</f>
        <v>2000</v>
      </c>
      <c r="C51" s="198">
        <f>C46</f>
        <v>656</v>
      </c>
      <c r="D51" s="198">
        <f>E46</f>
        <v>693140</v>
      </c>
      <c r="E51" s="199">
        <f>E32</f>
        <v>37.18</v>
      </c>
      <c r="F51" s="200">
        <f>E51*C51</f>
        <v>24390.079999999998</v>
      </c>
      <c r="G51" s="196"/>
      <c r="H51"/>
      <c r="I51"/>
      <c r="L51" s="206">
        <f>'BA - PWA CN 2023-00243'!E47</f>
        <v>27.22</v>
      </c>
      <c r="M51" s="1">
        <f>ROUND(M50*L51,2)</f>
        <v>9.99</v>
      </c>
      <c r="O51" s="206">
        <f>SUM(L51:N51)</f>
        <v>37.21</v>
      </c>
      <c r="P51" s="33">
        <f>C51*L51</f>
        <v>17856.32</v>
      </c>
    </row>
    <row r="52" spans="1:16" ht="15.75" x14ac:dyDescent="0.25">
      <c r="A52" s="186" t="s">
        <v>55</v>
      </c>
      <c r="B52" s="192">
        <f t="shared" ref="B52:B54" si="12">B43</f>
        <v>3000</v>
      </c>
      <c r="C52"/>
      <c r="D52" s="198">
        <f>F46</f>
        <v>489820</v>
      </c>
      <c r="E52" s="209">
        <f t="shared" ref="E52:E54" si="13">E33</f>
        <v>1.2230000000000001E-2</v>
      </c>
      <c r="F52" s="212">
        <f>ROUND(D52*E52,0)</f>
        <v>5990</v>
      </c>
      <c r="G52" s="196"/>
      <c r="H52"/>
      <c r="I52"/>
      <c r="L52" s="222">
        <f>'BA - PWA CN 2023-00243'!E48</f>
        <v>8.94E-3</v>
      </c>
      <c r="M52" s="222">
        <f>ROUND(L52*M$31,4)</f>
        <v>3.3E-3</v>
      </c>
      <c r="O52" s="222">
        <f>SUM(L52:N52)</f>
        <v>1.2240000000000001E-2</v>
      </c>
      <c r="P52" s="33">
        <f>L52*D52</f>
        <v>4378.9907999999996</v>
      </c>
    </row>
    <row r="53" spans="1:16" ht="15.75" x14ac:dyDescent="0.25">
      <c r="A53" s="186" t="s">
        <v>55</v>
      </c>
      <c r="B53" s="192">
        <f t="shared" si="12"/>
        <v>5000</v>
      </c>
      <c r="C53"/>
      <c r="D53" s="198">
        <f>G46</f>
        <v>437910</v>
      </c>
      <c r="E53" s="209">
        <f t="shared" si="13"/>
        <v>1.1120000000000001E-2</v>
      </c>
      <c r="F53" s="212">
        <f t="shared" ref="F53:F54" si="14">ROUND(D53*E53,0)</f>
        <v>4870</v>
      </c>
      <c r="G53" s="196"/>
      <c r="H53"/>
      <c r="I53"/>
      <c r="L53" s="222">
        <f>'BA - PWA CN 2023-00243'!E49</f>
        <v>8.1300000000000001E-3</v>
      </c>
      <c r="M53" s="222">
        <f t="shared" ref="M53:M54" si="15">ROUND(L53*M$31,4)</f>
        <v>3.0000000000000001E-3</v>
      </c>
      <c r="O53" s="222">
        <f t="shared" ref="O53:O54" si="16">SUM(L53:N53)</f>
        <v>1.1130000000000001E-2</v>
      </c>
      <c r="P53" s="33">
        <f t="shared" ref="P53:P54" si="17">L53*D53</f>
        <v>3560.2083000000002</v>
      </c>
    </row>
    <row r="54" spans="1:16" ht="15.75" x14ac:dyDescent="0.25">
      <c r="A54" s="186" t="s">
        <v>125</v>
      </c>
      <c r="B54" s="192">
        <f t="shared" si="12"/>
        <v>10000</v>
      </c>
      <c r="C54" s="197"/>
      <c r="D54" s="201">
        <f>H45</f>
        <v>1077180</v>
      </c>
      <c r="E54" s="209">
        <f t="shared" si="13"/>
        <v>1.0010000000000002E-2</v>
      </c>
      <c r="F54" s="213">
        <f t="shared" si="14"/>
        <v>10783</v>
      </c>
      <c r="G54" s="196"/>
      <c r="H54"/>
      <c r="I54"/>
      <c r="L54" s="222">
        <f>'BA - PWA CN 2023-00243'!E50</f>
        <v>7.3200000000000001E-3</v>
      </c>
      <c r="M54" s="222">
        <f t="shared" si="15"/>
        <v>2.7000000000000001E-3</v>
      </c>
      <c r="O54" s="222">
        <f t="shared" si="16"/>
        <v>1.0020000000000001E-2</v>
      </c>
      <c r="P54" s="33">
        <f t="shared" si="17"/>
        <v>7884.9575999999997</v>
      </c>
    </row>
    <row r="55" spans="1:16" ht="16.5" thickBot="1" x14ac:dyDescent="0.3">
      <c r="A55"/>
      <c r="B55" t="s">
        <v>38</v>
      </c>
      <c r="C55"/>
      <c r="D55" s="194">
        <f>SUM(D51:D54)</f>
        <v>2698050</v>
      </c>
      <c r="E55"/>
      <c r="F55" s="202">
        <f>SUM(F51:F54)</f>
        <v>46033.08</v>
      </c>
      <c r="G55" s="196"/>
      <c r="H55"/>
      <c r="I55" t="s">
        <v>246</v>
      </c>
      <c r="P55" s="33">
        <f>SUM(P51:P54)</f>
        <v>33680.476699999999</v>
      </c>
    </row>
    <row r="56" spans="1:16" ht="15.75" thickTop="1" x14ac:dyDescent="0.25"/>
    <row r="57" spans="1:16" x14ac:dyDescent="0.25">
      <c r="P57" s="33">
        <f>SUM(P36,P55)</f>
        <v>391992.33919999993</v>
      </c>
    </row>
    <row r="58" spans="1:16" x14ac:dyDescent="0.25">
      <c r="P58" s="1">
        <f>-'SAO - Op Ratio'!L12</f>
        <v>-387510.62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8823-4E49-46F0-BDE8-CAD1869D6CFE}">
  <dimension ref="B1:U40"/>
  <sheetViews>
    <sheetView showGridLines="0" workbookViewId="0">
      <selection activeCell="B1" sqref="B1:R40"/>
    </sheetView>
  </sheetViews>
  <sheetFormatPr defaultRowHeight="14.25" x14ac:dyDescent="0.2"/>
  <cols>
    <col min="1" max="1" width="8.88671875" style="154"/>
    <col min="2" max="2" width="2.77734375" style="154" customWidth="1"/>
    <col min="3" max="3" width="40.77734375" style="154" customWidth="1"/>
    <col min="4" max="4" width="1.33203125" style="154" customWidth="1"/>
    <col min="5" max="5" width="13" style="155" customWidth="1"/>
    <col min="6" max="7" width="1.33203125" style="154" customWidth="1"/>
    <col min="8" max="8" width="11.44140625" style="155" customWidth="1"/>
    <col min="9" max="10" width="1.33203125" style="154" customWidth="1"/>
    <col min="11" max="11" width="7.77734375" style="157" customWidth="1"/>
    <col min="12" max="12" width="1.33203125" style="183" customWidth="1"/>
    <col min="13" max="13" width="7.77734375" style="157" customWidth="1"/>
    <col min="14" max="14" width="1.33203125" style="154" customWidth="1"/>
    <col min="15" max="15" width="11.44140625" style="155" customWidth="1"/>
    <col min="16" max="16" width="1.33203125" style="154" customWidth="1"/>
    <col min="17" max="17" width="11.44140625" style="155" customWidth="1"/>
    <col min="18" max="18" width="2.77734375" style="154" customWidth="1"/>
    <col min="19" max="19" width="1.33203125" style="154" customWidth="1"/>
    <col min="20" max="16384" width="8.88671875" style="154"/>
  </cols>
  <sheetData>
    <row r="1" spans="2:21" x14ac:dyDescent="0.2">
      <c r="B1" s="421"/>
      <c r="C1" s="422"/>
      <c r="D1" s="422"/>
      <c r="E1" s="423"/>
      <c r="F1" s="422"/>
      <c r="G1" s="422"/>
      <c r="H1" s="423"/>
      <c r="I1" s="422"/>
      <c r="J1" s="422"/>
      <c r="K1" s="424"/>
      <c r="L1" s="425"/>
      <c r="M1" s="424"/>
      <c r="N1" s="422"/>
      <c r="O1" s="423"/>
      <c r="P1" s="422"/>
      <c r="Q1" s="423"/>
      <c r="R1" s="426"/>
    </row>
    <row r="2" spans="2:21" ht="23.25" x14ac:dyDescent="0.35">
      <c r="B2" s="386"/>
      <c r="C2" s="472" t="s">
        <v>161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27"/>
    </row>
    <row r="3" spans="2:21" ht="23.25" x14ac:dyDescent="0.35">
      <c r="B3" s="386"/>
      <c r="C3" s="498" t="s">
        <v>162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27"/>
    </row>
    <row r="4" spans="2:21" ht="23.25" x14ac:dyDescent="0.35">
      <c r="B4" s="386"/>
      <c r="C4" s="472" t="s">
        <v>202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27"/>
    </row>
    <row r="5" spans="2:21" x14ac:dyDescent="0.2">
      <c r="B5" s="386"/>
      <c r="R5" s="427"/>
    </row>
    <row r="6" spans="2:21" x14ac:dyDescent="0.2">
      <c r="B6" s="386"/>
      <c r="E6" s="376" t="s">
        <v>203</v>
      </c>
      <c r="H6" s="157">
        <v>2022</v>
      </c>
      <c r="K6" s="451" t="s">
        <v>209</v>
      </c>
      <c r="L6" s="451"/>
      <c r="M6" s="451"/>
      <c r="O6" s="157" t="s">
        <v>205</v>
      </c>
      <c r="Q6" s="157" t="s">
        <v>205</v>
      </c>
      <c r="R6" s="427"/>
    </row>
    <row r="7" spans="2:21" x14ac:dyDescent="0.2">
      <c r="B7" s="386"/>
      <c r="C7" s="158" t="s">
        <v>206</v>
      </c>
      <c r="E7" s="159" t="s">
        <v>207</v>
      </c>
      <c r="H7" s="159" t="s">
        <v>208</v>
      </c>
      <c r="K7" s="161" t="s">
        <v>303</v>
      </c>
      <c r="M7" s="161" t="s">
        <v>205</v>
      </c>
      <c r="O7" s="161" t="s">
        <v>210</v>
      </c>
      <c r="Q7" s="159" t="s">
        <v>211</v>
      </c>
      <c r="R7" s="427"/>
    </row>
    <row r="8" spans="2:21" x14ac:dyDescent="0.2">
      <c r="B8" s="386"/>
      <c r="C8" s="154" t="s">
        <v>212</v>
      </c>
      <c r="E8" s="162">
        <v>102609</v>
      </c>
      <c r="R8" s="427"/>
    </row>
    <row r="9" spans="2:21" x14ac:dyDescent="0.2">
      <c r="B9" s="386"/>
      <c r="C9" s="154" t="s">
        <v>214</v>
      </c>
      <c r="E9" s="155">
        <v>285597.13</v>
      </c>
      <c r="H9" s="385">
        <f>'Dep Adj '!I8</f>
        <v>8159.92</v>
      </c>
      <c r="K9" s="157">
        <v>35</v>
      </c>
      <c r="M9" s="157">
        <v>37.5</v>
      </c>
      <c r="O9" s="385">
        <f>'Dep Adj '!Q8</f>
        <v>7615.92</v>
      </c>
      <c r="Q9" s="162">
        <f t="shared" ref="Q9:Q38" si="0">ROUND(O9-H9,0)</f>
        <v>-544</v>
      </c>
      <c r="R9" s="427"/>
      <c r="T9" s="162">
        <v>-544</v>
      </c>
      <c r="U9" s="162">
        <f>Q9-T9</f>
        <v>0</v>
      </c>
    </row>
    <row r="10" spans="2:21" x14ac:dyDescent="0.2">
      <c r="B10" s="386"/>
      <c r="C10" s="154" t="s">
        <v>214</v>
      </c>
      <c r="E10" s="155">
        <v>13193.36</v>
      </c>
      <c r="H10" s="155">
        <f>'Dep Adj '!I9</f>
        <v>376.95</v>
      </c>
      <c r="K10" s="157">
        <v>35</v>
      </c>
      <c r="M10" s="157">
        <v>37.5</v>
      </c>
      <c r="O10" s="155">
        <f>'Dep Adj '!Q9</f>
        <v>351.82</v>
      </c>
      <c r="Q10" s="155">
        <f t="shared" si="0"/>
        <v>-25</v>
      </c>
      <c r="R10" s="427"/>
      <c r="T10" s="155">
        <v>-25</v>
      </c>
      <c r="U10" s="162">
        <f t="shared" ref="U10:U38" si="1">Q10-T10</f>
        <v>0</v>
      </c>
    </row>
    <row r="11" spans="2:21" x14ac:dyDescent="0.2">
      <c r="B11" s="386"/>
      <c r="C11" s="154" t="s">
        <v>216</v>
      </c>
      <c r="E11" s="155">
        <v>22788</v>
      </c>
      <c r="H11" s="155">
        <f>'Dep Adj '!I10</f>
        <v>0</v>
      </c>
      <c r="K11" s="157">
        <v>30</v>
      </c>
      <c r="M11" s="157">
        <v>62.5</v>
      </c>
      <c r="O11" s="155">
        <f>'Dep Adj '!Q10</f>
        <v>0</v>
      </c>
      <c r="Q11" s="155">
        <f t="shared" si="0"/>
        <v>0</v>
      </c>
      <c r="R11" s="427"/>
      <c r="T11" s="155">
        <v>0</v>
      </c>
      <c r="U11" s="162">
        <f t="shared" si="1"/>
        <v>0</v>
      </c>
    </row>
    <row r="12" spans="2:21" x14ac:dyDescent="0.2">
      <c r="B12" s="386"/>
      <c r="C12" s="154" t="s">
        <v>217</v>
      </c>
      <c r="E12" s="155">
        <v>21511</v>
      </c>
      <c r="H12" s="155">
        <f>'Dep Adj '!I11</f>
        <v>1075.55</v>
      </c>
      <c r="K12" s="157">
        <v>20</v>
      </c>
      <c r="M12" s="157">
        <v>62.5</v>
      </c>
      <c r="O12" s="155">
        <f>'Dep Adj '!Q11</f>
        <v>344.18</v>
      </c>
      <c r="Q12" s="155">
        <f t="shared" si="0"/>
        <v>-731</v>
      </c>
      <c r="R12" s="427"/>
      <c r="T12" s="155">
        <v>-731</v>
      </c>
      <c r="U12" s="162">
        <f t="shared" si="1"/>
        <v>0</v>
      </c>
    </row>
    <row r="13" spans="2:21" x14ac:dyDescent="0.2">
      <c r="B13" s="386"/>
      <c r="C13" s="154" t="s">
        <v>152</v>
      </c>
      <c r="E13" s="155">
        <v>17808</v>
      </c>
      <c r="H13" s="155">
        <f>'Dep Adj '!I12</f>
        <v>434.34</v>
      </c>
      <c r="K13" s="157">
        <v>41</v>
      </c>
      <c r="M13" s="157">
        <v>20</v>
      </c>
      <c r="O13" s="155">
        <f>'Dep Adj '!Q12</f>
        <v>890.4</v>
      </c>
      <c r="Q13" s="155">
        <f t="shared" si="0"/>
        <v>456</v>
      </c>
      <c r="R13" s="427"/>
      <c r="T13" s="155">
        <v>456</v>
      </c>
      <c r="U13" s="162">
        <f t="shared" si="1"/>
        <v>0</v>
      </c>
    </row>
    <row r="14" spans="2:21" x14ac:dyDescent="0.2">
      <c r="B14" s="386"/>
      <c r="C14" s="154" t="s">
        <v>218</v>
      </c>
      <c r="E14" s="155">
        <v>182531</v>
      </c>
      <c r="H14" s="155">
        <f>'Dep Adj '!I13</f>
        <v>0</v>
      </c>
      <c r="K14" s="157">
        <v>30</v>
      </c>
      <c r="M14" s="157">
        <v>45</v>
      </c>
      <c r="O14" s="155">
        <f>'Dep Adj '!Q13</f>
        <v>0</v>
      </c>
      <c r="Q14" s="155">
        <f t="shared" si="0"/>
        <v>0</v>
      </c>
      <c r="R14" s="427"/>
      <c r="T14" s="155">
        <v>0</v>
      </c>
      <c r="U14" s="162">
        <f t="shared" si="1"/>
        <v>0</v>
      </c>
    </row>
    <row r="15" spans="2:21" x14ac:dyDescent="0.2">
      <c r="B15" s="386"/>
      <c r="C15" s="154" t="s">
        <v>219</v>
      </c>
      <c r="E15" s="155">
        <v>1874765.42</v>
      </c>
      <c r="H15" s="155">
        <f>'Dep Adj '!I14</f>
        <v>31246.09</v>
      </c>
      <c r="K15" s="157">
        <v>60</v>
      </c>
      <c r="M15" s="157">
        <v>62.5</v>
      </c>
      <c r="O15" s="155">
        <f>'Dep Adj '!Q14</f>
        <v>29996.25</v>
      </c>
      <c r="Q15" s="155">
        <f t="shared" si="0"/>
        <v>-1250</v>
      </c>
      <c r="R15" s="427"/>
      <c r="T15" s="155">
        <v>-1250</v>
      </c>
      <c r="U15" s="162">
        <f t="shared" si="1"/>
        <v>0</v>
      </c>
    </row>
    <row r="16" spans="2:21" x14ac:dyDescent="0.2">
      <c r="B16" s="386"/>
      <c r="C16" s="154" t="s">
        <v>220</v>
      </c>
      <c r="E16" s="155">
        <v>143815.19</v>
      </c>
      <c r="H16" s="155">
        <f>'Dep Adj '!I15</f>
        <v>4793.84</v>
      </c>
      <c r="K16" s="157">
        <v>30</v>
      </c>
      <c r="M16" s="157">
        <v>40</v>
      </c>
      <c r="O16" s="155">
        <f>'Dep Adj '!Q15</f>
        <v>3595.38</v>
      </c>
      <c r="Q16" s="155">
        <f t="shared" si="0"/>
        <v>-1198</v>
      </c>
      <c r="R16" s="427"/>
      <c r="T16" s="155">
        <v>-1198</v>
      </c>
      <c r="U16" s="162">
        <f t="shared" si="1"/>
        <v>0</v>
      </c>
    </row>
    <row r="17" spans="2:21" x14ac:dyDescent="0.2">
      <c r="B17" s="386"/>
      <c r="C17" s="154" t="s">
        <v>220</v>
      </c>
      <c r="E17" s="155">
        <v>3300.31</v>
      </c>
      <c r="H17" s="155">
        <f>'Dep Adj '!I16</f>
        <v>110.01</v>
      </c>
      <c r="K17" s="157">
        <v>30</v>
      </c>
      <c r="M17" s="157">
        <v>40</v>
      </c>
      <c r="O17" s="155">
        <f>'Dep Adj '!Q16</f>
        <v>82.51</v>
      </c>
      <c r="Q17" s="155">
        <f t="shared" si="0"/>
        <v>-28</v>
      </c>
      <c r="R17" s="427"/>
      <c r="T17" s="155">
        <v>-28</v>
      </c>
      <c r="U17" s="162">
        <f t="shared" si="1"/>
        <v>0</v>
      </c>
    </row>
    <row r="18" spans="2:21" x14ac:dyDescent="0.2">
      <c r="B18" s="386"/>
      <c r="C18" s="154" t="s">
        <v>220</v>
      </c>
      <c r="E18" s="155">
        <v>1170.6600000000001</v>
      </c>
      <c r="H18" s="155">
        <f>'Dep Adj '!I17</f>
        <v>39.020000000000003</v>
      </c>
      <c r="K18" s="157">
        <v>30</v>
      </c>
      <c r="M18" s="157">
        <v>40</v>
      </c>
      <c r="O18" s="155">
        <f>'Dep Adj '!Q17</f>
        <v>29.27</v>
      </c>
      <c r="Q18" s="155">
        <f t="shared" si="0"/>
        <v>-10</v>
      </c>
      <c r="R18" s="427"/>
      <c r="T18" s="155">
        <v>-10</v>
      </c>
      <c r="U18" s="162">
        <f t="shared" si="1"/>
        <v>0</v>
      </c>
    </row>
    <row r="19" spans="2:21" x14ac:dyDescent="0.2">
      <c r="B19" s="386"/>
      <c r="C19" s="154" t="s">
        <v>220</v>
      </c>
      <c r="E19" s="155">
        <v>120</v>
      </c>
      <c r="H19" s="155">
        <f>'Dep Adj '!I18</f>
        <v>4</v>
      </c>
      <c r="K19" s="157">
        <v>30</v>
      </c>
      <c r="M19" s="157">
        <v>40</v>
      </c>
      <c r="O19" s="155">
        <f>'Dep Adj '!Q18</f>
        <v>3</v>
      </c>
      <c r="Q19" s="155">
        <f t="shared" si="0"/>
        <v>-1</v>
      </c>
      <c r="R19" s="427"/>
      <c r="T19" s="155">
        <v>-1</v>
      </c>
      <c r="U19" s="162">
        <f t="shared" si="1"/>
        <v>0</v>
      </c>
    </row>
    <row r="20" spans="2:21" x14ac:dyDescent="0.2">
      <c r="B20" s="386"/>
      <c r="C20" s="154" t="s">
        <v>220</v>
      </c>
      <c r="E20" s="155">
        <v>1539.24</v>
      </c>
      <c r="H20" s="155">
        <f>'Dep Adj '!I19</f>
        <v>51.31</v>
      </c>
      <c r="K20" s="157">
        <v>30</v>
      </c>
      <c r="M20" s="157">
        <v>40</v>
      </c>
      <c r="O20" s="155">
        <f>'Dep Adj '!Q19</f>
        <v>38.479999999999997</v>
      </c>
      <c r="Q20" s="155">
        <f t="shared" si="0"/>
        <v>-13</v>
      </c>
      <c r="R20" s="427"/>
      <c r="T20" s="155">
        <v>-13</v>
      </c>
      <c r="U20" s="162">
        <f t="shared" si="1"/>
        <v>0</v>
      </c>
    </row>
    <row r="21" spans="2:21" x14ac:dyDescent="0.2">
      <c r="B21" s="386"/>
      <c r="C21" s="154" t="s">
        <v>220</v>
      </c>
      <c r="E21" s="155">
        <v>2562</v>
      </c>
      <c r="H21" s="155">
        <f>'Dep Adj '!I20</f>
        <v>85.4</v>
      </c>
      <c r="K21" s="157">
        <v>30</v>
      </c>
      <c r="M21" s="157">
        <v>40</v>
      </c>
      <c r="O21" s="155">
        <f>'Dep Adj '!Q20</f>
        <v>64.05</v>
      </c>
      <c r="Q21" s="155">
        <f t="shared" si="0"/>
        <v>-21</v>
      </c>
      <c r="R21" s="427"/>
      <c r="T21" s="155">
        <v>-21</v>
      </c>
      <c r="U21" s="162">
        <f t="shared" si="1"/>
        <v>0</v>
      </c>
    </row>
    <row r="22" spans="2:21" x14ac:dyDescent="0.2">
      <c r="B22" s="386"/>
      <c r="C22" s="154" t="s">
        <v>220</v>
      </c>
      <c r="E22" s="155">
        <v>3556</v>
      </c>
      <c r="H22" s="155">
        <f>'Dep Adj '!I21</f>
        <v>118.53</v>
      </c>
      <c r="K22" s="157">
        <v>30</v>
      </c>
      <c r="M22" s="157">
        <v>40</v>
      </c>
      <c r="O22" s="155">
        <f>'Dep Adj '!Q21</f>
        <v>88.9</v>
      </c>
      <c r="Q22" s="155">
        <f t="shared" si="0"/>
        <v>-30</v>
      </c>
      <c r="R22" s="427"/>
      <c r="T22" s="155">
        <v>-30</v>
      </c>
      <c r="U22" s="162">
        <f t="shared" si="1"/>
        <v>0</v>
      </c>
    </row>
    <row r="23" spans="2:21" x14ac:dyDescent="0.2">
      <c r="B23" s="386"/>
      <c r="C23" s="154" t="s">
        <v>220</v>
      </c>
      <c r="E23" s="155">
        <v>9441.65</v>
      </c>
      <c r="H23" s="155">
        <f>'Dep Adj '!I22</f>
        <v>314.72000000000003</v>
      </c>
      <c r="K23" s="157">
        <v>30</v>
      </c>
      <c r="M23" s="157">
        <v>40</v>
      </c>
      <c r="O23" s="155">
        <f>'Dep Adj '!Q22</f>
        <v>236.04</v>
      </c>
      <c r="Q23" s="155">
        <f t="shared" si="0"/>
        <v>-79</v>
      </c>
      <c r="R23" s="427"/>
      <c r="T23" s="155">
        <v>-79</v>
      </c>
      <c r="U23" s="162">
        <f t="shared" si="1"/>
        <v>0</v>
      </c>
    </row>
    <row r="24" spans="2:21" x14ac:dyDescent="0.2">
      <c r="B24" s="386"/>
      <c r="C24" s="154" t="s">
        <v>220</v>
      </c>
      <c r="E24" s="155">
        <v>14366</v>
      </c>
      <c r="H24" s="155">
        <f>'Dep Adj '!I23</f>
        <v>239</v>
      </c>
      <c r="K24" s="157">
        <v>30</v>
      </c>
      <c r="M24" s="157">
        <v>40</v>
      </c>
      <c r="O24" s="155">
        <f>'Dep Adj '!Q23</f>
        <v>359.15</v>
      </c>
      <c r="Q24" s="155">
        <f t="shared" si="0"/>
        <v>120</v>
      </c>
      <c r="R24" s="427"/>
      <c r="T24" s="155">
        <v>120</v>
      </c>
      <c r="U24" s="162">
        <f t="shared" si="1"/>
        <v>0</v>
      </c>
    </row>
    <row r="25" spans="2:21" x14ac:dyDescent="0.2">
      <c r="B25" s="386"/>
      <c r="C25" s="154" t="s">
        <v>333</v>
      </c>
      <c r="E25" s="155">
        <v>4000</v>
      </c>
      <c r="H25" s="155">
        <v>0</v>
      </c>
      <c r="M25" s="157">
        <v>40</v>
      </c>
      <c r="O25" s="155">
        <f>'Dep Adj '!Q24</f>
        <v>100</v>
      </c>
      <c r="Q25" s="155">
        <f t="shared" ref="Q25:Q26" si="2">ROUND(O25-H25,0)</f>
        <v>100</v>
      </c>
      <c r="R25" s="427"/>
      <c r="T25" s="155">
        <v>-140</v>
      </c>
      <c r="U25" s="162">
        <f t="shared" si="1"/>
        <v>240</v>
      </c>
    </row>
    <row r="26" spans="2:21" x14ac:dyDescent="0.2">
      <c r="B26" s="386"/>
      <c r="C26" s="154" t="s">
        <v>334</v>
      </c>
      <c r="E26" s="155">
        <v>187000</v>
      </c>
      <c r="H26" s="155">
        <v>0</v>
      </c>
      <c r="M26" s="157">
        <v>20</v>
      </c>
      <c r="O26" s="155">
        <f>'Dep Adj '!Q25</f>
        <v>9350</v>
      </c>
      <c r="Q26" s="155">
        <f t="shared" si="2"/>
        <v>9350</v>
      </c>
      <c r="R26" s="427"/>
      <c r="T26" s="155">
        <v>9350</v>
      </c>
      <c r="U26" s="162">
        <f t="shared" si="1"/>
        <v>0</v>
      </c>
    </row>
    <row r="27" spans="2:21" x14ac:dyDescent="0.2">
      <c r="B27" s="386"/>
      <c r="C27" s="154" t="s">
        <v>221</v>
      </c>
      <c r="E27" s="155">
        <v>4313</v>
      </c>
      <c r="H27" s="155">
        <f>'Dep Adj '!I26</f>
        <v>143.77000000000001</v>
      </c>
      <c r="K27" s="157">
        <v>30</v>
      </c>
      <c r="M27" s="157">
        <v>50</v>
      </c>
      <c r="O27" s="155">
        <f>'Dep Adj '!Q26</f>
        <v>86.26</v>
      </c>
      <c r="Q27" s="155">
        <f t="shared" si="0"/>
        <v>-58</v>
      </c>
      <c r="R27" s="427"/>
      <c r="T27" s="155">
        <v>-58</v>
      </c>
      <c r="U27" s="162">
        <f t="shared" si="1"/>
        <v>0</v>
      </c>
    </row>
    <row r="28" spans="2:21" x14ac:dyDescent="0.2">
      <c r="B28" s="386"/>
      <c r="C28" s="154" t="s">
        <v>222</v>
      </c>
      <c r="E28" s="155">
        <v>17029</v>
      </c>
      <c r="H28" s="155">
        <f>'Dep Adj '!I27</f>
        <v>0</v>
      </c>
      <c r="K28" s="157">
        <v>5</v>
      </c>
      <c r="M28" s="157">
        <v>22.5</v>
      </c>
      <c r="O28" s="155">
        <f>'Dep Adj '!Q27</f>
        <v>0</v>
      </c>
      <c r="Q28" s="155">
        <f t="shared" si="0"/>
        <v>0</v>
      </c>
      <c r="R28" s="427"/>
      <c r="T28" s="155">
        <v>0</v>
      </c>
      <c r="U28" s="162">
        <f t="shared" si="1"/>
        <v>0</v>
      </c>
    </row>
    <row r="29" spans="2:21" x14ac:dyDescent="0.2">
      <c r="B29" s="386"/>
      <c r="C29" s="154" t="s">
        <v>222</v>
      </c>
      <c r="E29" s="155">
        <v>19361.02</v>
      </c>
      <c r="H29" s="155">
        <f>'Dep Adj '!I28</f>
        <v>0</v>
      </c>
      <c r="K29" s="157">
        <v>5</v>
      </c>
      <c r="M29" s="157">
        <v>22.5</v>
      </c>
      <c r="O29" s="155">
        <f>'Dep Adj '!Q28</f>
        <v>0</v>
      </c>
      <c r="Q29" s="155">
        <f t="shared" si="0"/>
        <v>0</v>
      </c>
      <c r="R29" s="427"/>
      <c r="T29" s="155">
        <v>0</v>
      </c>
      <c r="U29" s="162">
        <f t="shared" si="1"/>
        <v>0</v>
      </c>
    </row>
    <row r="30" spans="2:21" x14ac:dyDescent="0.2">
      <c r="B30" s="386"/>
      <c r="C30" s="154" t="s">
        <v>305</v>
      </c>
      <c r="E30" s="155">
        <v>11335</v>
      </c>
      <c r="H30" s="155">
        <f>'Dep Adj '!I29</f>
        <v>0</v>
      </c>
      <c r="K30" s="157">
        <v>3</v>
      </c>
      <c r="M30" s="157">
        <v>10</v>
      </c>
      <c r="O30" s="155">
        <f>'Dep Adj '!Q29</f>
        <v>0</v>
      </c>
      <c r="Q30" s="155">
        <f t="shared" si="0"/>
        <v>0</v>
      </c>
      <c r="R30" s="427"/>
      <c r="T30" s="155">
        <v>0</v>
      </c>
      <c r="U30" s="162">
        <f t="shared" si="1"/>
        <v>0</v>
      </c>
    </row>
    <row r="31" spans="2:21" x14ac:dyDescent="0.2">
      <c r="B31" s="386"/>
      <c r="C31" s="154" t="s">
        <v>335</v>
      </c>
      <c r="E31" s="155">
        <f>'Dep Adj '!E30</f>
        <v>2560</v>
      </c>
      <c r="H31" s="155">
        <v>0</v>
      </c>
      <c r="M31" s="157">
        <v>11</v>
      </c>
      <c r="O31" s="155">
        <f>'Dep Adj '!Q30</f>
        <v>256</v>
      </c>
      <c r="Q31" s="155">
        <f t="shared" ref="Q31" si="3">ROUND(O31-H31,0)</f>
        <v>256</v>
      </c>
      <c r="R31" s="427"/>
      <c r="T31" s="155">
        <v>256</v>
      </c>
      <c r="U31" s="162">
        <f t="shared" si="1"/>
        <v>0</v>
      </c>
    </row>
    <row r="32" spans="2:21" x14ac:dyDescent="0.2">
      <c r="B32" s="386"/>
      <c r="C32" s="154" t="s">
        <v>224</v>
      </c>
      <c r="E32" s="155">
        <v>18026.87</v>
      </c>
      <c r="H32" s="155">
        <f>'Dep Adj '!I31</f>
        <v>0</v>
      </c>
      <c r="K32" s="157">
        <v>5</v>
      </c>
      <c r="M32" s="157">
        <v>7</v>
      </c>
      <c r="O32" s="155">
        <f>'Dep Adj '!Q31</f>
        <v>0</v>
      </c>
      <c r="Q32" s="155">
        <f t="shared" si="0"/>
        <v>0</v>
      </c>
      <c r="R32" s="427"/>
      <c r="T32" s="155">
        <v>0</v>
      </c>
      <c r="U32" s="162">
        <f t="shared" si="1"/>
        <v>0</v>
      </c>
    </row>
    <row r="33" spans="2:21" x14ac:dyDescent="0.2">
      <c r="B33" s="386"/>
      <c r="C33" s="154" t="s">
        <v>225</v>
      </c>
      <c r="E33" s="155">
        <v>36387</v>
      </c>
      <c r="H33" s="155">
        <f>'Dep Adj '!I32</f>
        <v>0</v>
      </c>
      <c r="K33" s="157">
        <v>7</v>
      </c>
      <c r="M33" s="157">
        <v>12.5</v>
      </c>
      <c r="O33" s="155">
        <f>'Dep Adj '!Q32</f>
        <v>0</v>
      </c>
      <c r="Q33" s="155">
        <f t="shared" si="0"/>
        <v>0</v>
      </c>
      <c r="R33" s="427"/>
      <c r="T33" s="155">
        <v>0</v>
      </c>
      <c r="U33" s="162">
        <f t="shared" si="1"/>
        <v>0</v>
      </c>
    </row>
    <row r="34" spans="2:21" x14ac:dyDescent="0.2">
      <c r="B34" s="386"/>
      <c r="C34" s="154" t="s">
        <v>226</v>
      </c>
      <c r="E34" s="155">
        <v>7574</v>
      </c>
      <c r="H34" s="155">
        <f>'Dep Adj '!I33</f>
        <v>1082</v>
      </c>
      <c r="K34" s="157">
        <v>7</v>
      </c>
      <c r="M34" s="157">
        <v>12.5</v>
      </c>
      <c r="O34" s="155">
        <f>'Dep Adj '!Q33</f>
        <v>605.91999999999996</v>
      </c>
      <c r="Q34" s="155">
        <f t="shared" si="0"/>
        <v>-476</v>
      </c>
      <c r="R34" s="427"/>
      <c r="T34" s="155">
        <v>-476</v>
      </c>
      <c r="U34" s="162">
        <f t="shared" si="1"/>
        <v>0</v>
      </c>
    </row>
    <row r="35" spans="2:21" x14ac:dyDescent="0.2">
      <c r="B35" s="386"/>
      <c r="C35" s="154" t="s">
        <v>227</v>
      </c>
      <c r="E35" s="155">
        <v>6453.68</v>
      </c>
      <c r="H35" s="155">
        <f>'Dep Adj '!I34</f>
        <v>921.95</v>
      </c>
      <c r="K35" s="157">
        <v>7</v>
      </c>
      <c r="M35" s="157">
        <v>12.5</v>
      </c>
      <c r="O35" s="155">
        <f>'Dep Adj '!Q34</f>
        <v>516.29</v>
      </c>
      <c r="Q35" s="155">
        <f t="shared" si="0"/>
        <v>-406</v>
      </c>
      <c r="R35" s="427"/>
      <c r="T35" s="155">
        <v>-406</v>
      </c>
      <c r="U35" s="162">
        <f t="shared" si="1"/>
        <v>0</v>
      </c>
    </row>
    <row r="36" spans="2:21" x14ac:dyDescent="0.2">
      <c r="B36" s="386"/>
      <c r="C36" s="154" t="s">
        <v>336</v>
      </c>
      <c r="E36" s="155">
        <f>'Dep Adj '!E35</f>
        <v>8750</v>
      </c>
      <c r="M36" s="157">
        <v>12.5</v>
      </c>
      <c r="O36" s="155">
        <f>'Dep Adj '!Q35</f>
        <v>700</v>
      </c>
      <c r="Q36" s="155">
        <f t="shared" ref="Q36" si="4">ROUND(O36-H36,0)</f>
        <v>700</v>
      </c>
      <c r="R36" s="427"/>
      <c r="T36" s="155">
        <v>700</v>
      </c>
      <c r="U36" s="162">
        <f t="shared" si="1"/>
        <v>0</v>
      </c>
    </row>
    <row r="37" spans="2:21" x14ac:dyDescent="0.2">
      <c r="B37" s="386"/>
      <c r="C37" s="154" t="s">
        <v>308</v>
      </c>
      <c r="E37" s="155">
        <v>1307.99</v>
      </c>
      <c r="H37" s="155">
        <f>'Dep Adj '!I36</f>
        <v>186.86</v>
      </c>
      <c r="K37" s="157">
        <v>7</v>
      </c>
      <c r="M37" s="157">
        <v>12.5</v>
      </c>
      <c r="O37" s="155">
        <f>'Dep Adj '!Q36</f>
        <v>104.64</v>
      </c>
      <c r="Q37" s="155">
        <f t="shared" si="0"/>
        <v>-82</v>
      </c>
      <c r="R37" s="427"/>
      <c r="T37" s="155">
        <v>-82</v>
      </c>
      <c r="U37" s="162">
        <f t="shared" si="1"/>
        <v>0</v>
      </c>
    </row>
    <row r="38" spans="2:21" x14ac:dyDescent="0.2">
      <c r="B38" s="386"/>
      <c r="C38" s="154" t="s">
        <v>308</v>
      </c>
      <c r="E38" s="155">
        <v>678.36</v>
      </c>
      <c r="H38" s="383">
        <f>'Dep Adj '!I37</f>
        <v>48.5</v>
      </c>
      <c r="K38" s="157">
        <v>7</v>
      </c>
      <c r="M38" s="157">
        <v>12.5</v>
      </c>
      <c r="O38" s="383">
        <f>'Dep Adj '!Q37</f>
        <v>54.27</v>
      </c>
      <c r="Q38" s="155">
        <f t="shared" si="0"/>
        <v>6</v>
      </c>
      <c r="R38" s="427"/>
      <c r="T38" s="155">
        <v>6</v>
      </c>
      <c r="U38" s="162">
        <f t="shared" si="1"/>
        <v>0</v>
      </c>
    </row>
    <row r="39" spans="2:21" ht="15" thickBot="1" x14ac:dyDescent="0.25">
      <c r="B39" s="386"/>
      <c r="E39" s="163">
        <f>SUM(E8:E38)</f>
        <v>3025449.8800000008</v>
      </c>
      <c r="H39" s="163">
        <f>SUM(H9:H38)</f>
        <v>49431.759999999995</v>
      </c>
      <c r="O39" s="163">
        <f>SUM(O9:O38)</f>
        <v>55468.73</v>
      </c>
      <c r="Q39" s="163">
        <f>SUM(Q9:Q38)</f>
        <v>6036</v>
      </c>
      <c r="R39" s="427"/>
      <c r="T39" s="162">
        <f>SUM(T9:T38)</f>
        <v>5796</v>
      </c>
    </row>
    <row r="40" spans="2:21" ht="15" thickTop="1" x14ac:dyDescent="0.2">
      <c r="B40" s="388"/>
      <c r="C40" s="382"/>
      <c r="D40" s="382"/>
      <c r="E40" s="383"/>
      <c r="F40" s="382"/>
      <c r="G40" s="382"/>
      <c r="H40" s="383"/>
      <c r="I40" s="382"/>
      <c r="J40" s="382"/>
      <c r="K40" s="161"/>
      <c r="L40" s="158"/>
      <c r="M40" s="161"/>
      <c r="N40" s="382"/>
      <c r="O40" s="383"/>
      <c r="P40" s="382"/>
      <c r="Q40" s="383"/>
      <c r="R40" s="428"/>
    </row>
  </sheetData>
  <mergeCells count="4">
    <mergeCell ref="C3:Q3"/>
    <mergeCell ref="C4:Q4"/>
    <mergeCell ref="K6:M6"/>
    <mergeCell ref="C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EFAA-CA84-4A30-BCCD-CB7EC391EAC5}">
  <dimension ref="B2:IY63"/>
  <sheetViews>
    <sheetView showGridLines="0" tabSelected="1" topLeftCell="A16" zoomScaleNormal="100" workbookViewId="0">
      <selection activeCell="E34" sqref="E34"/>
    </sheetView>
  </sheetViews>
  <sheetFormatPr defaultColWidth="8.88671875" defaultRowHeight="15.75" x14ac:dyDescent="0.25"/>
  <cols>
    <col min="1" max="1" width="3.5546875" style="19" customWidth="1"/>
    <col min="2" max="2" width="1.77734375" style="19" customWidth="1"/>
    <col min="3" max="3" width="3.6640625" style="18" customWidth="1"/>
    <col min="4" max="4" width="2.6640625" style="18" customWidth="1"/>
    <col min="5" max="5" width="27.33203125" style="18" customWidth="1"/>
    <col min="6" max="6" width="13.77734375" style="18" customWidth="1"/>
    <col min="7" max="7" width="1.77734375" style="18" customWidth="1"/>
    <col min="8" max="8" width="13.77734375" style="18" customWidth="1"/>
    <col min="9" max="9" width="1.77734375" style="18" customWidth="1"/>
    <col min="10" max="10" width="4.88671875" style="278" customWidth="1"/>
    <col min="11" max="11" width="1.77734375" style="278" customWidth="1"/>
    <col min="12" max="12" width="13.77734375" style="18" customWidth="1"/>
    <col min="13" max="13" width="1.5546875" style="18" customWidth="1"/>
    <col min="14" max="14" width="9.6640625" style="309" customWidth="1"/>
    <col min="15" max="15" width="11.33203125" style="18" customWidth="1"/>
    <col min="16" max="16" width="9.6640625" style="141" customWidth="1"/>
    <col min="17" max="17" width="18" style="18" customWidth="1"/>
    <col min="18" max="18" width="8.21875" style="18" customWidth="1"/>
    <col min="19" max="259" width="9.6640625" style="18" customWidth="1"/>
    <col min="260" max="261" width="9.6640625" style="19" customWidth="1"/>
    <col min="262" max="16384" width="8.88671875" style="19"/>
  </cols>
  <sheetData>
    <row r="2" spans="2:23" ht="6.95" customHeight="1" x14ac:dyDescent="0.25">
      <c r="B2" s="40"/>
      <c r="C2" s="75"/>
      <c r="D2" s="75"/>
      <c r="E2" s="75"/>
      <c r="F2" s="75"/>
      <c r="G2" s="75"/>
      <c r="H2" s="75"/>
      <c r="I2" s="75"/>
      <c r="J2" s="277"/>
      <c r="K2" s="277"/>
      <c r="L2" s="75"/>
      <c r="M2" s="76"/>
    </row>
    <row r="3" spans="2:23" x14ac:dyDescent="0.25">
      <c r="B3" s="39"/>
      <c r="C3" s="447" t="s">
        <v>21</v>
      </c>
      <c r="D3" s="447"/>
      <c r="E3" s="447"/>
      <c r="F3" s="447"/>
      <c r="G3" s="447"/>
      <c r="H3" s="447"/>
      <c r="I3" s="447"/>
      <c r="J3" s="447"/>
      <c r="K3" s="447"/>
      <c r="L3" s="447"/>
      <c r="M3" s="272"/>
      <c r="N3" s="313"/>
      <c r="O3" s="17"/>
      <c r="P3" s="142"/>
      <c r="Q3" s="17"/>
      <c r="R3" s="17"/>
      <c r="S3" s="17"/>
      <c r="T3" s="17"/>
    </row>
    <row r="4" spans="2:23" ht="18.75" customHeight="1" x14ac:dyDescent="0.25">
      <c r="B4" s="39"/>
      <c r="C4" s="445" t="str">
        <f>Adj!B1</f>
        <v>Cannonsburg Water District</v>
      </c>
      <c r="D4" s="445"/>
      <c r="E4" s="445"/>
      <c r="F4" s="445"/>
      <c r="G4" s="445"/>
      <c r="H4" s="445"/>
      <c r="I4" s="445"/>
      <c r="J4" s="445"/>
      <c r="K4" s="445"/>
      <c r="L4" s="445"/>
      <c r="M4" s="83"/>
      <c r="N4" s="311"/>
      <c r="O4" s="164"/>
      <c r="P4" s="142"/>
      <c r="Q4" s="232"/>
      <c r="R4" s="232"/>
      <c r="S4" s="232"/>
      <c r="T4" s="232"/>
      <c r="U4" s="232"/>
      <c r="V4" s="232"/>
      <c r="W4" s="232"/>
    </row>
    <row r="5" spans="2:23" ht="6.95" customHeight="1" x14ac:dyDescent="0.25">
      <c r="B5" s="41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4"/>
      <c r="N5" s="311"/>
      <c r="O5" s="164"/>
      <c r="P5" s="142"/>
      <c r="Q5" s="232"/>
      <c r="R5" s="232"/>
      <c r="S5" s="232"/>
      <c r="T5" s="232"/>
      <c r="U5" s="232"/>
      <c r="V5" s="232"/>
      <c r="W5" s="232"/>
    </row>
    <row r="6" spans="2:23" ht="6.95" customHeight="1" x14ac:dyDescent="0.25">
      <c r="B6" s="39"/>
      <c r="C6" s="17"/>
      <c r="D6" s="17"/>
      <c r="E6" s="17"/>
      <c r="F6" s="87"/>
      <c r="G6" s="87"/>
      <c r="H6" s="87"/>
      <c r="I6" s="87"/>
      <c r="J6" s="235"/>
      <c r="K6" s="235"/>
      <c r="L6" s="87"/>
      <c r="M6" s="88"/>
      <c r="N6" s="313"/>
      <c r="O6" s="17"/>
      <c r="P6" s="142"/>
      <c r="Q6" s="17"/>
      <c r="R6" s="17"/>
      <c r="S6" s="17"/>
      <c r="T6" s="17"/>
    </row>
    <row r="7" spans="2:23" x14ac:dyDescent="0.25">
      <c r="B7" s="39"/>
      <c r="C7" s="17"/>
      <c r="D7" s="17"/>
      <c r="E7" s="17"/>
      <c r="F7" s="233" t="s">
        <v>59</v>
      </c>
      <c r="G7" s="87"/>
      <c r="H7" s="233" t="s">
        <v>20</v>
      </c>
      <c r="I7" s="87"/>
      <c r="J7" s="401" t="s">
        <v>34</v>
      </c>
      <c r="K7" s="235"/>
      <c r="L7" s="233" t="s">
        <v>58</v>
      </c>
      <c r="M7" s="88"/>
      <c r="N7" s="314"/>
      <c r="O7" s="142"/>
      <c r="P7" s="142"/>
      <c r="Q7" s="142"/>
      <c r="R7" s="17"/>
      <c r="S7" s="17"/>
      <c r="T7" s="17"/>
    </row>
    <row r="8" spans="2:23" x14ac:dyDescent="0.25">
      <c r="B8" s="39"/>
      <c r="C8" s="236" t="s">
        <v>2</v>
      </c>
      <c r="D8" s="17"/>
      <c r="E8" s="17"/>
      <c r="F8" s="17"/>
      <c r="G8" s="17"/>
      <c r="H8" s="17"/>
      <c r="I8" s="17"/>
      <c r="J8" s="240"/>
      <c r="K8" s="240"/>
      <c r="L8" s="17"/>
      <c r="M8" s="237"/>
      <c r="N8" s="314"/>
      <c r="O8" s="142"/>
      <c r="P8" s="142"/>
      <c r="Q8" s="142"/>
      <c r="R8" s="17"/>
      <c r="S8" s="17"/>
      <c r="T8" s="17"/>
    </row>
    <row r="9" spans="2:23" x14ac:dyDescent="0.25">
      <c r="B9" s="39"/>
      <c r="C9" s="17"/>
      <c r="D9" s="17" t="s">
        <v>108</v>
      </c>
      <c r="E9" s="17"/>
      <c r="F9" s="323">
        <v>345210</v>
      </c>
      <c r="G9" s="21"/>
      <c r="H9" s="21">
        <f>'ExBA - Beg. Rates'!G13</f>
        <v>-11362.770000000019</v>
      </c>
      <c r="I9" s="21"/>
      <c r="J9" s="78" t="s">
        <v>64</v>
      </c>
      <c r="K9" s="78"/>
      <c r="M9" s="241"/>
      <c r="N9" s="326" t="s">
        <v>282</v>
      </c>
      <c r="O9" s="142"/>
      <c r="P9" s="142"/>
      <c r="Q9" s="142"/>
      <c r="R9" s="17"/>
      <c r="S9" s="17"/>
      <c r="T9" s="17"/>
    </row>
    <row r="10" spans="2:23" x14ac:dyDescent="0.25">
      <c r="B10" s="39"/>
      <c r="C10" s="17"/>
      <c r="D10" s="17"/>
      <c r="E10" s="17"/>
      <c r="F10" s="323"/>
      <c r="G10" s="21"/>
      <c r="H10" s="267">
        <f>'BA - PWA 2022-00242'!G13</f>
        <v>10486.180000000051</v>
      </c>
      <c r="I10" s="267"/>
      <c r="J10" s="78" t="s">
        <v>65</v>
      </c>
      <c r="K10" s="78"/>
      <c r="M10" s="241"/>
      <c r="N10" s="326" t="s">
        <v>287</v>
      </c>
      <c r="O10" s="142"/>
      <c r="P10" s="142"/>
      <c r="Q10" s="142"/>
      <c r="R10" s="17"/>
      <c r="S10" s="17"/>
      <c r="T10" s="17"/>
    </row>
    <row r="11" spans="2:23" x14ac:dyDescent="0.25">
      <c r="B11" s="39"/>
      <c r="C11" s="17"/>
      <c r="D11" s="17"/>
      <c r="E11" s="17"/>
      <c r="F11" s="323"/>
      <c r="G11" s="21"/>
      <c r="H11" s="267">
        <f>'BA - 0.023 CN 2023-00098'!G13</f>
        <v>29437.25</v>
      </c>
      <c r="I11" s="267"/>
      <c r="J11" s="78" t="s">
        <v>66</v>
      </c>
      <c r="K11" s="78"/>
      <c r="M11" s="241"/>
      <c r="N11" s="326" t="s">
        <v>290</v>
      </c>
      <c r="O11" s="142"/>
      <c r="P11" s="142"/>
      <c r="Q11" s="142"/>
      <c r="R11" s="17"/>
      <c r="S11" s="17"/>
      <c r="T11" s="17"/>
    </row>
    <row r="12" spans="2:23" x14ac:dyDescent="0.25">
      <c r="B12" s="39"/>
      <c r="C12" s="17"/>
      <c r="D12" s="17"/>
      <c r="E12" s="17"/>
      <c r="F12" s="328"/>
      <c r="G12" s="77"/>
      <c r="H12" s="5">
        <f>'BA - PWA CN 2023-00243'!G13</f>
        <v>13739.959999999963</v>
      </c>
      <c r="I12" s="5"/>
      <c r="J12" s="78" t="s">
        <v>101</v>
      </c>
      <c r="K12" s="78"/>
      <c r="L12" s="21">
        <f>SUM(F9,H9,H10,H11,H12)</f>
        <v>387510.62</v>
      </c>
      <c r="M12" s="242"/>
      <c r="N12" s="326" t="s">
        <v>289</v>
      </c>
      <c r="O12" s="142"/>
      <c r="P12" s="142"/>
      <c r="Q12" s="142"/>
      <c r="R12" s="17"/>
      <c r="S12" s="17"/>
      <c r="T12" s="17"/>
    </row>
    <row r="13" spans="2:23" x14ac:dyDescent="0.25">
      <c r="B13" s="39"/>
      <c r="C13" s="17"/>
      <c r="D13" s="17" t="s">
        <v>28</v>
      </c>
      <c r="E13" s="17"/>
      <c r="F13" s="331"/>
      <c r="G13" s="22"/>
      <c r="H13" s="267"/>
      <c r="I13" s="267"/>
      <c r="J13" s="268"/>
      <c r="K13" s="268"/>
      <c r="L13" s="265"/>
      <c r="M13" s="241"/>
      <c r="O13" s="142"/>
      <c r="P13" s="142"/>
      <c r="Q13" s="142"/>
      <c r="R13" s="17"/>
      <c r="S13" s="17"/>
      <c r="T13" s="17"/>
    </row>
    <row r="14" spans="2:23" x14ac:dyDescent="0.25">
      <c r="B14" s="39"/>
      <c r="C14" s="17"/>
      <c r="D14" s="17"/>
      <c r="E14" s="17" t="s">
        <v>26</v>
      </c>
      <c r="F14" s="327"/>
      <c r="G14" s="267"/>
      <c r="H14" s="267"/>
      <c r="I14" s="267"/>
      <c r="J14" s="268"/>
      <c r="K14" s="268"/>
      <c r="L14" s="267"/>
      <c r="M14" s="242"/>
      <c r="N14" s="326"/>
      <c r="O14" s="142"/>
      <c r="P14" s="142"/>
      <c r="Q14" s="243"/>
      <c r="R14" s="17"/>
      <c r="S14" s="17"/>
      <c r="T14" s="17"/>
    </row>
    <row r="15" spans="2:23" x14ac:dyDescent="0.25">
      <c r="B15" s="39"/>
      <c r="C15" s="17"/>
      <c r="D15" s="17"/>
      <c r="E15" s="17" t="s">
        <v>27</v>
      </c>
      <c r="F15" s="327"/>
      <c r="G15" s="267"/>
      <c r="H15" s="267"/>
      <c r="I15" s="267"/>
      <c r="J15" s="268"/>
      <c r="K15" s="268"/>
      <c r="L15" s="267"/>
      <c r="M15" s="242"/>
      <c r="N15" s="326">
        <f>L15+L14</f>
        <v>0</v>
      </c>
      <c r="O15" s="142"/>
      <c r="Q15" s="244"/>
      <c r="R15" s="245"/>
      <c r="S15" s="17"/>
      <c r="T15" s="17"/>
    </row>
    <row r="16" spans="2:23" ht="18" x14ac:dyDescent="0.25">
      <c r="B16" s="39"/>
      <c r="C16" s="17"/>
      <c r="D16" s="17"/>
      <c r="E16" s="19" t="s">
        <v>112</v>
      </c>
      <c r="F16" s="336">
        <v>43813</v>
      </c>
      <c r="G16" s="267"/>
      <c r="H16" s="269">
        <f>-Adj!T9</f>
        <v>-4000</v>
      </c>
      <c r="I16" s="267"/>
      <c r="J16" s="268" t="s">
        <v>67</v>
      </c>
      <c r="K16" s="268"/>
      <c r="L16" s="269">
        <f>F16+H16</f>
        <v>39813</v>
      </c>
      <c r="M16" s="246"/>
      <c r="N16" s="326" t="s">
        <v>315</v>
      </c>
      <c r="O16" s="142"/>
      <c r="Q16" s="244"/>
      <c r="R16" s="247"/>
      <c r="S16" s="17"/>
      <c r="T16" s="17"/>
    </row>
    <row r="17" spans="2:20" x14ac:dyDescent="0.25">
      <c r="B17" s="39"/>
      <c r="C17" s="137" t="s">
        <v>3</v>
      </c>
      <c r="D17" s="17"/>
      <c r="E17" s="17"/>
      <c r="F17" s="331">
        <f>SUM(F9,F16)</f>
        <v>389023</v>
      </c>
      <c r="G17" s="22"/>
      <c r="H17" s="22">
        <f>SUM(H9:H12,H16)</f>
        <v>38300.619999999995</v>
      </c>
      <c r="I17" s="22"/>
      <c r="J17" s="268"/>
      <c r="K17" s="268"/>
      <c r="L17" s="22">
        <f>SUM(L12,L16)</f>
        <v>427323.62</v>
      </c>
      <c r="M17" s="241"/>
      <c r="N17" s="314"/>
      <c r="O17" s="142"/>
      <c r="Q17" s="244"/>
      <c r="R17" s="247"/>
      <c r="S17" s="17"/>
      <c r="T17" s="17"/>
    </row>
    <row r="18" spans="2:20" x14ac:dyDescent="0.25">
      <c r="B18" s="39"/>
      <c r="C18" s="17"/>
      <c r="D18" s="17"/>
      <c r="E18" s="17"/>
      <c r="F18" s="331"/>
      <c r="G18" s="22"/>
      <c r="H18" s="267"/>
      <c r="I18" s="267"/>
      <c r="J18" s="268"/>
      <c r="K18" s="268"/>
      <c r="L18" s="22"/>
      <c r="M18" s="249"/>
      <c r="N18" s="314"/>
      <c r="O18" s="142"/>
      <c r="Q18" s="244"/>
      <c r="R18" s="247"/>
      <c r="S18" s="17"/>
      <c r="T18" s="17"/>
    </row>
    <row r="19" spans="2:20" ht="18" x14ac:dyDescent="0.25">
      <c r="B19" s="39"/>
      <c r="C19" s="236" t="s">
        <v>4</v>
      </c>
      <c r="D19" s="17"/>
      <c r="E19" s="17"/>
      <c r="F19" s="331"/>
      <c r="G19" s="22"/>
      <c r="H19" s="267"/>
      <c r="I19" s="267"/>
      <c r="J19" s="268"/>
      <c r="K19" s="268"/>
      <c r="L19" s="22"/>
      <c r="M19" s="249"/>
      <c r="N19" s="314"/>
      <c r="O19" s="142"/>
      <c r="Q19" s="244"/>
      <c r="R19" s="250"/>
      <c r="S19" s="17"/>
      <c r="T19" s="17"/>
    </row>
    <row r="20" spans="2:20" ht="18" x14ac:dyDescent="0.25">
      <c r="B20" s="39"/>
      <c r="C20" s="17"/>
      <c r="D20" s="17" t="s">
        <v>8</v>
      </c>
      <c r="E20" s="17"/>
      <c r="F20" s="327"/>
      <c r="G20" s="267"/>
      <c r="H20" s="267"/>
      <c r="I20" s="267"/>
      <c r="J20" s="268"/>
      <c r="K20" s="268"/>
      <c r="L20" s="22"/>
      <c r="M20" s="249"/>
      <c r="N20" s="314"/>
      <c r="O20" s="251"/>
      <c r="Q20" s="244"/>
      <c r="R20" s="245"/>
      <c r="S20" s="17"/>
      <c r="T20" s="17"/>
    </row>
    <row r="21" spans="2:20" x14ac:dyDescent="0.25">
      <c r="B21" s="39"/>
      <c r="C21" s="17"/>
      <c r="D21" s="17"/>
      <c r="E21" s="17" t="s">
        <v>12</v>
      </c>
      <c r="F21" s="327">
        <v>121573</v>
      </c>
      <c r="G21" s="267"/>
      <c r="H21" s="267">
        <f>Adj!O26</f>
        <v>-581</v>
      </c>
      <c r="I21" s="267"/>
      <c r="J21" s="268" t="s">
        <v>68</v>
      </c>
      <c r="K21" s="268"/>
      <c r="L21" s="22"/>
      <c r="M21" s="249"/>
      <c r="N21" s="326" t="s">
        <v>311</v>
      </c>
      <c r="O21" s="142"/>
      <c r="Q21" s="243"/>
      <c r="R21" s="17"/>
      <c r="S21" s="17"/>
      <c r="T21" s="17"/>
    </row>
    <row r="22" spans="2:20" x14ac:dyDescent="0.25">
      <c r="B22" s="39"/>
      <c r="C22" s="17"/>
      <c r="D22" s="17"/>
      <c r="E22" s="17"/>
      <c r="F22" s="327"/>
      <c r="G22" s="267"/>
      <c r="H22" s="267">
        <f>-Adj!T11</f>
        <v>-1200</v>
      </c>
      <c r="I22" s="267"/>
      <c r="J22" s="268" t="s">
        <v>67</v>
      </c>
      <c r="K22" s="268"/>
      <c r="L22" s="22">
        <f>SUM(F21:H22)</f>
        <v>119792</v>
      </c>
      <c r="M22" s="249"/>
      <c r="N22" s="326" t="s">
        <v>315</v>
      </c>
      <c r="O22" s="142"/>
      <c r="P22" s="142"/>
      <c r="Q22" s="17"/>
      <c r="R22" s="17"/>
      <c r="S22" s="17"/>
      <c r="T22" s="17"/>
    </row>
    <row r="23" spans="2:20" x14ac:dyDescent="0.25">
      <c r="B23" s="39"/>
      <c r="C23" s="17"/>
      <c r="D23" s="17"/>
      <c r="E23" s="17" t="s">
        <v>13</v>
      </c>
      <c r="F23" s="327">
        <v>7200</v>
      </c>
      <c r="G23" s="267"/>
      <c r="H23" s="267"/>
      <c r="I23" s="267"/>
      <c r="J23" s="268"/>
      <c r="K23" s="268"/>
      <c r="L23" s="22">
        <f t="shared" ref="L23:L34" si="0">F23+H23</f>
        <v>7200</v>
      </c>
      <c r="M23" s="249"/>
      <c r="N23" s="314"/>
      <c r="O23" s="142"/>
      <c r="P23" s="142"/>
      <c r="Q23" s="142"/>
      <c r="S23" s="17"/>
      <c r="T23" s="17"/>
    </row>
    <row r="24" spans="2:20" x14ac:dyDescent="0.25">
      <c r="B24" s="39"/>
      <c r="C24" s="17"/>
      <c r="D24" s="17"/>
      <c r="E24" s="17" t="s">
        <v>14</v>
      </c>
      <c r="F24" s="327">
        <v>23587</v>
      </c>
      <c r="G24" s="267"/>
      <c r="H24" s="267">
        <f>Adj!H33</f>
        <v>-1440</v>
      </c>
      <c r="I24" s="267"/>
      <c r="J24" s="270" t="s">
        <v>69</v>
      </c>
      <c r="K24" s="270"/>
      <c r="L24" s="22"/>
      <c r="M24" s="249"/>
      <c r="N24" s="326" t="s">
        <v>312</v>
      </c>
      <c r="O24" s="142"/>
      <c r="P24" s="142"/>
      <c r="S24" s="17"/>
      <c r="T24" s="17"/>
    </row>
    <row r="25" spans="2:20" x14ac:dyDescent="0.25">
      <c r="B25" s="39"/>
      <c r="C25" s="17"/>
      <c r="D25" s="17"/>
      <c r="E25" s="17"/>
      <c r="F25" s="327"/>
      <c r="G25" s="267"/>
      <c r="H25" s="267">
        <f>Adj!H41</f>
        <v>-1747</v>
      </c>
      <c r="I25" s="267"/>
      <c r="J25" s="268" t="s">
        <v>170</v>
      </c>
      <c r="K25" s="268"/>
      <c r="L25" s="22">
        <f>SUM(F24:H25)</f>
        <v>20400</v>
      </c>
      <c r="M25" s="249"/>
      <c r="N25" s="326" t="s">
        <v>186</v>
      </c>
      <c r="O25" s="142"/>
      <c r="P25" s="142"/>
      <c r="S25" s="17"/>
      <c r="T25" s="17"/>
    </row>
    <row r="26" spans="2:20" x14ac:dyDescent="0.25">
      <c r="B26" s="39"/>
      <c r="C26" s="17"/>
      <c r="D26" s="17"/>
      <c r="E26" s="17" t="s">
        <v>15</v>
      </c>
      <c r="F26" s="327">
        <v>143183</v>
      </c>
      <c r="G26" s="267"/>
      <c r="H26" s="267">
        <f>Adj!U33</f>
        <v>5703</v>
      </c>
      <c r="I26" s="267"/>
      <c r="J26" s="270" t="s">
        <v>70</v>
      </c>
      <c r="K26" s="270"/>
      <c r="L26" s="22"/>
      <c r="M26" s="249"/>
      <c r="N26" s="326" t="s">
        <v>313</v>
      </c>
      <c r="O26" s="141"/>
      <c r="P26" s="142"/>
      <c r="S26" s="17"/>
      <c r="T26" s="17"/>
    </row>
    <row r="27" spans="2:20" x14ac:dyDescent="0.25">
      <c r="B27" s="39"/>
      <c r="C27" s="17"/>
      <c r="D27" s="17"/>
      <c r="E27" s="17"/>
      <c r="F27" s="327"/>
      <c r="G27" s="267"/>
      <c r="H27" s="267">
        <f>Adj!U42</f>
        <v>11823</v>
      </c>
      <c r="I27" s="267"/>
      <c r="J27" s="270" t="s">
        <v>71</v>
      </c>
      <c r="K27" s="270"/>
      <c r="L27" s="22"/>
      <c r="M27" s="249"/>
      <c r="N27" s="326" t="s">
        <v>314</v>
      </c>
      <c r="O27" s="141"/>
      <c r="P27" s="142"/>
      <c r="S27" s="17"/>
      <c r="T27" s="17"/>
    </row>
    <row r="28" spans="2:20" x14ac:dyDescent="0.25">
      <c r="B28" s="39"/>
      <c r="C28" s="17"/>
      <c r="D28" s="17"/>
      <c r="E28" s="17"/>
      <c r="F28" s="327"/>
      <c r="G28" s="267"/>
      <c r="H28" s="267">
        <f>Adj!E22</f>
        <v>-2765</v>
      </c>
      <c r="I28" s="267"/>
      <c r="J28" s="270" t="s">
        <v>72</v>
      </c>
      <c r="K28" s="270"/>
      <c r="L28" s="22">
        <f>SUM(F26,H26,H27,H28)</f>
        <v>157944</v>
      </c>
      <c r="M28" s="249"/>
      <c r="N28" s="326" t="s">
        <v>264</v>
      </c>
      <c r="O28" s="141"/>
      <c r="P28" s="142"/>
      <c r="S28" s="17"/>
      <c r="T28" s="17"/>
    </row>
    <row r="29" spans="2:20" x14ac:dyDescent="0.25">
      <c r="B29" s="39"/>
      <c r="C29" s="17"/>
      <c r="D29" s="17"/>
      <c r="E29" s="17" t="s">
        <v>53</v>
      </c>
      <c r="F29" s="327">
        <v>5967</v>
      </c>
      <c r="G29" s="267"/>
      <c r="H29" s="267">
        <f>-Adj!T12</f>
        <v>-2800</v>
      </c>
      <c r="I29" s="267"/>
      <c r="J29" s="270" t="s">
        <v>67</v>
      </c>
      <c r="K29" s="270"/>
      <c r="L29" s="22">
        <f t="shared" si="0"/>
        <v>3167</v>
      </c>
      <c r="M29" s="249"/>
      <c r="N29" s="326" t="s">
        <v>315</v>
      </c>
      <c r="O29" s="142"/>
      <c r="P29" s="253"/>
      <c r="Q29" s="142"/>
      <c r="R29" s="17"/>
      <c r="S29" s="17"/>
      <c r="T29" s="17"/>
    </row>
    <row r="30" spans="2:20" x14ac:dyDescent="0.25">
      <c r="B30" s="39"/>
      <c r="C30" s="17"/>
      <c r="D30" s="17"/>
      <c r="E30" s="17" t="s">
        <v>317</v>
      </c>
      <c r="F30" s="327">
        <v>7470</v>
      </c>
      <c r="G30" s="267"/>
      <c r="H30" s="267"/>
      <c r="I30" s="267"/>
      <c r="J30" s="268"/>
      <c r="K30" s="268"/>
      <c r="L30" s="22">
        <f t="shared" si="0"/>
        <v>7470</v>
      </c>
      <c r="M30" s="249"/>
      <c r="N30" s="345"/>
      <c r="O30" s="142"/>
      <c r="P30" s="142"/>
      <c r="Q30" s="142"/>
      <c r="R30" s="17"/>
      <c r="S30" s="17"/>
      <c r="T30" s="17"/>
    </row>
    <row r="31" spans="2:20" ht="15" customHeight="1" x14ac:dyDescent="0.25">
      <c r="B31" s="39"/>
      <c r="C31" s="17"/>
      <c r="D31" s="17"/>
      <c r="E31" s="17" t="s">
        <v>196</v>
      </c>
      <c r="F31" s="327">
        <v>3847</v>
      </c>
      <c r="G31" s="267"/>
      <c r="H31" s="267"/>
      <c r="I31" s="267"/>
      <c r="J31" s="268"/>
      <c r="K31" s="268"/>
      <c r="L31" s="22">
        <f t="shared" si="0"/>
        <v>3847</v>
      </c>
      <c r="M31" s="249"/>
      <c r="N31" s="314"/>
      <c r="O31" s="142"/>
      <c r="P31" s="142"/>
      <c r="Q31" s="142"/>
      <c r="R31" s="17"/>
      <c r="S31" s="17"/>
      <c r="T31" s="17"/>
    </row>
    <row r="32" spans="2:20" x14ac:dyDescent="0.25">
      <c r="B32" s="39"/>
      <c r="C32" s="17"/>
      <c r="D32" s="17"/>
      <c r="E32" s="17" t="s">
        <v>22</v>
      </c>
      <c r="F32" s="327">
        <v>1503</v>
      </c>
      <c r="G32" s="267"/>
      <c r="H32" s="267"/>
      <c r="I32" s="267"/>
      <c r="J32" s="268"/>
      <c r="K32" s="268"/>
      <c r="L32" s="22">
        <f t="shared" si="0"/>
        <v>1503</v>
      </c>
      <c r="M32" s="249"/>
      <c r="N32" s="314"/>
      <c r="O32" s="142"/>
      <c r="P32" s="143"/>
      <c r="Q32" s="142"/>
      <c r="R32" s="17"/>
      <c r="S32" s="17"/>
      <c r="T32" s="17"/>
    </row>
    <row r="33" spans="2:20" x14ac:dyDescent="0.25">
      <c r="B33" s="39"/>
      <c r="C33" s="17"/>
      <c r="D33" s="17"/>
      <c r="E33" s="17" t="s">
        <v>318</v>
      </c>
      <c r="F33" s="327">
        <v>8171</v>
      </c>
      <c r="G33" s="267"/>
      <c r="H33" s="267"/>
      <c r="I33" s="267"/>
      <c r="J33" s="268"/>
      <c r="K33" s="268"/>
      <c r="L33" s="22">
        <f>F33</f>
        <v>8171</v>
      </c>
      <c r="M33" s="249"/>
      <c r="N33" s="314"/>
      <c r="O33" s="142"/>
      <c r="P33" s="143"/>
      <c r="Q33" s="142"/>
      <c r="R33" s="17"/>
      <c r="S33" s="17"/>
      <c r="T33" s="17"/>
    </row>
    <row r="34" spans="2:20" x14ac:dyDescent="0.25">
      <c r="B34" s="39"/>
      <c r="C34" s="17"/>
      <c r="D34" s="17"/>
      <c r="E34" s="509" t="s">
        <v>103</v>
      </c>
      <c r="F34" s="327">
        <v>800</v>
      </c>
      <c r="G34" s="267"/>
      <c r="H34" s="267"/>
      <c r="I34" s="267"/>
      <c r="J34" s="268"/>
      <c r="K34" s="268"/>
      <c r="L34" s="22">
        <f t="shared" si="0"/>
        <v>800</v>
      </c>
      <c r="M34" s="249"/>
      <c r="N34" s="314"/>
      <c r="O34" s="142"/>
      <c r="P34" s="142"/>
      <c r="Q34" s="142"/>
      <c r="R34" s="17"/>
      <c r="S34" s="17"/>
      <c r="T34" s="17"/>
    </row>
    <row r="35" spans="2:20" ht="18" x14ac:dyDescent="0.25">
      <c r="B35" s="39"/>
      <c r="C35" s="17"/>
      <c r="D35" s="17"/>
      <c r="E35" s="17" t="s">
        <v>18</v>
      </c>
      <c r="F35" s="327">
        <v>53335</v>
      </c>
      <c r="G35" s="267"/>
      <c r="H35" s="267">
        <f>Adj!F22</f>
        <v>-220</v>
      </c>
      <c r="I35" s="267"/>
      <c r="J35" s="510" t="s">
        <v>72</v>
      </c>
      <c r="K35" s="268"/>
      <c r="L35" s="22"/>
      <c r="M35" s="246"/>
      <c r="N35" s="326" t="s">
        <v>264</v>
      </c>
      <c r="O35" s="142"/>
      <c r="P35" s="142"/>
      <c r="Q35" s="142"/>
      <c r="R35" s="17"/>
      <c r="S35" s="17"/>
      <c r="T35" s="17"/>
    </row>
    <row r="36" spans="2:20" ht="18" x14ac:dyDescent="0.25">
      <c r="B36" s="39"/>
      <c r="C36" s="17"/>
      <c r="D36" s="17"/>
      <c r="E36" s="17"/>
      <c r="F36" s="336"/>
      <c r="G36" s="267"/>
      <c r="H36" s="271">
        <f>Adj!T18</f>
        <v>16224</v>
      </c>
      <c r="I36" s="400"/>
      <c r="J36" s="270" t="s">
        <v>151</v>
      </c>
      <c r="K36" s="270"/>
      <c r="L36" s="273">
        <f>SUM(F35,H35,H36)</f>
        <v>69339</v>
      </c>
      <c r="M36" s="246"/>
      <c r="N36" s="326" t="s">
        <v>275</v>
      </c>
      <c r="O36" s="142"/>
      <c r="P36" s="142"/>
      <c r="Q36" s="142"/>
      <c r="R36" s="17"/>
      <c r="S36" s="17"/>
      <c r="T36" s="17"/>
    </row>
    <row r="37" spans="2:20" x14ac:dyDescent="0.25">
      <c r="B37" s="39"/>
      <c r="C37" s="17"/>
      <c r="D37" s="137" t="s">
        <v>345</v>
      </c>
      <c r="E37" s="17"/>
      <c r="F37" s="327">
        <f>SUM(F21:F36)</f>
        <v>376636</v>
      </c>
      <c r="G37" s="267"/>
      <c r="H37" s="267">
        <f>SUM(H21:H36)</f>
        <v>22997</v>
      </c>
      <c r="I37" s="267"/>
      <c r="J37" s="270"/>
      <c r="K37" s="270"/>
      <c r="L37" s="22">
        <f>SUM(L21:L36)</f>
        <v>399633</v>
      </c>
      <c r="M37" s="249"/>
      <c r="N37" s="314"/>
      <c r="O37" s="142"/>
      <c r="P37" s="142"/>
      <c r="Q37" s="142"/>
      <c r="R37" s="17"/>
      <c r="S37" s="17"/>
      <c r="T37" s="17"/>
    </row>
    <row r="38" spans="2:20" x14ac:dyDescent="0.25">
      <c r="B38" s="39"/>
      <c r="C38" s="17"/>
      <c r="D38" s="17" t="s">
        <v>10</v>
      </c>
      <c r="E38" s="17"/>
      <c r="F38" s="327">
        <v>49432</v>
      </c>
      <c r="G38" s="267"/>
      <c r="H38" s="267">
        <f>'Dep Adj '!S38</f>
        <v>6036</v>
      </c>
      <c r="I38" s="267"/>
      <c r="J38" s="270" t="s">
        <v>179</v>
      </c>
      <c r="K38" s="270"/>
      <c r="L38" s="22">
        <f t="shared" ref="L38" si="1">F38+H38</f>
        <v>55468</v>
      </c>
      <c r="M38" s="249"/>
      <c r="N38" s="326" t="s">
        <v>316</v>
      </c>
      <c r="O38" s="142"/>
      <c r="P38" s="142"/>
      <c r="Q38" s="142"/>
      <c r="R38" s="17"/>
      <c r="S38" s="17"/>
      <c r="T38" s="17"/>
    </row>
    <row r="39" spans="2:20" ht="18" x14ac:dyDescent="0.25">
      <c r="B39" s="39"/>
      <c r="C39" s="17"/>
      <c r="D39" s="17" t="s">
        <v>11</v>
      </c>
      <c r="E39" s="17"/>
      <c r="F39" s="348">
        <v>11818</v>
      </c>
      <c r="G39" s="22"/>
      <c r="H39" s="273">
        <f>Adj!O32</f>
        <v>506.35350000000108</v>
      </c>
      <c r="I39" s="22"/>
      <c r="J39" s="268" t="s">
        <v>187</v>
      </c>
      <c r="K39" s="268"/>
      <c r="L39" s="273">
        <f>F39+H39</f>
        <v>12324.353500000001</v>
      </c>
      <c r="M39" s="246"/>
      <c r="N39" s="326" t="s">
        <v>291</v>
      </c>
      <c r="O39" s="142"/>
      <c r="P39" s="142"/>
      <c r="Q39" s="142"/>
      <c r="R39" s="17"/>
      <c r="S39" s="17"/>
      <c r="T39" s="17"/>
    </row>
    <row r="40" spans="2:20" x14ac:dyDescent="0.25">
      <c r="B40" s="39"/>
      <c r="C40" s="137" t="s">
        <v>5</v>
      </c>
      <c r="D40" s="17"/>
      <c r="E40" s="17"/>
      <c r="F40" s="336">
        <f>SUM(F37:F39)</f>
        <v>437886</v>
      </c>
      <c r="G40" s="267"/>
      <c r="H40" s="271">
        <f>SUM(H37:H39)</f>
        <v>29539.353500000001</v>
      </c>
      <c r="I40" s="400"/>
      <c r="J40" s="270"/>
      <c r="K40" s="270"/>
      <c r="L40" s="269">
        <f>SUM(L37:L39)</f>
        <v>467425.35350000003</v>
      </c>
      <c r="M40" s="241"/>
      <c r="N40" s="314"/>
      <c r="O40" s="142"/>
      <c r="P40" s="142"/>
      <c r="Q40" s="142"/>
      <c r="R40" s="17"/>
      <c r="S40" s="17"/>
      <c r="T40" s="17"/>
    </row>
    <row r="41" spans="2:20" ht="16.5" thickBot="1" x14ac:dyDescent="0.3">
      <c r="B41" s="39"/>
      <c r="C41" s="137" t="s">
        <v>23</v>
      </c>
      <c r="D41" s="17"/>
      <c r="E41" s="17"/>
      <c r="F41" s="349">
        <f>F17-F40</f>
        <v>-48863</v>
      </c>
      <c r="G41" s="238"/>
      <c r="H41" s="279">
        <f>H17-H40</f>
        <v>8761.2664999999943</v>
      </c>
      <c r="I41" s="238"/>
      <c r="J41" s="240"/>
      <c r="K41" s="240"/>
      <c r="L41" s="279">
        <f>L17-L40</f>
        <v>-40101.733500000031</v>
      </c>
      <c r="M41" s="241"/>
      <c r="N41" s="314"/>
      <c r="O41" s="142"/>
      <c r="P41" s="142"/>
      <c r="Q41" s="142"/>
      <c r="R41" s="17"/>
      <c r="S41" s="17"/>
      <c r="T41" s="17"/>
    </row>
    <row r="42" spans="2:20" ht="16.5" thickTop="1" x14ac:dyDescent="0.25">
      <c r="B42" s="39"/>
      <c r="C42" s="17"/>
      <c r="D42" s="17"/>
      <c r="E42" s="17"/>
      <c r="F42" s="248"/>
      <c r="G42" s="248"/>
      <c r="H42" s="17"/>
      <c r="I42" s="17"/>
      <c r="J42" s="240"/>
      <c r="K42" s="240"/>
      <c r="L42" s="248"/>
      <c r="M42" s="249"/>
      <c r="N42" s="314"/>
      <c r="O42" s="142"/>
      <c r="P42" s="142"/>
      <c r="Q42" s="142"/>
      <c r="R42" s="17"/>
      <c r="S42" s="17"/>
      <c r="T42" s="17"/>
    </row>
    <row r="43" spans="2:20" ht="18" x14ac:dyDescent="0.25">
      <c r="B43" s="39"/>
      <c r="C43" s="448" t="s">
        <v>33</v>
      </c>
      <c r="D43" s="448"/>
      <c r="E43" s="448"/>
      <c r="F43" s="448"/>
      <c r="G43" s="448"/>
      <c r="H43" s="448"/>
      <c r="I43" s="448"/>
      <c r="J43" s="448"/>
      <c r="K43" s="448"/>
      <c r="L43" s="448"/>
      <c r="M43" s="83"/>
      <c r="N43" s="314"/>
      <c r="O43" s="238"/>
      <c r="P43" s="251"/>
      <c r="Q43" s="142"/>
      <c r="R43" s="17"/>
      <c r="S43" s="17"/>
      <c r="T43" s="17"/>
    </row>
    <row r="44" spans="2:20" x14ac:dyDescent="0.25">
      <c r="B44" s="39"/>
      <c r="C44" s="216" t="s">
        <v>6</v>
      </c>
      <c r="D44" s="216"/>
      <c r="E44" s="17"/>
      <c r="F44" s="238">
        <v>467425.35350000003</v>
      </c>
      <c r="H44" s="17"/>
      <c r="I44" s="17"/>
      <c r="J44" s="240"/>
      <c r="K44" s="240"/>
      <c r="L44" s="238">
        <f>L40</f>
        <v>467425.35350000003</v>
      </c>
      <c r="M44" s="241"/>
      <c r="N44" s="314"/>
      <c r="O44" s="248"/>
      <c r="P44" s="142"/>
      <c r="Q44" s="142"/>
      <c r="R44" s="17"/>
      <c r="S44" s="17"/>
      <c r="T44" s="17"/>
    </row>
    <row r="45" spans="2:20" x14ac:dyDescent="0.25">
      <c r="B45" s="39"/>
      <c r="C45" s="216" t="s">
        <v>265</v>
      </c>
      <c r="D45" s="19"/>
      <c r="E45" s="216" t="s">
        <v>266</v>
      </c>
      <c r="F45" s="217">
        <v>0.88</v>
      </c>
      <c r="H45" s="17"/>
      <c r="I45" s="17"/>
      <c r="J45" s="252"/>
      <c r="K45" s="252"/>
      <c r="L45" s="217">
        <v>0.88</v>
      </c>
      <c r="M45" s="84"/>
      <c r="N45" s="314"/>
      <c r="O45" s="248"/>
      <c r="P45" s="142"/>
      <c r="Q45" s="142"/>
      <c r="R45" s="17"/>
      <c r="S45" s="17"/>
      <c r="T45" s="17"/>
    </row>
    <row r="46" spans="2:20" ht="18" x14ac:dyDescent="0.25">
      <c r="B46" s="39"/>
      <c r="C46" s="218" t="s">
        <v>267</v>
      </c>
      <c r="D46" s="218"/>
      <c r="E46" s="17"/>
      <c r="F46" s="216">
        <v>531165</v>
      </c>
      <c r="H46" s="17"/>
      <c r="I46" s="17"/>
      <c r="J46" s="252"/>
      <c r="K46" s="252"/>
      <c r="L46" s="216">
        <f>ROUND(L44/L45,0)</f>
        <v>531165</v>
      </c>
      <c r="M46" s="246"/>
      <c r="N46" s="314"/>
      <c r="O46" s="238"/>
      <c r="P46" s="142"/>
      <c r="Q46" s="142"/>
      <c r="R46" s="17"/>
      <c r="S46" s="17"/>
      <c r="T46" s="17"/>
    </row>
    <row r="47" spans="2:20" x14ac:dyDescent="0.25">
      <c r="B47" s="39"/>
      <c r="C47" s="218" t="s">
        <v>268</v>
      </c>
      <c r="D47" s="218"/>
      <c r="E47" s="218"/>
      <c r="F47" s="219">
        <v>4861</v>
      </c>
      <c r="H47" s="17"/>
      <c r="I47" s="17"/>
      <c r="J47" s="240" t="s">
        <v>292</v>
      </c>
      <c r="K47" s="240"/>
      <c r="L47" s="219">
        <f>'Debt Sch'!E21+'Debt Sch'!G21</f>
        <v>38514</v>
      </c>
      <c r="M47" s="241"/>
      <c r="N47" s="314"/>
      <c r="O47" s="256"/>
      <c r="P47" s="142"/>
      <c r="Q47" s="142"/>
      <c r="R47" s="17"/>
      <c r="S47" s="17"/>
      <c r="T47" s="17"/>
    </row>
    <row r="48" spans="2:20" x14ac:dyDescent="0.25">
      <c r="B48" s="39"/>
      <c r="C48" s="218" t="s">
        <v>24</v>
      </c>
      <c r="D48" s="218"/>
      <c r="E48" s="17"/>
      <c r="F48" s="216">
        <v>536026</v>
      </c>
      <c r="H48" s="17"/>
      <c r="I48" s="17"/>
      <c r="J48" s="240"/>
      <c r="K48" s="240"/>
      <c r="L48" s="216">
        <f>SUM(L46:L47)</f>
        <v>569679</v>
      </c>
      <c r="M48" s="257"/>
      <c r="N48" s="314"/>
      <c r="O48" s="256"/>
      <c r="P48" s="142"/>
      <c r="Q48" s="142"/>
      <c r="R48" s="17"/>
      <c r="S48" s="17"/>
      <c r="T48" s="17"/>
    </row>
    <row r="49" spans="2:20" x14ac:dyDescent="0.25">
      <c r="B49" s="39"/>
      <c r="C49" s="216" t="s">
        <v>269</v>
      </c>
      <c r="E49" s="216" t="s">
        <v>39</v>
      </c>
      <c r="F49" s="216">
        <v>-138</v>
      </c>
      <c r="H49" s="17"/>
      <c r="I49" s="17"/>
      <c r="J49" s="240"/>
      <c r="K49" s="240"/>
      <c r="L49" s="216">
        <f>'SAO - DSC'!L51</f>
        <v>-138</v>
      </c>
      <c r="M49" s="257"/>
      <c r="N49" s="314"/>
      <c r="O49" s="256"/>
      <c r="P49" s="142"/>
      <c r="Q49" s="142"/>
      <c r="R49" s="17"/>
      <c r="S49" s="17"/>
      <c r="T49" s="17"/>
    </row>
    <row r="50" spans="2:20" x14ac:dyDescent="0.25">
      <c r="B50" s="39"/>
      <c r="C50" s="216"/>
      <c r="E50" s="216" t="s">
        <v>270</v>
      </c>
      <c r="F50" s="219">
        <v>-39813</v>
      </c>
      <c r="G50" s="258"/>
      <c r="H50" s="239"/>
      <c r="I50" s="239"/>
      <c r="J50" s="240"/>
      <c r="K50" s="240"/>
      <c r="L50" s="219">
        <f>'SAO - DSC'!L48</f>
        <v>-39813</v>
      </c>
      <c r="M50" s="257"/>
      <c r="N50" s="314"/>
      <c r="O50" s="256"/>
      <c r="P50" s="142"/>
      <c r="Q50" s="142"/>
      <c r="R50" s="17"/>
      <c r="S50" s="17"/>
      <c r="T50" s="17"/>
    </row>
    <row r="51" spans="2:20" ht="18" x14ac:dyDescent="0.25">
      <c r="B51" s="39"/>
      <c r="C51" s="216" t="s">
        <v>271</v>
      </c>
      <c r="D51" s="216"/>
      <c r="E51" s="19"/>
      <c r="F51" s="216">
        <v>496075</v>
      </c>
      <c r="H51" s="17"/>
      <c r="I51" s="17"/>
      <c r="J51" s="240"/>
      <c r="K51" s="240"/>
      <c r="L51" s="216">
        <f>SUM(L48:L50)</f>
        <v>529728</v>
      </c>
      <c r="M51" s="246"/>
      <c r="N51" s="314"/>
      <c r="P51" s="142"/>
      <c r="Q51" s="142"/>
      <c r="R51" s="259"/>
      <c r="S51" s="17"/>
      <c r="T51" s="17"/>
    </row>
    <row r="52" spans="2:20" x14ac:dyDescent="0.25">
      <c r="B52" s="39"/>
      <c r="C52" s="216" t="s">
        <v>269</v>
      </c>
      <c r="D52" s="216" t="s">
        <v>272</v>
      </c>
      <c r="E52" s="17"/>
      <c r="F52" s="219">
        <v>-387510.62</v>
      </c>
      <c r="H52" s="17"/>
      <c r="I52" s="17"/>
      <c r="J52" s="240"/>
      <c r="K52" s="240"/>
      <c r="L52" s="219">
        <f>-L12</f>
        <v>-387510.62</v>
      </c>
      <c r="M52" s="260"/>
      <c r="O52" s="248"/>
      <c r="P52" s="142"/>
      <c r="Q52" s="238"/>
      <c r="R52" s="17"/>
      <c r="S52" s="17"/>
      <c r="T52" s="17"/>
    </row>
    <row r="53" spans="2:20" ht="18.75" thickBot="1" x14ac:dyDescent="0.3">
      <c r="B53" s="39"/>
      <c r="C53" s="216" t="s">
        <v>274</v>
      </c>
      <c r="D53" s="216"/>
      <c r="E53" s="17"/>
      <c r="F53" s="220">
        <v>108564.38</v>
      </c>
      <c r="H53" s="17"/>
      <c r="I53" s="17"/>
      <c r="J53" s="240"/>
      <c r="K53" s="240"/>
      <c r="L53" s="220">
        <f>SUM(L51:L52)</f>
        <v>142217.38</v>
      </c>
      <c r="M53" s="246"/>
      <c r="N53" s="314"/>
      <c r="O53" s="220">
        <v>113443.38</v>
      </c>
      <c r="P53" s="142"/>
      <c r="Q53" s="142"/>
      <c r="R53" s="17"/>
      <c r="S53" s="17"/>
      <c r="T53" s="17"/>
    </row>
    <row r="54" spans="2:20" ht="17.25" thickTop="1" thickBot="1" x14ac:dyDescent="0.3">
      <c r="B54" s="39"/>
      <c r="C54" s="216" t="s">
        <v>273</v>
      </c>
      <c r="D54" s="216"/>
      <c r="E54" s="17"/>
      <c r="F54" s="221">
        <v>0.2802</v>
      </c>
      <c r="H54" s="17"/>
      <c r="I54" s="17"/>
      <c r="J54" s="240"/>
      <c r="K54" s="240"/>
      <c r="L54" s="221">
        <f>ROUND(L53/(-L52),4)</f>
        <v>0.36699999999999999</v>
      </c>
      <c r="M54" s="241"/>
      <c r="N54" s="314"/>
      <c r="O54" s="221">
        <v>0.29270000000000002</v>
      </c>
      <c r="P54" s="142"/>
      <c r="Q54" s="142"/>
      <c r="S54" s="17"/>
      <c r="T54" s="17"/>
    </row>
    <row r="55" spans="2:20" ht="15" customHeight="1" thickTop="1" x14ac:dyDescent="0.25">
      <c r="B55" s="41"/>
      <c r="C55" s="231"/>
      <c r="D55" s="231"/>
      <c r="E55" s="231"/>
      <c r="F55" s="231"/>
      <c r="G55" s="231"/>
      <c r="H55" s="231"/>
      <c r="I55" s="231"/>
      <c r="J55" s="262"/>
      <c r="K55" s="262"/>
      <c r="L55" s="231"/>
      <c r="M55" s="263"/>
    </row>
    <row r="56" spans="2:20" x14ac:dyDescent="0.25">
      <c r="J56" s="254"/>
      <c r="K56" s="254"/>
    </row>
    <row r="57" spans="2:20" x14ac:dyDescent="0.25">
      <c r="C57" s="17" t="s">
        <v>24</v>
      </c>
      <c r="J57" s="254"/>
      <c r="K57" s="254"/>
      <c r="L57" s="264">
        <f>L48</f>
        <v>569679</v>
      </c>
    </row>
    <row r="58" spans="2:20" x14ac:dyDescent="0.25">
      <c r="C58" s="18" t="s">
        <v>269</v>
      </c>
      <c r="D58" s="18" t="s">
        <v>6</v>
      </c>
      <c r="J58" s="254"/>
      <c r="K58" s="254"/>
      <c r="L58" s="265">
        <f>-L44</f>
        <v>-467425.35350000003</v>
      </c>
    </row>
    <row r="59" spans="2:20" x14ac:dyDescent="0.25">
      <c r="D59" s="18" t="s">
        <v>278</v>
      </c>
      <c r="J59" s="254"/>
      <c r="K59" s="254"/>
      <c r="L59" s="266">
        <f>-'Debt Sch'!I21</f>
        <v>-70149</v>
      </c>
    </row>
    <row r="60" spans="2:20" x14ac:dyDescent="0.25">
      <c r="C60" s="18" t="s">
        <v>267</v>
      </c>
      <c r="J60" s="254"/>
      <c r="K60" s="254"/>
      <c r="L60" s="265">
        <f>SUM(L57:L59)</f>
        <v>32104.646499999973</v>
      </c>
    </row>
    <row r="61" spans="2:20" x14ac:dyDescent="0.25">
      <c r="C61" s="18" t="s">
        <v>279</v>
      </c>
      <c r="D61" s="18" t="s">
        <v>280</v>
      </c>
      <c r="J61" s="254"/>
      <c r="K61" s="254"/>
      <c r="L61" s="266">
        <f>+L38</f>
        <v>55468</v>
      </c>
    </row>
    <row r="62" spans="2:20" ht="16.5" thickBot="1" x14ac:dyDescent="0.3">
      <c r="C62" s="18" t="s">
        <v>281</v>
      </c>
      <c r="J62" s="254"/>
      <c r="K62" s="254"/>
      <c r="L62" s="261">
        <f>SUM(L60:L61)</f>
        <v>87572.646499999973</v>
      </c>
    </row>
    <row r="63" spans="2:20" ht="16.5" thickTop="1" x14ac:dyDescent="0.25"/>
  </sheetData>
  <mergeCells count="3">
    <mergeCell ref="C3:L3"/>
    <mergeCell ref="C4:L4"/>
    <mergeCell ref="C43:L4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6716-2944-4F60-9073-2388830C9D71}">
  <dimension ref="B1:L25"/>
  <sheetViews>
    <sheetView showGridLines="0" workbookViewId="0">
      <selection activeCell="B2" sqref="B2:K21"/>
    </sheetView>
  </sheetViews>
  <sheetFormatPr defaultColWidth="8.88671875" defaultRowHeight="14.25" x14ac:dyDescent="0.2"/>
  <cols>
    <col min="1" max="1" width="8.88671875" style="165"/>
    <col min="2" max="2" width="1.6640625" style="165" customWidth="1"/>
    <col min="3" max="3" width="12.5546875" style="165" customWidth="1"/>
    <col min="4" max="4" width="12.77734375" style="165" customWidth="1"/>
    <col min="5" max="5" width="1.77734375" style="165" customWidth="1"/>
    <col min="6" max="6" width="12.77734375" style="165" customWidth="1"/>
    <col min="7" max="7" width="1.77734375" style="165" customWidth="1"/>
    <col min="8" max="8" width="12.77734375" style="165" customWidth="1"/>
    <col min="9" max="9" width="0.77734375" style="165" customWidth="1"/>
    <col min="10" max="10" width="12.77734375" style="165" customWidth="1"/>
    <col min="11" max="11" width="1.77734375" style="165" customWidth="1"/>
    <col min="12" max="13" width="8.88671875" style="165"/>
    <col min="14" max="14" width="9" style="165" bestFit="1" customWidth="1"/>
    <col min="15" max="16384" width="8.88671875" style="165"/>
  </cols>
  <sheetData>
    <row r="1" spans="2:12" ht="15" x14ac:dyDescent="0.2">
      <c r="B1" s="164"/>
    </row>
    <row r="2" spans="2:12" ht="15" x14ac:dyDescent="0.2">
      <c r="B2" s="227"/>
      <c r="C2" s="166"/>
      <c r="D2" s="166"/>
      <c r="E2" s="166"/>
      <c r="F2" s="166"/>
      <c r="G2" s="166"/>
      <c r="H2" s="166"/>
      <c r="I2" s="166"/>
      <c r="J2" s="166"/>
      <c r="K2" s="167"/>
    </row>
    <row r="3" spans="2:12" ht="18" x14ac:dyDescent="0.25">
      <c r="B3" s="228"/>
      <c r="C3" s="474" t="s">
        <v>332</v>
      </c>
      <c r="D3" s="474"/>
      <c r="E3" s="474"/>
      <c r="F3" s="474"/>
      <c r="G3" s="474"/>
      <c r="H3" s="474"/>
      <c r="I3" s="474"/>
      <c r="J3" s="474"/>
      <c r="K3" s="168"/>
    </row>
    <row r="4" spans="2:12" ht="18" x14ac:dyDescent="0.25">
      <c r="B4" s="228"/>
      <c r="C4" s="475" t="s">
        <v>29</v>
      </c>
      <c r="D4" s="475"/>
      <c r="E4" s="475"/>
      <c r="F4" s="475"/>
      <c r="G4" s="475"/>
      <c r="H4" s="475"/>
      <c r="I4" s="475"/>
      <c r="J4" s="475"/>
      <c r="K4" s="168"/>
    </row>
    <row r="5" spans="2:12" ht="18" x14ac:dyDescent="0.2">
      <c r="B5" s="228"/>
      <c r="C5" s="476" t="str">
        <f>Adj!B1</f>
        <v>Cannonsburg Water District</v>
      </c>
      <c r="D5" s="476"/>
      <c r="E5" s="476"/>
      <c r="F5" s="476"/>
      <c r="G5" s="476"/>
      <c r="H5" s="476"/>
      <c r="I5" s="476"/>
      <c r="J5" s="476"/>
      <c r="K5" s="168"/>
      <c r="L5" s="169"/>
    </row>
    <row r="6" spans="2:12" ht="15" x14ac:dyDescent="0.2">
      <c r="B6" s="228"/>
      <c r="C6" s="477" t="s">
        <v>309</v>
      </c>
      <c r="D6" s="477"/>
      <c r="E6" s="477"/>
      <c r="F6" s="477"/>
      <c r="G6" s="477"/>
      <c r="H6" s="477"/>
      <c r="I6" s="477"/>
      <c r="J6" s="477"/>
      <c r="K6" s="168"/>
    </row>
    <row r="7" spans="2:12" ht="15" x14ac:dyDescent="0.2">
      <c r="B7" s="228"/>
      <c r="C7" s="170"/>
      <c r="D7" s="170"/>
      <c r="E7" s="170"/>
      <c r="F7" s="170"/>
      <c r="G7" s="170"/>
      <c r="H7" s="170"/>
      <c r="I7" s="171"/>
      <c r="J7" s="171"/>
      <c r="K7" s="168"/>
    </row>
    <row r="8" spans="2:12" ht="15" x14ac:dyDescent="0.2">
      <c r="B8" s="228"/>
      <c r="C8" s="172"/>
      <c r="D8" s="172"/>
      <c r="E8" s="172"/>
      <c r="F8" s="172"/>
      <c r="G8" s="172"/>
      <c r="H8" s="172"/>
      <c r="I8" s="171"/>
      <c r="J8" s="171"/>
      <c r="K8" s="168"/>
    </row>
    <row r="9" spans="2:12" ht="15.75" customHeight="1" x14ac:dyDescent="0.2">
      <c r="B9" s="228"/>
      <c r="C9" s="171"/>
      <c r="D9" s="473" t="s">
        <v>230</v>
      </c>
      <c r="E9" s="473"/>
      <c r="F9" s="473"/>
      <c r="G9" s="473"/>
      <c r="H9" s="473"/>
      <c r="I9" s="473"/>
      <c r="J9" s="473"/>
      <c r="K9" s="168"/>
    </row>
    <row r="10" spans="2:12" ht="15.75" customHeight="1" x14ac:dyDescent="0.2">
      <c r="B10" s="228"/>
      <c r="C10" s="171"/>
      <c r="D10" s="177"/>
      <c r="E10" s="171"/>
      <c r="F10" s="177" t="s">
        <v>231</v>
      </c>
      <c r="G10" s="171"/>
      <c r="H10" s="177" t="s">
        <v>232</v>
      </c>
      <c r="I10" s="171"/>
      <c r="J10" s="177" t="s">
        <v>234</v>
      </c>
      <c r="K10" s="168"/>
    </row>
    <row r="11" spans="2:12" ht="15" x14ac:dyDescent="0.2">
      <c r="B11" s="228"/>
      <c r="C11" s="180" t="s">
        <v>60</v>
      </c>
      <c r="D11" s="180" t="s">
        <v>30</v>
      </c>
      <c r="E11" s="171"/>
      <c r="F11" s="180" t="s">
        <v>31</v>
      </c>
      <c r="G11" s="171"/>
      <c r="H11" s="180" t="s">
        <v>31</v>
      </c>
      <c r="I11" s="171"/>
      <c r="J11" s="180" t="s">
        <v>235</v>
      </c>
      <c r="K11" s="168"/>
    </row>
    <row r="12" spans="2:12" ht="15" x14ac:dyDescent="0.2">
      <c r="B12" s="228"/>
      <c r="C12" s="173">
        <v>2024</v>
      </c>
      <c r="D12" s="174">
        <v>3500</v>
      </c>
      <c r="E12" s="174"/>
      <c r="F12" s="174">
        <v>2531</v>
      </c>
      <c r="G12" s="174"/>
      <c r="H12" s="174">
        <v>2492</v>
      </c>
      <c r="I12" s="171"/>
      <c r="J12" s="171">
        <f>SUM(D12,F12,H12)</f>
        <v>8523</v>
      </c>
      <c r="K12" s="168"/>
    </row>
    <row r="13" spans="2:12" ht="15" x14ac:dyDescent="0.2">
      <c r="B13" s="228"/>
      <c r="C13" s="173">
        <v>2025</v>
      </c>
      <c r="D13" s="175">
        <v>3500</v>
      </c>
      <c r="E13" s="175"/>
      <c r="F13" s="175">
        <v>2492</v>
      </c>
      <c r="G13" s="175"/>
      <c r="H13" s="175">
        <v>2453</v>
      </c>
      <c r="I13" s="171"/>
      <c r="J13" s="171">
        <f t="shared" ref="J13:J16" si="0">SUM(D13,F13,H13)</f>
        <v>8445</v>
      </c>
      <c r="K13" s="168"/>
    </row>
    <row r="14" spans="2:12" ht="15" x14ac:dyDescent="0.2">
      <c r="B14" s="228"/>
      <c r="C14" s="173">
        <v>2026</v>
      </c>
      <c r="D14" s="175">
        <v>4000</v>
      </c>
      <c r="E14" s="175"/>
      <c r="F14" s="175">
        <v>2453</v>
      </c>
      <c r="G14" s="175"/>
      <c r="H14" s="175">
        <v>2413</v>
      </c>
      <c r="I14" s="171"/>
      <c r="J14" s="171">
        <f t="shared" si="0"/>
        <v>8866</v>
      </c>
      <c r="K14" s="168"/>
    </row>
    <row r="15" spans="2:12" ht="15" x14ac:dyDescent="0.2">
      <c r="B15" s="228"/>
      <c r="C15" s="173">
        <v>2027</v>
      </c>
      <c r="D15" s="175">
        <v>4000</v>
      </c>
      <c r="E15" s="175"/>
      <c r="F15" s="175">
        <v>2413</v>
      </c>
      <c r="G15" s="175"/>
      <c r="H15" s="175">
        <v>2368</v>
      </c>
      <c r="I15" s="171"/>
      <c r="J15" s="171">
        <f t="shared" si="0"/>
        <v>8781</v>
      </c>
      <c r="K15" s="168"/>
    </row>
    <row r="16" spans="2:12" ht="15" x14ac:dyDescent="0.2">
      <c r="B16" s="228"/>
      <c r="C16" s="173">
        <v>2028</v>
      </c>
      <c r="D16" s="181">
        <v>4000</v>
      </c>
      <c r="E16" s="175"/>
      <c r="F16" s="181">
        <v>2368</v>
      </c>
      <c r="G16" s="175"/>
      <c r="H16" s="181">
        <v>2323</v>
      </c>
      <c r="I16" s="171"/>
      <c r="J16" s="179">
        <f t="shared" si="0"/>
        <v>8691</v>
      </c>
      <c r="K16" s="168"/>
    </row>
    <row r="17" spans="2:11" ht="15" x14ac:dyDescent="0.2">
      <c r="B17" s="228"/>
      <c r="C17" s="175"/>
      <c r="D17" s="175"/>
      <c r="E17" s="175"/>
      <c r="F17" s="175"/>
      <c r="G17" s="175"/>
      <c r="H17" s="171"/>
      <c r="I17" s="171"/>
      <c r="J17" s="171"/>
      <c r="K17" s="168"/>
    </row>
    <row r="18" spans="2:11" ht="15.75" thickBot="1" x14ac:dyDescent="0.25">
      <c r="B18" s="228"/>
      <c r="C18" s="177" t="s">
        <v>0</v>
      </c>
      <c r="D18" s="437">
        <f>SUM(D12:D17)</f>
        <v>19000</v>
      </c>
      <c r="E18" s="434"/>
      <c r="F18" s="437">
        <f>SUM(F12:F17)</f>
        <v>12257</v>
      </c>
      <c r="G18" s="434"/>
      <c r="H18" s="437">
        <f>SUM(H12:H17)</f>
        <v>12049</v>
      </c>
      <c r="I18" s="435"/>
      <c r="J18" s="438">
        <f>SUM(J12:J17)</f>
        <v>43306</v>
      </c>
      <c r="K18" s="168"/>
    </row>
    <row r="19" spans="2:11" ht="16.5" thickTop="1" x14ac:dyDescent="0.25">
      <c r="B19" s="228"/>
      <c r="C19" s="176"/>
      <c r="D19" s="436"/>
      <c r="E19" s="436"/>
      <c r="F19" s="436"/>
      <c r="G19" s="436"/>
      <c r="H19" s="436"/>
      <c r="I19" s="435"/>
      <c r="J19" s="435"/>
      <c r="K19" s="168"/>
    </row>
    <row r="20" spans="2:11" ht="16.5" thickBot="1" x14ac:dyDescent="0.3">
      <c r="B20" s="228"/>
      <c r="C20" s="172" t="s">
        <v>233</v>
      </c>
      <c r="D20" s="438">
        <f>ROUND(AVERAGE(D12:D16),0)</f>
        <v>3800</v>
      </c>
      <c r="E20" s="436"/>
      <c r="F20" s="438">
        <f>ROUND(AVERAGE(F12:F16),0)</f>
        <v>2451</v>
      </c>
      <c r="G20" s="436"/>
      <c r="H20" s="438">
        <f>ROUND(AVERAGE(H12:H16),0)</f>
        <v>2410</v>
      </c>
      <c r="I20" s="435"/>
      <c r="J20" s="438">
        <f>ROUND(AVERAGE(J12:J16),0)</f>
        <v>8661</v>
      </c>
      <c r="K20" s="168"/>
    </row>
    <row r="21" spans="2:11" ht="15.75" thickTop="1" x14ac:dyDescent="0.2">
      <c r="B21" s="229"/>
      <c r="C21" s="179"/>
      <c r="D21" s="179"/>
      <c r="E21" s="179"/>
      <c r="F21" s="179"/>
      <c r="G21" s="179"/>
      <c r="H21" s="179"/>
      <c r="I21" s="179"/>
      <c r="J21" s="179"/>
      <c r="K21" s="230"/>
    </row>
    <row r="22" spans="2:11" ht="15" x14ac:dyDescent="0.2">
      <c r="B22" s="164"/>
      <c r="C22" s="171"/>
      <c r="D22" s="171"/>
      <c r="E22" s="171"/>
      <c r="F22" s="171"/>
      <c r="G22" s="171"/>
      <c r="H22" s="171"/>
      <c r="I22" s="171"/>
    </row>
    <row r="23" spans="2:11" ht="15" x14ac:dyDescent="0.2">
      <c r="B23" s="164"/>
      <c r="C23" s="171"/>
      <c r="D23" s="171"/>
      <c r="E23" s="171"/>
      <c r="F23" s="171"/>
      <c r="G23" s="171"/>
      <c r="H23" s="171"/>
      <c r="I23" s="171"/>
    </row>
    <row r="24" spans="2:11" ht="15" x14ac:dyDescent="0.2">
      <c r="B24" s="164"/>
      <c r="C24" s="177"/>
      <c r="D24" s="177"/>
      <c r="E24" s="177"/>
      <c r="F24" s="177"/>
      <c r="G24" s="177"/>
      <c r="H24" s="177"/>
      <c r="I24" s="171"/>
    </row>
    <row r="25" spans="2:11" ht="15" x14ac:dyDescent="0.2">
      <c r="B25" s="164"/>
      <c r="C25" s="178"/>
      <c r="D25" s="178"/>
      <c r="E25" s="178"/>
      <c r="F25" s="178"/>
      <c r="G25" s="178"/>
      <c r="H25" s="178"/>
    </row>
  </sheetData>
  <mergeCells count="5">
    <mergeCell ref="C3:J3"/>
    <mergeCell ref="C4:J4"/>
    <mergeCell ref="C5:J5"/>
    <mergeCell ref="C6:J6"/>
    <mergeCell ref="D9:J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AB6E-08F1-4022-9196-9C5C44DBD012}">
  <dimension ref="B2:O32"/>
  <sheetViews>
    <sheetView showGridLines="0" zoomScale="118" zoomScaleNormal="118" workbookViewId="0">
      <selection activeCell="B2" sqref="B2:O14"/>
    </sheetView>
  </sheetViews>
  <sheetFormatPr defaultColWidth="15.77734375" defaultRowHeight="15" x14ac:dyDescent="0.2"/>
  <cols>
    <col min="1" max="1" width="4.77734375" customWidth="1"/>
    <col min="2" max="2" width="1.77734375" customWidth="1"/>
    <col min="3" max="3" width="8.33203125" customWidth="1"/>
    <col min="4" max="4" width="10.6640625" customWidth="1"/>
    <col min="5" max="5" width="2.77734375" customWidth="1"/>
    <col min="6" max="6" width="12.77734375" customWidth="1"/>
    <col min="7" max="7" width="9.77734375" customWidth="1"/>
    <col min="8" max="8" width="2.77734375" customWidth="1"/>
    <col min="9" max="9" width="12.77734375" customWidth="1"/>
    <col min="10" max="10" width="9.77734375" customWidth="1"/>
    <col min="11" max="11" width="2.77734375" customWidth="1"/>
    <col min="12" max="12" width="11.77734375" customWidth="1"/>
    <col min="13" max="13" width="1.77734375" customWidth="1"/>
    <col min="14" max="14" width="8.77734375" customWidth="1"/>
    <col min="15" max="15" width="1.77734375" customWidth="1"/>
  </cols>
  <sheetData>
    <row r="2" spans="2:15" ht="23.25" x14ac:dyDescent="0.35">
      <c r="B2" s="413"/>
      <c r="C2" s="499" t="s">
        <v>102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14"/>
    </row>
    <row r="3" spans="2:15" ht="23.25" x14ac:dyDescent="0.35">
      <c r="B3" s="131"/>
      <c r="C3" s="500" t="s">
        <v>331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397"/>
    </row>
    <row r="4" spans="2:15" ht="23.25" x14ac:dyDescent="0.35">
      <c r="B4" s="131"/>
      <c r="C4" s="501" t="str">
        <f>Adj!B1</f>
        <v>Cannonsburg Water District</v>
      </c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397"/>
    </row>
    <row r="5" spans="2:15" x14ac:dyDescent="0.2">
      <c r="B5" s="131"/>
      <c r="C5" s="415"/>
      <c r="D5" s="415"/>
      <c r="E5" s="415"/>
      <c r="F5" s="415"/>
      <c r="G5" s="415"/>
      <c r="H5" s="415"/>
      <c r="I5" s="415"/>
      <c r="J5" s="415"/>
      <c r="K5" s="415"/>
      <c r="L5" s="415"/>
      <c r="O5" s="397"/>
    </row>
    <row r="6" spans="2:15" x14ac:dyDescent="0.2">
      <c r="B6" s="131"/>
      <c r="C6" s="415"/>
      <c r="D6" s="415"/>
      <c r="E6" s="415"/>
      <c r="F6" s="415"/>
      <c r="G6" s="415"/>
      <c r="H6" s="415"/>
      <c r="I6" s="415"/>
      <c r="J6" s="415"/>
      <c r="K6" s="415"/>
      <c r="L6" s="415"/>
      <c r="O6" s="397"/>
    </row>
    <row r="7" spans="2:15" x14ac:dyDescent="0.2">
      <c r="B7" s="131"/>
      <c r="F7" s="503" t="s">
        <v>328</v>
      </c>
      <c r="G7" s="503"/>
      <c r="I7" s="503" t="s">
        <v>329</v>
      </c>
      <c r="J7" s="503"/>
      <c r="L7" s="503" t="s">
        <v>330</v>
      </c>
      <c r="M7" s="503"/>
      <c r="N7" s="503"/>
      <c r="O7" s="397"/>
    </row>
    <row r="8" spans="2:15" x14ac:dyDescent="0.2">
      <c r="B8" s="131"/>
      <c r="C8" s="186" t="s">
        <v>54</v>
      </c>
      <c r="D8" s="192">
        <v>2000</v>
      </c>
      <c r="F8" s="407">
        <f>CurRates!F8</f>
        <v>27.22</v>
      </c>
      <c r="G8" s="164" t="s">
        <v>124</v>
      </c>
      <c r="I8" s="407">
        <f>'Rates Comp'!L11</f>
        <v>37.18</v>
      </c>
      <c r="J8" s="164" t="s">
        <v>124</v>
      </c>
      <c r="L8" s="407">
        <f>I8-F8</f>
        <v>9.9600000000000009</v>
      </c>
      <c r="N8" s="418">
        <f>ROUND(L8/F8,4)</f>
        <v>0.3659</v>
      </c>
      <c r="O8" s="397"/>
    </row>
    <row r="9" spans="2:15" x14ac:dyDescent="0.2">
      <c r="B9" s="131"/>
      <c r="C9" s="186" t="s">
        <v>55</v>
      </c>
      <c r="D9" s="192">
        <v>3000</v>
      </c>
      <c r="F9" s="408">
        <f>CurRates!F9</f>
        <v>8.94E-3</v>
      </c>
      <c r="G9" s="164" t="s">
        <v>339</v>
      </c>
      <c r="I9" s="408">
        <f>'Rates Comp'!L12</f>
        <v>1.2230000000000001E-2</v>
      </c>
      <c r="J9" s="164" t="s">
        <v>339</v>
      </c>
      <c r="L9" s="408">
        <f t="shared" ref="L9:L11" si="0">I9-F9</f>
        <v>3.2900000000000013E-3</v>
      </c>
      <c r="N9" s="418">
        <f t="shared" ref="N9:N11" si="1">ROUND(L9/F9,4)</f>
        <v>0.36799999999999999</v>
      </c>
      <c r="O9" s="397"/>
    </row>
    <row r="10" spans="2:15" x14ac:dyDescent="0.2">
      <c r="B10" s="131"/>
      <c r="C10" s="186" t="s">
        <v>55</v>
      </c>
      <c r="D10" s="192">
        <v>5000</v>
      </c>
      <c r="F10" s="408">
        <f>CurRates!F10</f>
        <v>8.1300000000000001E-3</v>
      </c>
      <c r="G10" s="164" t="s">
        <v>339</v>
      </c>
      <c r="I10" s="408">
        <f>'Rates Comp'!L13</f>
        <v>1.1120000000000001E-2</v>
      </c>
      <c r="J10" s="164" t="s">
        <v>339</v>
      </c>
      <c r="L10" s="408">
        <f t="shared" si="0"/>
        <v>2.9900000000000013E-3</v>
      </c>
      <c r="N10" s="418">
        <f t="shared" si="1"/>
        <v>0.36780000000000002</v>
      </c>
      <c r="O10" s="397"/>
    </row>
    <row r="11" spans="2:15" x14ac:dyDescent="0.2">
      <c r="B11" s="131"/>
      <c r="C11" s="186" t="s">
        <v>125</v>
      </c>
      <c r="D11" s="192">
        <v>10000</v>
      </c>
      <c r="F11" s="408">
        <f>CurRates!F11</f>
        <v>7.3200000000000001E-3</v>
      </c>
      <c r="G11" s="164" t="s">
        <v>339</v>
      </c>
      <c r="I11" s="408">
        <f>'Rates Comp'!L14</f>
        <v>1.0010000000000002E-2</v>
      </c>
      <c r="J11" s="164" t="s">
        <v>339</v>
      </c>
      <c r="L11" s="408">
        <f t="shared" si="0"/>
        <v>2.6900000000000014E-3</v>
      </c>
      <c r="N11" s="418">
        <f t="shared" si="1"/>
        <v>0.36749999999999999</v>
      </c>
      <c r="O11" s="397"/>
    </row>
    <row r="12" spans="2:15" x14ac:dyDescent="0.2">
      <c r="B12" s="131"/>
      <c r="C12" s="186"/>
      <c r="D12" s="192"/>
      <c r="F12" s="408"/>
      <c r="G12" s="164"/>
      <c r="I12" s="408"/>
      <c r="J12" s="164"/>
      <c r="L12" s="408"/>
      <c r="N12" s="418"/>
      <c r="O12" s="397"/>
    </row>
    <row r="13" spans="2:15" x14ac:dyDescent="0.2">
      <c r="B13" s="131"/>
      <c r="C13" s="429" t="s">
        <v>337</v>
      </c>
      <c r="D13" s="192"/>
      <c r="F13" s="408">
        <f>'Rates Comp'!F16</f>
        <v>4.2199999999999998E-3</v>
      </c>
      <c r="G13" s="164" t="s">
        <v>339</v>
      </c>
      <c r="I13" s="408">
        <f>'Rates Comp'!L16</f>
        <v>5.77E-3</v>
      </c>
      <c r="J13" s="164" t="s">
        <v>339</v>
      </c>
      <c r="L13" s="408">
        <f t="shared" ref="L13" si="2">I13-F13</f>
        <v>1.5500000000000002E-3</v>
      </c>
      <c r="N13" s="418">
        <f t="shared" ref="N13" si="3">ROUND(L13/F13,4)</f>
        <v>0.36730000000000002</v>
      </c>
      <c r="O13" s="397"/>
    </row>
    <row r="14" spans="2:15" x14ac:dyDescent="0.2">
      <c r="B14" s="416"/>
      <c r="C14" s="197"/>
      <c r="D14" s="197"/>
      <c r="E14" s="197"/>
      <c r="F14" s="197"/>
      <c r="G14" s="197"/>
      <c r="H14" s="197"/>
      <c r="I14" s="197"/>
      <c r="J14" s="197"/>
      <c r="K14" s="197"/>
      <c r="L14" s="439"/>
      <c r="M14" s="197"/>
      <c r="N14" s="420"/>
      <c r="O14" s="417"/>
    </row>
    <row r="20" spans="2:13" ht="23.25" x14ac:dyDescent="0.35">
      <c r="B20" s="227"/>
      <c r="C20" s="499" t="s">
        <v>352</v>
      </c>
      <c r="D20" s="499"/>
      <c r="E20" s="499"/>
      <c r="F20" s="499"/>
      <c r="G20" s="499"/>
      <c r="H20" s="499"/>
      <c r="I20" s="499"/>
      <c r="J20" s="499"/>
      <c r="K20" s="499"/>
      <c r="L20" s="499"/>
      <c r="M20" s="414"/>
    </row>
    <row r="21" spans="2:13" ht="23.25" x14ac:dyDescent="0.35">
      <c r="B21" s="228"/>
      <c r="C21" s="500" t="s">
        <v>331</v>
      </c>
      <c r="D21" s="500"/>
      <c r="E21" s="500"/>
      <c r="F21" s="500"/>
      <c r="G21" s="500"/>
      <c r="H21" s="500"/>
      <c r="I21" s="500"/>
      <c r="J21" s="500"/>
      <c r="K21" s="500"/>
      <c r="L21" s="500"/>
      <c r="M21" s="397"/>
    </row>
    <row r="22" spans="2:13" ht="23.25" x14ac:dyDescent="0.35">
      <c r="B22" s="131"/>
      <c r="C22" s="501" t="str">
        <f>C4</f>
        <v>Cannonsburg Water District</v>
      </c>
      <c r="D22" s="501"/>
      <c r="E22" s="501"/>
      <c r="F22" s="501"/>
      <c r="G22" s="501"/>
      <c r="H22" s="501"/>
      <c r="I22" s="501"/>
      <c r="J22" s="501"/>
      <c r="K22" s="501"/>
      <c r="L22" s="501"/>
      <c r="M22" s="397"/>
    </row>
    <row r="23" spans="2:13" x14ac:dyDescent="0.2">
      <c r="B23" s="131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397"/>
    </row>
    <row r="24" spans="2:13" x14ac:dyDescent="0.2">
      <c r="B24" s="131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397"/>
    </row>
    <row r="25" spans="2:13" x14ac:dyDescent="0.2">
      <c r="B25" s="131"/>
      <c r="F25" s="502" t="s">
        <v>328</v>
      </c>
      <c r="G25" s="502"/>
      <c r="I25" s="502" t="s">
        <v>329</v>
      </c>
      <c r="J25" s="502"/>
      <c r="L25" s="405" t="s">
        <v>330</v>
      </c>
      <c r="M25" s="397"/>
    </row>
    <row r="26" spans="2:13" x14ac:dyDescent="0.2">
      <c r="B26" s="131"/>
      <c r="C26" s="186" t="s">
        <v>54</v>
      </c>
      <c r="D26" s="192">
        <v>2000</v>
      </c>
      <c r="F26" s="407">
        <f>F8</f>
        <v>27.22</v>
      </c>
      <c r="G26" s="164" t="s">
        <v>341</v>
      </c>
      <c r="I26" s="407">
        <f>I8</f>
        <v>37.18</v>
      </c>
      <c r="J26" s="164" t="s">
        <v>341</v>
      </c>
      <c r="L26" s="407">
        <f>I26-F26</f>
        <v>9.9600000000000009</v>
      </c>
      <c r="M26" s="397"/>
    </row>
    <row r="27" spans="2:13" x14ac:dyDescent="0.2">
      <c r="B27" s="131"/>
      <c r="C27" s="186" t="s">
        <v>55</v>
      </c>
      <c r="D27" s="192">
        <v>3000</v>
      </c>
      <c r="F27" s="408">
        <f>F9</f>
        <v>8.94E-3</v>
      </c>
      <c r="G27" s="164" t="s">
        <v>339</v>
      </c>
      <c r="I27" s="408">
        <f>I9</f>
        <v>1.2230000000000001E-2</v>
      </c>
      <c r="J27" s="164" t="s">
        <v>339</v>
      </c>
      <c r="L27" s="408">
        <f t="shared" ref="L27:L29" si="4">I27-F27</f>
        <v>3.2900000000000013E-3</v>
      </c>
      <c r="M27" s="397"/>
    </row>
    <row r="28" spans="2:13" x14ac:dyDescent="0.2">
      <c r="B28" s="131"/>
      <c r="C28" s="186" t="s">
        <v>55</v>
      </c>
      <c r="D28" s="192">
        <v>5000</v>
      </c>
      <c r="F28" s="408">
        <f t="shared" ref="F28:F29" si="5">F10</f>
        <v>8.1300000000000001E-3</v>
      </c>
      <c r="G28" s="164" t="s">
        <v>339</v>
      </c>
      <c r="I28" s="408">
        <f t="shared" ref="I28:I29" si="6">I10</f>
        <v>1.1120000000000001E-2</v>
      </c>
      <c r="J28" s="164" t="s">
        <v>339</v>
      </c>
      <c r="L28" s="408">
        <f t="shared" si="4"/>
        <v>2.9900000000000013E-3</v>
      </c>
      <c r="M28" s="397"/>
    </row>
    <row r="29" spans="2:13" x14ac:dyDescent="0.2">
      <c r="B29" s="131"/>
      <c r="C29" s="186" t="s">
        <v>125</v>
      </c>
      <c r="D29" s="192">
        <v>10000</v>
      </c>
      <c r="F29" s="408">
        <f t="shared" si="5"/>
        <v>7.3200000000000001E-3</v>
      </c>
      <c r="G29" s="164" t="s">
        <v>339</v>
      </c>
      <c r="I29" s="408">
        <f t="shared" si="6"/>
        <v>1.0010000000000002E-2</v>
      </c>
      <c r="J29" s="164" t="s">
        <v>339</v>
      </c>
      <c r="L29" s="408">
        <f t="shared" si="4"/>
        <v>2.6900000000000014E-3</v>
      </c>
      <c r="M29" s="397"/>
    </row>
    <row r="30" spans="2:13" x14ac:dyDescent="0.2">
      <c r="B30" s="131"/>
      <c r="C30" s="186"/>
      <c r="D30" s="192"/>
      <c r="F30" s="408"/>
      <c r="G30" s="164"/>
      <c r="I30" s="408"/>
      <c r="J30" s="164"/>
      <c r="L30" s="408"/>
      <c r="M30" s="397"/>
    </row>
    <row r="31" spans="2:13" x14ac:dyDescent="0.2">
      <c r="B31" s="131"/>
      <c r="C31" s="429" t="s">
        <v>337</v>
      </c>
      <c r="D31" s="192"/>
      <c r="F31" s="408">
        <f>F13</f>
        <v>4.2199999999999998E-3</v>
      </c>
      <c r="G31" s="164" t="s">
        <v>339</v>
      </c>
      <c r="I31" s="408">
        <f>I13</f>
        <v>5.77E-3</v>
      </c>
      <c r="J31" s="164" t="s">
        <v>339</v>
      </c>
      <c r="L31" s="408">
        <f t="shared" ref="L31" si="7">I31-F31</f>
        <v>1.5500000000000002E-3</v>
      </c>
      <c r="M31" s="397"/>
    </row>
    <row r="32" spans="2:13" x14ac:dyDescent="0.2">
      <c r="B32" s="41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417"/>
    </row>
  </sheetData>
  <mergeCells count="11">
    <mergeCell ref="F7:G7"/>
    <mergeCell ref="I7:J7"/>
    <mergeCell ref="L7:N7"/>
    <mergeCell ref="C2:N2"/>
    <mergeCell ref="C3:N3"/>
    <mergeCell ref="C4:N4"/>
    <mergeCell ref="C20:L20"/>
    <mergeCell ref="C21:L21"/>
    <mergeCell ref="C22:L22"/>
    <mergeCell ref="F25:G25"/>
    <mergeCell ref="I25:J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6F3B-7C21-43F1-A4F9-BBC4EBA1D34C}">
  <dimension ref="A2:S33"/>
  <sheetViews>
    <sheetView showGridLines="0" zoomScale="148" zoomScaleNormal="148" workbookViewId="0">
      <selection sqref="A1:K18"/>
    </sheetView>
  </sheetViews>
  <sheetFormatPr defaultColWidth="14.77734375" defaultRowHeight="15" x14ac:dyDescent="0.2"/>
  <cols>
    <col min="1" max="1" width="1.77734375" customWidth="1"/>
    <col min="2" max="2" width="14.77734375" style="275"/>
    <col min="3" max="3" width="1.77734375" customWidth="1"/>
    <col min="4" max="4" width="14.77734375" style="407"/>
    <col min="5" max="5" width="1.77734375" customWidth="1"/>
    <col min="6" max="6" width="14.77734375" style="407"/>
    <col min="7" max="7" width="1.77734375" customWidth="1"/>
    <col min="9" max="9" width="1.77734375" customWidth="1"/>
    <col min="10" max="10" width="14.77734375" style="411"/>
    <col min="11" max="11" width="1.77734375" customWidth="1"/>
    <col min="14" max="15" width="9.88671875" customWidth="1"/>
  </cols>
  <sheetData>
    <row r="2" spans="1:19" ht="23.25" x14ac:dyDescent="0.35">
      <c r="A2" s="413"/>
      <c r="B2" s="506" t="s">
        <v>326</v>
      </c>
      <c r="C2" s="506"/>
      <c r="D2" s="506"/>
      <c r="E2" s="506"/>
      <c r="F2" s="506"/>
      <c r="G2" s="506"/>
      <c r="H2" s="506"/>
      <c r="I2" s="506"/>
      <c r="J2" s="506"/>
      <c r="K2" s="414"/>
    </row>
    <row r="3" spans="1:19" ht="23.25" x14ac:dyDescent="0.35">
      <c r="A3" s="131"/>
      <c r="B3" s="505" t="s">
        <v>327</v>
      </c>
      <c r="C3" s="505"/>
      <c r="D3" s="505"/>
      <c r="E3" s="505"/>
      <c r="F3" s="505"/>
      <c r="G3" s="505"/>
      <c r="H3" s="505"/>
      <c r="I3" s="505"/>
      <c r="J3" s="505"/>
      <c r="K3" s="397"/>
    </row>
    <row r="4" spans="1:19" ht="23.25" x14ac:dyDescent="0.35">
      <c r="A4" s="131"/>
      <c r="B4" s="504" t="str">
        <f>Adj!B1</f>
        <v>Cannonsburg Water District</v>
      </c>
      <c r="C4" s="504"/>
      <c r="D4" s="504"/>
      <c r="E4" s="504"/>
      <c r="F4" s="504"/>
      <c r="G4" s="504"/>
      <c r="H4" s="504"/>
      <c r="I4" s="504"/>
      <c r="J4" s="504"/>
      <c r="K4" s="397"/>
    </row>
    <row r="5" spans="1:19" x14ac:dyDescent="0.2">
      <c r="A5" s="131"/>
      <c r="J5" s="418"/>
      <c r="K5" s="397"/>
    </row>
    <row r="6" spans="1:19" x14ac:dyDescent="0.2">
      <c r="A6" s="131"/>
      <c r="B6" s="441" t="s">
        <v>319</v>
      </c>
      <c r="D6" s="442" t="s">
        <v>321</v>
      </c>
      <c r="F6" s="442" t="s">
        <v>323</v>
      </c>
      <c r="H6" s="440"/>
      <c r="J6" s="409"/>
      <c r="K6" s="397"/>
    </row>
    <row r="7" spans="1:19" x14ac:dyDescent="0.2">
      <c r="A7" s="131"/>
      <c r="B7" s="406" t="s">
        <v>320</v>
      </c>
      <c r="D7" s="412" t="s">
        <v>322</v>
      </c>
      <c r="F7" s="412" t="s">
        <v>322</v>
      </c>
      <c r="H7" s="405" t="s">
        <v>324</v>
      </c>
      <c r="J7" s="410" t="s">
        <v>325</v>
      </c>
      <c r="K7" s="397"/>
    </row>
    <row r="8" spans="1:19" x14ac:dyDescent="0.2">
      <c r="A8" s="131"/>
      <c r="B8" s="275">
        <v>2000</v>
      </c>
      <c r="D8" s="407">
        <f>P15</f>
        <v>27.22</v>
      </c>
      <c r="F8" s="407">
        <f>R15</f>
        <v>37.18</v>
      </c>
      <c r="H8" s="407">
        <f>F8-D8</f>
        <v>9.9600000000000009</v>
      </c>
      <c r="J8" s="418">
        <f>ROUND(H8/D8,4)</f>
        <v>0.3659</v>
      </c>
      <c r="K8" s="397"/>
      <c r="M8" s="391" t="s">
        <v>54</v>
      </c>
      <c r="N8" s="192">
        <v>2000</v>
      </c>
      <c r="O8" s="192"/>
      <c r="P8" s="407">
        <f>'Rates Comp'!F11</f>
        <v>27.22</v>
      </c>
      <c r="Q8" s="407">
        <f>'Rates Comp'!L11</f>
        <v>37.18</v>
      </c>
    </row>
    <row r="9" spans="1:19" x14ac:dyDescent="0.2">
      <c r="A9" s="131"/>
      <c r="B9" s="275">
        <v>4000</v>
      </c>
      <c r="D9" s="407">
        <f>P17</f>
        <v>45.099999999999994</v>
      </c>
      <c r="F9" s="407">
        <f>R17</f>
        <v>61.64</v>
      </c>
      <c r="H9" s="407">
        <f t="shared" ref="H9:H17" si="0">F9-D9</f>
        <v>16.540000000000006</v>
      </c>
      <c r="J9" s="418">
        <f t="shared" ref="J9:J17" si="1">ROUND(H9/D9,4)</f>
        <v>0.36670000000000003</v>
      </c>
      <c r="K9" s="397"/>
      <c r="M9" s="391" t="s">
        <v>55</v>
      </c>
      <c r="N9" s="192">
        <v>3000</v>
      </c>
      <c r="O9" s="192">
        <f>SUM(N8:N9)</f>
        <v>5000</v>
      </c>
      <c r="P9" s="408">
        <f>'Rates Comp'!F12</f>
        <v>8.94E-3</v>
      </c>
      <c r="Q9" s="408">
        <f>'Rates Comp'!L12</f>
        <v>1.2230000000000001E-2</v>
      </c>
    </row>
    <row r="10" spans="1:19" x14ac:dyDescent="0.2">
      <c r="A10" s="131"/>
      <c r="B10" s="275">
        <v>6000</v>
      </c>
      <c r="D10" s="407">
        <f>P19</f>
        <v>62.17</v>
      </c>
      <c r="F10" s="407">
        <f>R19</f>
        <v>84.990000000000009</v>
      </c>
      <c r="H10" s="407">
        <f t="shared" si="0"/>
        <v>22.820000000000007</v>
      </c>
      <c r="J10" s="418">
        <f t="shared" si="1"/>
        <v>0.36709999999999998</v>
      </c>
      <c r="K10" s="397"/>
      <c r="M10" s="391" t="s">
        <v>55</v>
      </c>
      <c r="N10" s="192">
        <v>5000</v>
      </c>
      <c r="O10" s="192">
        <f>SUM(N8:N10)</f>
        <v>10000</v>
      </c>
      <c r="P10" s="408">
        <f>'Rates Comp'!F13</f>
        <v>8.1300000000000001E-3</v>
      </c>
      <c r="Q10" s="408">
        <f>'Rates Comp'!L13</f>
        <v>1.1120000000000001E-2</v>
      </c>
    </row>
    <row r="11" spans="1:19" x14ac:dyDescent="0.2">
      <c r="A11" s="131"/>
      <c r="B11" s="275">
        <v>8000</v>
      </c>
      <c r="D11" s="407">
        <f>P21</f>
        <v>78.430000000000007</v>
      </c>
      <c r="F11" s="407">
        <f>R21</f>
        <v>107.23000000000002</v>
      </c>
      <c r="H11" s="407">
        <f t="shared" si="0"/>
        <v>28.800000000000011</v>
      </c>
      <c r="J11" s="418">
        <f t="shared" si="1"/>
        <v>0.36720000000000003</v>
      </c>
      <c r="K11" s="397"/>
      <c r="M11" s="391" t="s">
        <v>125</v>
      </c>
      <c r="N11" s="192">
        <v>10000</v>
      </c>
      <c r="O11" s="192"/>
      <c r="P11" s="408">
        <f>'Rates Comp'!F14</f>
        <v>7.3200000000000001E-3</v>
      </c>
      <c r="Q11" s="408">
        <f>'Rates Comp'!L14</f>
        <v>1.0010000000000002E-2</v>
      </c>
    </row>
    <row r="12" spans="1:19" x14ac:dyDescent="0.2">
      <c r="A12" s="131"/>
      <c r="B12" s="275">
        <v>10000</v>
      </c>
      <c r="D12" s="407">
        <f>P23</f>
        <v>94.69</v>
      </c>
      <c r="F12" s="407">
        <f>R23</f>
        <v>129.47000000000003</v>
      </c>
      <c r="H12" s="407">
        <f t="shared" si="0"/>
        <v>34.78000000000003</v>
      </c>
      <c r="J12" s="418">
        <f t="shared" si="1"/>
        <v>0.36730000000000002</v>
      </c>
      <c r="K12" s="397"/>
    </row>
    <row r="13" spans="1:19" x14ac:dyDescent="0.2">
      <c r="A13" s="131"/>
      <c r="B13" s="275">
        <v>12000</v>
      </c>
      <c r="D13" s="407">
        <f>P25</f>
        <v>109.33</v>
      </c>
      <c r="F13" s="407">
        <f>R25</f>
        <v>149.49000000000004</v>
      </c>
      <c r="H13" s="407">
        <f t="shared" si="0"/>
        <v>40.160000000000039</v>
      </c>
      <c r="J13" s="418">
        <f t="shared" si="1"/>
        <v>0.36730000000000002</v>
      </c>
      <c r="K13" s="397"/>
    </row>
    <row r="14" spans="1:19" x14ac:dyDescent="0.2">
      <c r="A14" s="131"/>
      <c r="B14" s="275">
        <v>14000</v>
      </c>
      <c r="D14" s="407">
        <f>P27</f>
        <v>123.97</v>
      </c>
      <c r="F14" s="407">
        <f>R27</f>
        <v>169.51000000000005</v>
      </c>
      <c r="H14" s="407">
        <f t="shared" si="0"/>
        <v>45.540000000000049</v>
      </c>
      <c r="J14" s="418">
        <f t="shared" si="1"/>
        <v>0.36730000000000002</v>
      </c>
      <c r="K14" s="397"/>
      <c r="M14" s="198">
        <f>N8</f>
        <v>2000</v>
      </c>
      <c r="N14" s="192">
        <v>1000</v>
      </c>
      <c r="O14" s="407">
        <f>P8</f>
        <v>27.22</v>
      </c>
      <c r="P14" s="407">
        <f>O14</f>
        <v>27.22</v>
      </c>
      <c r="Q14" s="407">
        <f>Q8</f>
        <v>37.18</v>
      </c>
      <c r="R14" s="407">
        <f>Q14</f>
        <v>37.18</v>
      </c>
      <c r="S14">
        <v>13</v>
      </c>
    </row>
    <row r="15" spans="1:19" x14ac:dyDescent="0.2">
      <c r="A15" s="131"/>
      <c r="B15" s="275">
        <v>16000</v>
      </c>
      <c r="D15" s="407">
        <f>P29</f>
        <v>138.61000000000001</v>
      </c>
      <c r="F15" s="407">
        <f>R29</f>
        <v>189.53000000000003</v>
      </c>
      <c r="H15" s="407">
        <f t="shared" si="0"/>
        <v>50.920000000000016</v>
      </c>
      <c r="J15" s="418">
        <f t="shared" si="1"/>
        <v>0.3674</v>
      </c>
      <c r="K15" s="397"/>
      <c r="M15" s="198">
        <f>N8</f>
        <v>2000</v>
      </c>
      <c r="N15" s="192">
        <v>2000</v>
      </c>
      <c r="O15" s="407">
        <f>P8</f>
        <v>27.22</v>
      </c>
      <c r="P15" s="407">
        <f>O15</f>
        <v>27.22</v>
      </c>
      <c r="Q15" s="407">
        <f>Q8</f>
        <v>37.18</v>
      </c>
      <c r="R15" s="407">
        <f>Q15</f>
        <v>37.18</v>
      </c>
      <c r="S15">
        <v>14</v>
      </c>
    </row>
    <row r="16" spans="1:19" x14ac:dyDescent="0.2">
      <c r="A16" s="131"/>
      <c r="B16" s="275">
        <v>18000</v>
      </c>
      <c r="D16" s="407">
        <f>P31</f>
        <v>153.25</v>
      </c>
      <c r="F16" s="407">
        <f>R31</f>
        <v>209.55000000000004</v>
      </c>
      <c r="H16" s="407">
        <f t="shared" si="0"/>
        <v>56.30000000000004</v>
      </c>
      <c r="J16" s="418">
        <f t="shared" si="1"/>
        <v>0.3674</v>
      </c>
      <c r="K16" s="397"/>
      <c r="M16" s="198">
        <f>N9</f>
        <v>3000</v>
      </c>
      <c r="N16" s="192">
        <v>3000</v>
      </c>
      <c r="O16" s="407">
        <f>(($N16-$N$8))*P$9</f>
        <v>8.94</v>
      </c>
      <c r="P16" s="407">
        <f>SUM(O$15:O16)</f>
        <v>36.159999999999997</v>
      </c>
      <c r="Q16" s="407">
        <f>(($N16-$N$8))*Q$9</f>
        <v>12.23</v>
      </c>
      <c r="R16" s="407">
        <f>SUM(Q$15:Q16)</f>
        <v>49.41</v>
      </c>
      <c r="S16">
        <v>15</v>
      </c>
    </row>
    <row r="17" spans="1:19" x14ac:dyDescent="0.2">
      <c r="A17" s="131"/>
      <c r="B17" s="275">
        <v>20000</v>
      </c>
      <c r="D17" s="407">
        <f>P33</f>
        <v>167.89</v>
      </c>
      <c r="F17" s="407">
        <f>R33</f>
        <v>229.57000000000005</v>
      </c>
      <c r="H17" s="407">
        <f t="shared" si="0"/>
        <v>61.680000000000064</v>
      </c>
      <c r="J17" s="418">
        <f t="shared" si="1"/>
        <v>0.3674</v>
      </c>
      <c r="K17" s="397"/>
      <c r="M17" s="198">
        <f>N9</f>
        <v>3000</v>
      </c>
      <c r="N17" s="192">
        <v>4000</v>
      </c>
      <c r="O17" s="407">
        <f t="shared" ref="O17:O18" si="2">(($N17-$N$8))*P$9</f>
        <v>17.88</v>
      </c>
      <c r="P17" s="407">
        <f>O15+O17</f>
        <v>45.099999999999994</v>
      </c>
      <c r="Q17" s="407">
        <f t="shared" ref="Q17:Q18" si="3">(($N17-$N$8))*Q$9</f>
        <v>24.46</v>
      </c>
      <c r="R17" s="407">
        <f>Q15+Q17</f>
        <v>61.64</v>
      </c>
      <c r="S17">
        <v>16</v>
      </c>
    </row>
    <row r="18" spans="1:19" x14ac:dyDescent="0.2">
      <c r="A18" s="416"/>
      <c r="B18" s="276"/>
      <c r="C18" s="197"/>
      <c r="D18" s="419"/>
      <c r="E18" s="197"/>
      <c r="F18" s="419"/>
      <c r="G18" s="197"/>
      <c r="H18" s="197"/>
      <c r="I18" s="197"/>
      <c r="J18" s="420"/>
      <c r="K18" s="417"/>
      <c r="M18" s="198">
        <f>N9</f>
        <v>3000</v>
      </c>
      <c r="N18" s="192">
        <v>5000</v>
      </c>
      <c r="O18" s="407">
        <f t="shared" si="2"/>
        <v>26.82</v>
      </c>
      <c r="P18" s="407">
        <f>O15+O18</f>
        <v>54.04</v>
      </c>
      <c r="Q18" s="407">
        <f t="shared" si="3"/>
        <v>36.690000000000005</v>
      </c>
      <c r="R18" s="407">
        <f>Q15+Q18</f>
        <v>73.87</v>
      </c>
      <c r="S18">
        <v>17</v>
      </c>
    </row>
    <row r="19" spans="1:19" x14ac:dyDescent="0.2">
      <c r="M19" s="198">
        <f>N10</f>
        <v>5000</v>
      </c>
      <c r="N19" s="192">
        <v>6000</v>
      </c>
      <c r="O19" s="407">
        <f>(($N19-($N$8+$N$9)))*P$10</f>
        <v>8.1300000000000008</v>
      </c>
      <c r="P19" s="407">
        <f>O$15+O$18+O19</f>
        <v>62.17</v>
      </c>
      <c r="Q19" s="407">
        <f>(($N19-($N$8+$N$9)))*Q$10</f>
        <v>11.120000000000001</v>
      </c>
      <c r="R19" s="407">
        <f>Q$15+Q$18+Q19</f>
        <v>84.990000000000009</v>
      </c>
      <c r="S19">
        <v>18</v>
      </c>
    </row>
    <row r="20" spans="1:19" x14ac:dyDescent="0.2">
      <c r="M20" s="198">
        <f>N10</f>
        <v>5000</v>
      </c>
      <c r="N20" s="192">
        <v>7000</v>
      </c>
      <c r="O20" s="407">
        <f t="shared" ref="O20:O23" si="4">(($N20-($N$8+$N$9)))*P$10</f>
        <v>16.260000000000002</v>
      </c>
      <c r="P20" s="407">
        <f t="shared" ref="P20:P22" si="5">O$15+O$18+O20</f>
        <v>70.3</v>
      </c>
      <c r="Q20" s="407">
        <f t="shared" ref="Q20:Q23" si="6">(($N20-($N$8+$N$9)))*Q$10</f>
        <v>22.240000000000002</v>
      </c>
      <c r="R20" s="407">
        <f t="shared" ref="R20" si="7">Q$15+Q$18+Q20</f>
        <v>96.110000000000014</v>
      </c>
      <c r="S20">
        <v>19</v>
      </c>
    </row>
    <row r="21" spans="1:19" x14ac:dyDescent="0.2">
      <c r="M21" s="198">
        <f>N10</f>
        <v>5000</v>
      </c>
      <c r="N21" s="192">
        <v>8000</v>
      </c>
      <c r="O21" s="407">
        <f t="shared" si="4"/>
        <v>24.39</v>
      </c>
      <c r="P21" s="407">
        <f t="shared" si="5"/>
        <v>78.430000000000007</v>
      </c>
      <c r="Q21" s="407">
        <f t="shared" si="6"/>
        <v>33.360000000000007</v>
      </c>
      <c r="R21" s="407">
        <f t="shared" ref="R21" si="8">Q$15+Q$18+Q21</f>
        <v>107.23000000000002</v>
      </c>
      <c r="S21">
        <v>20</v>
      </c>
    </row>
    <row r="22" spans="1:19" x14ac:dyDescent="0.2">
      <c r="M22" s="198">
        <f>N10</f>
        <v>5000</v>
      </c>
      <c r="N22" s="192">
        <v>9000</v>
      </c>
      <c r="O22" s="407">
        <f t="shared" si="4"/>
        <v>32.520000000000003</v>
      </c>
      <c r="P22" s="407">
        <f t="shared" si="5"/>
        <v>86.56</v>
      </c>
      <c r="Q22" s="407">
        <f t="shared" si="6"/>
        <v>44.480000000000004</v>
      </c>
      <c r="R22" s="407">
        <f t="shared" ref="R22" si="9">Q$15+Q$18+Q22</f>
        <v>118.35000000000001</v>
      </c>
      <c r="S22">
        <v>21</v>
      </c>
    </row>
    <row r="23" spans="1:19" x14ac:dyDescent="0.2">
      <c r="M23" s="198">
        <f>N10</f>
        <v>5000</v>
      </c>
      <c r="N23" s="192">
        <v>10000</v>
      </c>
      <c r="O23" s="407">
        <f t="shared" si="4"/>
        <v>40.65</v>
      </c>
      <c r="P23" s="407">
        <f>O$15+O$18+O23</f>
        <v>94.69</v>
      </c>
      <c r="Q23" s="407">
        <f t="shared" si="6"/>
        <v>55.600000000000009</v>
      </c>
      <c r="R23" s="407">
        <f>Q$15+Q$18+Q23</f>
        <v>129.47000000000003</v>
      </c>
      <c r="S23">
        <v>22</v>
      </c>
    </row>
    <row r="24" spans="1:19" x14ac:dyDescent="0.2">
      <c r="M24" s="198">
        <f>N11</f>
        <v>10000</v>
      </c>
      <c r="N24" s="192">
        <v>11000</v>
      </c>
      <c r="O24" s="407">
        <f>(($N24-($N$8+$N$9+$N$10)))*P$11</f>
        <v>7.32</v>
      </c>
      <c r="P24" s="407">
        <f>O$15+O$18+O$23+O24</f>
        <v>102.00999999999999</v>
      </c>
      <c r="Q24" s="407">
        <f>(($N24-($N$8+$N$9+$N$10)))*Q$11</f>
        <v>10.010000000000002</v>
      </c>
      <c r="R24" s="407">
        <f>Q$15+Q$18+Q$23+Q24</f>
        <v>139.48000000000002</v>
      </c>
      <c r="S24">
        <v>23</v>
      </c>
    </row>
    <row r="25" spans="1:19" x14ac:dyDescent="0.2">
      <c r="M25" s="198">
        <f>M24</f>
        <v>10000</v>
      </c>
      <c r="N25" s="192">
        <v>12000</v>
      </c>
      <c r="O25" s="407">
        <f t="shared" ref="O25:O33" si="10">(($N25-($N$8+$N$9+$N$10)))*P$11</f>
        <v>14.64</v>
      </c>
      <c r="P25" s="407">
        <f t="shared" ref="P25:P33" si="11">O$15+O$18+O$23+O25</f>
        <v>109.33</v>
      </c>
      <c r="Q25" s="407">
        <f t="shared" ref="Q25:Q33" si="12">(($N25-($N$8+$N$9+$N$10)))*Q$11</f>
        <v>20.020000000000003</v>
      </c>
      <c r="R25" s="407">
        <f t="shared" ref="R25" si="13">Q$15+Q$18+Q$23+Q25</f>
        <v>149.49000000000004</v>
      </c>
      <c r="S25">
        <v>24</v>
      </c>
    </row>
    <row r="26" spans="1:19" x14ac:dyDescent="0.2">
      <c r="M26" s="198">
        <f t="shared" ref="M26:M33" si="14">M25</f>
        <v>10000</v>
      </c>
      <c r="N26" s="192">
        <v>13000</v>
      </c>
      <c r="O26" s="407">
        <f t="shared" si="10"/>
        <v>21.96</v>
      </c>
      <c r="P26" s="407">
        <f t="shared" si="11"/>
        <v>116.65</v>
      </c>
      <c r="Q26" s="407">
        <f t="shared" si="12"/>
        <v>30.030000000000005</v>
      </c>
      <c r="R26" s="407">
        <f t="shared" ref="R26" si="15">Q$15+Q$18+Q$23+Q26</f>
        <v>159.50000000000003</v>
      </c>
      <c r="S26">
        <v>25</v>
      </c>
    </row>
    <row r="27" spans="1:19" x14ac:dyDescent="0.2">
      <c r="M27" s="198">
        <f t="shared" si="14"/>
        <v>10000</v>
      </c>
      <c r="N27" s="192">
        <v>14000</v>
      </c>
      <c r="O27" s="407">
        <f t="shared" si="10"/>
        <v>29.28</v>
      </c>
      <c r="P27" s="407">
        <f t="shared" si="11"/>
        <v>123.97</v>
      </c>
      <c r="Q27" s="407">
        <f t="shared" si="12"/>
        <v>40.040000000000006</v>
      </c>
      <c r="R27" s="407">
        <f t="shared" ref="R27" si="16">Q$15+Q$18+Q$23+Q27</f>
        <v>169.51000000000005</v>
      </c>
      <c r="S27">
        <v>26</v>
      </c>
    </row>
    <row r="28" spans="1:19" x14ac:dyDescent="0.2">
      <c r="M28" s="198">
        <f t="shared" si="14"/>
        <v>10000</v>
      </c>
      <c r="N28" s="192">
        <v>15000</v>
      </c>
      <c r="O28" s="407">
        <f t="shared" si="10"/>
        <v>36.6</v>
      </c>
      <c r="P28" s="407">
        <f t="shared" si="11"/>
        <v>131.29</v>
      </c>
      <c r="Q28" s="407">
        <f t="shared" si="12"/>
        <v>50.050000000000004</v>
      </c>
      <c r="R28" s="407">
        <f t="shared" ref="R28" si="17">Q$15+Q$18+Q$23+Q28</f>
        <v>179.52000000000004</v>
      </c>
      <c r="S28">
        <v>27</v>
      </c>
    </row>
    <row r="29" spans="1:19" x14ac:dyDescent="0.2">
      <c r="M29" s="198">
        <f t="shared" si="14"/>
        <v>10000</v>
      </c>
      <c r="N29" s="192">
        <v>16000</v>
      </c>
      <c r="O29" s="407">
        <f t="shared" si="10"/>
        <v>43.92</v>
      </c>
      <c r="P29" s="407">
        <f t="shared" si="11"/>
        <v>138.61000000000001</v>
      </c>
      <c r="Q29" s="407">
        <f t="shared" si="12"/>
        <v>60.060000000000009</v>
      </c>
      <c r="R29" s="407">
        <f t="shared" ref="R29" si="18">Q$15+Q$18+Q$23+Q29</f>
        <v>189.53000000000003</v>
      </c>
      <c r="S29">
        <v>28</v>
      </c>
    </row>
    <row r="30" spans="1:19" x14ac:dyDescent="0.2">
      <c r="M30" s="198">
        <f t="shared" si="14"/>
        <v>10000</v>
      </c>
      <c r="N30" s="192">
        <v>17000</v>
      </c>
      <c r="O30" s="407">
        <f t="shared" si="10"/>
        <v>51.24</v>
      </c>
      <c r="P30" s="407">
        <f t="shared" si="11"/>
        <v>145.93</v>
      </c>
      <c r="Q30" s="407">
        <f t="shared" si="12"/>
        <v>70.070000000000007</v>
      </c>
      <c r="R30" s="407">
        <f t="shared" ref="R30" si="19">Q$15+Q$18+Q$23+Q30</f>
        <v>199.54000000000002</v>
      </c>
      <c r="S30">
        <v>29</v>
      </c>
    </row>
    <row r="31" spans="1:19" x14ac:dyDescent="0.2">
      <c r="M31" s="198">
        <f t="shared" si="14"/>
        <v>10000</v>
      </c>
      <c r="N31" s="192">
        <v>18000</v>
      </c>
      <c r="O31" s="407">
        <f t="shared" si="10"/>
        <v>58.56</v>
      </c>
      <c r="P31" s="407">
        <f t="shared" si="11"/>
        <v>153.25</v>
      </c>
      <c r="Q31" s="407">
        <f t="shared" si="12"/>
        <v>80.080000000000013</v>
      </c>
      <c r="R31" s="407">
        <f t="shared" ref="R31" si="20">Q$15+Q$18+Q$23+Q31</f>
        <v>209.55000000000004</v>
      </c>
      <c r="S31">
        <v>30</v>
      </c>
    </row>
    <row r="32" spans="1:19" x14ac:dyDescent="0.2">
      <c r="M32" s="198">
        <f t="shared" si="14"/>
        <v>10000</v>
      </c>
      <c r="N32" s="192">
        <v>19000</v>
      </c>
      <c r="O32" s="407">
        <f t="shared" si="10"/>
        <v>65.88</v>
      </c>
      <c r="P32" s="407">
        <f t="shared" si="11"/>
        <v>160.57</v>
      </c>
      <c r="Q32" s="407">
        <f t="shared" si="12"/>
        <v>90.090000000000018</v>
      </c>
      <c r="R32" s="407">
        <f t="shared" ref="R32" si="21">Q$15+Q$18+Q$23+Q32</f>
        <v>219.56000000000006</v>
      </c>
      <c r="S32">
        <v>31</v>
      </c>
    </row>
    <row r="33" spans="13:19" x14ac:dyDescent="0.2">
      <c r="M33" s="198">
        <f t="shared" si="14"/>
        <v>10000</v>
      </c>
      <c r="N33" s="192">
        <v>20000</v>
      </c>
      <c r="O33" s="407">
        <f t="shared" si="10"/>
        <v>73.2</v>
      </c>
      <c r="P33" s="407">
        <f t="shared" si="11"/>
        <v>167.89</v>
      </c>
      <c r="Q33" s="407">
        <f t="shared" si="12"/>
        <v>100.10000000000001</v>
      </c>
      <c r="R33" s="407">
        <f t="shared" ref="R33" si="22">Q$15+Q$18+Q$23+Q33</f>
        <v>229.57000000000005</v>
      </c>
      <c r="S33">
        <v>32</v>
      </c>
    </row>
  </sheetData>
  <mergeCells count="3">
    <mergeCell ref="B4:J4"/>
    <mergeCell ref="B3:J3"/>
    <mergeCell ref="B2:J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5DF5-4612-4B9B-BE91-63CAC9024CAD}">
  <dimension ref="B2:M10"/>
  <sheetViews>
    <sheetView showGridLines="0" workbookViewId="0">
      <selection activeCell="B2" sqref="B2:M10"/>
    </sheetView>
  </sheetViews>
  <sheetFormatPr defaultColWidth="15.77734375" defaultRowHeight="15" x14ac:dyDescent="0.2"/>
  <cols>
    <col min="1" max="1" width="4.77734375" customWidth="1"/>
    <col min="2" max="2" width="4.44140625" customWidth="1"/>
    <col min="3" max="3" width="8.21875" customWidth="1"/>
    <col min="4" max="4" width="2.77734375" customWidth="1"/>
    <col min="5" max="5" width="12.77734375" customWidth="1"/>
    <col min="6" max="6" width="7.77734375" customWidth="1"/>
    <col min="7" max="7" width="2.77734375" customWidth="1"/>
    <col min="8" max="8" width="12.77734375" customWidth="1"/>
    <col min="9" max="9" width="7.77734375" customWidth="1"/>
    <col min="10" max="10" width="2.77734375" customWidth="1"/>
    <col min="11" max="11" width="10.5546875" customWidth="1"/>
    <col min="12" max="12" width="1.77734375" customWidth="1"/>
    <col min="13" max="13" width="7.88671875" customWidth="1"/>
  </cols>
  <sheetData>
    <row r="2" spans="2:13" x14ac:dyDescent="0.2">
      <c r="B2" s="413"/>
      <c r="C2" s="430"/>
      <c r="D2" s="430"/>
      <c r="E2" s="507" t="s">
        <v>328</v>
      </c>
      <c r="F2" s="507"/>
      <c r="G2" s="430"/>
      <c r="H2" s="507" t="s">
        <v>329</v>
      </c>
      <c r="I2" s="507"/>
      <c r="J2" s="430"/>
      <c r="K2" s="507" t="s">
        <v>330</v>
      </c>
      <c r="L2" s="507"/>
      <c r="M2" s="508"/>
    </row>
    <row r="3" spans="2:13" x14ac:dyDescent="0.2">
      <c r="B3" s="433" t="s">
        <v>54</v>
      </c>
      <c r="C3" s="192">
        <v>2000</v>
      </c>
      <c r="E3" s="407">
        <f>CurRates!F8</f>
        <v>27.22</v>
      </c>
      <c r="F3" s="164" t="s">
        <v>341</v>
      </c>
      <c r="H3" s="407">
        <f>'Rates Comp'!L11</f>
        <v>37.18</v>
      </c>
      <c r="I3" s="164" t="s">
        <v>341</v>
      </c>
      <c r="K3" s="407">
        <f>H3-E3</f>
        <v>9.9600000000000009</v>
      </c>
      <c r="M3" s="431">
        <f>ROUND(K3/E3,4)</f>
        <v>0.3659</v>
      </c>
    </row>
    <row r="4" spans="2:13" x14ac:dyDescent="0.2">
      <c r="B4" s="433" t="s">
        <v>55</v>
      </c>
      <c r="C4" s="192">
        <v>3000</v>
      </c>
      <c r="E4" s="408">
        <f>CurRates!F9</f>
        <v>8.94E-3</v>
      </c>
      <c r="F4" s="164" t="s">
        <v>342</v>
      </c>
      <c r="H4" s="408">
        <f>'Rates Comp'!L12</f>
        <v>1.2230000000000001E-2</v>
      </c>
      <c r="I4" s="164" t="s">
        <v>342</v>
      </c>
      <c r="K4" s="408">
        <f t="shared" ref="K4:K9" si="0">H4-E4</f>
        <v>3.2900000000000013E-3</v>
      </c>
      <c r="M4" s="431">
        <f t="shared" ref="M4:M9" si="1">ROUND(K4/E4,4)</f>
        <v>0.36799999999999999</v>
      </c>
    </row>
    <row r="5" spans="2:13" x14ac:dyDescent="0.2">
      <c r="B5" s="433" t="s">
        <v>55</v>
      </c>
      <c r="C5" s="192">
        <v>5000</v>
      </c>
      <c r="E5" s="408">
        <f>CurRates!F10</f>
        <v>8.1300000000000001E-3</v>
      </c>
      <c r="F5" s="164" t="s">
        <v>342</v>
      </c>
      <c r="H5" s="408">
        <f>'Rates Comp'!L13</f>
        <v>1.1120000000000001E-2</v>
      </c>
      <c r="I5" s="164" t="s">
        <v>342</v>
      </c>
      <c r="K5" s="408">
        <f t="shared" si="0"/>
        <v>2.9900000000000013E-3</v>
      </c>
      <c r="M5" s="431">
        <f t="shared" si="1"/>
        <v>0.36780000000000002</v>
      </c>
    </row>
    <row r="6" spans="2:13" x14ac:dyDescent="0.2">
      <c r="B6" s="433" t="s">
        <v>125</v>
      </c>
      <c r="C6" s="192">
        <v>10000</v>
      </c>
      <c r="E6" s="408">
        <f>CurRates!F11</f>
        <v>7.3200000000000001E-3</v>
      </c>
      <c r="F6" s="164" t="s">
        <v>342</v>
      </c>
      <c r="H6" s="408">
        <f>'Rates Comp'!L14</f>
        <v>1.0010000000000002E-2</v>
      </c>
      <c r="I6" s="164" t="s">
        <v>342</v>
      </c>
      <c r="K6" s="408">
        <f t="shared" si="0"/>
        <v>2.6900000000000014E-3</v>
      </c>
      <c r="M6" s="431">
        <f t="shared" si="1"/>
        <v>0.36749999999999999</v>
      </c>
    </row>
    <row r="7" spans="2:13" x14ac:dyDescent="0.2">
      <c r="B7" s="433"/>
      <c r="C7" s="192"/>
      <c r="E7" s="408"/>
      <c r="F7" s="164"/>
      <c r="H7" s="408"/>
      <c r="I7" s="164"/>
      <c r="K7" s="408"/>
      <c r="M7" s="431"/>
    </row>
    <row r="8" spans="2:13" x14ac:dyDescent="0.2">
      <c r="B8" s="432" t="s">
        <v>343</v>
      </c>
      <c r="C8" s="192"/>
      <c r="E8" s="408"/>
      <c r="F8" s="164"/>
      <c r="H8" s="408"/>
      <c r="I8" s="164"/>
      <c r="K8" s="408"/>
      <c r="M8" s="431"/>
    </row>
    <row r="9" spans="2:13" x14ac:dyDescent="0.2">
      <c r="B9" s="432" t="s">
        <v>344</v>
      </c>
      <c r="C9" s="192"/>
      <c r="E9" s="408">
        <f>'Rates Comp'!F16</f>
        <v>4.2199999999999998E-3</v>
      </c>
      <c r="F9" s="164" t="s">
        <v>342</v>
      </c>
      <c r="H9" s="408">
        <f>'Rates Comp'!L16</f>
        <v>5.77E-3</v>
      </c>
      <c r="I9" s="164" t="s">
        <v>342</v>
      </c>
      <c r="K9" s="408">
        <f t="shared" si="0"/>
        <v>1.5500000000000002E-3</v>
      </c>
      <c r="M9" s="431">
        <f t="shared" si="1"/>
        <v>0.36730000000000002</v>
      </c>
    </row>
    <row r="10" spans="2:13" x14ac:dyDescent="0.2">
      <c r="B10" s="41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417"/>
    </row>
  </sheetData>
  <mergeCells count="3">
    <mergeCell ref="K2:M2"/>
    <mergeCell ref="E2:F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F744-48F6-443B-ABE5-A5426F6BDAE1}">
  <dimension ref="A6:O58"/>
  <sheetViews>
    <sheetView topLeftCell="A35" workbookViewId="0">
      <selection activeCell="B46" sqref="B46:H59"/>
    </sheetView>
  </sheetViews>
  <sheetFormatPr defaultColWidth="8.77734375" defaultRowHeight="15" x14ac:dyDescent="0.25"/>
  <cols>
    <col min="1" max="1" width="1.77734375" style="3" customWidth="1"/>
    <col min="2" max="2" width="3.6640625" style="3" customWidth="1"/>
    <col min="3" max="3" width="2.6640625" style="3" customWidth="1"/>
    <col min="4" max="4" width="27.33203125" style="3" customWidth="1"/>
    <col min="5" max="5" width="9.77734375" style="3" customWidth="1"/>
    <col min="6" max="6" width="10.21875" style="3" customWidth="1"/>
    <col min="7" max="7" width="4.88671875" style="3" customWidth="1"/>
    <col min="8" max="8" width="9.88671875" style="3" customWidth="1"/>
    <col min="9" max="9" width="1.5546875" style="3" customWidth="1"/>
    <col min="10" max="12" width="10.5546875" style="3" customWidth="1"/>
    <col min="13" max="16384" width="8.77734375" style="3"/>
  </cols>
  <sheetData>
    <row r="6" spans="1:12" ht="17.25" x14ac:dyDescent="0.4">
      <c r="J6" s="450" t="s">
        <v>191</v>
      </c>
      <c r="K6" s="450"/>
    </row>
    <row r="7" spans="1:12" x14ac:dyDescent="0.25">
      <c r="A7" s="148"/>
      <c r="B7" s="20"/>
      <c r="C7" s="20"/>
      <c r="D7" s="20"/>
      <c r="E7" s="144" t="s">
        <v>59</v>
      </c>
      <c r="F7" s="144" t="s">
        <v>20</v>
      </c>
      <c r="G7" s="144" t="s">
        <v>34</v>
      </c>
      <c r="H7" s="144" t="s">
        <v>58</v>
      </c>
      <c r="I7" s="145"/>
      <c r="J7" s="144" t="s">
        <v>20</v>
      </c>
      <c r="K7" s="144" t="s">
        <v>58</v>
      </c>
      <c r="L7" s="146" t="s">
        <v>141</v>
      </c>
    </row>
    <row r="8" spans="1:12" x14ac:dyDescent="0.25">
      <c r="A8" s="148"/>
      <c r="B8" s="147" t="s">
        <v>2</v>
      </c>
      <c r="C8" s="20"/>
      <c r="D8" s="20"/>
      <c r="E8" s="20"/>
      <c r="F8" s="20"/>
      <c r="G8" s="20"/>
      <c r="H8" s="20"/>
      <c r="I8" s="79"/>
    </row>
    <row r="9" spans="1:12" x14ac:dyDescent="0.25">
      <c r="A9" s="148"/>
      <c r="B9" s="20"/>
      <c r="C9" s="20" t="s">
        <v>108</v>
      </c>
      <c r="D9" s="20"/>
      <c r="E9" s="20">
        <f>'SAO - Op Ratio'!F9</f>
        <v>345210</v>
      </c>
      <c r="F9" s="77">
        <f>'SAO - DSC'!H9</f>
        <v>-11362.770000000019</v>
      </c>
      <c r="G9" s="149" t="s">
        <v>64</v>
      </c>
      <c r="H9" s="77"/>
      <c r="I9" s="79"/>
    </row>
    <row r="10" spans="1:12" x14ac:dyDescent="0.25">
      <c r="A10" s="148"/>
      <c r="B10" s="20"/>
      <c r="C10" s="20"/>
      <c r="D10" s="20"/>
      <c r="E10" s="20"/>
      <c r="F10" s="77">
        <f>'SAO - DSC'!H10</f>
        <v>10486.180000000051</v>
      </c>
      <c r="G10" s="149"/>
      <c r="H10" s="77"/>
      <c r="I10" s="79"/>
    </row>
    <row r="11" spans="1:12" x14ac:dyDescent="0.25">
      <c r="A11" s="148"/>
      <c r="B11" s="20"/>
      <c r="C11" s="20"/>
      <c r="D11" s="20"/>
      <c r="E11" s="20"/>
      <c r="F11" s="77">
        <f>'SAO - DSC'!H11</f>
        <v>29437.25</v>
      </c>
      <c r="G11" s="149"/>
      <c r="H11" s="77"/>
      <c r="I11" s="79"/>
    </row>
    <row r="12" spans="1:12" x14ac:dyDescent="0.25">
      <c r="A12" s="148"/>
      <c r="B12" s="20"/>
      <c r="C12" s="20"/>
      <c r="D12" s="20"/>
      <c r="E12" s="20"/>
      <c r="F12" s="77">
        <f>'SAO - DSC'!H12</f>
        <v>13739.959999999963</v>
      </c>
      <c r="G12" s="149"/>
      <c r="H12" s="77">
        <f>SUM(E9,F9,F10,F11,F12)</f>
        <v>387510.62</v>
      </c>
      <c r="I12" s="79"/>
      <c r="K12" s="3">
        <f>E9+J12</f>
        <v>345210</v>
      </c>
    </row>
    <row r="13" spans="1:12" x14ac:dyDescent="0.25">
      <c r="A13" s="148"/>
      <c r="B13" s="20"/>
      <c r="C13" s="20" t="s">
        <v>111</v>
      </c>
      <c r="D13" s="20"/>
      <c r="E13" s="77"/>
      <c r="F13" s="5"/>
      <c r="G13" s="149"/>
      <c r="H13" s="77">
        <f t="shared" ref="H13:H17" si="0">SUM(E13,F13)</f>
        <v>0</v>
      </c>
      <c r="I13" s="79"/>
      <c r="K13" s="3">
        <f t="shared" ref="K13:K17" si="1">E13+J13</f>
        <v>0</v>
      </c>
    </row>
    <row r="14" spans="1:12" x14ac:dyDescent="0.25">
      <c r="A14" s="148"/>
      <c r="B14" s="20"/>
      <c r="C14" s="20" t="s">
        <v>28</v>
      </c>
      <c r="D14" s="20"/>
      <c r="E14" s="20"/>
      <c r="F14" s="77"/>
      <c r="G14" s="149"/>
      <c r="H14" s="77">
        <f t="shared" si="0"/>
        <v>0</v>
      </c>
      <c r="I14" s="79"/>
      <c r="K14" s="3">
        <f t="shared" si="1"/>
        <v>0</v>
      </c>
    </row>
    <row r="15" spans="1:12" x14ac:dyDescent="0.25">
      <c r="A15" s="148"/>
      <c r="B15" s="20"/>
      <c r="C15" s="20"/>
      <c r="D15" s="20" t="s">
        <v>26</v>
      </c>
      <c r="E15" s="77">
        <f>'SAO - DSC'!F14</f>
        <v>0</v>
      </c>
      <c r="F15" s="77">
        <f>'SAO - DSC'!H14</f>
        <v>0</v>
      </c>
      <c r="G15" s="149"/>
      <c r="H15" s="77">
        <f t="shared" si="0"/>
        <v>0</v>
      </c>
      <c r="I15" s="79"/>
      <c r="K15" s="3">
        <f t="shared" si="1"/>
        <v>0</v>
      </c>
    </row>
    <row r="16" spans="1:12" x14ac:dyDescent="0.25">
      <c r="A16" s="148"/>
      <c r="B16" s="20"/>
      <c r="C16" s="20"/>
      <c r="D16" s="20" t="s">
        <v>27</v>
      </c>
      <c r="E16" s="77">
        <f>'SAO - DSC'!F15</f>
        <v>0</v>
      </c>
      <c r="F16" s="77">
        <f>'SAO - DSC'!H15</f>
        <v>0</v>
      </c>
      <c r="G16" s="149"/>
      <c r="H16" s="77">
        <f t="shared" si="0"/>
        <v>0</v>
      </c>
      <c r="I16" s="79"/>
      <c r="J16" s="60"/>
      <c r="K16" s="3">
        <f t="shared" si="1"/>
        <v>0</v>
      </c>
    </row>
    <row r="17" spans="1:15" ht="17.25" x14ac:dyDescent="0.4">
      <c r="A17" s="148"/>
      <c r="B17" s="20"/>
      <c r="C17" s="20"/>
      <c r="D17" s="3" t="s">
        <v>112</v>
      </c>
      <c r="E17" s="403">
        <f>'SAO - DSC'!F16</f>
        <v>43813</v>
      </c>
      <c r="F17" s="77">
        <f>'SAO - DSC'!H16</f>
        <v>-4000</v>
      </c>
      <c r="G17" s="149" t="s">
        <v>65</v>
      </c>
      <c r="H17" s="77">
        <f t="shared" si="0"/>
        <v>39813</v>
      </c>
      <c r="I17" s="81"/>
      <c r="K17" s="32">
        <f t="shared" si="1"/>
        <v>43813</v>
      </c>
    </row>
    <row r="18" spans="1:15" x14ac:dyDescent="0.25">
      <c r="A18" s="148"/>
      <c r="B18" s="136" t="s">
        <v>3</v>
      </c>
      <c r="C18" s="20"/>
      <c r="D18" s="20"/>
      <c r="E18" s="20">
        <f>SUM(E9:E17)</f>
        <v>389023</v>
      </c>
      <c r="F18" s="77"/>
      <c r="G18" s="149"/>
      <c r="H18" s="20">
        <f>SUM(H9:H17)</f>
        <v>427323.62</v>
      </c>
      <c r="I18" s="79"/>
      <c r="K18" s="20">
        <f>SUM(K9:K17)</f>
        <v>389023</v>
      </c>
      <c r="L18" s="3">
        <f>K18-H18</f>
        <v>-38300.619999999995</v>
      </c>
    </row>
    <row r="19" spans="1:15" x14ac:dyDescent="0.25">
      <c r="A19" s="148"/>
      <c r="B19" s="20"/>
      <c r="C19" s="20"/>
      <c r="D19" s="20"/>
      <c r="E19" s="20"/>
      <c r="F19" s="77"/>
      <c r="G19" s="149"/>
      <c r="H19" s="20"/>
      <c r="I19" s="79"/>
    </row>
    <row r="20" spans="1:15" x14ac:dyDescent="0.25">
      <c r="A20" s="148"/>
      <c r="B20" s="147" t="s">
        <v>4</v>
      </c>
      <c r="C20" s="20"/>
      <c r="D20" s="20"/>
      <c r="E20" s="20"/>
      <c r="F20" s="77"/>
      <c r="G20" s="149"/>
      <c r="H20" s="20"/>
      <c r="I20" s="79"/>
    </row>
    <row r="21" spans="1:15" x14ac:dyDescent="0.25">
      <c r="A21" s="148"/>
      <c r="B21" s="20"/>
      <c r="C21" s="20" t="s">
        <v>8</v>
      </c>
      <c r="D21" s="20"/>
      <c r="E21" s="77"/>
      <c r="F21" s="77"/>
      <c r="G21" s="149"/>
      <c r="H21" s="20"/>
      <c r="I21" s="79"/>
    </row>
    <row r="22" spans="1:15" x14ac:dyDescent="0.25">
      <c r="A22" s="148"/>
      <c r="B22" s="20"/>
      <c r="C22" s="20"/>
      <c r="D22" s="20" t="s">
        <v>12</v>
      </c>
      <c r="E22" s="77">
        <f>'SAO - DSC'!F21</f>
        <v>121573</v>
      </c>
      <c r="F22" s="77">
        <f>'SAO - DSC'!H21</f>
        <v>-581</v>
      </c>
      <c r="G22" s="149" t="s">
        <v>66</v>
      </c>
      <c r="H22" s="20"/>
      <c r="I22" s="79"/>
    </row>
    <row r="23" spans="1:15" x14ac:dyDescent="0.25">
      <c r="A23" s="148"/>
      <c r="B23" s="20"/>
      <c r="C23" s="20"/>
      <c r="D23" s="20"/>
      <c r="E23" s="77"/>
      <c r="F23" s="77">
        <f>'SAO - DSC'!H22</f>
        <v>-1200</v>
      </c>
      <c r="G23" s="149" t="s">
        <v>101</v>
      </c>
      <c r="H23" s="20">
        <f>SUM(E22,F22,F23)</f>
        <v>119792</v>
      </c>
      <c r="I23" s="79"/>
      <c r="J23" s="60"/>
      <c r="K23" s="3">
        <f>E22+J23</f>
        <v>121573</v>
      </c>
      <c r="M23" s="60" t="s">
        <v>192</v>
      </c>
      <c r="O23" s="3">
        <v>119792</v>
      </c>
    </row>
    <row r="24" spans="1:15" x14ac:dyDescent="0.25">
      <c r="A24" s="148"/>
      <c r="B24" s="20"/>
      <c r="C24" s="20"/>
      <c r="D24" s="20" t="s">
        <v>13</v>
      </c>
      <c r="E24" s="77">
        <f>'SAO - DSC'!F23</f>
        <v>7200</v>
      </c>
      <c r="F24" s="77">
        <f>'SAO - DSC'!H23</f>
        <v>0</v>
      </c>
      <c r="G24" s="149" t="s">
        <v>66</v>
      </c>
      <c r="H24" s="20">
        <f t="shared" ref="H24:H36" si="2">E24+F24</f>
        <v>7200</v>
      </c>
      <c r="I24" s="79"/>
      <c r="K24" s="3">
        <f>E24+J24</f>
        <v>7200</v>
      </c>
      <c r="L24" s="3">
        <f t="shared" ref="L24:L43" si="3">K24-H24</f>
        <v>0</v>
      </c>
      <c r="O24" s="3">
        <v>7200</v>
      </c>
    </row>
    <row r="25" spans="1:15" x14ac:dyDescent="0.25">
      <c r="A25" s="148"/>
      <c r="B25" s="20"/>
      <c r="C25" s="20"/>
      <c r="D25" s="20" t="s">
        <v>14</v>
      </c>
      <c r="E25" s="77">
        <f>'SAO - DSC'!F24</f>
        <v>23587</v>
      </c>
      <c r="F25" s="77">
        <f>'SAO - DSC'!H24</f>
        <v>-1440</v>
      </c>
      <c r="G25" s="108" t="s">
        <v>68</v>
      </c>
      <c r="H25" s="20"/>
      <c r="I25" s="79"/>
      <c r="L25" s="3">
        <f t="shared" si="3"/>
        <v>0</v>
      </c>
    </row>
    <row r="26" spans="1:15" x14ac:dyDescent="0.25">
      <c r="A26" s="148"/>
      <c r="B26" s="20"/>
      <c r="C26" s="20"/>
      <c r="D26" s="20"/>
      <c r="E26" s="77"/>
      <c r="F26" s="77">
        <f>'SAO - DSC'!H25</f>
        <v>-1747</v>
      </c>
      <c r="G26" s="149" t="s">
        <v>69</v>
      </c>
      <c r="H26" s="20">
        <f>SUM(E25,F25,F26)</f>
        <v>20400</v>
      </c>
      <c r="I26" s="79"/>
      <c r="K26" s="3">
        <f>E25+J26</f>
        <v>23587</v>
      </c>
      <c r="L26" s="3">
        <f t="shared" si="3"/>
        <v>3187</v>
      </c>
      <c r="O26" s="3">
        <v>19368</v>
      </c>
    </row>
    <row r="27" spans="1:15" x14ac:dyDescent="0.25">
      <c r="A27" s="148"/>
      <c r="B27" s="20"/>
      <c r="C27" s="20"/>
      <c r="D27" s="20" t="s">
        <v>15</v>
      </c>
      <c r="E27" s="77">
        <f>'SAO - DSC'!F26</f>
        <v>143183</v>
      </c>
      <c r="F27" s="77">
        <f>'SAO - DSC'!H26</f>
        <v>5703</v>
      </c>
      <c r="G27" s="108" t="s">
        <v>71</v>
      </c>
      <c r="H27" s="20"/>
      <c r="I27" s="79"/>
      <c r="L27" s="3">
        <f t="shared" si="3"/>
        <v>0</v>
      </c>
    </row>
    <row r="28" spans="1:15" x14ac:dyDescent="0.25">
      <c r="A28" s="148"/>
      <c r="B28" s="20"/>
      <c r="C28" s="20"/>
      <c r="D28" s="20"/>
      <c r="E28" s="77"/>
      <c r="F28" s="77">
        <f>'SAO - DSC'!H27</f>
        <v>11823</v>
      </c>
      <c r="G28" s="108"/>
      <c r="H28" s="20"/>
      <c r="I28" s="79"/>
    </row>
    <row r="29" spans="1:15" x14ac:dyDescent="0.25">
      <c r="A29" s="148"/>
      <c r="B29" s="20"/>
      <c r="C29" s="20"/>
      <c r="D29" s="20"/>
      <c r="E29" s="77"/>
      <c r="F29" s="77">
        <f>'SAO - DSC'!H28</f>
        <v>-2765</v>
      </c>
      <c r="G29" s="108" t="s">
        <v>71</v>
      </c>
      <c r="H29" s="20">
        <f>SUM(E27,F27,F28,F29)</f>
        <v>157944</v>
      </c>
      <c r="I29" s="79"/>
      <c r="K29" s="3">
        <f>E27+J29</f>
        <v>143183</v>
      </c>
      <c r="L29" s="3">
        <f t="shared" si="3"/>
        <v>-14761</v>
      </c>
      <c r="O29" s="3">
        <v>157944</v>
      </c>
    </row>
    <row r="30" spans="1:15" x14ac:dyDescent="0.25">
      <c r="A30" s="148"/>
      <c r="B30" s="20"/>
      <c r="C30" s="20"/>
      <c r="D30" s="20" t="s">
        <v>16</v>
      </c>
      <c r="E30" s="77"/>
      <c r="F30" s="77"/>
      <c r="G30" s="108"/>
      <c r="H30" s="20">
        <f t="shared" si="2"/>
        <v>0</v>
      </c>
      <c r="I30" s="79"/>
      <c r="K30" s="3">
        <f t="shared" ref="K30:K36" si="4">J30+E30</f>
        <v>0</v>
      </c>
      <c r="L30" s="3">
        <f t="shared" si="3"/>
        <v>0</v>
      </c>
      <c r="O30" s="3">
        <v>3167</v>
      </c>
    </row>
    <row r="31" spans="1:15" x14ac:dyDescent="0.25">
      <c r="A31" s="148"/>
      <c r="B31" s="20"/>
      <c r="C31" s="20"/>
      <c r="D31" s="20" t="s">
        <v>53</v>
      </c>
      <c r="E31" s="77">
        <f>'SAO - DSC'!F29</f>
        <v>5967</v>
      </c>
      <c r="F31" s="77">
        <f>-Adj!T12</f>
        <v>-2800</v>
      </c>
      <c r="G31" s="149" t="s">
        <v>67</v>
      </c>
      <c r="H31" s="20">
        <f t="shared" si="2"/>
        <v>3167</v>
      </c>
      <c r="I31" s="79"/>
      <c r="K31" s="3">
        <f t="shared" si="4"/>
        <v>5967</v>
      </c>
      <c r="L31" s="3">
        <f t="shared" si="3"/>
        <v>2800</v>
      </c>
      <c r="M31" s="3" t="s">
        <v>193</v>
      </c>
      <c r="O31" s="3">
        <v>7470</v>
      </c>
    </row>
    <row r="32" spans="1:15" x14ac:dyDescent="0.25">
      <c r="A32" s="148"/>
      <c r="B32" s="20"/>
      <c r="C32" s="20"/>
      <c r="D32" s="20" t="s">
        <v>17</v>
      </c>
      <c r="E32" s="77">
        <f>'SAO - DSC'!F30</f>
        <v>7470</v>
      </c>
      <c r="F32" s="77"/>
      <c r="H32" s="20">
        <f t="shared" si="2"/>
        <v>7470</v>
      </c>
      <c r="I32" s="79"/>
      <c r="K32" s="3">
        <f t="shared" si="4"/>
        <v>7470</v>
      </c>
      <c r="L32" s="3">
        <f t="shared" si="3"/>
        <v>0</v>
      </c>
      <c r="M32" s="3" t="s">
        <v>195</v>
      </c>
      <c r="O32" s="3">
        <v>3847</v>
      </c>
    </row>
    <row r="33" spans="1:15" x14ac:dyDescent="0.25">
      <c r="A33" s="148"/>
      <c r="B33" s="20"/>
      <c r="C33" s="20"/>
      <c r="D33" s="20" t="s">
        <v>22</v>
      </c>
      <c r="E33" s="77">
        <f>'SAO - DSC'!F31</f>
        <v>3847</v>
      </c>
      <c r="F33" s="77"/>
      <c r="G33" s="149"/>
      <c r="H33" s="20">
        <f t="shared" si="2"/>
        <v>3847</v>
      </c>
      <c r="I33" s="79"/>
      <c r="K33" s="3">
        <f t="shared" si="4"/>
        <v>3847</v>
      </c>
      <c r="L33" s="3">
        <f t="shared" si="3"/>
        <v>0</v>
      </c>
      <c r="O33" s="3">
        <v>1503</v>
      </c>
    </row>
    <row r="34" spans="1:15" x14ac:dyDescent="0.25">
      <c r="A34" s="148"/>
      <c r="B34" s="20"/>
      <c r="C34" s="20"/>
      <c r="D34" s="20" t="s">
        <v>110</v>
      </c>
      <c r="E34" s="77">
        <f>'SAO - DSC'!F32</f>
        <v>1503</v>
      </c>
      <c r="F34" s="77"/>
      <c r="G34" s="149"/>
      <c r="H34" s="20">
        <f t="shared" si="2"/>
        <v>1503</v>
      </c>
      <c r="I34" s="79"/>
      <c r="K34" s="3">
        <f t="shared" si="4"/>
        <v>1503</v>
      </c>
      <c r="L34" s="3">
        <f t="shared" si="3"/>
        <v>0</v>
      </c>
      <c r="O34" s="3">
        <v>8171</v>
      </c>
    </row>
    <row r="35" spans="1:15" x14ac:dyDescent="0.25">
      <c r="A35" s="148"/>
      <c r="B35" s="20"/>
      <c r="C35" s="20"/>
      <c r="D35" s="20" t="s">
        <v>113</v>
      </c>
      <c r="E35" s="77">
        <f>'SAO - DSC'!F33</f>
        <v>8171</v>
      </c>
      <c r="F35" s="77"/>
      <c r="G35" s="149"/>
      <c r="H35" s="20">
        <f t="shared" si="2"/>
        <v>8171</v>
      </c>
      <c r="I35" s="79"/>
      <c r="K35" s="3">
        <f t="shared" si="4"/>
        <v>8171</v>
      </c>
      <c r="L35" s="3">
        <f t="shared" si="3"/>
        <v>0</v>
      </c>
      <c r="O35" s="3">
        <v>800</v>
      </c>
    </row>
    <row r="36" spans="1:15" x14ac:dyDescent="0.25">
      <c r="A36" s="148"/>
      <c r="B36" s="20"/>
      <c r="C36" s="20"/>
      <c r="D36" s="20" t="s">
        <v>103</v>
      </c>
      <c r="E36" s="77">
        <f>'SAO - DSC'!F34</f>
        <v>800</v>
      </c>
      <c r="F36" s="77"/>
      <c r="G36" s="149"/>
      <c r="H36" s="20">
        <f t="shared" si="2"/>
        <v>800</v>
      </c>
      <c r="I36" s="79"/>
      <c r="K36" s="3">
        <f t="shared" si="4"/>
        <v>800</v>
      </c>
      <c r="L36" s="3">
        <f t="shared" si="3"/>
        <v>0</v>
      </c>
    </row>
    <row r="37" spans="1:15" ht="17.25" x14ac:dyDescent="0.4">
      <c r="A37" s="148"/>
      <c r="B37" s="20"/>
      <c r="C37" s="20"/>
      <c r="D37" s="20" t="s">
        <v>18</v>
      </c>
      <c r="E37" s="77">
        <f>'SAO - DSC'!F35</f>
        <v>53335</v>
      </c>
      <c r="F37" s="77">
        <f>'SAO - DSC'!H35</f>
        <v>-220</v>
      </c>
      <c r="G37" s="149"/>
      <c r="H37" s="20"/>
      <c r="I37" s="81"/>
      <c r="J37" s="32"/>
      <c r="K37" s="32"/>
      <c r="L37" s="3">
        <f t="shared" si="3"/>
        <v>0</v>
      </c>
      <c r="O37" s="3">
        <v>69339</v>
      </c>
    </row>
    <row r="38" spans="1:15" ht="17.25" x14ac:dyDescent="0.4">
      <c r="A38" s="148"/>
      <c r="B38" s="20"/>
      <c r="C38" s="20"/>
      <c r="D38" s="20"/>
      <c r="E38" s="404"/>
      <c r="F38" s="403">
        <f>'SAO - DSC'!H36</f>
        <v>16224</v>
      </c>
      <c r="G38" s="32"/>
      <c r="H38" s="80">
        <f>SUM(E37,F37,F38)</f>
        <v>69339</v>
      </c>
      <c r="I38" s="81"/>
      <c r="J38" s="32"/>
      <c r="K38" s="32">
        <f>E37+J38</f>
        <v>53335</v>
      </c>
      <c r="O38" s="3">
        <v>398601</v>
      </c>
    </row>
    <row r="39" spans="1:15" x14ac:dyDescent="0.25">
      <c r="A39" s="148"/>
      <c r="B39" s="20"/>
      <c r="C39" s="136" t="s">
        <v>9</v>
      </c>
      <c r="D39" s="20"/>
      <c r="E39" s="77">
        <f>SUM(E22:E37)</f>
        <v>376636</v>
      </c>
      <c r="F39" s="77"/>
      <c r="G39" s="149"/>
      <c r="H39" s="20">
        <f>SUM(H22:H38)</f>
        <v>399633</v>
      </c>
      <c r="I39" s="79"/>
      <c r="J39" s="77"/>
      <c r="K39" s="77">
        <f>SUM(K22:K38)</f>
        <v>376636</v>
      </c>
      <c r="L39" s="3">
        <f t="shared" si="3"/>
        <v>-22997</v>
      </c>
    </row>
    <row r="40" spans="1:15" x14ac:dyDescent="0.25">
      <c r="A40" s="148"/>
      <c r="B40" s="20"/>
      <c r="C40" s="20" t="s">
        <v>10</v>
      </c>
      <c r="D40" s="20"/>
      <c r="E40" s="77">
        <f>'SAO - DSC'!F38</f>
        <v>49432</v>
      </c>
      <c r="F40" s="77">
        <f>'SAO - DSC'!H38</f>
        <v>6036</v>
      </c>
      <c r="G40" s="108" t="s">
        <v>72</v>
      </c>
      <c r="H40" s="20"/>
      <c r="I40" s="79"/>
      <c r="K40" s="3">
        <f>E40+J40</f>
        <v>49432</v>
      </c>
      <c r="L40" s="3">
        <f t="shared" si="3"/>
        <v>49432</v>
      </c>
    </row>
    <row r="41" spans="1:15" x14ac:dyDescent="0.25">
      <c r="A41" s="148"/>
      <c r="B41" s="20"/>
      <c r="C41" s="20"/>
      <c r="D41" s="20"/>
      <c r="E41" s="77"/>
      <c r="F41" s="77" t="e">
        <f>'SAO - DSC'!#REF!</f>
        <v>#REF!</v>
      </c>
      <c r="G41" s="108"/>
      <c r="H41" s="20" t="e">
        <f>SUM(E40,F40,F41)</f>
        <v>#REF!</v>
      </c>
      <c r="I41" s="79"/>
    </row>
    <row r="42" spans="1:15" ht="17.25" x14ac:dyDescent="0.4">
      <c r="A42" s="148"/>
      <c r="B42" s="20"/>
      <c r="C42" s="20" t="s">
        <v>11</v>
      </c>
      <c r="D42" s="20"/>
      <c r="E42" s="80">
        <f>'SAO - DSC'!F39</f>
        <v>11818</v>
      </c>
      <c r="F42" s="77">
        <f>'SAO - DSC'!H39</f>
        <v>506.35350000000108</v>
      </c>
      <c r="G42" s="108" t="s">
        <v>101</v>
      </c>
      <c r="H42" s="80">
        <f>E42+F42</f>
        <v>12324.353500000001</v>
      </c>
      <c r="I42" s="81"/>
      <c r="J42" s="32"/>
      <c r="K42" s="32">
        <f>E42+J42</f>
        <v>11818</v>
      </c>
      <c r="L42" s="3">
        <f t="shared" si="3"/>
        <v>-506.35350000000108</v>
      </c>
    </row>
    <row r="43" spans="1:15" x14ac:dyDescent="0.25">
      <c r="A43" s="148"/>
      <c r="B43" s="136" t="s">
        <v>5</v>
      </c>
      <c r="C43" s="20"/>
      <c r="D43" s="20"/>
      <c r="E43" s="20">
        <f>SUM(E39:E42)</f>
        <v>437886</v>
      </c>
      <c r="F43" s="77"/>
      <c r="G43" s="149"/>
      <c r="H43" s="20" t="e">
        <f>SUM(H39:H42)</f>
        <v>#REF!</v>
      </c>
      <c r="I43" s="79"/>
      <c r="K43" s="3">
        <f>SUM(K39:K42)</f>
        <v>437886</v>
      </c>
      <c r="L43" s="3" t="e">
        <f t="shared" si="3"/>
        <v>#REF!</v>
      </c>
    </row>
    <row r="44" spans="1:15" x14ac:dyDescent="0.25">
      <c r="A44" s="148"/>
      <c r="B44" s="136" t="s">
        <v>23</v>
      </c>
      <c r="C44" s="20"/>
      <c r="D44" s="20"/>
      <c r="E44" s="20">
        <f>E18-E43</f>
        <v>-48863</v>
      </c>
      <c r="F44" s="77"/>
      <c r="G44" s="149"/>
      <c r="H44" s="20" t="e">
        <f>H18-H43</f>
        <v>#REF!</v>
      </c>
      <c r="I44" s="79"/>
    </row>
    <row r="45" spans="1:15" x14ac:dyDescent="0.25">
      <c r="A45" s="148"/>
      <c r="B45" s="20"/>
      <c r="C45" s="20"/>
      <c r="D45" s="20"/>
      <c r="E45" s="20"/>
      <c r="F45" s="20"/>
      <c r="G45" s="149"/>
      <c r="H45" s="20"/>
      <c r="I45" s="79"/>
    </row>
    <row r="46" spans="1:15" ht="17.25" x14ac:dyDescent="0.25">
      <c r="A46" s="148"/>
      <c r="B46" s="449" t="s">
        <v>33</v>
      </c>
      <c r="C46" s="449"/>
      <c r="D46" s="449"/>
      <c r="E46" s="449"/>
      <c r="F46" s="449"/>
      <c r="G46" s="449"/>
      <c r="H46" s="449"/>
      <c r="I46" s="150"/>
    </row>
    <row r="47" spans="1:15" x14ac:dyDescent="0.25">
      <c r="A47" s="148"/>
      <c r="B47" s="136" t="s">
        <v>6</v>
      </c>
      <c r="C47" s="20"/>
      <c r="D47" s="20"/>
      <c r="F47" s="20"/>
      <c r="G47" s="149"/>
      <c r="H47" s="20" t="e">
        <f>H43</f>
        <v>#REF!</v>
      </c>
      <c r="I47" s="79"/>
      <c r="K47" s="20">
        <f>K43</f>
        <v>437886</v>
      </c>
    </row>
    <row r="48" spans="1:15" x14ac:dyDescent="0.25">
      <c r="A48" s="148"/>
      <c r="B48" s="20" t="s">
        <v>62</v>
      </c>
      <c r="C48" s="20"/>
      <c r="D48" s="20" t="s">
        <v>36</v>
      </c>
      <c r="F48" s="20"/>
      <c r="G48" s="108" t="s">
        <v>151</v>
      </c>
      <c r="H48" s="5" t="e">
        <f>'Debt Sch'!#REF!</f>
        <v>#REF!</v>
      </c>
      <c r="I48" s="125"/>
      <c r="K48" s="5" t="e">
        <f>H48</f>
        <v>#REF!</v>
      </c>
    </row>
    <row r="49" spans="1:11" ht="17.25" x14ac:dyDescent="0.25">
      <c r="A49" s="148"/>
      <c r="B49" s="20"/>
      <c r="C49" s="20"/>
      <c r="D49" s="20" t="s">
        <v>19</v>
      </c>
      <c r="F49" s="20"/>
      <c r="G49" s="108" t="s">
        <v>179</v>
      </c>
      <c r="H49" s="80" t="e">
        <f>'Debt Sch'!#REF!</f>
        <v>#REF!</v>
      </c>
      <c r="I49" s="81"/>
      <c r="K49" s="80" t="e">
        <f>H49</f>
        <v>#REF!</v>
      </c>
    </row>
    <row r="50" spans="1:11" x14ac:dyDescent="0.25">
      <c r="A50" s="148"/>
      <c r="B50" s="136" t="s">
        <v>24</v>
      </c>
      <c r="C50" s="20"/>
      <c r="D50" s="20"/>
      <c r="F50" s="20"/>
      <c r="G50" s="149"/>
      <c r="H50" s="20" t="e">
        <f>SUM(H47:H49)</f>
        <v>#REF!</v>
      </c>
      <c r="I50" s="79"/>
      <c r="K50" s="20" t="e">
        <f>SUM(K47:K49)</f>
        <v>#REF!</v>
      </c>
    </row>
    <row r="51" spans="1:11" x14ac:dyDescent="0.25">
      <c r="A51" s="148"/>
      <c r="B51" s="20" t="s">
        <v>63</v>
      </c>
      <c r="C51" s="20"/>
      <c r="D51" s="20" t="s">
        <v>7</v>
      </c>
      <c r="F51" s="20"/>
      <c r="G51" s="149"/>
      <c r="H51" s="85">
        <f>-SUM(H15:H17)</f>
        <v>-39813</v>
      </c>
      <c r="I51" s="86"/>
      <c r="K51" s="85">
        <f>-SUM(K15:K17)</f>
        <v>-43813</v>
      </c>
    </row>
    <row r="52" spans="1:11" x14ac:dyDescent="0.25">
      <c r="A52" s="148"/>
      <c r="B52" s="20"/>
      <c r="C52" s="20"/>
      <c r="D52" s="20" t="s">
        <v>149</v>
      </c>
      <c r="F52" s="20"/>
      <c r="G52" s="149"/>
      <c r="H52" s="85">
        <v>-18472</v>
      </c>
      <c r="I52" s="86"/>
      <c r="K52" s="85">
        <v>-18472</v>
      </c>
    </row>
    <row r="53" spans="1:11" x14ac:dyDescent="0.25">
      <c r="A53" s="148"/>
      <c r="B53" s="20"/>
      <c r="C53" s="20"/>
      <c r="D53" s="20" t="s">
        <v>150</v>
      </c>
      <c r="E53" s="82">
        <v>18714</v>
      </c>
      <c r="F53" s="77">
        <v>-18714</v>
      </c>
      <c r="G53" s="149" t="s">
        <v>187</v>
      </c>
      <c r="H53" s="85">
        <f>E53+F53</f>
        <v>0</v>
      </c>
      <c r="I53" s="86"/>
      <c r="K53" s="85">
        <f>H53+I53</f>
        <v>0</v>
      </c>
    </row>
    <row r="54" spans="1:11" x14ac:dyDescent="0.25">
      <c r="A54" s="148"/>
      <c r="B54" s="20"/>
      <c r="C54" s="20"/>
      <c r="D54" s="20" t="s">
        <v>39</v>
      </c>
      <c r="F54" s="20"/>
      <c r="G54" s="149"/>
      <c r="H54" s="85">
        <v>-25659</v>
      </c>
      <c r="I54" s="86"/>
      <c r="K54" s="85">
        <v>-25659</v>
      </c>
    </row>
    <row r="55" spans="1:11" ht="17.25" x14ac:dyDescent="0.25">
      <c r="A55" s="148"/>
      <c r="B55" s="20"/>
      <c r="C55" s="20"/>
      <c r="D55" s="3" t="s">
        <v>114</v>
      </c>
      <c r="F55" s="20"/>
      <c r="G55" s="149"/>
      <c r="H55" s="80">
        <v>-5351</v>
      </c>
      <c r="I55" s="81"/>
      <c r="K55" s="80">
        <v>-5351</v>
      </c>
    </row>
    <row r="56" spans="1:11" x14ac:dyDescent="0.25">
      <c r="A56" s="148"/>
      <c r="B56" s="136" t="s">
        <v>73</v>
      </c>
      <c r="C56" s="20"/>
      <c r="D56" s="20"/>
      <c r="F56" s="20"/>
      <c r="G56" s="149"/>
      <c r="H56" s="77" t="e">
        <f>H50+SUM(H51:H55)</f>
        <v>#REF!</v>
      </c>
      <c r="I56" s="79"/>
      <c r="K56" s="77" t="e">
        <f>K50+SUM(K51:K55)</f>
        <v>#REF!</v>
      </c>
    </row>
    <row r="57" spans="1:11" ht="17.25" x14ac:dyDescent="0.25">
      <c r="A57" s="148"/>
      <c r="B57" s="20"/>
      <c r="C57" s="20"/>
      <c r="D57" s="20" t="s">
        <v>25</v>
      </c>
      <c r="F57" s="20"/>
      <c r="G57" s="149"/>
      <c r="H57" s="80">
        <f>H9+H13</f>
        <v>0</v>
      </c>
      <c r="I57" s="81"/>
      <c r="K57" s="80">
        <f>K9+K13</f>
        <v>0</v>
      </c>
    </row>
    <row r="58" spans="1:11" x14ac:dyDescent="0.25">
      <c r="A58" s="148"/>
      <c r="B58" s="136" t="s">
        <v>188</v>
      </c>
      <c r="C58" s="20"/>
      <c r="D58" s="20"/>
      <c r="F58" s="20"/>
      <c r="G58" s="149"/>
      <c r="H58" s="136" t="e">
        <f>H56-H57</f>
        <v>#REF!</v>
      </c>
      <c r="I58" s="79"/>
      <c r="K58" s="136" t="e">
        <f>K56-K57</f>
        <v>#REF!</v>
      </c>
    </row>
  </sheetData>
  <mergeCells count="2">
    <mergeCell ref="B46:H46"/>
    <mergeCell ref="J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4"/>
  <sheetViews>
    <sheetView view="pageBreakPreview" zoomScale="124" zoomScaleNormal="100" zoomScaleSheetLayoutView="124" workbookViewId="0">
      <selection activeCell="I7" sqref="I7"/>
    </sheetView>
  </sheetViews>
  <sheetFormatPr defaultColWidth="8.88671875" defaultRowHeight="15" x14ac:dyDescent="0.25"/>
  <cols>
    <col min="1" max="1" width="3.77734375" style="1" customWidth="1"/>
    <col min="2" max="2" width="10.6640625" style="1" customWidth="1"/>
    <col min="3" max="3" width="10.109375" style="1" customWidth="1"/>
    <col min="4" max="4" width="10.33203125" style="1" customWidth="1"/>
    <col min="5" max="5" width="9.77734375" style="1" customWidth="1"/>
    <col min="6" max="6" width="10.44140625" style="1" customWidth="1"/>
    <col min="7" max="7" width="9.77734375" style="1" customWidth="1"/>
    <col min="8" max="8" width="9.33203125" style="1" bestFit="1" customWidth="1"/>
    <col min="9" max="9" width="15.77734375" style="1" customWidth="1"/>
    <col min="10" max="10" width="9.5546875" style="1" customWidth="1"/>
    <col min="11" max="12" width="8.88671875" style="1"/>
    <col min="13" max="13" width="9.88671875" style="1" customWidth="1"/>
    <col min="14" max="14" width="10.109375" style="1" customWidth="1"/>
    <col min="15" max="15" width="10.5546875" style="1" customWidth="1"/>
    <col min="16" max="16" width="8.88671875" style="1"/>
    <col min="17" max="17" width="11.109375" style="1" customWidth="1"/>
    <col min="18" max="18" width="8.88671875" style="1"/>
    <col min="19" max="19" width="10.77734375" style="1" customWidth="1"/>
    <col min="20" max="16384" width="8.88671875" style="1"/>
  </cols>
  <sheetData>
    <row r="1" spans="1:20" ht="18.75" x14ac:dyDescent="0.25">
      <c r="B1" s="31" t="s">
        <v>353</v>
      </c>
      <c r="E1" s="45"/>
      <c r="F1" s="45"/>
      <c r="G1" s="45"/>
    </row>
    <row r="2" spans="1:20" x14ac:dyDescent="0.25">
      <c r="D2" s="225"/>
      <c r="E2" s="45"/>
      <c r="F2" s="45"/>
      <c r="G2" s="45"/>
    </row>
    <row r="3" spans="1:20" x14ac:dyDescent="0.25">
      <c r="A3" s="3"/>
      <c r="B3" s="58" t="s">
        <v>40</v>
      </c>
      <c r="C3" s="16"/>
      <c r="D3" s="16"/>
      <c r="E3" s="16"/>
      <c r="F3" s="16"/>
      <c r="I3" s="58" t="s">
        <v>97</v>
      </c>
      <c r="Q3" s="58" t="s">
        <v>109</v>
      </c>
    </row>
    <row r="4" spans="1:20" x14ac:dyDescent="0.25">
      <c r="A4" s="3"/>
      <c r="B4" s="16" t="s">
        <v>41</v>
      </c>
      <c r="C4" s="3"/>
      <c r="D4" s="3">
        <v>43790000</v>
      </c>
      <c r="E4" s="223"/>
      <c r="F4" s="14"/>
      <c r="G4" s="3"/>
      <c r="O4" s="2" t="s">
        <v>61</v>
      </c>
    </row>
    <row r="5" spans="1:20" x14ac:dyDescent="0.25">
      <c r="A5" s="3"/>
      <c r="B5" s="16" t="s">
        <v>42</v>
      </c>
      <c r="C5" s="3"/>
      <c r="D5" s="3">
        <v>32869000</v>
      </c>
      <c r="E5" s="16"/>
      <c r="F5" s="16"/>
      <c r="J5" s="2" t="s">
        <v>198</v>
      </c>
      <c r="K5" s="2" t="s">
        <v>58</v>
      </c>
      <c r="L5" s="2" t="s">
        <v>82</v>
      </c>
      <c r="M5" s="2" t="s">
        <v>58</v>
      </c>
      <c r="N5" s="2" t="s">
        <v>58</v>
      </c>
      <c r="O5" s="2" t="s">
        <v>58</v>
      </c>
      <c r="Q5" s="23" t="s">
        <v>171</v>
      </c>
      <c r="S5" s="12"/>
    </row>
    <row r="6" spans="1:20" ht="17.25" x14ac:dyDescent="0.4">
      <c r="A6" s="3"/>
      <c r="B6" s="16" t="s">
        <v>43</v>
      </c>
      <c r="C6" s="3"/>
      <c r="D6" s="3"/>
      <c r="E6" s="16"/>
      <c r="F6" s="16"/>
      <c r="I6" s="9" t="s">
        <v>355</v>
      </c>
      <c r="J6" s="9" t="s">
        <v>199</v>
      </c>
      <c r="K6" s="9" t="s">
        <v>229</v>
      </c>
      <c r="L6" s="9" t="s">
        <v>83</v>
      </c>
      <c r="M6" s="9" t="s">
        <v>100</v>
      </c>
      <c r="N6" s="9" t="s">
        <v>85</v>
      </c>
      <c r="O6" s="9" t="s">
        <v>84</v>
      </c>
      <c r="R6" s="63" t="s">
        <v>174</v>
      </c>
      <c r="S6" s="63" t="s">
        <v>175</v>
      </c>
      <c r="T6" s="63" t="s">
        <v>61</v>
      </c>
    </row>
    <row r="7" spans="1:20" x14ac:dyDescent="0.25">
      <c r="A7" s="3"/>
      <c r="B7" s="1" t="s">
        <v>44</v>
      </c>
      <c r="C7" s="3">
        <v>0</v>
      </c>
      <c r="D7" s="3"/>
      <c r="E7" s="16"/>
      <c r="F7" s="16"/>
      <c r="G7" s="26"/>
      <c r="I7" s="512" t="s">
        <v>356</v>
      </c>
      <c r="J7" s="108" t="s">
        <v>200</v>
      </c>
      <c r="K7" s="59">
        <v>0</v>
      </c>
      <c r="L7" s="43">
        <v>2271</v>
      </c>
      <c r="M7" s="5">
        <f t="shared" ref="M7:M12" si="0">IF(J7="Bimonthly",ROUND(L7*24,0),IF(J7="Monthly",ROUND(L7*12,0),ROUND(L7*2080,0)))</f>
        <v>54504</v>
      </c>
      <c r="N7" s="5"/>
      <c r="O7" s="3">
        <f>M7+N7</f>
        <v>54504</v>
      </c>
      <c r="Q7" s="117" t="s">
        <v>172</v>
      </c>
      <c r="R7" s="3">
        <v>4</v>
      </c>
      <c r="S7" s="43">
        <v>750</v>
      </c>
      <c r="T7" s="3">
        <f>S7*R7</f>
        <v>3000</v>
      </c>
    </row>
    <row r="8" spans="1:20" ht="17.25" x14ac:dyDescent="0.4">
      <c r="A8" s="3"/>
      <c r="B8" s="16" t="s">
        <v>45</v>
      </c>
      <c r="C8" s="3">
        <v>3599000</v>
      </c>
      <c r="D8" s="3"/>
      <c r="E8" s="16"/>
      <c r="F8" s="16"/>
      <c r="I8" s="512" t="s">
        <v>357</v>
      </c>
      <c r="J8" s="108" t="s">
        <v>201</v>
      </c>
      <c r="K8" s="59">
        <v>1052</v>
      </c>
      <c r="L8" s="43">
        <v>11.5</v>
      </c>
      <c r="M8" s="5">
        <f>IF(J8="Bimonthly",ROUND(L8*24,0),IF(J8="Monthly",ROUND(L8*12,0),ROUND(L8*K8,0)))</f>
        <v>12098</v>
      </c>
      <c r="N8" s="5"/>
      <c r="O8" s="3">
        <f t="shared" ref="O8:O12" si="1">M8+N8</f>
        <v>12098</v>
      </c>
      <c r="P8" s="26"/>
      <c r="Q8" s="117" t="s">
        <v>173</v>
      </c>
      <c r="R8" s="3">
        <v>1</v>
      </c>
      <c r="S8" s="3">
        <v>1000</v>
      </c>
      <c r="T8" s="32">
        <f>S8*R8</f>
        <v>1000</v>
      </c>
    </row>
    <row r="9" spans="1:20" x14ac:dyDescent="0.25">
      <c r="A9" s="3"/>
      <c r="B9" s="16" t="s">
        <v>46</v>
      </c>
      <c r="C9" s="3"/>
      <c r="D9" s="3"/>
      <c r="E9" s="16"/>
      <c r="F9" s="16"/>
      <c r="I9" s="512" t="s">
        <v>358</v>
      </c>
      <c r="J9" s="108" t="s">
        <v>200</v>
      </c>
      <c r="K9" s="59">
        <v>0</v>
      </c>
      <c r="L9" s="43">
        <v>653.75</v>
      </c>
      <c r="M9" s="5">
        <f t="shared" si="0"/>
        <v>15690</v>
      </c>
      <c r="N9" s="5"/>
      <c r="O9" s="3">
        <f t="shared" si="1"/>
        <v>15690</v>
      </c>
      <c r="R9" s="3"/>
      <c r="S9" s="64" t="s">
        <v>176</v>
      </c>
      <c r="T9" s="3">
        <f>T8+T7</f>
        <v>4000</v>
      </c>
    </row>
    <row r="10" spans="1:20" ht="14.25" customHeight="1" x14ac:dyDescent="0.4">
      <c r="A10" s="3"/>
      <c r="B10" s="16" t="s">
        <v>47</v>
      </c>
      <c r="C10" s="67">
        <v>0</v>
      </c>
      <c r="D10" s="3">
        <f>SUM(C7:C10)</f>
        <v>3599000</v>
      </c>
      <c r="E10" s="16"/>
      <c r="F10" s="16"/>
      <c r="I10" s="512" t="s">
        <v>359</v>
      </c>
      <c r="J10" s="108" t="s">
        <v>158</v>
      </c>
      <c r="K10" s="59">
        <v>0</v>
      </c>
      <c r="L10" s="43">
        <v>445</v>
      </c>
      <c r="M10" s="5">
        <f t="shared" si="0"/>
        <v>5340</v>
      </c>
      <c r="N10" s="5"/>
      <c r="O10" s="3">
        <f t="shared" si="1"/>
        <v>5340</v>
      </c>
      <c r="R10" s="3"/>
      <c r="S10" s="3"/>
    </row>
    <row r="11" spans="1:20" x14ac:dyDescent="0.25">
      <c r="A11" s="3"/>
      <c r="B11" s="16" t="s">
        <v>48</v>
      </c>
      <c r="C11" s="3"/>
      <c r="D11" s="3"/>
      <c r="E11" s="16"/>
      <c r="F11" s="16"/>
      <c r="I11" s="512" t="s">
        <v>360</v>
      </c>
      <c r="J11" s="108" t="s">
        <v>158</v>
      </c>
      <c r="K11" s="59">
        <v>0</v>
      </c>
      <c r="L11" s="43">
        <v>1232.5</v>
      </c>
      <c r="M11" s="5">
        <f t="shared" si="0"/>
        <v>14790</v>
      </c>
      <c r="N11" s="5"/>
      <c r="O11" s="3">
        <f t="shared" si="1"/>
        <v>14790</v>
      </c>
      <c r="P11" s="26"/>
      <c r="Q11" s="47"/>
      <c r="R11" s="42" t="s">
        <v>147</v>
      </c>
      <c r="S11" s="42"/>
      <c r="T11" s="42">
        <f>0.3*T9</f>
        <v>1200</v>
      </c>
    </row>
    <row r="12" spans="1:20" ht="17.25" x14ac:dyDescent="0.4">
      <c r="A12" s="3"/>
      <c r="B12" s="16" t="s">
        <v>49</v>
      </c>
      <c r="C12" s="5">
        <v>7322000</v>
      </c>
      <c r="D12" s="3"/>
      <c r="E12" s="16"/>
      <c r="F12" s="16"/>
      <c r="I12" s="512" t="s">
        <v>361</v>
      </c>
      <c r="J12" s="108" t="s">
        <v>158</v>
      </c>
      <c r="K12" s="59">
        <v>0</v>
      </c>
      <c r="L12" s="43">
        <v>1547.5</v>
      </c>
      <c r="M12" s="5">
        <f t="shared" si="0"/>
        <v>18570</v>
      </c>
      <c r="N12" s="5"/>
      <c r="O12" s="3">
        <f t="shared" si="1"/>
        <v>18570</v>
      </c>
      <c r="Q12" s="66"/>
      <c r="R12" s="42" t="s">
        <v>148</v>
      </c>
      <c r="S12" s="42"/>
      <c r="T12" s="114">
        <f>0.7*T9</f>
        <v>2800</v>
      </c>
    </row>
    <row r="13" spans="1:20" ht="17.25" x14ac:dyDescent="0.4">
      <c r="A13" s="3"/>
      <c r="B13" s="16" t="s">
        <v>126</v>
      </c>
      <c r="C13" s="67"/>
      <c r="D13" s="3"/>
      <c r="E13" s="16"/>
      <c r="F13" s="16"/>
      <c r="I13" s="3"/>
      <c r="J13" s="108"/>
      <c r="K13" s="61"/>
      <c r="L13" s="61"/>
      <c r="M13" s="5"/>
      <c r="N13" s="5"/>
      <c r="O13" s="3"/>
      <c r="P13" s="26"/>
      <c r="R13" s="57"/>
      <c r="S13" s="55"/>
      <c r="T13" s="26">
        <f>T11+T12</f>
        <v>4000</v>
      </c>
    </row>
    <row r="14" spans="1:20" x14ac:dyDescent="0.25">
      <c r="A14" s="3"/>
      <c r="B14" s="16"/>
      <c r="C14" s="3"/>
      <c r="D14" s="3">
        <f>SUM(C11:C13)</f>
        <v>7322000</v>
      </c>
      <c r="E14" s="24">
        <f>D14/D4</f>
        <v>0.16720712491436401</v>
      </c>
      <c r="F14" s="16" t="s">
        <v>50</v>
      </c>
      <c r="I14" s="3"/>
      <c r="J14" s="108"/>
      <c r="K14" s="61"/>
      <c r="L14" s="61"/>
      <c r="M14" s="5"/>
      <c r="N14" s="5"/>
      <c r="O14" s="3"/>
      <c r="P14" s="48"/>
      <c r="R14" s="57"/>
      <c r="S14" s="55"/>
      <c r="T14" s="26"/>
    </row>
    <row r="15" spans="1:20" x14ac:dyDescent="0.25">
      <c r="A15" s="3"/>
      <c r="B15" s="6" t="s">
        <v>51</v>
      </c>
      <c r="C15" s="3">
        <f>SUM(D5:D14)</f>
        <v>43790000</v>
      </c>
      <c r="D15" s="3"/>
      <c r="E15" s="37">
        <v>0.15</v>
      </c>
      <c r="F15" s="16" t="s">
        <v>52</v>
      </c>
      <c r="I15" s="3"/>
      <c r="J15" s="108"/>
      <c r="K15" s="61"/>
      <c r="L15" s="61"/>
      <c r="M15" s="5"/>
      <c r="N15" s="5"/>
      <c r="O15" s="3"/>
      <c r="Q15" s="1" t="s">
        <v>275</v>
      </c>
      <c r="R15" s="57"/>
      <c r="S15" s="55"/>
      <c r="T15" s="26">
        <v>1352</v>
      </c>
    </row>
    <row r="16" spans="1:20" ht="17.25" x14ac:dyDescent="0.4">
      <c r="A16" s="3"/>
      <c r="B16" s="25"/>
      <c r="C16" s="16"/>
      <c r="D16" s="16"/>
      <c r="E16" s="54">
        <f>E14-E15</f>
        <v>1.7207124914364019E-2</v>
      </c>
      <c r="F16" s="27" t="s">
        <v>258</v>
      </c>
      <c r="I16" s="3"/>
      <c r="J16" s="108"/>
      <c r="K16" s="61"/>
      <c r="L16" s="61"/>
      <c r="M16" s="5"/>
      <c r="N16" s="5"/>
      <c r="O16" s="32"/>
      <c r="T16" s="1">
        <v>12</v>
      </c>
    </row>
    <row r="17" spans="1:21" x14ac:dyDescent="0.25">
      <c r="A17" s="3"/>
      <c r="I17" s="3"/>
      <c r="J17" s="3"/>
      <c r="K17" s="3"/>
      <c r="L17" s="43"/>
      <c r="M17" s="3"/>
      <c r="N17" s="3"/>
      <c r="O17" s="48">
        <f>SUM(O7:O16)</f>
        <v>120992</v>
      </c>
    </row>
    <row r="18" spans="1:21" x14ac:dyDescent="0.25">
      <c r="A18" s="3"/>
      <c r="E18" s="2" t="s">
        <v>261</v>
      </c>
      <c r="F18" s="2" t="s">
        <v>261</v>
      </c>
      <c r="G18" s="2"/>
      <c r="I18" s="3"/>
      <c r="J18" s="3"/>
      <c r="K18" s="3"/>
      <c r="O18" s="49"/>
      <c r="T18" s="26">
        <f>T15*T16</f>
        <v>16224</v>
      </c>
    </row>
    <row r="19" spans="1:21" x14ac:dyDescent="0.25">
      <c r="A19" s="3"/>
      <c r="E19" s="9" t="s">
        <v>262</v>
      </c>
      <c r="F19" s="9" t="s">
        <v>263</v>
      </c>
      <c r="G19" s="9" t="s">
        <v>61</v>
      </c>
      <c r="I19" s="60"/>
      <c r="J19" s="3"/>
      <c r="K19" s="3"/>
      <c r="O19" s="49" t="s">
        <v>20</v>
      </c>
      <c r="T19" s="26">
        <v>-2835</v>
      </c>
    </row>
    <row r="20" spans="1:21" x14ac:dyDescent="0.25">
      <c r="A20" s="3"/>
      <c r="B20" s="1" t="s">
        <v>259</v>
      </c>
      <c r="E20" s="11">
        <f>U40</f>
        <v>160709</v>
      </c>
      <c r="F20" s="11">
        <v>12775</v>
      </c>
      <c r="G20" s="11">
        <f>SUM(E20:F20)</f>
        <v>173484</v>
      </c>
      <c r="I20" s="60"/>
      <c r="J20" s="3"/>
      <c r="K20" s="3"/>
      <c r="O20" s="49"/>
    </row>
    <row r="21" spans="1:21" x14ac:dyDescent="0.25">
      <c r="A21" s="3"/>
      <c r="B21" s="1" t="s">
        <v>260</v>
      </c>
      <c r="E21" s="214">
        <f>-E16</f>
        <v>-1.7207124914364019E-2</v>
      </c>
      <c r="F21" s="214">
        <f>-E16</f>
        <v>-1.7207124914364019E-2</v>
      </c>
      <c r="G21" s="214">
        <f>-E16</f>
        <v>-1.7207124914364019E-2</v>
      </c>
      <c r="I21" s="60"/>
      <c r="J21" s="3"/>
      <c r="K21" s="3"/>
      <c r="O21" s="49"/>
    </row>
    <row r="22" spans="1:21" ht="15.75" thickBot="1" x14ac:dyDescent="0.3">
      <c r="A22" s="3"/>
      <c r="B22" s="27" t="s">
        <v>258</v>
      </c>
      <c r="E22" s="215">
        <f>ROUND(E20*E21,0)</f>
        <v>-2765</v>
      </c>
      <c r="F22" s="215">
        <f>ROUND(F20*F21,0)</f>
        <v>-220</v>
      </c>
      <c r="G22" s="215">
        <f>ROUND(G20*G21,0)</f>
        <v>-2985</v>
      </c>
      <c r="I22" s="60"/>
      <c r="J22" s="3"/>
      <c r="K22" s="3"/>
      <c r="O22" s="49"/>
    </row>
    <row r="23" spans="1:21" ht="15.75" thickTop="1" x14ac:dyDescent="0.25">
      <c r="A23" s="3"/>
      <c r="B23" s="58" t="s">
        <v>153</v>
      </c>
      <c r="C23" s="23"/>
      <c r="D23" s="23"/>
      <c r="E23" s="12"/>
      <c r="H23" s="58" t="s">
        <v>106</v>
      </c>
      <c r="I23" s="60"/>
      <c r="J23" s="3"/>
      <c r="K23" s="3"/>
      <c r="O23" s="49"/>
    </row>
    <row r="24" spans="1:21" ht="17.25" x14ac:dyDescent="0.4">
      <c r="A24" s="3"/>
      <c r="C24" s="46" t="s">
        <v>158</v>
      </c>
      <c r="D24" s="46" t="s">
        <v>76</v>
      </c>
      <c r="E24" s="46" t="s">
        <v>77</v>
      </c>
      <c r="F24" s="46" t="s">
        <v>58</v>
      </c>
      <c r="H24" s="135" t="s">
        <v>180</v>
      </c>
      <c r="I24" s="3"/>
      <c r="J24" s="3"/>
      <c r="K24" s="3"/>
      <c r="L24" s="1" t="s">
        <v>86</v>
      </c>
      <c r="O24" s="48">
        <f>O17</f>
        <v>120992</v>
      </c>
    </row>
    <row r="25" spans="1:21" ht="18" x14ac:dyDescent="0.4">
      <c r="A25" s="3"/>
      <c r="C25" s="46" t="s">
        <v>77</v>
      </c>
      <c r="D25" s="46" t="s">
        <v>154</v>
      </c>
      <c r="E25" s="46" t="s">
        <v>78</v>
      </c>
      <c r="F25" s="46" t="s">
        <v>75</v>
      </c>
      <c r="H25" s="20">
        <v>7872</v>
      </c>
      <c r="I25" s="17" t="s">
        <v>182</v>
      </c>
      <c r="K25" s="3"/>
      <c r="L25" s="1" t="s">
        <v>98</v>
      </c>
      <c r="O25" s="32">
        <f>-'SAO - DSC'!F21</f>
        <v>-121573</v>
      </c>
      <c r="P25" s="68"/>
      <c r="Q25" s="58" t="s">
        <v>107</v>
      </c>
      <c r="R25"/>
      <c r="S25"/>
    </row>
    <row r="26" spans="1:21" ht="18" thickBot="1" x14ac:dyDescent="0.45">
      <c r="A26" s="3"/>
      <c r="B26" s="118" t="s">
        <v>157</v>
      </c>
      <c r="C26" s="59"/>
      <c r="D26" s="59"/>
      <c r="E26" s="59"/>
      <c r="F26" s="59"/>
      <c r="H26" s="20">
        <v>15715</v>
      </c>
      <c r="I26" s="17" t="s">
        <v>104</v>
      </c>
      <c r="K26" s="3"/>
      <c r="L26" s="50" t="s">
        <v>99</v>
      </c>
      <c r="M26" s="50"/>
      <c r="N26" s="50"/>
      <c r="O26" s="51">
        <f>O24+O25</f>
        <v>-581</v>
      </c>
      <c r="Q26" s="1" t="s">
        <v>276</v>
      </c>
    </row>
    <row r="27" spans="1:21" ht="18" thickTop="1" x14ac:dyDescent="0.4">
      <c r="B27" s="16" t="s">
        <v>155</v>
      </c>
      <c r="C27" s="23">
        <v>661.54</v>
      </c>
      <c r="D27" s="115">
        <v>0.21</v>
      </c>
      <c r="E27" s="23">
        <f>C27*D27</f>
        <v>138.92339999999999</v>
      </c>
      <c r="F27" s="23">
        <f>C27-E27</f>
        <v>522.61659999999995</v>
      </c>
      <c r="H27" s="136" t="s">
        <v>238</v>
      </c>
      <c r="I27" s="137" t="s">
        <v>181</v>
      </c>
      <c r="K27" s="3"/>
      <c r="O27" s="1" t="s">
        <v>87</v>
      </c>
      <c r="S27" s="63" t="s">
        <v>142</v>
      </c>
      <c r="T27" s="63" t="s">
        <v>143</v>
      </c>
      <c r="U27" s="63" t="s">
        <v>144</v>
      </c>
    </row>
    <row r="28" spans="1:21" ht="17.25" x14ac:dyDescent="0.25">
      <c r="B28" s="16" t="s">
        <v>1</v>
      </c>
      <c r="C28" s="23">
        <v>6.3</v>
      </c>
      <c r="D28" s="115">
        <v>0</v>
      </c>
      <c r="E28" s="23">
        <f>C28*D28</f>
        <v>0</v>
      </c>
      <c r="F28" s="23">
        <f>C28-E28</f>
        <v>6.3</v>
      </c>
      <c r="H28" s="138" t="s">
        <v>238</v>
      </c>
      <c r="I28" s="137" t="s">
        <v>183</v>
      </c>
      <c r="K28" s="3"/>
      <c r="L28" s="1" t="s">
        <v>177</v>
      </c>
      <c r="O28" s="34">
        <f>O24+'SAO - DSC'!L23</f>
        <v>128192</v>
      </c>
      <c r="S28" s="3">
        <f>WatPurch!B16</f>
        <v>43790000</v>
      </c>
      <c r="T28" s="224">
        <v>3.3999999999999998E-3</v>
      </c>
      <c r="U28" s="111">
        <f>ROUND(T28*S28,0)</f>
        <v>148886</v>
      </c>
    </row>
    <row r="29" spans="1:21" ht="15.75" x14ac:dyDescent="0.25">
      <c r="B29" s="16" t="s">
        <v>74</v>
      </c>
      <c r="C29" s="23">
        <v>17.75</v>
      </c>
      <c r="D29" s="115">
        <v>0.6</v>
      </c>
      <c r="E29" s="23">
        <f>C29*D29</f>
        <v>10.65</v>
      </c>
      <c r="F29" s="23">
        <f>C29-E29</f>
        <v>7.1</v>
      </c>
      <c r="H29" s="20">
        <f>SUM(H25:H28)</f>
        <v>23587</v>
      </c>
      <c r="I29" s="17" t="s">
        <v>105</v>
      </c>
      <c r="K29" s="3"/>
      <c r="L29" s="1" t="s">
        <v>88</v>
      </c>
      <c r="O29" s="53">
        <v>7.6499999999999999E-2</v>
      </c>
      <c r="S29" s="43"/>
      <c r="T29" s="110"/>
      <c r="U29" s="111">
        <f>ROUND(T29*S29,0)</f>
        <v>0</v>
      </c>
    </row>
    <row r="30" spans="1:21" ht="17.25" x14ac:dyDescent="0.4">
      <c r="B30" s="16" t="s">
        <v>156</v>
      </c>
      <c r="C30" s="23">
        <v>0</v>
      </c>
      <c r="D30" s="115">
        <v>0</v>
      </c>
      <c r="E30" s="23">
        <f>C30*D30</f>
        <v>0</v>
      </c>
      <c r="F30" s="116">
        <f>C30-E30</f>
        <v>0</v>
      </c>
      <c r="L30" s="1" t="s">
        <v>89</v>
      </c>
      <c r="O30" s="3">
        <f>+O28*O29</f>
        <v>9806.6880000000001</v>
      </c>
      <c r="S30" s="44"/>
      <c r="T30" s="110"/>
      <c r="U30" s="112">
        <f>ROUND(T30*S30,0)</f>
        <v>0</v>
      </c>
    </row>
    <row r="31" spans="1:21" x14ac:dyDescent="0.25">
      <c r="B31" s="16"/>
      <c r="C31" s="23">
        <f>SUM(C27:C30)</f>
        <v>685.58999999999992</v>
      </c>
      <c r="D31" s="115"/>
      <c r="E31" s="23"/>
      <c r="F31" s="23">
        <f>SUM(F27:F30)</f>
        <v>536.01659999999993</v>
      </c>
      <c r="G31" s="3"/>
      <c r="H31" s="151">
        <f>D37</f>
        <v>-7872</v>
      </c>
      <c r="I31" s="152" t="s">
        <v>184</v>
      </c>
      <c r="L31" s="1" t="s">
        <v>90</v>
      </c>
      <c r="O31" s="52">
        <f>-'SAO - DSC'!F21*Adj!O29</f>
        <v>-9300.334499999999</v>
      </c>
      <c r="P31" s="48"/>
      <c r="S31" s="33">
        <f>SUM(S28:S30)</f>
        <v>43790000</v>
      </c>
      <c r="U31" s="3">
        <f>SUM(U28:U30)</f>
        <v>148886</v>
      </c>
    </row>
    <row r="32" spans="1:21" ht="18" thickBot="1" x14ac:dyDescent="0.45">
      <c r="B32" s="16"/>
      <c r="C32" s="23"/>
      <c r="D32" s="119" t="s">
        <v>159</v>
      </c>
      <c r="E32" s="12">
        <v>1</v>
      </c>
      <c r="F32" s="23">
        <f>F31*E32</f>
        <v>536.01659999999993</v>
      </c>
      <c r="G32" s="3"/>
      <c r="H32" s="38">
        <f>D36</f>
        <v>6432</v>
      </c>
      <c r="I32" s="3" t="s">
        <v>185</v>
      </c>
      <c r="L32" s="50" t="s">
        <v>91</v>
      </c>
      <c r="M32" s="50"/>
      <c r="N32" s="50"/>
      <c r="O32" s="51">
        <f>+O30+O31</f>
        <v>506.35350000000108</v>
      </c>
      <c r="T32" s="10" t="s">
        <v>145</v>
      </c>
      <c r="U32" s="32">
        <f>-'SAO - DSC'!F26</f>
        <v>-143183</v>
      </c>
    </row>
    <row r="33" spans="2:21" ht="18.75" thickTop="1" thickBot="1" x14ac:dyDescent="0.45">
      <c r="B33" s="118"/>
      <c r="C33" s="59"/>
      <c r="D33" s="59"/>
      <c r="E33" s="59"/>
      <c r="F33" s="59"/>
      <c r="H33" s="184">
        <f>SUM(H31:H32)</f>
        <v>-1440</v>
      </c>
      <c r="I33" s="56" t="s">
        <v>153</v>
      </c>
      <c r="T33" s="113" t="s">
        <v>146</v>
      </c>
      <c r="U33" s="139">
        <f>(U31+U32)</f>
        <v>5703</v>
      </c>
    </row>
    <row r="34" spans="2:21" ht="15.75" thickTop="1" x14ac:dyDescent="0.25">
      <c r="B34" s="16"/>
      <c r="C34" s="23"/>
      <c r="D34" s="115"/>
      <c r="E34" s="23"/>
      <c r="F34" s="23"/>
      <c r="H34" s="3"/>
      <c r="I34" s="3"/>
      <c r="J34" s="68" t="s">
        <v>194</v>
      </c>
      <c r="K34" s="3"/>
      <c r="L34" s="1" t="s">
        <v>96</v>
      </c>
      <c r="O34" s="34">
        <f>H37</f>
        <v>59844</v>
      </c>
    </row>
    <row r="35" spans="2:21" x14ac:dyDescent="0.25">
      <c r="C35" s="117" t="s">
        <v>160</v>
      </c>
      <c r="D35" s="12">
        <f>ROUND(F32+F39,0)</f>
        <v>536</v>
      </c>
      <c r="E35" s="23"/>
      <c r="F35" s="23"/>
      <c r="H35" s="3">
        <f>O7</f>
        <v>54504</v>
      </c>
      <c r="I35" s="3" t="s">
        <v>277</v>
      </c>
      <c r="J35" s="60"/>
      <c r="K35" s="3"/>
      <c r="L35" s="1" t="s">
        <v>95</v>
      </c>
      <c r="O35" s="53">
        <v>0.2334</v>
      </c>
      <c r="Q35" s="1" t="s">
        <v>288</v>
      </c>
    </row>
    <row r="36" spans="2:21" ht="17.25" x14ac:dyDescent="0.4">
      <c r="C36" s="117" t="s">
        <v>79</v>
      </c>
      <c r="D36" s="12">
        <f>D35*12</f>
        <v>6432</v>
      </c>
      <c r="E36" s="23"/>
      <c r="F36" s="23"/>
      <c r="H36" s="226">
        <f>O10</f>
        <v>5340</v>
      </c>
      <c r="I36" s="3" t="s">
        <v>197</v>
      </c>
      <c r="J36" s="3"/>
      <c r="K36" s="3"/>
      <c r="L36" s="1" t="s">
        <v>92</v>
      </c>
      <c r="O36" s="3">
        <f>+O34*O35</f>
        <v>13967.589599999999</v>
      </c>
      <c r="S36" s="63" t="s">
        <v>142</v>
      </c>
      <c r="T36" s="63" t="s">
        <v>143</v>
      </c>
      <c r="U36" s="63" t="s">
        <v>144</v>
      </c>
    </row>
    <row r="37" spans="2:21" ht="17.25" x14ac:dyDescent="0.4">
      <c r="C37" s="117" t="s">
        <v>80</v>
      </c>
      <c r="D37" s="89">
        <v>-7872</v>
      </c>
      <c r="E37" s="23"/>
      <c r="F37" s="116"/>
      <c r="H37" s="3">
        <f>SUM(H35:H36)</f>
        <v>59844</v>
      </c>
      <c r="I37" s="1" t="s">
        <v>96</v>
      </c>
      <c r="J37" s="3"/>
      <c r="K37" s="3"/>
      <c r="L37" s="1" t="s">
        <v>93</v>
      </c>
      <c r="O37" s="134">
        <f>-H26</f>
        <v>-15715</v>
      </c>
      <c r="S37" s="3">
        <f>S28</f>
        <v>43790000</v>
      </c>
      <c r="T37" s="224">
        <v>3.6700000000000001E-3</v>
      </c>
      <c r="U37" s="111">
        <f>ROUND(T37*S37,0)</f>
        <v>160709</v>
      </c>
    </row>
    <row r="38" spans="2:21" ht="15.75" thickBot="1" x14ac:dyDescent="0.3">
      <c r="B38" s="57"/>
      <c r="C38" s="65" t="s">
        <v>81</v>
      </c>
      <c r="D38" s="42">
        <f>D36+D37</f>
        <v>-1440</v>
      </c>
      <c r="F38" s="33"/>
      <c r="H38" s="53">
        <v>0.2334</v>
      </c>
      <c r="I38" s="1" t="s">
        <v>236</v>
      </c>
      <c r="J38" s="3"/>
      <c r="K38" s="3"/>
      <c r="L38" s="50" t="s">
        <v>94</v>
      </c>
      <c r="M38" s="50"/>
      <c r="N38" s="50"/>
      <c r="O38" s="51">
        <f>+O36+O37</f>
        <v>-1747.4104000000007</v>
      </c>
      <c r="S38" s="43"/>
      <c r="T38" s="110"/>
      <c r="U38" s="111">
        <f>ROUND(T38*S38,0)</f>
        <v>0</v>
      </c>
    </row>
    <row r="39" spans="2:21" ht="18" thickTop="1" x14ac:dyDescent="0.4">
      <c r="B39" s="16"/>
      <c r="C39" s="23"/>
      <c r="D39" s="119"/>
      <c r="E39" s="12"/>
      <c r="F39" s="23"/>
      <c r="G39" s="3"/>
      <c r="H39" s="26">
        <f>ROUND(H37*H38,0)</f>
        <v>13968</v>
      </c>
      <c r="I39" s="1" t="s">
        <v>237</v>
      </c>
      <c r="N39" s="3"/>
      <c r="O39" s="3"/>
      <c r="P39" s="3"/>
      <c r="S39" s="44"/>
      <c r="T39" s="110"/>
      <c r="U39" s="112">
        <f>ROUND(T39*S39,0)</f>
        <v>0</v>
      </c>
    </row>
    <row r="40" spans="2:21" ht="17.25" x14ac:dyDescent="0.4">
      <c r="B40" s="16"/>
      <c r="C40" s="23"/>
      <c r="D40" s="115"/>
      <c r="E40" s="23"/>
      <c r="F40" s="116"/>
      <c r="G40" s="3"/>
      <c r="H40" s="134">
        <f>-H26</f>
        <v>-15715</v>
      </c>
      <c r="I40" s="1" t="s">
        <v>239</v>
      </c>
      <c r="N40" s="3"/>
      <c r="O40" s="3"/>
      <c r="P40" s="3"/>
      <c r="S40" s="33">
        <f>SUM(S37:S39)</f>
        <v>43790000</v>
      </c>
      <c r="U40" s="3">
        <f>SUM(U37:U39)</f>
        <v>160709</v>
      </c>
    </row>
    <row r="41" spans="2:21" ht="18.75" thickBot="1" x14ac:dyDescent="0.45">
      <c r="B41" s="16"/>
      <c r="C41" s="23"/>
      <c r="G41" s="3"/>
      <c r="H41" s="185">
        <f>SUM(H39:H40)</f>
        <v>-1747</v>
      </c>
      <c r="I41" s="1" t="s">
        <v>240</v>
      </c>
      <c r="M41"/>
      <c r="N41"/>
      <c r="O41"/>
      <c r="P41"/>
      <c r="T41" s="10" t="s">
        <v>145</v>
      </c>
      <c r="U41" s="32">
        <f>-U31</f>
        <v>-148886</v>
      </c>
    </row>
    <row r="42" spans="2:21" ht="16.5" thickTop="1" x14ac:dyDescent="0.25">
      <c r="M42"/>
      <c r="N42"/>
      <c r="O42"/>
      <c r="P42"/>
      <c r="T42" s="113" t="s">
        <v>146</v>
      </c>
      <c r="U42" s="139">
        <f>(U40+U41)</f>
        <v>11823</v>
      </c>
    </row>
    <row r="43" spans="2:21" ht="15.75" x14ac:dyDescent="0.25">
      <c r="L43" s="43"/>
      <c r="M43"/>
      <c r="N43"/>
      <c r="O43"/>
      <c r="P43"/>
    </row>
    <row r="44" spans="2:21" ht="15.75" x14ac:dyDescent="0.25">
      <c r="L44" s="43"/>
      <c r="M44"/>
      <c r="N44"/>
      <c r="O44"/>
      <c r="P44"/>
    </row>
    <row r="45" spans="2:21" ht="15.75" x14ac:dyDescent="0.25">
      <c r="L45" s="43"/>
      <c r="M45"/>
      <c r="N45"/>
      <c r="O45"/>
      <c r="P45"/>
    </row>
    <row r="46" spans="2:21" ht="15.75" x14ac:dyDescent="0.25">
      <c r="L46" s="43"/>
      <c r="M46"/>
      <c r="N46"/>
      <c r="O46"/>
      <c r="P46"/>
    </row>
    <row r="47" spans="2:21" ht="15.75" x14ac:dyDescent="0.25">
      <c r="B47" s="16"/>
      <c r="C47" s="43"/>
      <c r="D47" s="43"/>
      <c r="E47" s="43"/>
      <c r="F47" s="43"/>
      <c r="L47" s="43"/>
      <c r="M47"/>
      <c r="N47"/>
      <c r="O47"/>
      <c r="P47"/>
    </row>
    <row r="48" spans="2:21" ht="15.75" x14ac:dyDescent="0.25">
      <c r="B48" s="16"/>
      <c r="C48" s="43"/>
      <c r="D48" s="43"/>
      <c r="E48" s="43"/>
      <c r="F48" s="43"/>
      <c r="L48" s="55"/>
      <c r="M48"/>
      <c r="N48"/>
      <c r="O48"/>
      <c r="P48"/>
    </row>
    <row r="49" spans="2:16" x14ac:dyDescent="0.25">
      <c r="B49" s="16"/>
      <c r="C49" s="43"/>
      <c r="D49" s="43"/>
      <c r="E49" s="43"/>
      <c r="F49" s="43"/>
      <c r="N49" s="3"/>
      <c r="O49" s="3"/>
    </row>
    <row r="50" spans="2:16" x14ac:dyDescent="0.25">
      <c r="B50" s="23"/>
      <c r="N50" s="3"/>
      <c r="O50" s="3"/>
    </row>
    <row r="51" spans="2:16" ht="17.25" x14ac:dyDescent="0.4">
      <c r="E51" s="33"/>
      <c r="F51" s="32"/>
      <c r="N51" s="3"/>
      <c r="O51" s="3"/>
    </row>
    <row r="52" spans="2:16" x14ac:dyDescent="0.25">
      <c r="J52" s="43"/>
      <c r="N52" s="3"/>
      <c r="O52" s="3"/>
    </row>
    <row r="53" spans="2:16" x14ac:dyDescent="0.25">
      <c r="N53" s="3"/>
      <c r="O53" s="3"/>
    </row>
    <row r="54" spans="2:16" x14ac:dyDescent="0.25">
      <c r="N54" s="3"/>
      <c r="O54" s="3"/>
    </row>
    <row r="55" spans="2:16" x14ac:dyDescent="0.25">
      <c r="N55" s="3"/>
      <c r="O55" s="3"/>
      <c r="P55" s="3"/>
    </row>
    <row r="56" spans="2:16" x14ac:dyDescent="0.25">
      <c r="N56" s="3"/>
      <c r="O56" s="3"/>
      <c r="P56" s="3"/>
    </row>
    <row r="57" spans="2:16" x14ac:dyDescent="0.25">
      <c r="P57" s="3"/>
    </row>
    <row r="58" spans="2:16" x14ac:dyDescent="0.25">
      <c r="I58" s="3"/>
      <c r="J58" s="3"/>
      <c r="K58" s="3"/>
      <c r="L58" s="3"/>
    </row>
    <row r="59" spans="2:16" x14ac:dyDescent="0.25">
      <c r="I59" s="3"/>
      <c r="J59" s="3"/>
      <c r="K59" s="3"/>
      <c r="L59" s="3"/>
    </row>
    <row r="60" spans="2:16" x14ac:dyDescent="0.25">
      <c r="I60" s="3"/>
      <c r="J60" s="3"/>
      <c r="K60" s="3"/>
      <c r="L60" s="3"/>
    </row>
    <row r="69" spans="5:6" x14ac:dyDescent="0.25">
      <c r="E69" s="3"/>
      <c r="F69" s="3"/>
    </row>
    <row r="70" spans="5:6" x14ac:dyDescent="0.25">
      <c r="E70" s="3"/>
      <c r="F70" s="3"/>
    </row>
    <row r="71" spans="5:6" x14ac:dyDescent="0.25">
      <c r="E71" s="3"/>
      <c r="F71" s="3"/>
    </row>
    <row r="72" spans="5:6" x14ac:dyDescent="0.25">
      <c r="E72" s="3"/>
      <c r="F72" s="3"/>
    </row>
    <row r="73" spans="5:6" x14ac:dyDescent="0.25">
      <c r="E73" s="3"/>
      <c r="F73" s="3"/>
    </row>
    <row r="74" spans="5:6" x14ac:dyDescent="0.25">
      <c r="E74" s="3"/>
      <c r="F74" s="3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0329-8FA1-4266-B206-5A09C0CC04B7}">
  <dimension ref="A2:B16"/>
  <sheetViews>
    <sheetView workbookViewId="0">
      <selection activeCell="C3" sqref="C3:E4"/>
    </sheetView>
  </sheetViews>
  <sheetFormatPr defaultColWidth="8.88671875" defaultRowHeight="15" x14ac:dyDescent="0.25"/>
  <cols>
    <col min="1" max="1" width="8.88671875" style="108"/>
    <col min="2" max="2" width="11.5546875" style="3" customWidth="1"/>
    <col min="3" max="16384" width="8.88671875" style="3"/>
  </cols>
  <sheetData>
    <row r="2" spans="1:2" x14ac:dyDescent="0.25">
      <c r="B2" s="108" t="s">
        <v>140</v>
      </c>
    </row>
    <row r="3" spans="1:2" ht="17.25" x14ac:dyDescent="0.4">
      <c r="B3" s="62" t="s">
        <v>139</v>
      </c>
    </row>
    <row r="4" spans="1:2" x14ac:dyDescent="0.25">
      <c r="A4" s="108" t="s">
        <v>127</v>
      </c>
      <c r="B4" s="3">
        <v>3220000</v>
      </c>
    </row>
    <row r="5" spans="1:2" x14ac:dyDescent="0.25">
      <c r="A5" s="108" t="s">
        <v>128</v>
      </c>
      <c r="B5" s="3">
        <v>3433000</v>
      </c>
    </row>
    <row r="6" spans="1:2" x14ac:dyDescent="0.25">
      <c r="A6" s="108" t="s">
        <v>129</v>
      </c>
      <c r="B6" s="3">
        <v>3456000</v>
      </c>
    </row>
    <row r="7" spans="1:2" x14ac:dyDescent="0.25">
      <c r="A7" s="108" t="s">
        <v>130</v>
      </c>
      <c r="B7" s="3">
        <v>3257000</v>
      </c>
    </row>
    <row r="8" spans="1:2" x14ac:dyDescent="0.25">
      <c r="A8" s="108" t="s">
        <v>131</v>
      </c>
      <c r="B8" s="3">
        <v>3283000</v>
      </c>
    </row>
    <row r="9" spans="1:2" x14ac:dyDescent="0.25">
      <c r="A9" s="108" t="s">
        <v>132</v>
      </c>
      <c r="B9" s="3">
        <v>4044000</v>
      </c>
    </row>
    <row r="10" spans="1:2" x14ac:dyDescent="0.25">
      <c r="A10" s="108" t="s">
        <v>133</v>
      </c>
      <c r="B10" s="3">
        <v>3654000</v>
      </c>
    </row>
    <row r="11" spans="1:2" x14ac:dyDescent="0.25">
      <c r="A11" s="108" t="s">
        <v>134</v>
      </c>
      <c r="B11" s="3">
        <v>3855000</v>
      </c>
    </row>
    <row r="12" spans="1:2" x14ac:dyDescent="0.25">
      <c r="A12" s="108" t="s">
        <v>135</v>
      </c>
      <c r="B12" s="3">
        <v>3393000</v>
      </c>
    </row>
    <row r="13" spans="1:2" x14ac:dyDescent="0.25">
      <c r="A13" s="108" t="s">
        <v>138</v>
      </c>
      <c r="B13" s="3">
        <v>4457000</v>
      </c>
    </row>
    <row r="14" spans="1:2" x14ac:dyDescent="0.25">
      <c r="A14" s="108" t="s">
        <v>136</v>
      </c>
      <c r="B14" s="3">
        <v>3808000</v>
      </c>
    </row>
    <row r="15" spans="1:2" ht="17.25" x14ac:dyDescent="0.4">
      <c r="A15" s="108" t="s">
        <v>137</v>
      </c>
      <c r="B15" s="32">
        <v>3930000</v>
      </c>
    </row>
    <row r="16" spans="1:2" x14ac:dyDescent="0.25">
      <c r="A16" s="108" t="s">
        <v>32</v>
      </c>
      <c r="B16" s="3">
        <f t="shared" ref="B16" si="0">SUM(B4:B15)</f>
        <v>43790000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BAAE-ACA1-41DE-AB9B-41E6D683ABEE}">
  <dimension ref="A1:V40"/>
  <sheetViews>
    <sheetView showGridLines="0" workbookViewId="0">
      <selection activeCell="F9" sqref="F9"/>
    </sheetView>
  </sheetViews>
  <sheetFormatPr defaultRowHeight="14.25" x14ac:dyDescent="0.2"/>
  <cols>
    <col min="1" max="1" width="40.5546875" style="154" customWidth="1"/>
    <col min="2" max="2" width="1.33203125" style="154" customWidth="1"/>
    <col min="3" max="3" width="13" style="155" customWidth="1"/>
    <col min="4" max="5" width="1.33203125" style="154" customWidth="1"/>
    <col min="6" max="6" width="11.44140625" style="155" customWidth="1"/>
    <col min="7" max="8" width="1.33203125" style="154" customWidth="1"/>
    <col min="9" max="9" width="7.77734375" style="157" customWidth="1"/>
    <col min="10" max="10" width="1.33203125" style="183" customWidth="1"/>
    <col min="11" max="11" width="7.77734375" style="157" customWidth="1"/>
    <col min="12" max="12" width="1.33203125" style="154" customWidth="1"/>
    <col min="13" max="13" width="11.44140625" style="155" customWidth="1"/>
    <col min="14" max="14" width="1.33203125" style="154" customWidth="1"/>
    <col min="15" max="15" width="11.44140625" style="155" customWidth="1"/>
    <col min="16" max="19" width="1.33203125" style="154" customWidth="1"/>
    <col min="20" max="20" width="8.88671875" style="156"/>
    <col min="21" max="21" width="1.33203125" style="154" customWidth="1"/>
    <col min="22" max="22" width="32.21875" style="154" customWidth="1"/>
    <col min="23" max="16384" width="8.88671875" style="154"/>
  </cols>
  <sheetData>
    <row r="1" spans="1:22" ht="20.25" x14ac:dyDescent="0.3">
      <c r="A1" s="458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60"/>
    </row>
    <row r="2" spans="1:22" ht="20.25" x14ac:dyDescent="0.3">
      <c r="A2" s="461" t="s">
        <v>161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3"/>
    </row>
    <row r="3" spans="1:22" ht="20.25" x14ac:dyDescent="0.3">
      <c r="A3" s="452" t="s">
        <v>162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4"/>
    </row>
    <row r="4" spans="1:22" ht="20.25" x14ac:dyDescent="0.3">
      <c r="A4" s="455" t="s">
        <v>202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7"/>
    </row>
    <row r="5" spans="1:22" x14ac:dyDescent="0.2">
      <c r="A5" s="386"/>
      <c r="O5" s="375"/>
    </row>
    <row r="6" spans="1:22" x14ac:dyDescent="0.2">
      <c r="A6" s="386"/>
      <c r="C6" s="376" t="s">
        <v>203</v>
      </c>
      <c r="F6" s="157">
        <v>2022</v>
      </c>
      <c r="I6" s="451" t="s">
        <v>209</v>
      </c>
      <c r="J6" s="451"/>
      <c r="K6" s="451"/>
      <c r="M6" s="157" t="s">
        <v>205</v>
      </c>
      <c r="O6" s="377" t="s">
        <v>205</v>
      </c>
    </row>
    <row r="7" spans="1:22" x14ac:dyDescent="0.2">
      <c r="A7" s="387" t="s">
        <v>206</v>
      </c>
      <c r="C7" s="159" t="s">
        <v>207</v>
      </c>
      <c r="F7" s="159" t="s">
        <v>208</v>
      </c>
      <c r="I7" s="161" t="s">
        <v>303</v>
      </c>
      <c r="K7" s="161" t="s">
        <v>205</v>
      </c>
      <c r="M7" s="161" t="s">
        <v>210</v>
      </c>
      <c r="O7" s="379" t="s">
        <v>211</v>
      </c>
    </row>
    <row r="8" spans="1:22" x14ac:dyDescent="0.2">
      <c r="A8" s="386" t="s">
        <v>212</v>
      </c>
      <c r="C8" s="385">
        <v>102609</v>
      </c>
      <c r="O8" s="375"/>
      <c r="T8" s="156">
        <v>303</v>
      </c>
      <c r="V8" s="154" t="s">
        <v>213</v>
      </c>
    </row>
    <row r="9" spans="1:22" x14ac:dyDescent="0.2">
      <c r="A9" s="386" t="s">
        <v>214</v>
      </c>
      <c r="C9" s="155">
        <v>285597.13</v>
      </c>
      <c r="F9" s="385">
        <f>'Dep Adj '!I8</f>
        <v>8159.92</v>
      </c>
      <c r="I9" s="157">
        <v>35</v>
      </c>
      <c r="K9" s="157">
        <v>37.5</v>
      </c>
      <c r="M9" s="385">
        <f>'Dep Adj '!Q8</f>
        <v>7615.92</v>
      </c>
      <c r="O9" s="380">
        <f t="shared" ref="O9:O38" si="0">ROUND(M9-F9,0)</f>
        <v>-544</v>
      </c>
      <c r="T9" s="156">
        <v>304</v>
      </c>
      <c r="V9" s="154" t="s">
        <v>215</v>
      </c>
    </row>
    <row r="10" spans="1:22" x14ac:dyDescent="0.2">
      <c r="A10" s="386" t="s">
        <v>214</v>
      </c>
      <c r="C10" s="155">
        <v>13193.36</v>
      </c>
      <c r="F10" s="155">
        <f>'Dep Adj '!I9</f>
        <v>376.95</v>
      </c>
      <c r="I10" s="157">
        <v>35</v>
      </c>
      <c r="K10" s="157">
        <v>37.5</v>
      </c>
      <c r="M10" s="155">
        <f>'Dep Adj '!Q9</f>
        <v>351.82</v>
      </c>
      <c r="O10" s="375">
        <f t="shared" si="0"/>
        <v>-25</v>
      </c>
      <c r="T10" s="156">
        <v>304</v>
      </c>
      <c r="V10" s="154" t="s">
        <v>215</v>
      </c>
    </row>
    <row r="11" spans="1:22" x14ac:dyDescent="0.2">
      <c r="A11" s="386" t="s">
        <v>216</v>
      </c>
      <c r="C11" s="155">
        <v>22788</v>
      </c>
      <c r="F11" s="155">
        <f>'Dep Adj '!I10</f>
        <v>0</v>
      </c>
      <c r="I11" s="157">
        <v>30</v>
      </c>
      <c r="K11" s="157">
        <v>62.5</v>
      </c>
      <c r="M11" s="155">
        <f>'Dep Adj '!Q10</f>
        <v>0</v>
      </c>
      <c r="O11" s="375">
        <f t="shared" si="0"/>
        <v>0</v>
      </c>
      <c r="T11" s="156">
        <v>305</v>
      </c>
      <c r="V11" s="154" t="s">
        <v>216</v>
      </c>
    </row>
    <row r="12" spans="1:22" x14ac:dyDescent="0.2">
      <c r="A12" s="386" t="s">
        <v>217</v>
      </c>
      <c r="C12" s="155">
        <v>21511</v>
      </c>
      <c r="F12" s="155">
        <f>'Dep Adj '!I11</f>
        <v>1075.55</v>
      </c>
      <c r="I12" s="157">
        <v>20</v>
      </c>
      <c r="K12" s="157">
        <v>62.5</v>
      </c>
      <c r="M12" s="155">
        <f>'Dep Adj '!Q11</f>
        <v>344.18</v>
      </c>
      <c r="O12" s="375">
        <f t="shared" si="0"/>
        <v>-731</v>
      </c>
      <c r="T12" s="156">
        <v>309</v>
      </c>
      <c r="V12" s="154" t="s">
        <v>217</v>
      </c>
    </row>
    <row r="13" spans="1:22" x14ac:dyDescent="0.2">
      <c r="A13" s="386" t="s">
        <v>152</v>
      </c>
      <c r="C13" s="155">
        <v>17808</v>
      </c>
      <c r="F13" s="155">
        <f>'Dep Adj '!I12</f>
        <v>434.34</v>
      </c>
      <c r="I13" s="157">
        <v>41</v>
      </c>
      <c r="K13" s="157">
        <v>20</v>
      </c>
      <c r="M13" s="155">
        <f>'Dep Adj '!Q12</f>
        <v>890.4</v>
      </c>
      <c r="O13" s="375">
        <f t="shared" si="0"/>
        <v>456</v>
      </c>
      <c r="T13" s="156">
        <v>311</v>
      </c>
      <c r="V13" s="154" t="s">
        <v>152</v>
      </c>
    </row>
    <row r="14" spans="1:22" x14ac:dyDescent="0.2">
      <c r="A14" s="386" t="s">
        <v>218</v>
      </c>
      <c r="C14" s="155">
        <v>182531</v>
      </c>
      <c r="F14" s="155">
        <f>'Dep Adj '!I13</f>
        <v>0</v>
      </c>
      <c r="I14" s="157">
        <v>30</v>
      </c>
      <c r="K14" s="157">
        <v>45</v>
      </c>
      <c r="M14" s="155">
        <f>'Dep Adj '!Q13</f>
        <v>0</v>
      </c>
      <c r="O14" s="375">
        <f t="shared" si="0"/>
        <v>0</v>
      </c>
      <c r="T14" s="156">
        <v>330</v>
      </c>
      <c r="V14" s="154" t="s">
        <v>218</v>
      </c>
    </row>
    <row r="15" spans="1:22" x14ac:dyDescent="0.2">
      <c r="A15" s="386" t="s">
        <v>219</v>
      </c>
      <c r="C15" s="155">
        <v>1874765.42</v>
      </c>
      <c r="F15" s="155">
        <f>'Dep Adj '!I14</f>
        <v>31246.09</v>
      </c>
      <c r="I15" s="157">
        <v>60</v>
      </c>
      <c r="K15" s="157">
        <v>62.5</v>
      </c>
      <c r="M15" s="155">
        <f>'Dep Adj '!Q14</f>
        <v>29996.25</v>
      </c>
      <c r="O15" s="375">
        <f t="shared" si="0"/>
        <v>-1250</v>
      </c>
      <c r="T15" s="156">
        <v>331</v>
      </c>
      <c r="V15" s="154" t="s">
        <v>219</v>
      </c>
    </row>
    <row r="16" spans="1:22" x14ac:dyDescent="0.2">
      <c r="A16" s="386" t="s">
        <v>220</v>
      </c>
      <c r="C16" s="155">
        <v>143815.19</v>
      </c>
      <c r="F16" s="155">
        <f>'Dep Adj '!I15</f>
        <v>4793.84</v>
      </c>
      <c r="I16" s="157">
        <v>30</v>
      </c>
      <c r="K16" s="157">
        <v>40</v>
      </c>
      <c r="M16" s="155">
        <f>'Dep Adj '!Q15</f>
        <v>3595.38</v>
      </c>
      <c r="O16" s="375">
        <f t="shared" si="0"/>
        <v>-1198</v>
      </c>
      <c r="T16" s="156">
        <v>334</v>
      </c>
      <c r="V16" s="154" t="s">
        <v>220</v>
      </c>
    </row>
    <row r="17" spans="1:22" x14ac:dyDescent="0.2">
      <c r="A17" s="386" t="s">
        <v>220</v>
      </c>
      <c r="C17" s="155">
        <v>3300.31</v>
      </c>
      <c r="F17" s="155">
        <f>'Dep Adj '!I16</f>
        <v>110.01</v>
      </c>
      <c r="I17" s="157">
        <v>30</v>
      </c>
      <c r="K17" s="157">
        <v>40</v>
      </c>
      <c r="M17" s="155">
        <f>'Dep Adj '!Q16</f>
        <v>82.51</v>
      </c>
      <c r="O17" s="375">
        <f t="shared" si="0"/>
        <v>-28</v>
      </c>
      <c r="T17" s="156">
        <v>334</v>
      </c>
      <c r="V17" s="154" t="s">
        <v>220</v>
      </c>
    </row>
    <row r="18" spans="1:22" x14ac:dyDescent="0.2">
      <c r="A18" s="386" t="s">
        <v>220</v>
      </c>
      <c r="C18" s="155">
        <v>1170.6600000000001</v>
      </c>
      <c r="F18" s="155">
        <f>'Dep Adj '!I17</f>
        <v>39.020000000000003</v>
      </c>
      <c r="I18" s="157">
        <v>30</v>
      </c>
      <c r="K18" s="157">
        <v>40</v>
      </c>
      <c r="M18" s="155">
        <f>'Dep Adj '!Q17</f>
        <v>29.27</v>
      </c>
      <c r="O18" s="375">
        <f t="shared" si="0"/>
        <v>-10</v>
      </c>
      <c r="T18" s="156">
        <v>334</v>
      </c>
      <c r="V18" s="154" t="s">
        <v>220</v>
      </c>
    </row>
    <row r="19" spans="1:22" x14ac:dyDescent="0.2">
      <c r="A19" s="386" t="s">
        <v>220</v>
      </c>
      <c r="C19" s="155">
        <v>120</v>
      </c>
      <c r="F19" s="155">
        <f>'Dep Adj '!I18</f>
        <v>4</v>
      </c>
      <c r="I19" s="157">
        <v>30</v>
      </c>
      <c r="K19" s="157">
        <v>40</v>
      </c>
      <c r="M19" s="155">
        <f>'Dep Adj '!Q18</f>
        <v>3</v>
      </c>
      <c r="O19" s="375">
        <f t="shared" si="0"/>
        <v>-1</v>
      </c>
      <c r="T19" s="156">
        <v>334</v>
      </c>
      <c r="V19" s="154" t="s">
        <v>220</v>
      </c>
    </row>
    <row r="20" spans="1:22" x14ac:dyDescent="0.2">
      <c r="A20" s="386" t="s">
        <v>220</v>
      </c>
      <c r="C20" s="155">
        <v>1539.24</v>
      </c>
      <c r="F20" s="155">
        <f>'Dep Adj '!I19</f>
        <v>51.31</v>
      </c>
      <c r="I20" s="157">
        <v>30</v>
      </c>
      <c r="K20" s="157">
        <v>40</v>
      </c>
      <c r="M20" s="155">
        <f>'Dep Adj '!Q19</f>
        <v>38.479999999999997</v>
      </c>
      <c r="O20" s="375">
        <f t="shared" si="0"/>
        <v>-13</v>
      </c>
      <c r="T20" s="156">
        <v>334</v>
      </c>
      <c r="V20" s="154" t="s">
        <v>220</v>
      </c>
    </row>
    <row r="21" spans="1:22" x14ac:dyDescent="0.2">
      <c r="A21" s="386" t="s">
        <v>220</v>
      </c>
      <c r="C21" s="155">
        <v>2562</v>
      </c>
      <c r="F21" s="155">
        <f>'Dep Adj '!I20</f>
        <v>85.4</v>
      </c>
      <c r="I21" s="157">
        <v>30</v>
      </c>
      <c r="K21" s="157">
        <v>40</v>
      </c>
      <c r="M21" s="155">
        <f>'Dep Adj '!Q20</f>
        <v>64.05</v>
      </c>
      <c r="O21" s="375">
        <f t="shared" si="0"/>
        <v>-21</v>
      </c>
      <c r="T21" s="156">
        <v>334</v>
      </c>
      <c r="V21" s="154" t="s">
        <v>220</v>
      </c>
    </row>
    <row r="22" spans="1:22" x14ac:dyDescent="0.2">
      <c r="A22" s="386" t="s">
        <v>220</v>
      </c>
      <c r="C22" s="155">
        <v>3556</v>
      </c>
      <c r="F22" s="155">
        <f>'Dep Adj '!I21</f>
        <v>118.53</v>
      </c>
      <c r="I22" s="157">
        <v>30</v>
      </c>
      <c r="K22" s="157">
        <v>40</v>
      </c>
      <c r="M22" s="155">
        <f>'Dep Adj '!Q21</f>
        <v>88.9</v>
      </c>
      <c r="O22" s="375">
        <f t="shared" si="0"/>
        <v>-30</v>
      </c>
      <c r="T22" s="156">
        <v>334</v>
      </c>
      <c r="V22" s="154" t="s">
        <v>220</v>
      </c>
    </row>
    <row r="23" spans="1:22" x14ac:dyDescent="0.2">
      <c r="A23" s="386" t="s">
        <v>220</v>
      </c>
      <c r="C23" s="155">
        <v>9441.65</v>
      </c>
      <c r="F23" s="155">
        <f>'Dep Adj '!I22</f>
        <v>314.72000000000003</v>
      </c>
      <c r="I23" s="157">
        <v>30</v>
      </c>
      <c r="K23" s="157">
        <v>40</v>
      </c>
      <c r="M23" s="155">
        <f>'Dep Adj '!Q22</f>
        <v>236.04</v>
      </c>
      <c r="O23" s="375">
        <f t="shared" si="0"/>
        <v>-79</v>
      </c>
      <c r="T23" s="156">
        <v>334</v>
      </c>
      <c r="V23" s="154" t="s">
        <v>220</v>
      </c>
    </row>
    <row r="24" spans="1:22" x14ac:dyDescent="0.2">
      <c r="A24" s="386" t="s">
        <v>220</v>
      </c>
      <c r="C24" s="155">
        <v>14366</v>
      </c>
      <c r="F24" s="155">
        <f>'Dep Adj '!I23</f>
        <v>239</v>
      </c>
      <c r="I24" s="157">
        <v>30</v>
      </c>
      <c r="K24" s="157">
        <v>40</v>
      </c>
      <c r="M24" s="155">
        <f>'Dep Adj '!Q23</f>
        <v>359.15</v>
      </c>
      <c r="O24" s="375">
        <f t="shared" si="0"/>
        <v>120</v>
      </c>
      <c r="T24" s="156">
        <v>334</v>
      </c>
      <c r="V24" s="154" t="s">
        <v>220</v>
      </c>
    </row>
    <row r="25" spans="1:22" x14ac:dyDescent="0.2">
      <c r="A25" s="386" t="s">
        <v>333</v>
      </c>
      <c r="C25" s="155">
        <f>'Dep Adj '!E24</f>
        <v>4000</v>
      </c>
      <c r="F25" s="155">
        <v>0</v>
      </c>
      <c r="K25" s="157">
        <v>40</v>
      </c>
      <c r="M25" s="155">
        <f>'Dep Adj '!Q24</f>
        <v>100</v>
      </c>
      <c r="O25" s="375">
        <f t="shared" ref="O25:O26" si="1">ROUND(M25-F25,0)</f>
        <v>100</v>
      </c>
    </row>
    <row r="26" spans="1:22" x14ac:dyDescent="0.2">
      <c r="A26" s="386" t="s">
        <v>334</v>
      </c>
      <c r="C26" s="155">
        <v>187000</v>
      </c>
      <c r="F26" s="155">
        <v>0</v>
      </c>
      <c r="K26" s="157">
        <v>20</v>
      </c>
      <c r="M26" s="155">
        <f>'Dep Adj '!Q25</f>
        <v>9350</v>
      </c>
      <c r="O26" s="375">
        <f t="shared" si="1"/>
        <v>9350</v>
      </c>
    </row>
    <row r="27" spans="1:22" x14ac:dyDescent="0.2">
      <c r="A27" s="386" t="s">
        <v>221</v>
      </c>
      <c r="C27" s="155">
        <v>4313</v>
      </c>
      <c r="F27" s="155">
        <f>'Dep Adj '!I26</f>
        <v>143.77000000000001</v>
      </c>
      <c r="I27" s="157">
        <v>30</v>
      </c>
      <c r="K27" s="157">
        <v>50</v>
      </c>
      <c r="M27" s="155">
        <f>'Dep Adj '!Q26</f>
        <v>86.26</v>
      </c>
      <c r="O27" s="375">
        <f t="shared" si="0"/>
        <v>-58</v>
      </c>
      <c r="T27" s="156">
        <v>335</v>
      </c>
      <c r="V27" s="154" t="s">
        <v>221</v>
      </c>
    </row>
    <row r="28" spans="1:22" x14ac:dyDescent="0.2">
      <c r="A28" s="386" t="s">
        <v>222</v>
      </c>
      <c r="C28" s="155">
        <v>17029</v>
      </c>
      <c r="F28" s="155">
        <f>'Dep Adj '!I27</f>
        <v>0</v>
      </c>
      <c r="I28" s="157">
        <v>5</v>
      </c>
      <c r="K28" s="157">
        <v>22.5</v>
      </c>
      <c r="M28" s="155">
        <f>'Dep Adj '!Q27</f>
        <v>0</v>
      </c>
      <c r="O28" s="375">
        <f t="shared" si="0"/>
        <v>0</v>
      </c>
      <c r="T28" s="156">
        <v>340</v>
      </c>
      <c r="V28" s="154" t="s">
        <v>222</v>
      </c>
    </row>
    <row r="29" spans="1:22" x14ac:dyDescent="0.2">
      <c r="A29" s="386" t="s">
        <v>222</v>
      </c>
      <c r="C29" s="155">
        <v>19361.02</v>
      </c>
      <c r="F29" s="155">
        <f>'Dep Adj '!I28</f>
        <v>0</v>
      </c>
      <c r="I29" s="157">
        <v>5</v>
      </c>
      <c r="K29" s="157">
        <v>22.5</v>
      </c>
      <c r="M29" s="155">
        <f>'Dep Adj '!Q28</f>
        <v>0</v>
      </c>
      <c r="O29" s="375">
        <f t="shared" si="0"/>
        <v>0</v>
      </c>
      <c r="T29" s="156">
        <v>340</v>
      </c>
      <c r="V29" s="154" t="s">
        <v>222</v>
      </c>
    </row>
    <row r="30" spans="1:22" x14ac:dyDescent="0.2">
      <c r="A30" s="386" t="s">
        <v>305</v>
      </c>
      <c r="C30" s="155">
        <v>11335</v>
      </c>
      <c r="F30" s="155">
        <f>'Dep Adj '!I29</f>
        <v>0</v>
      </c>
      <c r="I30" s="157">
        <v>3</v>
      </c>
      <c r="K30" s="157">
        <v>10</v>
      </c>
      <c r="M30" s="155">
        <f>'Dep Adj '!Q29</f>
        <v>0</v>
      </c>
      <c r="O30" s="375">
        <f t="shared" si="0"/>
        <v>0</v>
      </c>
      <c r="T30" s="156">
        <v>340</v>
      </c>
      <c r="V30" s="154" t="s">
        <v>223</v>
      </c>
    </row>
    <row r="31" spans="1:22" x14ac:dyDescent="0.2">
      <c r="A31" s="386" t="s">
        <v>335</v>
      </c>
      <c r="C31" s="155">
        <f>'Dep Adj '!E30</f>
        <v>2560</v>
      </c>
      <c r="F31" s="155">
        <v>0</v>
      </c>
      <c r="K31" s="157">
        <v>11</v>
      </c>
      <c r="M31" s="155">
        <f>'Dep Adj '!Q30</f>
        <v>256</v>
      </c>
      <c r="O31" s="375">
        <f t="shared" ref="O31" si="2">ROUND(M31-F31,0)</f>
        <v>256</v>
      </c>
    </row>
    <row r="32" spans="1:22" x14ac:dyDescent="0.2">
      <c r="A32" s="386" t="s">
        <v>224</v>
      </c>
      <c r="C32" s="155">
        <v>18026.87</v>
      </c>
      <c r="F32" s="155">
        <f>'Dep Adj '!I31</f>
        <v>0</v>
      </c>
      <c r="I32" s="157">
        <v>5</v>
      </c>
      <c r="K32" s="157">
        <v>7</v>
      </c>
      <c r="M32" s="155">
        <f>'Dep Adj '!Q31</f>
        <v>0</v>
      </c>
      <c r="O32" s="375">
        <f t="shared" si="0"/>
        <v>0</v>
      </c>
      <c r="T32" s="156">
        <v>341</v>
      </c>
      <c r="V32" s="154" t="s">
        <v>224</v>
      </c>
    </row>
    <row r="33" spans="1:22" x14ac:dyDescent="0.2">
      <c r="A33" s="386" t="s">
        <v>225</v>
      </c>
      <c r="C33" s="155">
        <v>36387</v>
      </c>
      <c r="F33" s="155">
        <f>'Dep Adj '!I32</f>
        <v>0</v>
      </c>
      <c r="I33" s="157">
        <v>7</v>
      </c>
      <c r="K33" s="157">
        <v>12.5</v>
      </c>
      <c r="M33" s="155">
        <f>'Dep Adj '!Q32</f>
        <v>0</v>
      </c>
      <c r="O33" s="375">
        <f t="shared" si="0"/>
        <v>0</v>
      </c>
      <c r="T33" s="156">
        <v>347</v>
      </c>
      <c r="V33" s="154" t="s">
        <v>225</v>
      </c>
    </row>
    <row r="34" spans="1:22" x14ac:dyDescent="0.2">
      <c r="A34" s="386" t="s">
        <v>306</v>
      </c>
      <c r="C34" s="155">
        <v>7574</v>
      </c>
      <c r="F34" s="155">
        <f>'Dep Adj '!I33</f>
        <v>1082</v>
      </c>
      <c r="I34" s="157">
        <v>7</v>
      </c>
      <c r="K34" s="157">
        <v>12.5</v>
      </c>
      <c r="M34" s="155">
        <f>'Dep Adj '!Q33</f>
        <v>605.91999999999996</v>
      </c>
      <c r="O34" s="375">
        <f t="shared" si="0"/>
        <v>-476</v>
      </c>
      <c r="T34" s="156">
        <v>347</v>
      </c>
      <c r="V34" s="154" t="s">
        <v>226</v>
      </c>
    </row>
    <row r="35" spans="1:22" x14ac:dyDescent="0.2">
      <c r="A35" s="386" t="s">
        <v>307</v>
      </c>
      <c r="C35" s="155">
        <v>6453.68</v>
      </c>
      <c r="F35" s="155">
        <f>'Dep Adj '!I34</f>
        <v>921.95</v>
      </c>
      <c r="I35" s="157">
        <v>7</v>
      </c>
      <c r="K35" s="157">
        <v>12.5</v>
      </c>
      <c r="M35" s="155">
        <f>'Dep Adj '!Q34</f>
        <v>516.29</v>
      </c>
      <c r="O35" s="375">
        <f t="shared" si="0"/>
        <v>-406</v>
      </c>
      <c r="T35" s="156">
        <v>347</v>
      </c>
      <c r="V35" s="154" t="s">
        <v>227</v>
      </c>
    </row>
    <row r="36" spans="1:22" x14ac:dyDescent="0.2">
      <c r="A36" s="386" t="s">
        <v>336</v>
      </c>
      <c r="C36" s="155">
        <f>'Dep Adj '!E35</f>
        <v>8750</v>
      </c>
      <c r="F36" s="155">
        <v>0</v>
      </c>
      <c r="K36" s="157">
        <v>12.5</v>
      </c>
      <c r="M36" s="155">
        <f>'Dep Adj '!Q35</f>
        <v>700</v>
      </c>
      <c r="O36" s="375">
        <f t="shared" ref="O36" si="3">ROUND(M36-F36,0)</f>
        <v>700</v>
      </c>
    </row>
    <row r="37" spans="1:22" x14ac:dyDescent="0.2">
      <c r="A37" s="386" t="s">
        <v>308</v>
      </c>
      <c r="C37" s="155">
        <v>1307.99</v>
      </c>
      <c r="F37" s="155">
        <f>'Dep Adj '!I36</f>
        <v>186.86</v>
      </c>
      <c r="I37" s="157">
        <v>7</v>
      </c>
      <c r="K37" s="157">
        <v>12.5</v>
      </c>
      <c r="M37" s="155">
        <f>'Dep Adj '!Q36</f>
        <v>104.64</v>
      </c>
      <c r="O37" s="375">
        <f t="shared" si="0"/>
        <v>-82</v>
      </c>
      <c r="T37" s="156">
        <v>347</v>
      </c>
      <c r="V37" s="154" t="s">
        <v>228</v>
      </c>
    </row>
    <row r="38" spans="1:22" x14ac:dyDescent="0.2">
      <c r="A38" s="386" t="s">
        <v>308</v>
      </c>
      <c r="C38" s="155">
        <v>678.36</v>
      </c>
      <c r="F38" s="383">
        <f>'Dep Adj '!I37</f>
        <v>48.5</v>
      </c>
      <c r="I38" s="157">
        <v>7</v>
      </c>
      <c r="K38" s="157">
        <v>12.5</v>
      </c>
      <c r="M38" s="383">
        <f>'Dep Adj '!Q37</f>
        <v>54.27</v>
      </c>
      <c r="O38" s="375">
        <f t="shared" si="0"/>
        <v>6</v>
      </c>
      <c r="T38" s="156">
        <v>347</v>
      </c>
      <c r="V38" s="154" t="s">
        <v>228</v>
      </c>
    </row>
    <row r="39" spans="1:22" ht="15" thickBot="1" x14ac:dyDescent="0.25">
      <c r="A39" s="386"/>
      <c r="C39" s="163">
        <f>SUM(C8:C38)</f>
        <v>3025449.8800000008</v>
      </c>
      <c r="F39" s="163">
        <f>SUM(F9:F38)</f>
        <v>49431.759999999995</v>
      </c>
      <c r="M39" s="163">
        <f>SUM(M9:M38)</f>
        <v>55468.73</v>
      </c>
      <c r="O39" s="381">
        <f>SUM(O9:O38)</f>
        <v>6036</v>
      </c>
    </row>
    <row r="40" spans="1:22" ht="15" thickTop="1" x14ac:dyDescent="0.2">
      <c r="A40" s="388"/>
      <c r="B40" s="382"/>
      <c r="C40" s="383"/>
      <c r="D40" s="382"/>
      <c r="E40" s="382"/>
      <c r="F40" s="383"/>
      <c r="G40" s="382"/>
      <c r="H40" s="382"/>
      <c r="I40" s="161"/>
      <c r="J40" s="158"/>
      <c r="K40" s="161"/>
      <c r="L40" s="382"/>
      <c r="M40" s="383"/>
      <c r="N40" s="382"/>
      <c r="O40" s="384"/>
    </row>
  </sheetData>
  <mergeCells count="5">
    <mergeCell ref="I6:K6"/>
    <mergeCell ref="A3:O3"/>
    <mergeCell ref="A4:O4"/>
    <mergeCell ref="A1:O1"/>
    <mergeCell ref="A2:O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C4BA-C2EA-48DE-9E10-02CDE2C7A15F}">
  <dimension ref="A1:Z39"/>
  <sheetViews>
    <sheetView showGridLines="0" topLeftCell="A12" workbookViewId="0">
      <selection sqref="A1:XFD1048576"/>
    </sheetView>
  </sheetViews>
  <sheetFormatPr defaultRowHeight="14.25" x14ac:dyDescent="0.2"/>
  <cols>
    <col min="1" max="1" width="7.33203125" style="153" customWidth="1"/>
    <col min="2" max="2" width="1.33203125" style="154" customWidth="1"/>
    <col min="3" max="3" width="41.77734375" style="154" customWidth="1"/>
    <col min="4" max="4" width="1.33203125" style="154" customWidth="1"/>
    <col min="5" max="5" width="13" style="155" customWidth="1"/>
    <col min="6" max="6" width="1.33203125" style="154" customWidth="1"/>
    <col min="7" max="7" width="13" style="155" customWidth="1"/>
    <col min="8" max="8" width="1.33203125" style="154" customWidth="1"/>
    <col min="9" max="9" width="11.44140625" style="155" customWidth="1"/>
    <col min="10" max="10" width="1.33203125" style="154" customWidth="1"/>
    <col min="11" max="11" width="13" style="155" customWidth="1"/>
    <col min="12" max="12" width="1.33203125" style="154" customWidth="1"/>
    <col min="13" max="13" width="7.77734375" style="157" customWidth="1"/>
    <col min="14" max="14" width="1.33203125" style="183" customWidth="1"/>
    <col min="15" max="15" width="7.77734375" style="157" customWidth="1"/>
    <col min="16" max="16" width="1.33203125" style="154" customWidth="1"/>
    <col min="17" max="17" width="11.44140625" style="155" customWidth="1"/>
    <col min="18" max="18" width="1.33203125" style="154" customWidth="1"/>
    <col min="19" max="19" width="11.44140625" style="155" customWidth="1"/>
    <col min="20" max="23" width="1.33203125" style="154" customWidth="1"/>
    <col min="24" max="24" width="8.88671875" style="156"/>
    <col min="25" max="25" width="1.33203125" style="154" customWidth="1"/>
    <col min="26" max="26" width="32.21875" style="154" customWidth="1"/>
    <col min="27" max="16384" width="8.88671875" style="154"/>
  </cols>
  <sheetData>
    <row r="1" spans="1:26" ht="15" x14ac:dyDescent="0.2">
      <c r="A1" s="464" t="s">
        <v>161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spans="1:26" ht="15" x14ac:dyDescent="0.2">
      <c r="A2" s="465" t="s">
        <v>162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7"/>
    </row>
    <row r="3" spans="1:26" x14ac:dyDescent="0.2">
      <c r="A3" s="468" t="s">
        <v>202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70"/>
    </row>
    <row r="4" spans="1:26" x14ac:dyDescent="0.2">
      <c r="A4" s="374"/>
      <c r="S4" s="375"/>
    </row>
    <row r="5" spans="1:26" x14ac:dyDescent="0.2">
      <c r="A5" s="374" t="s">
        <v>304</v>
      </c>
      <c r="E5" s="376" t="s">
        <v>203</v>
      </c>
      <c r="G5" s="376" t="s">
        <v>204</v>
      </c>
      <c r="I5" s="157">
        <v>2022</v>
      </c>
      <c r="K5" s="376" t="s">
        <v>204</v>
      </c>
      <c r="M5" s="157" t="s">
        <v>349</v>
      </c>
      <c r="N5" s="443"/>
      <c r="O5" s="443"/>
      <c r="Q5" s="157" t="s">
        <v>205</v>
      </c>
      <c r="S5" s="377" t="s">
        <v>205</v>
      </c>
    </row>
    <row r="6" spans="1:26" x14ac:dyDescent="0.2">
      <c r="A6" s="378" t="s">
        <v>174</v>
      </c>
      <c r="C6" s="158" t="s">
        <v>206</v>
      </c>
      <c r="E6" s="159" t="s">
        <v>207</v>
      </c>
      <c r="G6" s="160">
        <v>44562</v>
      </c>
      <c r="I6" s="159" t="s">
        <v>208</v>
      </c>
      <c r="K6" s="160">
        <v>44926</v>
      </c>
      <c r="M6" s="161" t="s">
        <v>350</v>
      </c>
      <c r="O6" s="161" t="s">
        <v>205</v>
      </c>
      <c r="Q6" s="161" t="s">
        <v>210</v>
      </c>
      <c r="S6" s="379" t="s">
        <v>211</v>
      </c>
    </row>
    <row r="7" spans="1:26" x14ac:dyDescent="0.2">
      <c r="A7" s="374">
        <v>303</v>
      </c>
      <c r="C7" s="154" t="s">
        <v>212</v>
      </c>
      <c r="E7" s="162">
        <v>102609</v>
      </c>
      <c r="S7" s="375"/>
      <c r="X7" s="156">
        <v>303</v>
      </c>
      <c r="Z7" s="154" t="s">
        <v>213</v>
      </c>
    </row>
    <row r="8" spans="1:26" x14ac:dyDescent="0.2">
      <c r="A8" s="374">
        <v>304</v>
      </c>
      <c r="C8" s="154" t="s">
        <v>214</v>
      </c>
      <c r="E8" s="155">
        <v>285597.13</v>
      </c>
      <c r="G8" s="162">
        <v>127017.46</v>
      </c>
      <c r="I8" s="162">
        <f>IF($G8=$E8,0,IF(ROUND($E8/M8,2)+$G8&gt;=$E8,ROUND($E8-$G8,2),ROUND($E8/M8,2)))</f>
        <v>8159.92</v>
      </c>
      <c r="K8" s="162">
        <f>SUM(G8,I8)</f>
        <v>135177.38</v>
      </c>
      <c r="M8" s="157">
        <v>35</v>
      </c>
      <c r="O8" s="157">
        <v>37.5</v>
      </c>
      <c r="Q8" s="162">
        <f>IF($G8=$E8,0,IF(ROUND($E8/O8,2)+$G8&gt;=$E8,ROUND($E8-$G8,2),ROUND($E8/O8,2)))</f>
        <v>7615.92</v>
      </c>
      <c r="S8" s="380">
        <f>ROUND(Q8-I8,0)</f>
        <v>-544</v>
      </c>
      <c r="X8" s="156">
        <v>304</v>
      </c>
      <c r="Z8" s="154" t="s">
        <v>215</v>
      </c>
    </row>
    <row r="9" spans="1:26" x14ac:dyDescent="0.2">
      <c r="A9" s="374">
        <v>304</v>
      </c>
      <c r="C9" s="154" t="s">
        <v>214</v>
      </c>
      <c r="E9" s="155">
        <v>13193.36</v>
      </c>
      <c r="G9" s="155">
        <v>1507.81</v>
      </c>
      <c r="I9" s="155">
        <f t="shared" ref="I9:I36" si="0">IF($G9=$E9,0,IF(ROUND($E9/M9,2)+$G9&gt;=$E9,ROUND($E9-$G9,2),ROUND($E9/M9,2)))</f>
        <v>376.95</v>
      </c>
      <c r="K9" s="155">
        <f t="shared" ref="K9:K37" si="1">SUM(G9,I9)</f>
        <v>1884.76</v>
      </c>
      <c r="M9" s="157">
        <v>35</v>
      </c>
      <c r="O9" s="157">
        <v>37.5</v>
      </c>
      <c r="Q9" s="155">
        <f t="shared" ref="Q9:Q37" si="2">IF($G9=$E9,0,IF(ROUND($E9/O9,2)+$G9&gt;=$E9,ROUND($E9-$G9,2),ROUND($E9/O9,2)))</f>
        <v>351.82</v>
      </c>
      <c r="S9" s="375">
        <f t="shared" ref="S9:S37" si="3">ROUND(Q9-I9,0)</f>
        <v>-25</v>
      </c>
      <c r="X9" s="156">
        <v>304</v>
      </c>
      <c r="Z9" s="154" t="s">
        <v>215</v>
      </c>
    </row>
    <row r="10" spans="1:26" x14ac:dyDescent="0.2">
      <c r="A10" s="374">
        <v>305</v>
      </c>
      <c r="C10" s="154" t="s">
        <v>216</v>
      </c>
      <c r="E10" s="155">
        <v>22788</v>
      </c>
      <c r="G10" s="155">
        <v>22788</v>
      </c>
      <c r="I10" s="155">
        <f t="shared" si="0"/>
        <v>0</v>
      </c>
      <c r="K10" s="155">
        <f t="shared" si="1"/>
        <v>22788</v>
      </c>
      <c r="M10" s="157">
        <v>30</v>
      </c>
      <c r="O10" s="157">
        <v>62.5</v>
      </c>
      <c r="Q10" s="155">
        <f t="shared" si="2"/>
        <v>0</v>
      </c>
      <c r="S10" s="375">
        <f t="shared" si="3"/>
        <v>0</v>
      </c>
      <c r="X10" s="156">
        <v>305</v>
      </c>
      <c r="Z10" s="154" t="s">
        <v>216</v>
      </c>
    </row>
    <row r="11" spans="1:26" x14ac:dyDescent="0.2">
      <c r="A11" s="374">
        <v>309</v>
      </c>
      <c r="C11" s="154" t="s">
        <v>217</v>
      </c>
      <c r="E11" s="155">
        <v>21511</v>
      </c>
      <c r="G11" s="155">
        <v>19218.45</v>
      </c>
      <c r="I11" s="155">
        <f t="shared" si="0"/>
        <v>1075.55</v>
      </c>
      <c r="K11" s="155">
        <f t="shared" si="1"/>
        <v>20294</v>
      </c>
      <c r="M11" s="157">
        <v>20</v>
      </c>
      <c r="O11" s="157">
        <v>62.5</v>
      </c>
      <c r="Q11" s="155">
        <f t="shared" si="2"/>
        <v>344.18</v>
      </c>
      <c r="S11" s="375">
        <f t="shared" si="3"/>
        <v>-731</v>
      </c>
      <c r="X11" s="156">
        <v>309</v>
      </c>
      <c r="Z11" s="154" t="s">
        <v>217</v>
      </c>
    </row>
    <row r="12" spans="1:26" x14ac:dyDescent="0.2">
      <c r="A12" s="374">
        <v>311</v>
      </c>
      <c r="C12" s="154" t="s">
        <v>152</v>
      </c>
      <c r="E12" s="155">
        <v>17808</v>
      </c>
      <c r="G12" s="155">
        <v>14917.49</v>
      </c>
      <c r="I12" s="155">
        <f t="shared" si="0"/>
        <v>434.34</v>
      </c>
      <c r="K12" s="155">
        <f t="shared" si="1"/>
        <v>15351.83</v>
      </c>
      <c r="M12" s="157">
        <v>41</v>
      </c>
      <c r="O12" s="157">
        <v>20</v>
      </c>
      <c r="Q12" s="155">
        <f t="shared" si="2"/>
        <v>890.4</v>
      </c>
      <c r="S12" s="375">
        <f t="shared" si="3"/>
        <v>456</v>
      </c>
      <c r="X12" s="156">
        <v>311</v>
      </c>
      <c r="Z12" s="154" t="s">
        <v>152</v>
      </c>
    </row>
    <row r="13" spans="1:26" x14ac:dyDescent="0.2">
      <c r="A13" s="374">
        <v>330</v>
      </c>
      <c r="C13" s="154" t="s">
        <v>218</v>
      </c>
      <c r="E13" s="155">
        <v>182531</v>
      </c>
      <c r="G13" s="155">
        <v>182531</v>
      </c>
      <c r="I13" s="155">
        <f t="shared" si="0"/>
        <v>0</v>
      </c>
      <c r="K13" s="155">
        <f t="shared" si="1"/>
        <v>182531</v>
      </c>
      <c r="M13" s="157">
        <v>30</v>
      </c>
      <c r="O13" s="157">
        <v>45</v>
      </c>
      <c r="Q13" s="155">
        <f t="shared" si="2"/>
        <v>0</v>
      </c>
      <c r="S13" s="375">
        <f t="shared" si="3"/>
        <v>0</v>
      </c>
      <c r="X13" s="156">
        <v>330</v>
      </c>
      <c r="Z13" s="154" t="s">
        <v>218</v>
      </c>
    </row>
    <row r="14" spans="1:26" x14ac:dyDescent="0.2">
      <c r="A14" s="374">
        <v>331</v>
      </c>
      <c r="C14" s="154" t="s">
        <v>219</v>
      </c>
      <c r="E14" s="155">
        <v>1874765.42</v>
      </c>
      <c r="G14" s="155">
        <v>878688.58</v>
      </c>
      <c r="I14" s="155">
        <f t="shared" si="0"/>
        <v>31246.09</v>
      </c>
      <c r="K14" s="155">
        <f t="shared" si="1"/>
        <v>909934.66999999993</v>
      </c>
      <c r="M14" s="157">
        <v>60</v>
      </c>
      <c r="O14" s="157">
        <v>62.5</v>
      </c>
      <c r="Q14" s="155">
        <f t="shared" si="2"/>
        <v>29996.25</v>
      </c>
      <c r="S14" s="375">
        <f t="shared" si="3"/>
        <v>-1250</v>
      </c>
      <c r="X14" s="156">
        <v>331</v>
      </c>
      <c r="Z14" s="154" t="s">
        <v>219</v>
      </c>
    </row>
    <row r="15" spans="1:26" x14ac:dyDescent="0.2">
      <c r="A15" s="374">
        <v>334</v>
      </c>
      <c r="C15" s="154" t="s">
        <v>220</v>
      </c>
      <c r="E15" s="155">
        <v>143815.19</v>
      </c>
      <c r="G15" s="155">
        <v>121982.73</v>
      </c>
      <c r="I15" s="155">
        <f t="shared" si="0"/>
        <v>4793.84</v>
      </c>
      <c r="K15" s="155">
        <f t="shared" si="1"/>
        <v>126776.56999999999</v>
      </c>
      <c r="M15" s="157">
        <v>30</v>
      </c>
      <c r="O15" s="157">
        <v>40</v>
      </c>
      <c r="Q15" s="155">
        <f t="shared" si="2"/>
        <v>3595.38</v>
      </c>
      <c r="S15" s="375">
        <f t="shared" si="3"/>
        <v>-1198</v>
      </c>
      <c r="X15" s="156">
        <v>334</v>
      </c>
      <c r="Z15" s="154" t="s">
        <v>220</v>
      </c>
    </row>
    <row r="16" spans="1:26" x14ac:dyDescent="0.2">
      <c r="A16" s="374">
        <v>334</v>
      </c>
      <c r="C16" s="154" t="s">
        <v>220</v>
      </c>
      <c r="E16" s="155">
        <v>3300.31</v>
      </c>
      <c r="G16" s="155">
        <v>880.08</v>
      </c>
      <c r="I16" s="155">
        <f t="shared" si="0"/>
        <v>110.01</v>
      </c>
      <c r="K16" s="155">
        <f t="shared" si="1"/>
        <v>990.09</v>
      </c>
      <c r="M16" s="157">
        <v>30</v>
      </c>
      <c r="O16" s="157">
        <v>40</v>
      </c>
      <c r="Q16" s="155">
        <f t="shared" si="2"/>
        <v>82.51</v>
      </c>
      <c r="S16" s="375">
        <f t="shared" si="3"/>
        <v>-28</v>
      </c>
      <c r="X16" s="156">
        <v>334</v>
      </c>
      <c r="Z16" s="154" t="s">
        <v>220</v>
      </c>
    </row>
    <row r="17" spans="1:26" x14ac:dyDescent="0.2">
      <c r="A17" s="374">
        <v>334</v>
      </c>
      <c r="C17" s="154" t="s">
        <v>220</v>
      </c>
      <c r="E17" s="155">
        <v>1170.6600000000001</v>
      </c>
      <c r="G17" s="155">
        <v>273.14999999999998</v>
      </c>
      <c r="I17" s="155">
        <f t="shared" si="0"/>
        <v>39.020000000000003</v>
      </c>
      <c r="K17" s="155">
        <f t="shared" si="1"/>
        <v>312.16999999999996</v>
      </c>
      <c r="M17" s="157">
        <v>30</v>
      </c>
      <c r="O17" s="157">
        <v>40</v>
      </c>
      <c r="Q17" s="155">
        <f t="shared" si="2"/>
        <v>29.27</v>
      </c>
      <c r="S17" s="375">
        <f t="shared" si="3"/>
        <v>-10</v>
      </c>
      <c r="X17" s="156">
        <v>334</v>
      </c>
      <c r="Z17" s="154" t="s">
        <v>220</v>
      </c>
    </row>
    <row r="18" spans="1:26" x14ac:dyDescent="0.2">
      <c r="A18" s="374">
        <v>334</v>
      </c>
      <c r="C18" s="154" t="s">
        <v>220</v>
      </c>
      <c r="E18" s="155">
        <v>120</v>
      </c>
      <c r="G18" s="155">
        <v>24</v>
      </c>
      <c r="I18" s="155">
        <f t="shared" si="0"/>
        <v>4</v>
      </c>
      <c r="K18" s="155">
        <f t="shared" si="1"/>
        <v>28</v>
      </c>
      <c r="M18" s="157">
        <v>30</v>
      </c>
      <c r="O18" s="157">
        <v>40</v>
      </c>
      <c r="Q18" s="155">
        <f t="shared" si="2"/>
        <v>3</v>
      </c>
      <c r="S18" s="375">
        <f t="shared" si="3"/>
        <v>-1</v>
      </c>
      <c r="X18" s="156">
        <v>334</v>
      </c>
      <c r="Z18" s="154" t="s">
        <v>220</v>
      </c>
    </row>
    <row r="19" spans="1:26" x14ac:dyDescent="0.2">
      <c r="A19" s="374">
        <v>334</v>
      </c>
      <c r="C19" s="154" t="s">
        <v>220</v>
      </c>
      <c r="E19" s="155">
        <v>1539.24</v>
      </c>
      <c r="G19" s="155">
        <v>256.54000000000002</v>
      </c>
      <c r="I19" s="155">
        <f t="shared" si="0"/>
        <v>51.31</v>
      </c>
      <c r="K19" s="155">
        <f t="shared" si="1"/>
        <v>307.85000000000002</v>
      </c>
      <c r="M19" s="157">
        <v>30</v>
      </c>
      <c r="O19" s="157">
        <v>40</v>
      </c>
      <c r="Q19" s="155">
        <f t="shared" si="2"/>
        <v>38.479999999999997</v>
      </c>
      <c r="S19" s="375">
        <f t="shared" si="3"/>
        <v>-13</v>
      </c>
      <c r="X19" s="156">
        <v>334</v>
      </c>
      <c r="Z19" s="154" t="s">
        <v>220</v>
      </c>
    </row>
    <row r="20" spans="1:26" x14ac:dyDescent="0.2">
      <c r="A20" s="374">
        <v>334</v>
      </c>
      <c r="C20" s="154" t="s">
        <v>220</v>
      </c>
      <c r="E20" s="155">
        <v>2562</v>
      </c>
      <c r="G20" s="155">
        <v>341.6</v>
      </c>
      <c r="I20" s="155">
        <f t="shared" si="0"/>
        <v>85.4</v>
      </c>
      <c r="K20" s="155">
        <f t="shared" si="1"/>
        <v>427</v>
      </c>
      <c r="M20" s="157">
        <v>30</v>
      </c>
      <c r="O20" s="157">
        <v>40</v>
      </c>
      <c r="Q20" s="155">
        <f t="shared" si="2"/>
        <v>64.05</v>
      </c>
      <c r="S20" s="375">
        <f t="shared" si="3"/>
        <v>-21</v>
      </c>
      <c r="X20" s="156">
        <v>334</v>
      </c>
      <c r="Z20" s="154" t="s">
        <v>220</v>
      </c>
    </row>
    <row r="21" spans="1:26" x14ac:dyDescent="0.2">
      <c r="A21" s="374">
        <v>334</v>
      </c>
      <c r="C21" s="154" t="s">
        <v>220</v>
      </c>
      <c r="E21" s="155">
        <v>3556</v>
      </c>
      <c r="G21" s="155">
        <v>355.6</v>
      </c>
      <c r="I21" s="155">
        <f t="shared" si="0"/>
        <v>118.53</v>
      </c>
      <c r="K21" s="155">
        <f t="shared" si="1"/>
        <v>474.13</v>
      </c>
      <c r="M21" s="157">
        <v>30</v>
      </c>
      <c r="O21" s="157">
        <v>40</v>
      </c>
      <c r="Q21" s="155">
        <f t="shared" si="2"/>
        <v>88.9</v>
      </c>
      <c r="S21" s="375">
        <f t="shared" si="3"/>
        <v>-30</v>
      </c>
      <c r="X21" s="156">
        <v>334</v>
      </c>
      <c r="Z21" s="154" t="s">
        <v>220</v>
      </c>
    </row>
    <row r="22" spans="1:26" x14ac:dyDescent="0.2">
      <c r="A22" s="374">
        <v>334</v>
      </c>
      <c r="C22" s="154" t="s">
        <v>220</v>
      </c>
      <c r="E22" s="155">
        <v>9441.65</v>
      </c>
      <c r="G22" s="155">
        <v>340.97</v>
      </c>
      <c r="I22" s="155">
        <f t="shared" si="0"/>
        <v>314.72000000000003</v>
      </c>
      <c r="K22" s="155">
        <f t="shared" si="1"/>
        <v>655.69</v>
      </c>
      <c r="M22" s="157">
        <v>30</v>
      </c>
      <c r="O22" s="157">
        <v>40</v>
      </c>
      <c r="Q22" s="155">
        <f t="shared" si="2"/>
        <v>236.04</v>
      </c>
      <c r="S22" s="375">
        <f t="shared" si="3"/>
        <v>-79</v>
      </c>
      <c r="X22" s="156">
        <v>334</v>
      </c>
      <c r="Z22" s="154" t="s">
        <v>220</v>
      </c>
    </row>
    <row r="23" spans="1:26" x14ac:dyDescent="0.2">
      <c r="A23" s="374">
        <v>334</v>
      </c>
      <c r="C23" s="154" t="s">
        <v>220</v>
      </c>
      <c r="E23" s="155">
        <v>14366</v>
      </c>
      <c r="G23" s="155">
        <v>0</v>
      </c>
      <c r="I23" s="155">
        <v>239</v>
      </c>
      <c r="K23" s="155">
        <f t="shared" si="1"/>
        <v>239</v>
      </c>
      <c r="M23" s="157">
        <v>30</v>
      </c>
      <c r="O23" s="157">
        <v>40</v>
      </c>
      <c r="Q23" s="155">
        <f t="shared" si="2"/>
        <v>359.15</v>
      </c>
      <c r="S23" s="375">
        <f t="shared" si="3"/>
        <v>120</v>
      </c>
      <c r="X23" s="156">
        <v>334</v>
      </c>
      <c r="Z23" s="154" t="s">
        <v>220</v>
      </c>
    </row>
    <row r="24" spans="1:26" x14ac:dyDescent="0.2">
      <c r="A24" s="374">
        <v>334</v>
      </c>
      <c r="C24" s="154" t="s">
        <v>333</v>
      </c>
      <c r="E24" s="155">
        <f>Adj!T9</f>
        <v>4000</v>
      </c>
      <c r="G24" s="155">
        <v>0</v>
      </c>
      <c r="I24" s="155">
        <v>0</v>
      </c>
      <c r="K24" s="155">
        <f t="shared" ref="K24:K25" si="4">SUM(G24,I24)</f>
        <v>0</v>
      </c>
      <c r="O24" s="157">
        <v>40</v>
      </c>
      <c r="Q24" s="155">
        <f t="shared" ref="Q24:Q25" si="5">IF($G24=$E24,0,IF(ROUND($E24/O24,2)+$G24&gt;=$E24,ROUND($E24-$G24,2),ROUND($E24/O24,2)))</f>
        <v>100</v>
      </c>
      <c r="S24" s="375">
        <f t="shared" ref="S24:S25" si="6">ROUND(Q24-I24,0)</f>
        <v>100</v>
      </c>
    </row>
    <row r="25" spans="1:26" x14ac:dyDescent="0.2">
      <c r="A25" s="374">
        <v>334</v>
      </c>
      <c r="C25" s="154" t="s">
        <v>334</v>
      </c>
      <c r="E25" s="155">
        <v>187000</v>
      </c>
      <c r="G25" s="155">
        <v>0</v>
      </c>
      <c r="I25" s="155">
        <v>0</v>
      </c>
      <c r="K25" s="155">
        <f t="shared" si="4"/>
        <v>0</v>
      </c>
      <c r="O25" s="157">
        <v>20</v>
      </c>
      <c r="Q25" s="155">
        <f t="shared" si="5"/>
        <v>9350</v>
      </c>
      <c r="S25" s="375">
        <f t="shared" si="6"/>
        <v>9350</v>
      </c>
    </row>
    <row r="26" spans="1:26" x14ac:dyDescent="0.2">
      <c r="A26" s="374">
        <v>335</v>
      </c>
      <c r="C26" s="154" t="s">
        <v>221</v>
      </c>
      <c r="E26" s="155">
        <v>4313</v>
      </c>
      <c r="G26" s="155">
        <v>287.52999999999997</v>
      </c>
      <c r="I26" s="155">
        <f t="shared" si="0"/>
        <v>143.77000000000001</v>
      </c>
      <c r="K26" s="155">
        <f t="shared" si="1"/>
        <v>431.29999999999995</v>
      </c>
      <c r="M26" s="157">
        <v>30</v>
      </c>
      <c r="O26" s="157">
        <v>50</v>
      </c>
      <c r="Q26" s="155">
        <f t="shared" si="2"/>
        <v>86.26</v>
      </c>
      <c r="S26" s="375">
        <f t="shared" si="3"/>
        <v>-58</v>
      </c>
      <c r="X26" s="156">
        <v>335</v>
      </c>
      <c r="Z26" s="154" t="s">
        <v>221</v>
      </c>
    </row>
    <row r="27" spans="1:26" x14ac:dyDescent="0.2">
      <c r="A27" s="374">
        <v>340</v>
      </c>
      <c r="C27" s="154" t="s">
        <v>222</v>
      </c>
      <c r="E27" s="155">
        <v>17029</v>
      </c>
      <c r="G27" s="155">
        <v>17029</v>
      </c>
      <c r="I27" s="155">
        <f t="shared" si="0"/>
        <v>0</v>
      </c>
      <c r="K27" s="155">
        <f t="shared" si="1"/>
        <v>17029</v>
      </c>
      <c r="M27" s="157">
        <v>5</v>
      </c>
      <c r="O27" s="157">
        <v>22.5</v>
      </c>
      <c r="Q27" s="155">
        <f t="shared" si="2"/>
        <v>0</v>
      </c>
      <c r="S27" s="375">
        <f t="shared" si="3"/>
        <v>0</v>
      </c>
      <c r="X27" s="156">
        <v>340</v>
      </c>
      <c r="Z27" s="154" t="s">
        <v>222</v>
      </c>
    </row>
    <row r="28" spans="1:26" x14ac:dyDescent="0.2">
      <c r="A28" s="374">
        <v>340</v>
      </c>
      <c r="C28" s="154" t="s">
        <v>222</v>
      </c>
      <c r="E28" s="155">
        <v>19361.02</v>
      </c>
      <c r="G28" s="155">
        <v>19361.02</v>
      </c>
      <c r="I28" s="155">
        <f t="shared" si="0"/>
        <v>0</v>
      </c>
      <c r="K28" s="155">
        <f t="shared" si="1"/>
        <v>19361.02</v>
      </c>
      <c r="M28" s="157">
        <v>5</v>
      </c>
      <c r="O28" s="157">
        <v>22.5</v>
      </c>
      <c r="Q28" s="155">
        <f t="shared" si="2"/>
        <v>0</v>
      </c>
      <c r="S28" s="375">
        <f t="shared" si="3"/>
        <v>0</v>
      </c>
      <c r="X28" s="156">
        <v>340</v>
      </c>
      <c r="Z28" s="154" t="s">
        <v>222</v>
      </c>
    </row>
    <row r="29" spans="1:26" x14ac:dyDescent="0.2">
      <c r="A29" s="374">
        <v>340</v>
      </c>
      <c r="C29" s="154" t="s">
        <v>223</v>
      </c>
      <c r="E29" s="155">
        <v>11335</v>
      </c>
      <c r="G29" s="155">
        <v>11335</v>
      </c>
      <c r="I29" s="155">
        <f t="shared" si="0"/>
        <v>0</v>
      </c>
      <c r="K29" s="155">
        <f t="shared" si="1"/>
        <v>11335</v>
      </c>
      <c r="M29" s="157">
        <v>3</v>
      </c>
      <c r="O29" s="157">
        <v>10</v>
      </c>
      <c r="Q29" s="155">
        <f t="shared" si="2"/>
        <v>0</v>
      </c>
      <c r="S29" s="375">
        <f t="shared" si="3"/>
        <v>0</v>
      </c>
      <c r="X29" s="156">
        <v>340</v>
      </c>
      <c r="Z29" s="154" t="s">
        <v>223</v>
      </c>
    </row>
    <row r="30" spans="1:26" ht="15" x14ac:dyDescent="0.2">
      <c r="A30" s="374">
        <v>340</v>
      </c>
      <c r="C30" s="154" t="s">
        <v>335</v>
      </c>
      <c r="E30" s="274">
        <v>2560</v>
      </c>
      <c r="G30" s="155">
        <v>0</v>
      </c>
      <c r="I30" s="155">
        <v>0</v>
      </c>
      <c r="K30" s="155">
        <f t="shared" ref="K30" si="7">SUM(G30,I30)</f>
        <v>0</v>
      </c>
      <c r="O30" s="157">
        <v>10</v>
      </c>
      <c r="Q30" s="155">
        <f t="shared" ref="Q30" si="8">IF($G30=$E30,0,IF(ROUND($E30/O30,2)+$G30&gt;=$E30,ROUND($E30-$G30,2),ROUND($E30/O30,2)))</f>
        <v>256</v>
      </c>
      <c r="S30" s="375">
        <f t="shared" ref="S30" si="9">ROUND(Q30-I30,0)</f>
        <v>256</v>
      </c>
    </row>
    <row r="31" spans="1:26" x14ac:dyDescent="0.2">
      <c r="A31" s="374">
        <v>341</v>
      </c>
      <c r="C31" s="154" t="s">
        <v>224</v>
      </c>
      <c r="E31" s="155">
        <v>18026.87</v>
      </c>
      <c r="G31" s="155">
        <v>18026.87</v>
      </c>
      <c r="I31" s="155">
        <f t="shared" si="0"/>
        <v>0</v>
      </c>
      <c r="K31" s="155">
        <f t="shared" si="1"/>
        <v>18026.87</v>
      </c>
      <c r="M31" s="157">
        <v>5</v>
      </c>
      <c r="O31" s="157">
        <v>7</v>
      </c>
      <c r="Q31" s="155">
        <f t="shared" si="2"/>
        <v>0</v>
      </c>
      <c r="S31" s="375">
        <f t="shared" si="3"/>
        <v>0</v>
      </c>
      <c r="X31" s="156">
        <v>341</v>
      </c>
      <c r="Z31" s="154" t="s">
        <v>224</v>
      </c>
    </row>
    <row r="32" spans="1:26" x14ac:dyDescent="0.2">
      <c r="A32" s="374">
        <v>347</v>
      </c>
      <c r="C32" s="154" t="s">
        <v>225</v>
      </c>
      <c r="E32" s="155">
        <v>36387</v>
      </c>
      <c r="G32" s="155">
        <v>36387</v>
      </c>
      <c r="I32" s="155">
        <f t="shared" si="0"/>
        <v>0</v>
      </c>
      <c r="K32" s="155">
        <f t="shared" si="1"/>
        <v>36387</v>
      </c>
      <c r="M32" s="157">
        <v>7</v>
      </c>
      <c r="O32" s="157">
        <v>12.5</v>
      </c>
      <c r="Q32" s="155">
        <f t="shared" si="2"/>
        <v>0</v>
      </c>
      <c r="S32" s="375">
        <f t="shared" si="3"/>
        <v>0</v>
      </c>
      <c r="X32" s="156">
        <v>347</v>
      </c>
      <c r="Z32" s="154" t="s">
        <v>225</v>
      </c>
    </row>
    <row r="33" spans="1:26" x14ac:dyDescent="0.2">
      <c r="A33" s="374">
        <v>347</v>
      </c>
      <c r="C33" s="154" t="s">
        <v>226</v>
      </c>
      <c r="E33" s="155">
        <v>7574</v>
      </c>
      <c r="G33" s="155">
        <v>676</v>
      </c>
      <c r="I33" s="155">
        <f t="shared" si="0"/>
        <v>1082</v>
      </c>
      <c r="K33" s="155">
        <f t="shared" si="1"/>
        <v>1758</v>
      </c>
      <c r="M33" s="157">
        <v>7</v>
      </c>
      <c r="O33" s="157">
        <v>12.5</v>
      </c>
      <c r="Q33" s="155">
        <f t="shared" si="2"/>
        <v>605.91999999999996</v>
      </c>
      <c r="S33" s="375">
        <f t="shared" si="3"/>
        <v>-476</v>
      </c>
      <c r="X33" s="156">
        <v>347</v>
      </c>
      <c r="Z33" s="154" t="s">
        <v>226</v>
      </c>
    </row>
    <row r="34" spans="1:26" x14ac:dyDescent="0.2">
      <c r="A34" s="374">
        <v>347</v>
      </c>
      <c r="C34" s="154" t="s">
        <v>227</v>
      </c>
      <c r="E34" s="155">
        <v>6453.68</v>
      </c>
      <c r="G34" s="155">
        <v>154</v>
      </c>
      <c r="I34" s="155">
        <f t="shared" si="0"/>
        <v>921.95</v>
      </c>
      <c r="K34" s="155">
        <f t="shared" si="1"/>
        <v>1075.95</v>
      </c>
      <c r="M34" s="157">
        <v>7</v>
      </c>
      <c r="O34" s="157">
        <v>12.5</v>
      </c>
      <c r="Q34" s="155">
        <f t="shared" si="2"/>
        <v>516.29</v>
      </c>
      <c r="S34" s="375">
        <f t="shared" si="3"/>
        <v>-406</v>
      </c>
      <c r="X34" s="156">
        <v>347</v>
      </c>
      <c r="Z34" s="154" t="s">
        <v>227</v>
      </c>
    </row>
    <row r="35" spans="1:26" ht="15" x14ac:dyDescent="0.2">
      <c r="A35" s="374">
        <v>347</v>
      </c>
      <c r="C35" s="154" t="s">
        <v>336</v>
      </c>
      <c r="E35" s="274">
        <v>8750</v>
      </c>
      <c r="G35" s="155">
        <v>0</v>
      </c>
      <c r="I35" s="155">
        <v>0</v>
      </c>
      <c r="K35" s="155">
        <f t="shared" si="1"/>
        <v>0</v>
      </c>
      <c r="O35" s="157">
        <v>12.5</v>
      </c>
      <c r="Q35" s="155">
        <f t="shared" ref="Q35" si="10">IF($G35=$E35,0,IF(ROUND($E35/O35,2)+$G35&gt;=$E35,ROUND($E35-$G35,2),ROUND($E35/O35,2)))</f>
        <v>700</v>
      </c>
      <c r="S35" s="375">
        <f t="shared" ref="S35" si="11">ROUND(Q35-I35,0)</f>
        <v>700</v>
      </c>
    </row>
    <row r="36" spans="1:26" x14ac:dyDescent="0.2">
      <c r="A36" s="374">
        <v>347</v>
      </c>
      <c r="C36" s="154" t="s">
        <v>228</v>
      </c>
      <c r="E36" s="155">
        <v>1307.99</v>
      </c>
      <c r="G36" s="155">
        <v>934.28</v>
      </c>
      <c r="I36" s="155">
        <f t="shared" si="0"/>
        <v>186.86</v>
      </c>
      <c r="K36" s="155">
        <f t="shared" si="1"/>
        <v>1121.1399999999999</v>
      </c>
      <c r="M36" s="157">
        <v>7</v>
      </c>
      <c r="O36" s="157">
        <v>12.5</v>
      </c>
      <c r="Q36" s="155">
        <f t="shared" si="2"/>
        <v>104.64</v>
      </c>
      <c r="S36" s="375">
        <f t="shared" si="3"/>
        <v>-82</v>
      </c>
      <c r="X36" s="156">
        <v>347</v>
      </c>
      <c r="Z36" s="154" t="s">
        <v>228</v>
      </c>
    </row>
    <row r="37" spans="1:26" x14ac:dyDescent="0.2">
      <c r="A37" s="374">
        <v>347</v>
      </c>
      <c r="C37" s="154" t="s">
        <v>228</v>
      </c>
      <c r="E37" s="155">
        <v>678.36</v>
      </c>
      <c r="G37" s="155">
        <v>0</v>
      </c>
      <c r="I37" s="155">
        <v>48.5</v>
      </c>
      <c r="K37" s="155">
        <f t="shared" si="1"/>
        <v>48.5</v>
      </c>
      <c r="M37" s="157">
        <v>7</v>
      </c>
      <c r="O37" s="157">
        <v>12.5</v>
      </c>
      <c r="Q37" s="155">
        <f t="shared" si="2"/>
        <v>54.27</v>
      </c>
      <c r="S37" s="375">
        <f t="shared" si="3"/>
        <v>6</v>
      </c>
      <c r="X37" s="156">
        <v>347</v>
      </c>
      <c r="Z37" s="154" t="s">
        <v>228</v>
      </c>
    </row>
    <row r="38" spans="1:26" ht="15" thickBot="1" x14ac:dyDescent="0.25">
      <c r="A38" s="374"/>
      <c r="E38" s="163">
        <f>SUM(E7:E37)</f>
        <v>3025449.8800000008</v>
      </c>
      <c r="G38" s="163">
        <f>SUM(G8:G37)</f>
        <v>1475314.1600000004</v>
      </c>
      <c r="I38" s="163">
        <f>SUM(I8:I37)</f>
        <v>49431.759999999995</v>
      </c>
      <c r="K38" s="163">
        <f>SUM(K8:K37)</f>
        <v>1524745.92</v>
      </c>
      <c r="Q38" s="163">
        <f>SUM(Q8:Q37)</f>
        <v>55468.73</v>
      </c>
      <c r="S38" s="381">
        <f>SUM(S8:S37)</f>
        <v>6036</v>
      </c>
    </row>
    <row r="39" spans="1:26" ht="15" thickTop="1" x14ac:dyDescent="0.2">
      <c r="A39" s="378"/>
      <c r="B39" s="382"/>
      <c r="C39" s="382"/>
      <c r="D39" s="382"/>
      <c r="E39" s="383"/>
      <c r="F39" s="382"/>
      <c r="G39" s="383"/>
      <c r="H39" s="382"/>
      <c r="I39" s="383"/>
      <c r="J39" s="382"/>
      <c r="K39" s="383"/>
      <c r="L39" s="382"/>
      <c r="M39" s="161"/>
      <c r="N39" s="158"/>
      <c r="O39" s="161"/>
      <c r="P39" s="382"/>
      <c r="Q39" s="383"/>
      <c r="R39" s="382"/>
      <c r="S39" s="384"/>
    </row>
  </sheetData>
  <mergeCells count="3">
    <mergeCell ref="A1:S1"/>
    <mergeCell ref="A2:S2"/>
    <mergeCell ref="A3:S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43BB6-2A29-472F-824F-AF325808C3FE}">
  <dimension ref="A1:U39"/>
  <sheetViews>
    <sheetView showGridLines="0" workbookViewId="0">
      <selection activeCell="A2" sqref="A2:O39"/>
    </sheetView>
  </sheetViews>
  <sheetFormatPr defaultRowHeight="14.25" x14ac:dyDescent="0.2"/>
  <cols>
    <col min="1" max="1" width="1.77734375" style="154" customWidth="1"/>
    <col min="2" max="2" width="7.33203125" style="153" customWidth="1"/>
    <col min="3" max="3" width="1.33203125" style="154" customWidth="1"/>
    <col min="4" max="4" width="41.77734375" style="154" customWidth="1"/>
    <col min="5" max="5" width="1.33203125" style="154" customWidth="1"/>
    <col min="6" max="6" width="13" style="155" customWidth="1"/>
    <col min="7" max="7" width="1.33203125" style="154" customWidth="1"/>
    <col min="8" max="8" width="13" style="155" customWidth="1"/>
    <col min="9" max="9" width="1.33203125" style="154" customWidth="1"/>
    <col min="10" max="10" width="11.44140625" style="155" customWidth="1"/>
    <col min="11" max="11" width="1.33203125" style="154" customWidth="1"/>
    <col min="12" max="12" width="13" style="155" customWidth="1"/>
    <col min="13" max="13" width="1.33203125" style="154" customWidth="1"/>
    <col min="14" max="14" width="7.77734375" style="157" customWidth="1"/>
    <col min="15" max="18" width="1.33203125" style="154" customWidth="1"/>
    <col min="19" max="19" width="8.88671875" style="156"/>
    <col min="20" max="20" width="1.33203125" style="154" customWidth="1"/>
    <col min="21" max="21" width="32.21875" style="154" customWidth="1"/>
    <col min="22" max="16384" width="8.88671875" style="154"/>
  </cols>
  <sheetData>
    <row r="1" spans="1:21" ht="15" x14ac:dyDescent="0.2"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21" ht="23.25" x14ac:dyDescent="0.35">
      <c r="A2" s="421"/>
      <c r="B2" s="471" t="s">
        <v>351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26"/>
    </row>
    <row r="3" spans="1:21" ht="23.25" x14ac:dyDescent="0.35">
      <c r="A3" s="386"/>
      <c r="B3" s="472" t="s">
        <v>202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27"/>
    </row>
    <row r="4" spans="1:21" x14ac:dyDescent="0.2">
      <c r="A4" s="386"/>
      <c r="O4" s="427"/>
    </row>
    <row r="5" spans="1:21" x14ac:dyDescent="0.2">
      <c r="A5" s="386"/>
      <c r="B5" s="153" t="s">
        <v>304</v>
      </c>
      <c r="F5" s="376" t="s">
        <v>203</v>
      </c>
      <c r="H5" s="376" t="s">
        <v>204</v>
      </c>
      <c r="J5" s="157">
        <v>2022</v>
      </c>
      <c r="L5" s="376" t="s">
        <v>204</v>
      </c>
      <c r="N5" s="157" t="s">
        <v>349</v>
      </c>
      <c r="O5" s="427"/>
    </row>
    <row r="6" spans="1:21" x14ac:dyDescent="0.2">
      <c r="A6" s="386"/>
      <c r="B6" s="444" t="s">
        <v>174</v>
      </c>
      <c r="D6" s="158" t="s">
        <v>206</v>
      </c>
      <c r="F6" s="159" t="s">
        <v>207</v>
      </c>
      <c r="H6" s="160">
        <v>44562</v>
      </c>
      <c r="J6" s="159" t="s">
        <v>208</v>
      </c>
      <c r="L6" s="160">
        <v>44926</v>
      </c>
      <c r="N6" s="161" t="s">
        <v>350</v>
      </c>
      <c r="O6" s="427"/>
    </row>
    <row r="7" spans="1:21" x14ac:dyDescent="0.2">
      <c r="A7" s="386"/>
      <c r="B7" s="153">
        <v>303</v>
      </c>
      <c r="D7" s="154" t="s">
        <v>212</v>
      </c>
      <c r="F7" s="162">
        <v>102609</v>
      </c>
      <c r="O7" s="427"/>
      <c r="S7" s="156">
        <v>303</v>
      </c>
      <c r="U7" s="154" t="s">
        <v>213</v>
      </c>
    </row>
    <row r="8" spans="1:21" x14ac:dyDescent="0.2">
      <c r="A8" s="386"/>
      <c r="B8" s="153">
        <v>304</v>
      </c>
      <c r="D8" s="154" t="s">
        <v>214</v>
      </c>
      <c r="F8" s="155">
        <v>285597.13</v>
      </c>
      <c r="H8" s="162">
        <v>127017.46</v>
      </c>
      <c r="J8" s="162">
        <f>IF($H8=$F8,0,IF(ROUND($F8/N8,2)+$H8&gt;=$F8,ROUND($F8-$H8,2),ROUND($F8/N8,2)))</f>
        <v>8159.92</v>
      </c>
      <c r="L8" s="162">
        <f>SUM(H8,J8)</f>
        <v>135177.38</v>
      </c>
      <c r="N8" s="157">
        <v>35</v>
      </c>
      <c r="O8" s="427"/>
      <c r="S8" s="156">
        <v>304</v>
      </c>
      <c r="U8" s="154" t="s">
        <v>215</v>
      </c>
    </row>
    <row r="9" spans="1:21" x14ac:dyDescent="0.2">
      <c r="A9" s="386"/>
      <c r="B9" s="153">
        <v>304</v>
      </c>
      <c r="D9" s="154" t="s">
        <v>214</v>
      </c>
      <c r="F9" s="155">
        <v>13193.36</v>
      </c>
      <c r="H9" s="155">
        <v>1507.81</v>
      </c>
      <c r="J9" s="155">
        <f t="shared" ref="J9:J36" si="0">IF($H9=$F9,0,IF(ROUND($F9/N9,2)+$H9&gt;=$F9,ROUND($F9-$H9,2),ROUND($F9/N9,2)))</f>
        <v>376.95</v>
      </c>
      <c r="L9" s="155">
        <f t="shared" ref="L9:L37" si="1">SUM(H9,J9)</f>
        <v>1884.76</v>
      </c>
      <c r="N9" s="157">
        <v>35</v>
      </c>
      <c r="O9" s="427"/>
      <c r="S9" s="156">
        <v>304</v>
      </c>
      <c r="U9" s="154" t="s">
        <v>215</v>
      </c>
    </row>
    <row r="10" spans="1:21" x14ac:dyDescent="0.2">
      <c r="A10" s="386"/>
      <c r="B10" s="153">
        <v>305</v>
      </c>
      <c r="D10" s="154" t="s">
        <v>216</v>
      </c>
      <c r="F10" s="155">
        <v>22788</v>
      </c>
      <c r="H10" s="155">
        <v>22788</v>
      </c>
      <c r="J10" s="155">
        <f t="shared" si="0"/>
        <v>0</v>
      </c>
      <c r="L10" s="155">
        <f t="shared" si="1"/>
        <v>22788</v>
      </c>
      <c r="N10" s="157">
        <v>30</v>
      </c>
      <c r="O10" s="427"/>
      <c r="S10" s="156">
        <v>305</v>
      </c>
      <c r="U10" s="154" t="s">
        <v>216</v>
      </c>
    </row>
    <row r="11" spans="1:21" x14ac:dyDescent="0.2">
      <c r="A11" s="386"/>
      <c r="B11" s="153">
        <v>309</v>
      </c>
      <c r="D11" s="154" t="s">
        <v>217</v>
      </c>
      <c r="F11" s="155">
        <v>21511</v>
      </c>
      <c r="H11" s="155">
        <v>19218.45</v>
      </c>
      <c r="J11" s="155">
        <f t="shared" si="0"/>
        <v>1075.55</v>
      </c>
      <c r="L11" s="155">
        <f t="shared" si="1"/>
        <v>20294</v>
      </c>
      <c r="N11" s="157">
        <v>20</v>
      </c>
      <c r="O11" s="427"/>
      <c r="S11" s="156">
        <v>309</v>
      </c>
      <c r="U11" s="154" t="s">
        <v>217</v>
      </c>
    </row>
    <row r="12" spans="1:21" x14ac:dyDescent="0.2">
      <c r="A12" s="386"/>
      <c r="B12" s="153">
        <v>311</v>
      </c>
      <c r="D12" s="154" t="s">
        <v>152</v>
      </c>
      <c r="F12" s="155">
        <v>17808</v>
      </c>
      <c r="H12" s="155">
        <v>14917.49</v>
      </c>
      <c r="J12" s="155">
        <f t="shared" si="0"/>
        <v>434.34</v>
      </c>
      <c r="L12" s="155">
        <f t="shared" si="1"/>
        <v>15351.83</v>
      </c>
      <c r="N12" s="157">
        <v>41</v>
      </c>
      <c r="O12" s="427"/>
      <c r="S12" s="156">
        <v>311</v>
      </c>
      <c r="U12" s="154" t="s">
        <v>152</v>
      </c>
    </row>
    <row r="13" spans="1:21" x14ac:dyDescent="0.2">
      <c r="A13" s="386"/>
      <c r="B13" s="153">
        <v>330</v>
      </c>
      <c r="D13" s="154" t="s">
        <v>218</v>
      </c>
      <c r="F13" s="155">
        <v>182531</v>
      </c>
      <c r="H13" s="155">
        <v>182531</v>
      </c>
      <c r="J13" s="155">
        <f t="shared" si="0"/>
        <v>0</v>
      </c>
      <c r="L13" s="155">
        <f t="shared" si="1"/>
        <v>182531</v>
      </c>
      <c r="N13" s="157">
        <v>30</v>
      </c>
      <c r="O13" s="427"/>
      <c r="S13" s="156">
        <v>330</v>
      </c>
      <c r="U13" s="154" t="s">
        <v>218</v>
      </c>
    </row>
    <row r="14" spans="1:21" x14ac:dyDescent="0.2">
      <c r="A14" s="386"/>
      <c r="B14" s="153">
        <v>331</v>
      </c>
      <c r="D14" s="154" t="s">
        <v>219</v>
      </c>
      <c r="F14" s="155">
        <v>1874765.42</v>
      </c>
      <c r="H14" s="155">
        <v>878688.58</v>
      </c>
      <c r="J14" s="155">
        <f t="shared" si="0"/>
        <v>31246.09</v>
      </c>
      <c r="L14" s="155">
        <f t="shared" si="1"/>
        <v>909934.66999999993</v>
      </c>
      <c r="N14" s="157">
        <v>60</v>
      </c>
      <c r="O14" s="427"/>
      <c r="S14" s="156">
        <v>331</v>
      </c>
      <c r="U14" s="154" t="s">
        <v>219</v>
      </c>
    </row>
    <row r="15" spans="1:21" x14ac:dyDescent="0.2">
      <c r="A15" s="386"/>
      <c r="B15" s="153">
        <v>334</v>
      </c>
      <c r="D15" s="154" t="s">
        <v>220</v>
      </c>
      <c r="F15" s="155">
        <v>143815.19</v>
      </c>
      <c r="H15" s="155">
        <v>121982.73</v>
      </c>
      <c r="J15" s="155">
        <f t="shared" si="0"/>
        <v>4793.84</v>
      </c>
      <c r="L15" s="155">
        <f t="shared" si="1"/>
        <v>126776.56999999999</v>
      </c>
      <c r="N15" s="157">
        <v>30</v>
      </c>
      <c r="O15" s="427"/>
      <c r="S15" s="156">
        <v>334</v>
      </c>
      <c r="U15" s="154" t="s">
        <v>220</v>
      </c>
    </row>
    <row r="16" spans="1:21" x14ac:dyDescent="0.2">
      <c r="A16" s="386"/>
      <c r="B16" s="153">
        <v>334</v>
      </c>
      <c r="D16" s="154" t="s">
        <v>220</v>
      </c>
      <c r="F16" s="155">
        <v>3300.31</v>
      </c>
      <c r="H16" s="155">
        <v>880.08</v>
      </c>
      <c r="J16" s="155">
        <f t="shared" si="0"/>
        <v>110.01</v>
      </c>
      <c r="L16" s="155">
        <f t="shared" si="1"/>
        <v>990.09</v>
      </c>
      <c r="N16" s="157">
        <v>30</v>
      </c>
      <c r="O16" s="427"/>
      <c r="S16" s="156">
        <v>334</v>
      </c>
      <c r="U16" s="154" t="s">
        <v>220</v>
      </c>
    </row>
    <row r="17" spans="1:21" x14ac:dyDescent="0.2">
      <c r="A17" s="386"/>
      <c r="B17" s="153">
        <v>334</v>
      </c>
      <c r="D17" s="154" t="s">
        <v>220</v>
      </c>
      <c r="F17" s="155">
        <v>1170.6600000000001</v>
      </c>
      <c r="H17" s="155">
        <v>273.14999999999998</v>
      </c>
      <c r="J17" s="155">
        <f t="shared" si="0"/>
        <v>39.020000000000003</v>
      </c>
      <c r="L17" s="155">
        <f t="shared" si="1"/>
        <v>312.16999999999996</v>
      </c>
      <c r="N17" s="157">
        <v>30</v>
      </c>
      <c r="O17" s="427"/>
      <c r="S17" s="156">
        <v>334</v>
      </c>
      <c r="U17" s="154" t="s">
        <v>220</v>
      </c>
    </row>
    <row r="18" spans="1:21" x14ac:dyDescent="0.2">
      <c r="A18" s="386"/>
      <c r="B18" s="153">
        <v>334</v>
      </c>
      <c r="D18" s="154" t="s">
        <v>220</v>
      </c>
      <c r="F18" s="155">
        <v>120</v>
      </c>
      <c r="H18" s="155">
        <v>24</v>
      </c>
      <c r="J18" s="155">
        <f t="shared" si="0"/>
        <v>4</v>
      </c>
      <c r="L18" s="155">
        <f t="shared" si="1"/>
        <v>28</v>
      </c>
      <c r="N18" s="157">
        <v>30</v>
      </c>
      <c r="O18" s="427"/>
      <c r="S18" s="156">
        <v>334</v>
      </c>
      <c r="U18" s="154" t="s">
        <v>220</v>
      </c>
    </row>
    <row r="19" spans="1:21" x14ac:dyDescent="0.2">
      <c r="A19" s="386"/>
      <c r="B19" s="153">
        <v>334</v>
      </c>
      <c r="D19" s="154" t="s">
        <v>220</v>
      </c>
      <c r="F19" s="155">
        <v>1539.24</v>
      </c>
      <c r="H19" s="155">
        <v>256.54000000000002</v>
      </c>
      <c r="J19" s="155">
        <f t="shared" si="0"/>
        <v>51.31</v>
      </c>
      <c r="L19" s="155">
        <f t="shared" si="1"/>
        <v>307.85000000000002</v>
      </c>
      <c r="N19" s="157">
        <v>30</v>
      </c>
      <c r="O19" s="427"/>
      <c r="S19" s="156">
        <v>334</v>
      </c>
      <c r="U19" s="154" t="s">
        <v>220</v>
      </c>
    </row>
    <row r="20" spans="1:21" x14ac:dyDescent="0.2">
      <c r="A20" s="386"/>
      <c r="B20" s="153">
        <v>334</v>
      </c>
      <c r="D20" s="154" t="s">
        <v>220</v>
      </c>
      <c r="F20" s="155">
        <v>2562</v>
      </c>
      <c r="H20" s="155">
        <v>341.6</v>
      </c>
      <c r="J20" s="155">
        <f t="shared" si="0"/>
        <v>85.4</v>
      </c>
      <c r="L20" s="155">
        <f t="shared" si="1"/>
        <v>427</v>
      </c>
      <c r="N20" s="157">
        <v>30</v>
      </c>
      <c r="O20" s="427"/>
      <c r="S20" s="156">
        <v>334</v>
      </c>
      <c r="U20" s="154" t="s">
        <v>220</v>
      </c>
    </row>
    <row r="21" spans="1:21" x14ac:dyDescent="0.2">
      <c r="A21" s="386"/>
      <c r="B21" s="153">
        <v>334</v>
      </c>
      <c r="D21" s="154" t="s">
        <v>220</v>
      </c>
      <c r="F21" s="155">
        <v>3556</v>
      </c>
      <c r="H21" s="155">
        <v>355.6</v>
      </c>
      <c r="J21" s="155">
        <f t="shared" si="0"/>
        <v>118.53</v>
      </c>
      <c r="L21" s="155">
        <f t="shared" si="1"/>
        <v>474.13</v>
      </c>
      <c r="N21" s="157">
        <v>30</v>
      </c>
      <c r="O21" s="427"/>
      <c r="S21" s="156">
        <v>334</v>
      </c>
      <c r="U21" s="154" t="s">
        <v>220</v>
      </c>
    </row>
    <row r="22" spans="1:21" x14ac:dyDescent="0.2">
      <c r="A22" s="386"/>
      <c r="B22" s="153">
        <v>334</v>
      </c>
      <c r="D22" s="154" t="s">
        <v>220</v>
      </c>
      <c r="F22" s="155">
        <v>9441.65</v>
      </c>
      <c r="H22" s="155">
        <v>340.97</v>
      </c>
      <c r="J22" s="155">
        <f t="shared" si="0"/>
        <v>314.72000000000003</v>
      </c>
      <c r="L22" s="155">
        <f t="shared" si="1"/>
        <v>655.69</v>
      </c>
      <c r="N22" s="157">
        <v>30</v>
      </c>
      <c r="O22" s="427"/>
      <c r="S22" s="156">
        <v>334</v>
      </c>
      <c r="U22" s="154" t="s">
        <v>220</v>
      </c>
    </row>
    <row r="23" spans="1:21" x14ac:dyDescent="0.2">
      <c r="A23" s="386"/>
      <c r="B23" s="153">
        <v>334</v>
      </c>
      <c r="D23" s="154" t="s">
        <v>220</v>
      </c>
      <c r="F23" s="155">
        <v>14366</v>
      </c>
      <c r="H23" s="155">
        <v>0</v>
      </c>
      <c r="J23" s="155">
        <v>239</v>
      </c>
      <c r="L23" s="155">
        <f t="shared" si="1"/>
        <v>239</v>
      </c>
      <c r="N23" s="157">
        <v>30</v>
      </c>
      <c r="O23" s="427"/>
      <c r="S23" s="156">
        <v>334</v>
      </c>
      <c r="U23" s="154" t="s">
        <v>220</v>
      </c>
    </row>
    <row r="24" spans="1:21" x14ac:dyDescent="0.2">
      <c r="A24" s="386"/>
      <c r="B24" s="153">
        <v>334</v>
      </c>
      <c r="D24" s="154" t="s">
        <v>333</v>
      </c>
      <c r="F24" s="155">
        <f>Adj!T9</f>
        <v>4000</v>
      </c>
      <c r="H24" s="155">
        <v>0</v>
      </c>
      <c r="J24" s="155">
        <v>0</v>
      </c>
      <c r="L24" s="155">
        <f t="shared" si="1"/>
        <v>0</v>
      </c>
      <c r="O24" s="427"/>
    </row>
    <row r="25" spans="1:21" x14ac:dyDescent="0.2">
      <c r="A25" s="386"/>
      <c r="B25" s="153">
        <v>334</v>
      </c>
      <c r="D25" s="154" t="s">
        <v>334</v>
      </c>
      <c r="F25" s="155">
        <v>187000</v>
      </c>
      <c r="H25" s="155">
        <v>0</v>
      </c>
      <c r="J25" s="155">
        <v>0</v>
      </c>
      <c r="L25" s="155">
        <f t="shared" si="1"/>
        <v>0</v>
      </c>
      <c r="O25" s="427"/>
    </row>
    <row r="26" spans="1:21" x14ac:dyDescent="0.2">
      <c r="A26" s="386"/>
      <c r="B26" s="153">
        <v>335</v>
      </c>
      <c r="D26" s="154" t="s">
        <v>221</v>
      </c>
      <c r="F26" s="155">
        <v>4313</v>
      </c>
      <c r="H26" s="155">
        <v>287.52999999999997</v>
      </c>
      <c r="J26" s="155">
        <f t="shared" si="0"/>
        <v>143.77000000000001</v>
      </c>
      <c r="L26" s="155">
        <f t="shared" si="1"/>
        <v>431.29999999999995</v>
      </c>
      <c r="N26" s="157">
        <v>30</v>
      </c>
      <c r="O26" s="427"/>
      <c r="S26" s="156">
        <v>335</v>
      </c>
      <c r="U26" s="154" t="s">
        <v>221</v>
      </c>
    </row>
    <row r="27" spans="1:21" x14ac:dyDescent="0.2">
      <c r="A27" s="386"/>
      <c r="B27" s="153">
        <v>340</v>
      </c>
      <c r="D27" s="154" t="s">
        <v>222</v>
      </c>
      <c r="F27" s="155">
        <v>17029</v>
      </c>
      <c r="H27" s="155">
        <v>17029</v>
      </c>
      <c r="J27" s="155">
        <f t="shared" si="0"/>
        <v>0</v>
      </c>
      <c r="L27" s="155">
        <f t="shared" si="1"/>
        <v>17029</v>
      </c>
      <c r="N27" s="157">
        <v>5</v>
      </c>
      <c r="O27" s="427"/>
      <c r="S27" s="156">
        <v>340</v>
      </c>
      <c r="U27" s="154" t="s">
        <v>222</v>
      </c>
    </row>
    <row r="28" spans="1:21" x14ac:dyDescent="0.2">
      <c r="A28" s="386"/>
      <c r="B28" s="153">
        <v>340</v>
      </c>
      <c r="D28" s="154" t="s">
        <v>222</v>
      </c>
      <c r="F28" s="155">
        <v>19361.02</v>
      </c>
      <c r="H28" s="155">
        <v>19361.02</v>
      </c>
      <c r="J28" s="155">
        <f t="shared" si="0"/>
        <v>0</v>
      </c>
      <c r="L28" s="155">
        <f t="shared" si="1"/>
        <v>19361.02</v>
      </c>
      <c r="N28" s="157">
        <v>5</v>
      </c>
      <c r="O28" s="427"/>
      <c r="S28" s="156">
        <v>340</v>
      </c>
      <c r="U28" s="154" t="s">
        <v>222</v>
      </c>
    </row>
    <row r="29" spans="1:21" x14ac:dyDescent="0.2">
      <c r="A29" s="386"/>
      <c r="B29" s="153">
        <v>340</v>
      </c>
      <c r="D29" s="154" t="s">
        <v>223</v>
      </c>
      <c r="F29" s="155">
        <v>11335</v>
      </c>
      <c r="H29" s="155">
        <v>11335</v>
      </c>
      <c r="J29" s="155">
        <f t="shared" si="0"/>
        <v>0</v>
      </c>
      <c r="L29" s="155">
        <f t="shared" si="1"/>
        <v>11335</v>
      </c>
      <c r="N29" s="157">
        <v>3</v>
      </c>
      <c r="O29" s="427"/>
      <c r="S29" s="156">
        <v>340</v>
      </c>
      <c r="U29" s="154" t="s">
        <v>223</v>
      </c>
    </row>
    <row r="30" spans="1:21" ht="15" x14ac:dyDescent="0.2">
      <c r="A30" s="386"/>
      <c r="B30" s="153">
        <v>340</v>
      </c>
      <c r="D30" s="154" t="s">
        <v>335</v>
      </c>
      <c r="F30" s="274">
        <v>2560</v>
      </c>
      <c r="H30" s="155">
        <v>0</v>
      </c>
      <c r="J30" s="155">
        <v>0</v>
      </c>
      <c r="L30" s="155">
        <f t="shared" si="1"/>
        <v>0</v>
      </c>
      <c r="O30" s="427"/>
    </row>
    <row r="31" spans="1:21" x14ac:dyDescent="0.2">
      <c r="A31" s="386"/>
      <c r="B31" s="153">
        <v>341</v>
      </c>
      <c r="D31" s="154" t="s">
        <v>224</v>
      </c>
      <c r="F31" s="155">
        <v>18026.87</v>
      </c>
      <c r="H31" s="155">
        <v>18026.87</v>
      </c>
      <c r="J31" s="155">
        <f t="shared" si="0"/>
        <v>0</v>
      </c>
      <c r="L31" s="155">
        <f t="shared" si="1"/>
        <v>18026.87</v>
      </c>
      <c r="N31" s="157">
        <v>5</v>
      </c>
      <c r="O31" s="427"/>
      <c r="S31" s="156">
        <v>341</v>
      </c>
      <c r="U31" s="154" t="s">
        <v>224</v>
      </c>
    </row>
    <row r="32" spans="1:21" x14ac:dyDescent="0.2">
      <c r="A32" s="386"/>
      <c r="B32" s="153">
        <v>347</v>
      </c>
      <c r="D32" s="154" t="s">
        <v>225</v>
      </c>
      <c r="F32" s="155">
        <v>36387</v>
      </c>
      <c r="H32" s="155">
        <v>36387</v>
      </c>
      <c r="J32" s="155">
        <f t="shared" si="0"/>
        <v>0</v>
      </c>
      <c r="L32" s="155">
        <f t="shared" si="1"/>
        <v>36387</v>
      </c>
      <c r="N32" s="157">
        <v>7</v>
      </c>
      <c r="O32" s="427"/>
      <c r="S32" s="156">
        <v>347</v>
      </c>
      <c r="U32" s="154" t="s">
        <v>225</v>
      </c>
    </row>
    <row r="33" spans="1:21" x14ac:dyDescent="0.2">
      <c r="A33" s="386"/>
      <c r="B33" s="153">
        <v>347</v>
      </c>
      <c r="D33" s="154" t="s">
        <v>226</v>
      </c>
      <c r="F33" s="155">
        <v>7574</v>
      </c>
      <c r="H33" s="155">
        <v>676</v>
      </c>
      <c r="J33" s="155">
        <f t="shared" si="0"/>
        <v>1082</v>
      </c>
      <c r="L33" s="155">
        <f t="shared" si="1"/>
        <v>1758</v>
      </c>
      <c r="N33" s="157">
        <v>7</v>
      </c>
      <c r="O33" s="427"/>
      <c r="S33" s="156">
        <v>347</v>
      </c>
      <c r="U33" s="154" t="s">
        <v>226</v>
      </c>
    </row>
    <row r="34" spans="1:21" x14ac:dyDescent="0.2">
      <c r="A34" s="386"/>
      <c r="B34" s="153">
        <v>347</v>
      </c>
      <c r="D34" s="154" t="s">
        <v>227</v>
      </c>
      <c r="F34" s="155">
        <v>6453.68</v>
      </c>
      <c r="H34" s="155">
        <v>154</v>
      </c>
      <c r="J34" s="155">
        <f t="shared" si="0"/>
        <v>921.95</v>
      </c>
      <c r="L34" s="155">
        <f t="shared" si="1"/>
        <v>1075.95</v>
      </c>
      <c r="N34" s="157">
        <v>7</v>
      </c>
      <c r="O34" s="427"/>
      <c r="S34" s="156">
        <v>347</v>
      </c>
      <c r="U34" s="154" t="s">
        <v>227</v>
      </c>
    </row>
    <row r="35" spans="1:21" ht="15" x14ac:dyDescent="0.2">
      <c r="A35" s="386"/>
      <c r="B35" s="153">
        <v>347</v>
      </c>
      <c r="D35" s="154" t="s">
        <v>336</v>
      </c>
      <c r="F35" s="274">
        <v>8750</v>
      </c>
      <c r="H35" s="155">
        <v>0</v>
      </c>
      <c r="J35" s="155">
        <v>0</v>
      </c>
      <c r="L35" s="155">
        <f t="shared" si="1"/>
        <v>0</v>
      </c>
      <c r="O35" s="427"/>
    </row>
    <row r="36" spans="1:21" x14ac:dyDescent="0.2">
      <c r="A36" s="386"/>
      <c r="B36" s="153">
        <v>347</v>
      </c>
      <c r="D36" s="154" t="s">
        <v>228</v>
      </c>
      <c r="F36" s="155">
        <v>1307.99</v>
      </c>
      <c r="H36" s="155">
        <v>934.28</v>
      </c>
      <c r="J36" s="155">
        <f t="shared" si="0"/>
        <v>186.86</v>
      </c>
      <c r="L36" s="155">
        <f t="shared" si="1"/>
        <v>1121.1399999999999</v>
      </c>
      <c r="N36" s="157">
        <v>7</v>
      </c>
      <c r="O36" s="427"/>
      <c r="S36" s="156">
        <v>347</v>
      </c>
      <c r="U36" s="154" t="s">
        <v>228</v>
      </c>
    </row>
    <row r="37" spans="1:21" x14ac:dyDescent="0.2">
      <c r="A37" s="386"/>
      <c r="B37" s="153">
        <v>347</v>
      </c>
      <c r="D37" s="154" t="s">
        <v>228</v>
      </c>
      <c r="F37" s="155">
        <v>678.36</v>
      </c>
      <c r="H37" s="155">
        <v>0</v>
      </c>
      <c r="J37" s="155">
        <v>48.5</v>
      </c>
      <c r="L37" s="155">
        <f t="shared" si="1"/>
        <v>48.5</v>
      </c>
      <c r="N37" s="157">
        <v>7</v>
      </c>
      <c r="O37" s="427"/>
      <c r="S37" s="156">
        <v>347</v>
      </c>
      <c r="U37" s="154" t="s">
        <v>228</v>
      </c>
    </row>
    <row r="38" spans="1:21" ht="15" thickBot="1" x14ac:dyDescent="0.25">
      <c r="A38" s="386"/>
      <c r="F38" s="163">
        <f>SUM(F7:F37)</f>
        <v>3025449.8800000008</v>
      </c>
      <c r="H38" s="163">
        <f>SUM(H8:H37)</f>
        <v>1475314.1600000004</v>
      </c>
      <c r="J38" s="163">
        <f>SUM(J8:J37)</f>
        <v>49431.759999999995</v>
      </c>
      <c r="L38" s="163">
        <f>SUM(L8:L37)</f>
        <v>1524745.92</v>
      </c>
      <c r="O38" s="427"/>
    </row>
    <row r="39" spans="1:21" ht="15" thickTop="1" x14ac:dyDescent="0.2">
      <c r="A39" s="388"/>
      <c r="B39" s="444"/>
      <c r="C39" s="382"/>
      <c r="D39" s="382"/>
      <c r="E39" s="382"/>
      <c r="F39" s="383"/>
      <c r="G39" s="382"/>
      <c r="H39" s="383"/>
      <c r="I39" s="382"/>
      <c r="J39" s="383"/>
      <c r="K39" s="382"/>
      <c r="L39" s="383"/>
      <c r="M39" s="382"/>
      <c r="N39" s="161"/>
      <c r="O39" s="428"/>
    </row>
  </sheetData>
  <mergeCells count="3">
    <mergeCell ref="B1:N1"/>
    <mergeCell ref="B2:N2"/>
    <mergeCell ref="B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6"/>
  <sheetViews>
    <sheetView showGridLines="0" workbookViewId="0">
      <selection activeCell="C25" sqref="C25"/>
    </sheetView>
  </sheetViews>
  <sheetFormatPr defaultColWidth="8.88671875" defaultRowHeight="14.25" x14ac:dyDescent="0.2"/>
  <cols>
    <col min="1" max="1" width="1.6640625" style="165" customWidth="1"/>
    <col min="2" max="2" width="12.5546875" style="165" customWidth="1"/>
    <col min="3" max="3" width="12.77734375" style="165" customWidth="1"/>
    <col min="4" max="4" width="1.77734375" style="165" customWidth="1"/>
    <col min="5" max="5" width="12.77734375" style="165" customWidth="1"/>
    <col min="6" max="6" width="1.77734375" style="165" customWidth="1"/>
    <col min="7" max="7" width="12.77734375" style="165" customWidth="1"/>
    <col min="8" max="8" width="0.77734375" style="165" customWidth="1"/>
    <col min="9" max="9" width="12.77734375" style="165" customWidth="1"/>
    <col min="10" max="10" width="1.77734375" style="165" customWidth="1"/>
    <col min="11" max="12" width="8.88671875" style="165"/>
    <col min="13" max="13" width="9" style="165" bestFit="1" customWidth="1"/>
    <col min="14" max="16384" width="8.88671875" style="165"/>
  </cols>
  <sheetData>
    <row r="1" spans="1:12" ht="15" x14ac:dyDescent="0.2">
      <c r="A1" s="164"/>
    </row>
    <row r="2" spans="1:12" ht="15" x14ac:dyDescent="0.2">
      <c r="A2" s="227"/>
      <c r="B2" s="166"/>
      <c r="C2" s="166"/>
      <c r="D2" s="166"/>
      <c r="E2" s="166"/>
      <c r="F2" s="166"/>
      <c r="G2" s="166"/>
      <c r="H2" s="166"/>
      <c r="I2" s="166"/>
      <c r="J2" s="167"/>
    </row>
    <row r="3" spans="1:12" ht="18" x14ac:dyDescent="0.25">
      <c r="A3" s="228"/>
      <c r="B3" s="474" t="s">
        <v>332</v>
      </c>
      <c r="C3" s="474"/>
      <c r="D3" s="474"/>
      <c r="E3" s="474"/>
      <c r="F3" s="474"/>
      <c r="G3" s="474"/>
      <c r="H3" s="474"/>
      <c r="I3" s="474"/>
      <c r="J3" s="168"/>
    </row>
    <row r="4" spans="1:12" ht="18" x14ac:dyDescent="0.25">
      <c r="A4" s="228"/>
      <c r="B4" s="475" t="s">
        <v>29</v>
      </c>
      <c r="C4" s="475"/>
      <c r="D4" s="475"/>
      <c r="E4" s="475"/>
      <c r="F4" s="475"/>
      <c r="G4" s="475"/>
      <c r="H4" s="475"/>
      <c r="I4" s="475"/>
      <c r="J4" s="168"/>
    </row>
    <row r="5" spans="1:12" ht="18" x14ac:dyDescent="0.2">
      <c r="A5" s="228"/>
      <c r="B5" s="476" t="str">
        <f>Adj!B1</f>
        <v>Cannonsburg Water District</v>
      </c>
      <c r="C5" s="476"/>
      <c r="D5" s="476"/>
      <c r="E5" s="476"/>
      <c r="F5" s="476"/>
      <c r="G5" s="476"/>
      <c r="H5" s="476"/>
      <c r="I5" s="476"/>
      <c r="J5" s="168"/>
      <c r="K5" s="169"/>
    </row>
    <row r="6" spans="1:12" ht="15" x14ac:dyDescent="0.2">
      <c r="A6" s="228"/>
      <c r="B6" s="477" t="s">
        <v>354</v>
      </c>
      <c r="C6" s="477"/>
      <c r="D6" s="477"/>
      <c r="E6" s="477"/>
      <c r="F6" s="477"/>
      <c r="G6" s="477"/>
      <c r="H6" s="477"/>
      <c r="I6" s="477"/>
      <c r="J6" s="168"/>
    </row>
    <row r="7" spans="1:12" ht="15" x14ac:dyDescent="0.2">
      <c r="A7" s="228"/>
      <c r="B7" s="170"/>
      <c r="C7" s="170"/>
      <c r="D7" s="170"/>
      <c r="E7" s="170"/>
      <c r="F7" s="170"/>
      <c r="G7" s="170"/>
      <c r="H7" s="171"/>
      <c r="I7" s="171"/>
      <c r="J7" s="168"/>
    </row>
    <row r="8" spans="1:12" ht="15" x14ac:dyDescent="0.2">
      <c r="A8" s="228"/>
      <c r="B8" s="172"/>
      <c r="C8" s="172"/>
      <c r="D8" s="172"/>
      <c r="E8" s="172"/>
      <c r="F8" s="172"/>
      <c r="G8" s="172"/>
      <c r="H8" s="171"/>
      <c r="I8" s="171"/>
      <c r="J8" s="168"/>
    </row>
    <row r="9" spans="1:12" ht="15.75" customHeight="1" x14ac:dyDescent="0.2">
      <c r="A9" s="228"/>
      <c r="B9" s="171"/>
      <c r="C9" s="473" t="s">
        <v>230</v>
      </c>
      <c r="D9" s="473"/>
      <c r="E9" s="473"/>
      <c r="F9" s="473"/>
      <c r="G9" s="473"/>
      <c r="H9" s="473"/>
      <c r="I9" s="473"/>
      <c r="J9" s="168"/>
    </row>
    <row r="10" spans="1:12" ht="15.75" customHeight="1" x14ac:dyDescent="0.2">
      <c r="A10" s="228"/>
      <c r="B10" s="171"/>
      <c r="C10" s="177"/>
      <c r="D10" s="171"/>
      <c r="E10" s="177" t="s">
        <v>231</v>
      </c>
      <c r="F10" s="171"/>
      <c r="G10" s="177" t="s">
        <v>232</v>
      </c>
      <c r="H10" s="171"/>
      <c r="I10" s="177" t="s">
        <v>234</v>
      </c>
      <c r="J10" s="168"/>
    </row>
    <row r="11" spans="1:12" ht="15" x14ac:dyDescent="0.2">
      <c r="A11" s="228"/>
      <c r="B11" s="180" t="s">
        <v>60</v>
      </c>
      <c r="C11" s="180" t="s">
        <v>30</v>
      </c>
      <c r="D11" s="171"/>
      <c r="E11" s="180" t="s">
        <v>31</v>
      </c>
      <c r="F11" s="171"/>
      <c r="G11" s="180" t="s">
        <v>31</v>
      </c>
      <c r="H11" s="171"/>
      <c r="I11" s="180" t="s">
        <v>235</v>
      </c>
      <c r="J11" s="168"/>
    </row>
    <row r="12" spans="1:12" ht="15" x14ac:dyDescent="0.2">
      <c r="A12" s="228"/>
      <c r="B12" s="173">
        <v>2023</v>
      </c>
      <c r="C12" s="174">
        <v>29543</v>
      </c>
      <c r="D12" s="174"/>
      <c r="E12" s="174">
        <v>40163</v>
      </c>
      <c r="F12" s="174"/>
      <c r="G12" s="174">
        <v>99</v>
      </c>
      <c r="H12" s="171"/>
      <c r="I12" s="171">
        <f>SUM(C12,E12,G12)</f>
        <v>69805</v>
      </c>
      <c r="J12" s="168"/>
      <c r="L12" s="165">
        <v>69805</v>
      </c>
    </row>
    <row r="13" spans="1:12" ht="15" x14ac:dyDescent="0.2">
      <c r="A13" s="228"/>
      <c r="B13" s="173">
        <v>2024</v>
      </c>
      <c r="C13" s="175">
        <v>30589</v>
      </c>
      <c r="D13" s="175"/>
      <c r="E13" s="175">
        <v>39467</v>
      </c>
      <c r="F13" s="175"/>
      <c r="G13" s="175">
        <v>93</v>
      </c>
      <c r="H13" s="171"/>
      <c r="I13" s="171">
        <f t="shared" ref="I13:I16" si="0">SUM(C13,E13,G13)</f>
        <v>70149</v>
      </c>
      <c r="J13" s="168"/>
      <c r="L13" s="165">
        <v>70149</v>
      </c>
    </row>
    <row r="14" spans="1:12" ht="15" x14ac:dyDescent="0.2">
      <c r="A14" s="228"/>
      <c r="B14" s="173">
        <v>2025</v>
      </c>
      <c r="C14" s="175">
        <v>31634</v>
      </c>
      <c r="D14" s="175"/>
      <c r="E14" s="175">
        <v>38747</v>
      </c>
      <c r="F14" s="175"/>
      <c r="G14" s="175">
        <v>88</v>
      </c>
      <c r="H14" s="171"/>
      <c r="I14" s="171">
        <f t="shared" si="0"/>
        <v>70469</v>
      </c>
      <c r="J14" s="168"/>
      <c r="L14" s="165">
        <v>70469</v>
      </c>
    <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>
      </c>
      <c r="F15" s="175"/>
      <c r="G15" s="175">
        <v>83</v>
      </c>
      <c r="H15" s="171"/>
      <c r="I15" s="171">
        <f t="shared" si="0"/>
        <v>70039</v>
      </c>
      <c r="J15" s="168"/>
      <c r="L15" s="165">
        <v>70039</v>
      </c>
    </row>
    <row r="16" spans="1:12" ht="15" x14ac:dyDescent="0.2">
      <c r="A16" s="228"/>
      <c r="B16" s="173">
        <v>2027</v>
      </c>
      <c r="C16" s="175">
        <v>33728</v>
      </c>
      <c r="D16" s="175"/>
      <c r="E16" s="175">
        <v>36478</v>
      </c>
      <c r="F16" s="175"/>
      <c r="G16" s="175">
        <v>77</v>
      </c>
      <c r="H16" s="171"/>
      <c r="I16" s="171">
        <f t="shared" si="0"/>
        <v>70283</v>
      </c>
      <c r="J16" s="168"/>
      <c r="L16" s="165">
        <v>70283</v>
      </c>
    </row>
    <row r="17" spans="1:10" ht="15" x14ac:dyDescent="0.2">
      <c r="A17" s="228"/>
      <c r="B17" s="173">
        <v>2028</v>
      </c>
      <c r="C17" s="181"/>
      <c r="D17" s="175"/>
      <c r="E17" s="181"/>
      <c r="F17" s="175"/>
      <c r="G17" s="181"/>
      <c r="H17" s="171"/>
      <c r="I17" s="179">
        <v>0</v>
      </c>
      <c r="J17" s="168"/>
    </row>
    <row r="18" spans="1:10" ht="15" x14ac:dyDescent="0.2">
      <c r="A18" s="228"/>
      <c r="B18" s="175"/>
      <c r="C18" s="175"/>
      <c r="D18" s="175"/>
      <c r="E18" s="175"/>
      <c r="F18" s="175"/>
      <c r="G18" s="171"/>
      <c r="H18" s="171"/>
      <c r="I18" s="171"/>
      <c r="J18" s="168"/>
    </row>
    <row r="19" spans="1:10" ht="15.75" thickBot="1" x14ac:dyDescent="0.25">
      <c r="A19" s="228"/>
      <c r="B19" s="177" t="s">
        <v>0</v>
      </c>
      <c r="C19" s="437">
        <f>SUM(C12:C18)</f>
        <v>158174</v>
      </c>
      <c r="D19" s="177"/>
      <c r="E19" s="437">
        <f>SUM(E12:E18)</f>
        <v>192131</v>
      </c>
      <c r="F19" s="177"/>
      <c r="G19" s="437">
        <f>SUM(G12:G18)</f>
        <v>440</v>
      </c>
      <c r="H19" s="171"/>
      <c r="I19" s="438">
        <f>SUM(I12:I17)</f>
        <v>350745</v>
      </c>
      <c r="J19" s="168"/>
    </row>
    <row r="20" spans="1:10" ht="16.5" thickTop="1" x14ac:dyDescent="0.25">
      <c r="A20" s="228"/>
      <c r="B20" s="176"/>
      <c r="C20" s="176"/>
      <c r="D20" s="176"/>
      <c r="E20" s="176"/>
      <c r="F20" s="176"/>
      <c r="G20" s="176"/>
      <c r="H20" s="171"/>
      <c r="I20" s="171"/>
      <c r="J20" s="168"/>
    </row>
    <row r="21" spans="1:10" ht="16.5" thickBot="1" x14ac:dyDescent="0.3">
      <c r="A21" s="228"/>
      <c r="B21" s="172" t="s">
        <v>233</v>
      </c>
      <c r="C21" s="438">
        <f>ROUND(C19/5,0)</f>
        <v>31635</v>
      </c>
      <c r="D21" s="176"/>
      <c r="E21" s="438">
        <f>ROUND(E19/5,0)</f>
        <v>38426</v>
      </c>
      <c r="F21" s="176"/>
      <c r="G21" s="438">
        <f>ROUND(G19/5,0)</f>
        <v>88</v>
      </c>
      <c r="H21" s="171"/>
      <c r="I21" s="438">
        <f>ROUND(I19/5,0)</f>
        <v>70149</v>
      </c>
      <c r="J21" s="168"/>
    </row>
    <row r="22" spans="1:10" ht="15.75" thickTop="1" x14ac:dyDescent="0.2">
      <c r="A22" s="229"/>
      <c r="B22" s="179"/>
      <c r="C22" s="179"/>
      <c r="D22" s="179"/>
      <c r="E22" s="179"/>
      <c r="F22" s="179"/>
      <c r="G22" s="179"/>
      <c r="H22" s="179"/>
      <c r="I22" s="179"/>
      <c r="J22" s="230"/>
    </row>
    <row r="23" spans="1:10" ht="15" x14ac:dyDescent="0.2">
      <c r="A23" s="164"/>
      <c r="B23" s="171"/>
      <c r="C23" s="171"/>
      <c r="D23" s="171"/>
      <c r="E23" s="171"/>
      <c r="F23" s="171"/>
      <c r="G23" s="171"/>
      <c r="H23" s="171"/>
    </row>
    <row r="24" spans="1:10" ht="15" x14ac:dyDescent="0.2">
      <c r="A24" s="164"/>
      <c r="B24" s="171"/>
      <c r="C24" s="171"/>
      <c r="D24" s="171"/>
      <c r="E24" s="171"/>
      <c r="F24" s="171"/>
      <c r="G24" s="171"/>
      <c r="H24" s="171"/>
    </row>
    <row r="25" spans="1:10" ht="15" x14ac:dyDescent="0.2">
      <c r="A25" s="164"/>
      <c r="B25" s="177"/>
      <c r="C25" s="177"/>
      <c r="D25" s="177"/>
      <c r="E25" s="177"/>
      <c r="F25" s="177"/>
      <c r="G25" s="177"/>
      <c r="H25" s="171"/>
    </row>
    <row r="26" spans="1:10" ht="15" x14ac:dyDescent="0.2">
      <c r="A26" s="164"/>
      <c r="B26" s="178"/>
      <c r="C26" s="178"/>
      <c r="D26" s="178"/>
      <c r="E26" s="178"/>
      <c r="F26" s="178"/>
      <c r="G26" s="178"/>
    </row>
  </sheetData>
  <mergeCells count="5">
    <mergeCell ref="C9:I9"/>
    <mergeCell ref="B3:I3"/>
    <mergeCell ref="B4:I4"/>
    <mergeCell ref="B5:I5"/>
    <mergeCell ref="B6:I6"/>
  </mergeCells>
  <printOptions horizontalCentered="1"/>
  <pageMargins left="0.6" right="0.5" top="1.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SAO - DSC</vt:lpstr>
      <vt:lpstr>SAO - Op Ratio</vt:lpstr>
      <vt:lpstr>Comp</vt:lpstr>
      <vt:lpstr>Adj</vt:lpstr>
      <vt:lpstr>WatPurch</vt:lpstr>
      <vt:lpstr>Dep Adj App</vt:lpstr>
      <vt:lpstr>Dep Adj </vt:lpstr>
      <vt:lpstr>Dep Sch App</vt:lpstr>
      <vt:lpstr>Debt Sch</vt:lpstr>
      <vt:lpstr>Rates Comp</vt:lpstr>
      <vt:lpstr>ExBA - Beg. Rates</vt:lpstr>
      <vt:lpstr>CurRates</vt:lpstr>
      <vt:lpstr>BA - PWA 2022-00242</vt:lpstr>
      <vt:lpstr>BA - 0.023 CN 2023-00098</vt:lpstr>
      <vt:lpstr>BA - PWA CN 2023-00243</vt:lpstr>
      <vt:lpstr>BA Adj</vt:lpstr>
      <vt:lpstr>PropBA - DSC</vt:lpstr>
      <vt:lpstr>PropBA - Op Ratio</vt:lpstr>
      <vt:lpstr>Table A</vt:lpstr>
      <vt:lpstr>Tble B</vt:lpstr>
      <vt:lpstr>Table C</vt:lpstr>
      <vt:lpstr>Table D</vt:lpstr>
      <vt:lpstr>Customer Notice</vt:lpstr>
      <vt:lpstr>CurRates!Print_Area</vt:lpstr>
      <vt:lpstr>'Debt Sch'!Print_Area</vt:lpstr>
      <vt:lpstr>'ExBA - Beg. Rates'!Print_Area</vt:lpstr>
      <vt:lpstr>'SAO - DSC'!Print_Area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Mark Frost</cp:lastModifiedBy>
  <cp:lastPrinted>2023-08-08T20:18:38Z</cp:lastPrinted>
  <dcterms:created xsi:type="dcterms:W3CDTF">2016-05-18T14:12:06Z</dcterms:created>
  <dcterms:modified xsi:type="dcterms:W3CDTF">2023-10-12T15:45:18Z</dcterms:modified>
</cp:coreProperties>
</file>