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ntgomery CountyNo. 1  ARF App/ARF Application Forms - Montgomery District No. 1/Responses DR 1/"/>
    </mc:Choice>
  </mc:AlternateContent>
  <xr:revisionPtr revIDLastSave="5" documentId="8_{FDDE8314-85EA-4C92-930F-9F4CFBD7BB8B}" xr6:coauthVersionLast="47" xr6:coauthVersionMax="47" xr10:uidLastSave="{961447B8-DE6F-4261-A00D-753986155E40}"/>
  <bookViews>
    <workbookView xWindow="-120" yWindow="-120" windowWidth="24240" windowHeight="13020" firstSheet="1" activeTab="4" xr2:uid="{CED4A6DE-961E-4653-9127-2A33A8BD5C7A}"/>
  </bookViews>
  <sheets>
    <sheet name="Beginning Rates" sheetId="1" r:id="rId1"/>
    <sheet name="BA - PWA 2022-00242" sheetId="4" r:id="rId2"/>
    <sheet name="BA - 0.023 CN 2023-00098" sheetId="2" r:id="rId3"/>
    <sheet name="BA - PWA CN 2023-00243" sheetId="3" r:id="rId4"/>
    <sheet name="BA - Requested Rates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5" l="1"/>
  <c r="B48" i="5"/>
  <c r="B47" i="5"/>
  <c r="D42" i="5"/>
  <c r="C42" i="5"/>
  <c r="C47" i="5" s="1"/>
  <c r="E7" i="5" s="1"/>
  <c r="B41" i="5"/>
  <c r="B50" i="5" s="1"/>
  <c r="F40" i="5"/>
  <c r="E40" i="5"/>
  <c r="I38" i="5"/>
  <c r="E38" i="5"/>
  <c r="G37" i="5"/>
  <c r="G41" i="5" s="1"/>
  <c r="F37" i="5"/>
  <c r="F41" i="5" s="1"/>
  <c r="E37" i="5"/>
  <c r="E39" i="5" s="1"/>
  <c r="L31" i="5"/>
  <c r="M31" i="5" s="1"/>
  <c r="O31" i="5" s="1"/>
  <c r="E50" i="5" s="1"/>
  <c r="L30" i="5"/>
  <c r="B30" i="5"/>
  <c r="L29" i="5"/>
  <c r="M29" i="5" s="1"/>
  <c r="O29" i="5" s="1"/>
  <c r="E48" i="5" s="1"/>
  <c r="B29" i="5"/>
  <c r="L28" i="5"/>
  <c r="B28" i="5"/>
  <c r="M27" i="5"/>
  <c r="D23" i="5"/>
  <c r="C23" i="5"/>
  <c r="C28" i="5" s="1"/>
  <c r="E6" i="5" s="1"/>
  <c r="E9" i="5" s="1"/>
  <c r="F22" i="5"/>
  <c r="E22" i="5"/>
  <c r="B22" i="5"/>
  <c r="B31" i="5" s="1"/>
  <c r="F21" i="5"/>
  <c r="E21" i="5"/>
  <c r="I19" i="5"/>
  <c r="E19" i="5"/>
  <c r="H18" i="5"/>
  <c r="G18" i="5"/>
  <c r="G22" i="5" s="1"/>
  <c r="H22" i="5" s="1"/>
  <c r="F18" i="5"/>
  <c r="E18" i="5"/>
  <c r="E20" i="5" s="1"/>
  <c r="G12" i="5"/>
  <c r="G10" i="5"/>
  <c r="A2" i="5"/>
  <c r="G12" i="3"/>
  <c r="G12" i="2"/>
  <c r="G12" i="4"/>
  <c r="E50" i="3"/>
  <c r="E49" i="3"/>
  <c r="B49" i="3"/>
  <c r="E48" i="3"/>
  <c r="B48" i="3"/>
  <c r="E47" i="3"/>
  <c r="B47" i="3"/>
  <c r="D42" i="3"/>
  <c r="C42" i="3"/>
  <c r="C47" i="3" s="1"/>
  <c r="B41" i="3"/>
  <c r="B50" i="3" s="1"/>
  <c r="F40" i="3"/>
  <c r="E40" i="3"/>
  <c r="E38" i="3"/>
  <c r="I38" i="3" s="1"/>
  <c r="G37" i="3"/>
  <c r="G41" i="3" s="1"/>
  <c r="F37" i="3"/>
  <c r="F41" i="3" s="1"/>
  <c r="E37" i="3"/>
  <c r="E39" i="3" s="1"/>
  <c r="K31" i="3"/>
  <c r="B31" i="3"/>
  <c r="K30" i="3"/>
  <c r="B30" i="3"/>
  <c r="K29" i="3"/>
  <c r="B29" i="3"/>
  <c r="B28" i="3"/>
  <c r="L23" i="3"/>
  <c r="D23" i="3"/>
  <c r="C23" i="3"/>
  <c r="C28" i="3" s="1"/>
  <c r="F22" i="3"/>
  <c r="E22" i="3"/>
  <c r="B22" i="3"/>
  <c r="F21" i="3"/>
  <c r="E21" i="3"/>
  <c r="E20" i="3"/>
  <c r="E23" i="3" s="1"/>
  <c r="D28" i="3" s="1"/>
  <c r="I19" i="3"/>
  <c r="E19" i="3"/>
  <c r="H18" i="3"/>
  <c r="G18" i="3"/>
  <c r="G22" i="3" s="1"/>
  <c r="F18" i="3"/>
  <c r="E18" i="3"/>
  <c r="G10" i="3"/>
  <c r="P9" i="3"/>
  <c r="R8" i="3"/>
  <c r="Q8" i="3"/>
  <c r="Q7" i="3"/>
  <c r="Q6" i="3"/>
  <c r="Q9" i="3" s="1"/>
  <c r="Q10" i="3" s="1"/>
  <c r="A2" i="3"/>
  <c r="E50" i="2"/>
  <c r="E49" i="2"/>
  <c r="B49" i="2"/>
  <c r="E48" i="2"/>
  <c r="B48" i="2"/>
  <c r="E47" i="2"/>
  <c r="B47" i="2"/>
  <c r="D42" i="2"/>
  <c r="C42" i="2"/>
  <c r="C47" i="2" s="1"/>
  <c r="B41" i="2"/>
  <c r="B50" i="2" s="1"/>
  <c r="F40" i="2"/>
  <c r="E40" i="2"/>
  <c r="G40" i="2" s="1"/>
  <c r="G42" i="2" s="1"/>
  <c r="D49" i="2" s="1"/>
  <c r="F49" i="2" s="1"/>
  <c r="I38" i="2"/>
  <c r="E38" i="2"/>
  <c r="G37" i="2"/>
  <c r="G41" i="2" s="1"/>
  <c r="F37" i="2"/>
  <c r="F41" i="2" s="1"/>
  <c r="E37" i="2"/>
  <c r="E39" i="2" s="1"/>
  <c r="B30" i="2"/>
  <c r="B29" i="2"/>
  <c r="C28" i="2"/>
  <c r="E6" i="2" s="1"/>
  <c r="B28" i="2"/>
  <c r="L23" i="2"/>
  <c r="D23" i="2"/>
  <c r="C23" i="2"/>
  <c r="G22" i="2"/>
  <c r="F22" i="2"/>
  <c r="H22" i="2" s="1"/>
  <c r="E22" i="2"/>
  <c r="I22" i="2" s="1"/>
  <c r="B22" i="2"/>
  <c r="B31" i="2" s="1"/>
  <c r="E20" i="2"/>
  <c r="E19" i="2"/>
  <c r="I19" i="2" s="1"/>
  <c r="H18" i="2"/>
  <c r="G18" i="2"/>
  <c r="F18" i="2"/>
  <c r="F21" i="2" s="1"/>
  <c r="E18" i="2"/>
  <c r="E21" i="2" s="1"/>
  <c r="G10" i="2"/>
  <c r="P9" i="2"/>
  <c r="R8" i="2"/>
  <c r="Q8" i="2"/>
  <c r="Q7" i="2"/>
  <c r="Q6" i="2"/>
  <c r="Q9" i="2" s="1"/>
  <c r="Q10" i="2" s="1"/>
  <c r="A2" i="2"/>
  <c r="E50" i="4"/>
  <c r="E49" i="4"/>
  <c r="B49" i="4"/>
  <c r="E48" i="4"/>
  <c r="B48" i="4"/>
  <c r="E47" i="4"/>
  <c r="B47" i="4"/>
  <c r="D42" i="4"/>
  <c r="C42" i="4"/>
  <c r="C47" i="4" s="1"/>
  <c r="B41" i="4"/>
  <c r="B50" i="4" s="1"/>
  <c r="F40" i="4"/>
  <c r="E40" i="4"/>
  <c r="I38" i="4"/>
  <c r="E38" i="4"/>
  <c r="G37" i="4"/>
  <c r="G41" i="4" s="1"/>
  <c r="F37" i="4"/>
  <c r="F41" i="4" s="1"/>
  <c r="E37" i="4"/>
  <c r="E39" i="4" s="1"/>
  <c r="K31" i="4"/>
  <c r="B31" i="4"/>
  <c r="K30" i="4"/>
  <c r="B30" i="4"/>
  <c r="K29" i="4"/>
  <c r="B29" i="4"/>
  <c r="B28" i="4"/>
  <c r="L23" i="4"/>
  <c r="G10" i="4" s="1"/>
  <c r="D23" i="4"/>
  <c r="C23" i="4"/>
  <c r="C28" i="4" s="1"/>
  <c r="F22" i="4"/>
  <c r="E22" i="4"/>
  <c r="B22" i="4"/>
  <c r="F21" i="4"/>
  <c r="E21" i="4"/>
  <c r="E20" i="4"/>
  <c r="F20" i="4" s="1"/>
  <c r="F23" i="4" s="1"/>
  <c r="D29" i="4" s="1"/>
  <c r="F29" i="4" s="1"/>
  <c r="I19" i="4"/>
  <c r="E19" i="4"/>
  <c r="G18" i="4"/>
  <c r="G22" i="4" s="1"/>
  <c r="F18" i="4"/>
  <c r="E18" i="4"/>
  <c r="P9" i="4"/>
  <c r="R8" i="4"/>
  <c r="Q8" i="4"/>
  <c r="Q7" i="4"/>
  <c r="Q6" i="4"/>
  <c r="Q9" i="4" s="1"/>
  <c r="Q10" i="4" s="1"/>
  <c r="A2" i="4"/>
  <c r="E50" i="1"/>
  <c r="B50" i="1"/>
  <c r="E49" i="1"/>
  <c r="B49" i="1"/>
  <c r="E48" i="1"/>
  <c r="B48" i="1"/>
  <c r="E47" i="1"/>
  <c r="F47" i="1" s="1"/>
  <c r="C47" i="1"/>
  <c r="B47" i="1"/>
  <c r="D42" i="1"/>
  <c r="C42" i="1"/>
  <c r="H41" i="1"/>
  <c r="D50" i="1" s="1"/>
  <c r="F50" i="1" s="1"/>
  <c r="G41" i="1"/>
  <c r="F41" i="1"/>
  <c r="E41" i="1"/>
  <c r="I41" i="1" s="1"/>
  <c r="B41" i="1"/>
  <c r="I38" i="1"/>
  <c r="E38" i="1"/>
  <c r="G37" i="1"/>
  <c r="H37" i="1" s="1"/>
  <c r="F37" i="1"/>
  <c r="F40" i="1" s="1"/>
  <c r="E37" i="1"/>
  <c r="E39" i="1" s="1"/>
  <c r="K31" i="1"/>
  <c r="K30" i="1"/>
  <c r="B30" i="1"/>
  <c r="K29" i="1"/>
  <c r="B29" i="1"/>
  <c r="B28" i="1"/>
  <c r="L23" i="1"/>
  <c r="G10" i="1" s="1"/>
  <c r="D23" i="1"/>
  <c r="C23" i="1"/>
  <c r="C28" i="1" s="1"/>
  <c r="E22" i="1"/>
  <c r="B22" i="1"/>
  <c r="B31" i="1" s="1"/>
  <c r="E19" i="1"/>
  <c r="I19" i="1" s="1"/>
  <c r="G18" i="1"/>
  <c r="G22" i="1" s="1"/>
  <c r="F18" i="1"/>
  <c r="F22" i="1" s="1"/>
  <c r="E18" i="1"/>
  <c r="H18" i="1" s="1"/>
  <c r="Q9" i="1"/>
  <c r="Q10" i="1" s="1"/>
  <c r="P9" i="1"/>
  <c r="R8" i="1"/>
  <c r="Q8" i="1"/>
  <c r="Q7" i="1"/>
  <c r="E7" i="1"/>
  <c r="Q6" i="1"/>
  <c r="A2" i="1"/>
  <c r="F20" i="5" l="1"/>
  <c r="F23" i="5" s="1"/>
  <c r="D29" i="5" s="1"/>
  <c r="F29" i="5" s="1"/>
  <c r="E23" i="5"/>
  <c r="D28" i="5" s="1"/>
  <c r="I20" i="5"/>
  <c r="O28" i="5"/>
  <c r="I21" i="5"/>
  <c r="I23" i="5" s="1"/>
  <c r="O30" i="5"/>
  <c r="E49" i="5" s="1"/>
  <c r="D31" i="5"/>
  <c r="F31" i="5" s="1"/>
  <c r="H23" i="5"/>
  <c r="I22" i="5"/>
  <c r="F39" i="5"/>
  <c r="F42" i="5" s="1"/>
  <c r="D48" i="5" s="1"/>
  <c r="F48" i="5" s="1"/>
  <c r="M28" i="5"/>
  <c r="G40" i="5"/>
  <c r="G42" i="5" s="1"/>
  <c r="D49" i="5" s="1"/>
  <c r="G21" i="5"/>
  <c r="G23" i="5" s="1"/>
  <c r="D30" i="5" s="1"/>
  <c r="M30" i="5"/>
  <c r="E41" i="5"/>
  <c r="H37" i="5"/>
  <c r="F6" i="3"/>
  <c r="F47" i="3"/>
  <c r="E7" i="3"/>
  <c r="H22" i="3"/>
  <c r="F39" i="3"/>
  <c r="F42" i="3" s="1"/>
  <c r="D48" i="3" s="1"/>
  <c r="F48" i="3" s="1"/>
  <c r="E6" i="3"/>
  <c r="F28" i="3"/>
  <c r="F20" i="3"/>
  <c r="F23" i="3" s="1"/>
  <c r="D29" i="3" s="1"/>
  <c r="F29" i="3" s="1"/>
  <c r="I20" i="3"/>
  <c r="G40" i="3"/>
  <c r="G42" i="3" s="1"/>
  <c r="D49" i="3" s="1"/>
  <c r="F49" i="3" s="1"/>
  <c r="G21" i="3"/>
  <c r="G23" i="3" s="1"/>
  <c r="D30" i="3" s="1"/>
  <c r="F30" i="3" s="1"/>
  <c r="E41" i="3"/>
  <c r="H37" i="3"/>
  <c r="G21" i="2"/>
  <c r="G23" i="2" s="1"/>
  <c r="D30" i="2" s="1"/>
  <c r="F30" i="2" s="1"/>
  <c r="E7" i="2"/>
  <c r="F47" i="2"/>
  <c r="F39" i="2"/>
  <c r="F42" i="2" s="1"/>
  <c r="D48" i="2" s="1"/>
  <c r="F48" i="2" s="1"/>
  <c r="E42" i="2"/>
  <c r="D47" i="2" s="1"/>
  <c r="D31" i="2"/>
  <c r="F31" i="2" s="1"/>
  <c r="H23" i="2"/>
  <c r="E9" i="2"/>
  <c r="F28" i="2"/>
  <c r="I40" i="2"/>
  <c r="F20" i="2"/>
  <c r="F23" i="2" s="1"/>
  <c r="D29" i="2" s="1"/>
  <c r="F29" i="2" s="1"/>
  <c r="E41" i="2"/>
  <c r="E23" i="2"/>
  <c r="D28" i="2" s="1"/>
  <c r="H37" i="2"/>
  <c r="F47" i="4"/>
  <c r="E7" i="4"/>
  <c r="H22" i="4"/>
  <c r="E42" i="4"/>
  <c r="D47" i="4" s="1"/>
  <c r="F39" i="4"/>
  <c r="F42" i="4" s="1"/>
  <c r="D48" i="4" s="1"/>
  <c r="F48" i="4" s="1"/>
  <c r="F28" i="4"/>
  <c r="E6" i="4"/>
  <c r="E9" i="4" s="1"/>
  <c r="I20" i="4"/>
  <c r="G40" i="4"/>
  <c r="G42" i="4" s="1"/>
  <c r="D49" i="4" s="1"/>
  <c r="F49" i="4" s="1"/>
  <c r="E23" i="4"/>
  <c r="D28" i="4" s="1"/>
  <c r="G21" i="4"/>
  <c r="G23" i="4" s="1"/>
  <c r="D30" i="4" s="1"/>
  <c r="F30" i="4" s="1"/>
  <c r="E41" i="4"/>
  <c r="H37" i="4"/>
  <c r="H18" i="4"/>
  <c r="F39" i="1"/>
  <c r="F42" i="1" s="1"/>
  <c r="D48" i="1" s="1"/>
  <c r="F48" i="1" s="1"/>
  <c r="H22" i="1"/>
  <c r="E6" i="1"/>
  <c r="E9" i="1" s="1"/>
  <c r="F28" i="1"/>
  <c r="E20" i="1"/>
  <c r="I22" i="1"/>
  <c r="E40" i="1"/>
  <c r="E42" i="1" s="1"/>
  <c r="D47" i="1" s="1"/>
  <c r="E21" i="1"/>
  <c r="H42" i="1"/>
  <c r="F21" i="1"/>
  <c r="H41" i="5" l="1"/>
  <c r="F30" i="5"/>
  <c r="F47" i="5"/>
  <c r="F28" i="5"/>
  <c r="F49" i="5"/>
  <c r="I40" i="5"/>
  <c r="E42" i="5"/>
  <c r="D47" i="5" s="1"/>
  <c r="F6" i="5"/>
  <c r="D32" i="5"/>
  <c r="I39" i="5"/>
  <c r="D31" i="3"/>
  <c r="F31" i="3" s="1"/>
  <c r="H23" i="3"/>
  <c r="I40" i="3"/>
  <c r="H41" i="3"/>
  <c r="I21" i="3"/>
  <c r="I23" i="3" s="1"/>
  <c r="I39" i="3"/>
  <c r="F32" i="3"/>
  <c r="G6" i="3" s="1"/>
  <c r="I22" i="3"/>
  <c r="E9" i="3"/>
  <c r="E42" i="3"/>
  <c r="D47" i="3" s="1"/>
  <c r="F6" i="2"/>
  <c r="D32" i="2"/>
  <c r="I39" i="2"/>
  <c r="H41" i="2"/>
  <c r="I41" i="2" s="1"/>
  <c r="I20" i="2"/>
  <c r="F7" i="2"/>
  <c r="F32" i="2"/>
  <c r="G6" i="2" s="1"/>
  <c r="I21" i="2"/>
  <c r="F7" i="4"/>
  <c r="I39" i="4"/>
  <c r="H41" i="4"/>
  <c r="D31" i="4"/>
  <c r="F31" i="4" s="1"/>
  <c r="F32" i="4" s="1"/>
  <c r="G6" i="4" s="1"/>
  <c r="H23" i="4"/>
  <c r="I40" i="4"/>
  <c r="D32" i="4"/>
  <c r="F6" i="4"/>
  <c r="F9" i="4" s="1"/>
  <c r="I22" i="4"/>
  <c r="I21" i="4"/>
  <c r="F7" i="1"/>
  <c r="E23" i="1"/>
  <c r="D28" i="1" s="1"/>
  <c r="F20" i="1"/>
  <c r="F23" i="1" s="1"/>
  <c r="D29" i="1" s="1"/>
  <c r="F29" i="1" s="1"/>
  <c r="F32" i="1" s="1"/>
  <c r="G6" i="1" s="1"/>
  <c r="D31" i="1"/>
  <c r="F31" i="1" s="1"/>
  <c r="H23" i="1"/>
  <c r="I39" i="1"/>
  <c r="G40" i="1"/>
  <c r="G42" i="1" s="1"/>
  <c r="D49" i="1" s="1"/>
  <c r="F49" i="1" s="1"/>
  <c r="F51" i="1" s="1"/>
  <c r="G7" i="1" s="1"/>
  <c r="R7" i="1" s="1"/>
  <c r="G21" i="1"/>
  <c r="G23" i="1" s="1"/>
  <c r="D30" i="1" s="1"/>
  <c r="F30" i="1" s="1"/>
  <c r="F32" i="5" l="1"/>
  <c r="G6" i="5" s="1"/>
  <c r="D50" i="5"/>
  <c r="F50" i="5" s="1"/>
  <c r="F51" i="5" s="1"/>
  <c r="G7" i="5" s="1"/>
  <c r="H42" i="5"/>
  <c r="D51" i="5"/>
  <c r="F7" i="5"/>
  <c r="F9" i="5" s="1"/>
  <c r="I41" i="5"/>
  <c r="I42" i="5" s="1"/>
  <c r="D50" i="3"/>
  <c r="F50" i="3" s="1"/>
  <c r="F51" i="3" s="1"/>
  <c r="G7" i="3" s="1"/>
  <c r="R7" i="3" s="1"/>
  <c r="H42" i="3"/>
  <c r="R6" i="3"/>
  <c r="G9" i="3"/>
  <c r="I41" i="3"/>
  <c r="I42" i="3" s="1"/>
  <c r="D51" i="3"/>
  <c r="F7" i="3"/>
  <c r="F9" i="3" s="1"/>
  <c r="D32" i="3"/>
  <c r="R6" i="2"/>
  <c r="I23" i="2"/>
  <c r="I42" i="2"/>
  <c r="D50" i="2"/>
  <c r="H42" i="2"/>
  <c r="F9" i="2"/>
  <c r="R6" i="4"/>
  <c r="R12" i="4"/>
  <c r="Q12" i="4"/>
  <c r="R13" i="4" s="1"/>
  <c r="D50" i="4"/>
  <c r="H42" i="4"/>
  <c r="I41" i="4"/>
  <c r="I42" i="4" s="1"/>
  <c r="I23" i="4"/>
  <c r="R6" i="1"/>
  <c r="G9" i="1"/>
  <c r="I20" i="1"/>
  <c r="I40" i="1"/>
  <c r="I42" i="1" s="1"/>
  <c r="F6" i="1"/>
  <c r="F9" i="1" s="1"/>
  <c r="D32" i="1"/>
  <c r="I21" i="1"/>
  <c r="D51" i="1"/>
  <c r="G9" i="5" l="1"/>
  <c r="G11" i="5" s="1"/>
  <c r="G13" i="5" s="1"/>
  <c r="R12" i="3"/>
  <c r="Q12" i="3"/>
  <c r="R13" i="3" s="1"/>
  <c r="G11" i="3"/>
  <c r="G13" i="3" s="1"/>
  <c r="R9" i="3"/>
  <c r="R10" i="3" s="1"/>
  <c r="R12" i="2"/>
  <c r="Q12" i="2"/>
  <c r="R13" i="2" s="1"/>
  <c r="F50" i="2"/>
  <c r="F51" i="2" s="1"/>
  <c r="G7" i="2" s="1"/>
  <c r="D51" i="2"/>
  <c r="F50" i="4"/>
  <c r="F51" i="4" s="1"/>
  <c r="G7" i="4" s="1"/>
  <c r="D51" i="4"/>
  <c r="I23" i="1"/>
  <c r="R12" i="1"/>
  <c r="Q12" i="1"/>
  <c r="R13" i="1" s="1"/>
  <c r="R9" i="1"/>
  <c r="R10" i="1" s="1"/>
  <c r="G11" i="1"/>
  <c r="G13" i="1" s="1"/>
  <c r="R7" i="2" l="1"/>
  <c r="G9" i="2"/>
  <c r="R7" i="4"/>
  <c r="G9" i="4"/>
  <c r="R9" i="2" l="1"/>
  <c r="R10" i="2" s="1"/>
  <c r="G11" i="2"/>
  <c r="G13" i="2" s="1"/>
  <c r="G11" i="4"/>
  <c r="G13" i="4" s="1"/>
  <c r="R9" i="4"/>
  <c r="R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Frost</author>
  </authors>
  <commentList>
    <comment ref="K31" authorId="0" shapeId="0" xr:uid="{9B313587-0A23-48D2-8E85-2304FC1CA0D2}">
      <text>
        <r>
          <rPr>
            <b/>
            <sz val="9"/>
            <color indexed="81"/>
            <rFont val="Tahoma"/>
            <family val="2"/>
          </rPr>
          <t>Mark Frost: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Frost</author>
  </authors>
  <commentList>
    <comment ref="K31" authorId="0" shapeId="0" xr:uid="{F4D83697-B4DF-4B33-9B1E-19EBB27B646F}">
      <text>
        <r>
          <rPr>
            <b/>
            <sz val="9"/>
            <color indexed="81"/>
            <rFont val="Tahoma"/>
            <family val="2"/>
          </rPr>
          <t>Mark Frost: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Frost</author>
  </authors>
  <commentList>
    <comment ref="K31" authorId="0" shapeId="0" xr:uid="{93916350-F7A0-49B8-8FC7-EC8B945C3C09}">
      <text>
        <r>
          <rPr>
            <b/>
            <sz val="9"/>
            <color indexed="81"/>
            <rFont val="Tahoma"/>
            <family val="2"/>
          </rPr>
          <t>Mark Frost: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<sst xmlns="http://schemas.openxmlformats.org/spreadsheetml/2006/main" count="382" uniqueCount="46">
  <si>
    <t>CURRENT BILLING ANALYSIS - 2022 USAGE &amp;  RATES EFFECTIVE January 1, 2022</t>
  </si>
  <si>
    <t xml:space="preserve">  SUMMARY  </t>
  </si>
  <si>
    <t>PSC</t>
  </si>
  <si>
    <t>Rate</t>
  </si>
  <si>
    <t>Billing</t>
  </si>
  <si>
    <t>No. of Bills</t>
  </si>
  <si>
    <t>Gallons Sold</t>
  </si>
  <si>
    <t>Revenue</t>
  </si>
  <si>
    <t>Report</t>
  </si>
  <si>
    <t>Analysis</t>
  </si>
  <si>
    <t>Residential</t>
  </si>
  <si>
    <t xml:space="preserve">     5/8" X 3/4" Meters</t>
  </si>
  <si>
    <t>Commercial</t>
  </si>
  <si>
    <t xml:space="preserve">     1" Meters</t>
  </si>
  <si>
    <t xml:space="preserve">     2" Meters</t>
  </si>
  <si>
    <t>Totals</t>
  </si>
  <si>
    <t>Less applicable billeing adjustments</t>
  </si>
  <si>
    <t>Pro Forma Retail Sales Revenue</t>
  </si>
  <si>
    <t>Total - 2020</t>
  </si>
  <si>
    <t>Less:  Reported Revenue - Water Sales</t>
  </si>
  <si>
    <t>Normalization Adj.</t>
  </si>
  <si>
    <t>Residential:</t>
  </si>
  <si>
    <t>First</t>
  </si>
  <si>
    <t>Next</t>
  </si>
  <si>
    <t>Over</t>
  </si>
  <si>
    <t>Total</t>
  </si>
  <si>
    <t>Billing Error</t>
  </si>
  <si>
    <t>Usage</t>
  </si>
  <si>
    <t>Bills</t>
  </si>
  <si>
    <t>Gallons</t>
  </si>
  <si>
    <t>General Adjustment</t>
  </si>
  <si>
    <t>Leak Adjustment</t>
  </si>
  <si>
    <t>Misread Meter Adjustment</t>
  </si>
  <si>
    <t>Penalty Adjustment</t>
  </si>
  <si>
    <t>Pool Sewer Adjustment</t>
  </si>
  <si>
    <t>TOTALS</t>
  </si>
  <si>
    <t>Total Adjustments</t>
  </si>
  <si>
    <t>REVENUE BY RATE INCREMENT</t>
  </si>
  <si>
    <t xml:space="preserve">Rate </t>
  </si>
  <si>
    <t>TOTAL</t>
  </si>
  <si>
    <t>,</t>
  </si>
  <si>
    <t>CURRENT BILLING ANALYSIS - 2022 USAGE &amp; PWA Rates Case No. 2022-00242</t>
  </si>
  <si>
    <t>Less:  Normalized Revenue - Water Sales</t>
  </si>
  <si>
    <t>CURRENT BILLING ANALYSIS - 2022 USAGE &amp; 0.023 RATES Case No. 2023-00098</t>
  </si>
  <si>
    <t>CURRENT BILLING ANALYSIS - 2022 USAGE &amp; PWA RATES Case No. 2023-00243</t>
  </si>
  <si>
    <t>CURRENT BILLING ANALYSIS - 2022 USAGE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</si>
</sst>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#,##0.00000_);\(#,##0.00000\)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39" fontId="2" fillId="0" borderId="0" xfId="0" applyNumberFormat="1" applyFont="1"/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164" fontId="2" fillId="0" borderId="0" xfId="1" applyNumberFormat="1" applyFont="1"/>
    <xf numFmtId="0" fontId="4" fillId="0" borderId="6" xfId="0" applyFont="1" applyBorder="1" applyAlignment="1">
      <alignment horizontal="center"/>
    </xf>
    <xf numFmtId="0" fontId="5" fillId="0" borderId="0" xfId="0" applyFont="1"/>
    <xf numFmtId="164" fontId="6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6" fillId="0" borderId="0" xfId="1" applyFont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43" fontId="6" fillId="0" borderId="0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164" fontId="2" fillId="0" borderId="0" xfId="1" applyNumberFormat="1" applyFont="1" applyBorder="1"/>
    <xf numFmtId="165" fontId="2" fillId="0" borderId="0" xfId="2" applyNumberFormat="1" applyFont="1" applyBorder="1"/>
    <xf numFmtId="165" fontId="2" fillId="0" borderId="5" xfId="0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6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6" fillId="0" borderId="5" xfId="1" applyNumberFormat="1" applyFont="1" applyBorder="1"/>
    <xf numFmtId="39" fontId="2" fillId="0" borderId="0" xfId="2" applyNumberFormat="1" applyFont="1"/>
    <xf numFmtId="164" fontId="2" fillId="0" borderId="0" xfId="1" applyNumberFormat="1" applyFont="1" applyBorder="1" applyAlignment="1">
      <alignment horizontal="left"/>
    </xf>
    <xf numFmtId="164" fontId="2" fillId="0" borderId="5" xfId="0" applyNumberFormat="1" applyFont="1" applyBorder="1"/>
    <xf numFmtId="3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164" fontId="2" fillId="2" borderId="0" xfId="0" applyNumberFormat="1" applyFont="1" applyFill="1"/>
    <xf numFmtId="164" fontId="2" fillId="2" borderId="5" xfId="0" applyNumberFormat="1" applyFont="1" applyFill="1" applyBorder="1"/>
    <xf numFmtId="164" fontId="2" fillId="0" borderId="7" xfId="1" applyNumberFormat="1" applyFont="1" applyFill="1" applyBorder="1"/>
    <xf numFmtId="165" fontId="2" fillId="2" borderId="5" xfId="0" applyNumberFormat="1" applyFont="1" applyFill="1" applyBorder="1"/>
    <xf numFmtId="164" fontId="2" fillId="0" borderId="0" xfId="1" applyNumberFormat="1" applyFont="1" applyFill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9" fontId="3" fillId="0" borderId="0" xfId="0" applyNumberFormat="1" applyFont="1"/>
    <xf numFmtId="39" fontId="2" fillId="0" borderId="0" xfId="1" applyNumberFormat="1" applyFont="1"/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/>
    <xf numFmtId="164" fontId="0" fillId="0" borderId="7" xfId="1" applyNumberFormat="1" applyFont="1" applyBorder="1"/>
    <xf numFmtId="164" fontId="0" fillId="0" borderId="9" xfId="0" applyNumberFormat="1" applyBorder="1"/>
    <xf numFmtId="39" fontId="0" fillId="0" borderId="0" xfId="0" applyNumberFormat="1"/>
    <xf numFmtId="0" fontId="0" fillId="0" borderId="4" xfId="0" applyBorder="1"/>
    <xf numFmtId="164" fontId="0" fillId="0" borderId="0" xfId="1" applyNumberFormat="1" applyFont="1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2" applyNumberFormat="1" applyFont="1" applyBorder="1"/>
    <xf numFmtId="37" fontId="0" fillId="0" borderId="0" xfId="2" applyNumberFormat="1" applyFont="1" applyBorder="1"/>
    <xf numFmtId="166" fontId="2" fillId="0" borderId="0" xfId="0" applyNumberFormat="1" applyFont="1"/>
    <xf numFmtId="164" fontId="0" fillId="0" borderId="6" xfId="0" applyNumberFormat="1" applyBorder="1"/>
    <xf numFmtId="37" fontId="0" fillId="0" borderId="6" xfId="2" applyNumberFormat="1" applyFont="1" applyBorder="1"/>
    <xf numFmtId="165" fontId="0" fillId="0" borderId="7" xfId="2" applyNumberFormat="1" applyFont="1" applyBorder="1"/>
    <xf numFmtId="0" fontId="3" fillId="0" borderId="4" xfId="0" applyFont="1" applyBorder="1"/>
    <xf numFmtId="0" fontId="2" fillId="0" borderId="10" xfId="0" applyFont="1" applyBorder="1"/>
    <xf numFmtId="0" fontId="2" fillId="0" borderId="8" xfId="0" applyFont="1" applyBorder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0" fontId="2" fillId="0" borderId="0" xfId="0" applyNumberFormat="1" applyFont="1"/>
    <xf numFmtId="167" fontId="2" fillId="0" borderId="0" xfId="0" applyNumberFormat="1" applyFont="1"/>
  </cellXfs>
  <cellStyles count="3">
    <cellStyle name="Comma 2" xfId="1" xr:uid="{DF543A58-E81A-4CBA-9865-4BCE17EEB593}"/>
    <cellStyle name="Currency 2" xfId="2" xr:uid="{BD863F80-D5D3-4C94-943F-BD9E84A509C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dba73962b2cd367/Documents/Montgomery%20CountyNo.%201%20%20ARF%20App/ARF%20Application%20Forms%20-%20Montgomery%20District%20No.%201/Responses%20DR%201/9a_Excel_Workpapers.xlsx" TargetMode="External"/><Relationship Id="rId1" Type="http://schemas.openxmlformats.org/officeDocument/2006/relationships/externalLinkPath" Target="9a_Excel_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O - DSC"/>
      <sheetName val="SAO - Op Ratio"/>
      <sheetName val="Comp"/>
      <sheetName val="Adj"/>
      <sheetName val="WatPurch"/>
      <sheetName val="Dep Adj App"/>
      <sheetName val="Dep Adj "/>
      <sheetName val="Dep Sch App"/>
      <sheetName val="Debt Sch"/>
      <sheetName val="Rates Comp"/>
      <sheetName val="ExBA - Beg. Rates"/>
      <sheetName val="CurRates"/>
      <sheetName val="BA - PWA 2022-00242"/>
      <sheetName val="BA - 0.023 CN 2023-00098"/>
      <sheetName val="BA - PWA CN 2023-00243"/>
      <sheetName val="BA Adj"/>
      <sheetName val="PropBA - DSC"/>
      <sheetName val="PropBA - Op Ratio"/>
      <sheetName val="Table A"/>
      <sheetName val="Tble B"/>
      <sheetName val="Table C"/>
      <sheetName val="Table D"/>
      <sheetName val="Customer Notice"/>
    </sheetNames>
    <sheetDataSet>
      <sheetData sheetId="0">
        <row r="4">
          <cell r="C4" t="str">
            <v>Cannonsburg Water District</v>
          </cell>
        </row>
        <row r="9">
          <cell r="F9">
            <v>345210</v>
          </cell>
        </row>
        <row r="53">
          <cell r="L53">
            <v>505617.35349999997</v>
          </cell>
        </row>
        <row r="56">
          <cell r="L56">
            <v>0.30480000000000002</v>
          </cell>
        </row>
      </sheetData>
      <sheetData sheetId="1"/>
      <sheetData sheetId="2"/>
      <sheetData sheetId="3">
        <row r="1">
          <cell r="B1" t="str">
            <v>Cannonsburg Water District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E28">
            <v>27.22</v>
          </cell>
        </row>
        <row r="29">
          <cell r="E29">
            <v>8.94E-3</v>
          </cell>
        </row>
        <row r="30">
          <cell r="E30">
            <v>8.1300000000000001E-3</v>
          </cell>
        </row>
        <row r="31">
          <cell r="E31">
            <v>7.3200000000000001E-3</v>
          </cell>
        </row>
      </sheetData>
      <sheetData sheetId="15">
        <row r="33">
          <cell r="E33">
            <v>-4480.7000000000007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03E4-F271-41F3-AED0-6978C180E8E8}">
  <dimension ref="A1:T52"/>
  <sheetViews>
    <sheetView workbookViewId="0">
      <selection activeCell="G12" sqref="G12"/>
    </sheetView>
  </sheetViews>
  <sheetFormatPr defaultColWidth="11.42578125" defaultRowHeight="15" x14ac:dyDescent="0.25"/>
  <cols>
    <col min="1" max="1" width="10.85546875" style="4" customWidth="1"/>
    <col min="2" max="2" width="9.7109375" style="4" customWidth="1"/>
    <col min="3" max="3" width="10.28515625" style="4" customWidth="1"/>
    <col min="4" max="9" width="20.28515625" style="4" customWidth="1"/>
    <col min="10" max="10" width="11.85546875" style="4" bestFit="1" customWidth="1"/>
    <col min="11" max="11" width="27.85546875" style="4" customWidth="1"/>
    <col min="12" max="12" width="14.7109375" style="5" customWidth="1"/>
    <col min="13" max="13" width="11.5703125" style="4" bestFit="1" customWidth="1"/>
    <col min="14" max="15" width="11.42578125" style="4"/>
    <col min="16" max="16" width="12.7109375" style="4" customWidth="1"/>
    <col min="17" max="17" width="12.140625" style="4" customWidth="1"/>
    <col min="18" max="18" width="13.140625" style="4" bestFit="1" customWidth="1"/>
    <col min="19" max="16384" width="11.42578125" style="4"/>
  </cols>
  <sheetData>
    <row r="1" spans="1:20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20" ht="18.75" x14ac:dyDescent="0.25">
      <c r="A2" s="6" t="str">
        <f>'[1]SAO - DSC'!C4</f>
        <v>Cannonsburg Water District</v>
      </c>
      <c r="B2" s="7"/>
      <c r="C2" s="7"/>
      <c r="D2" s="7"/>
      <c r="E2" s="7"/>
      <c r="F2" s="7"/>
      <c r="G2" s="7"/>
      <c r="H2" s="7"/>
      <c r="I2" s="8"/>
    </row>
    <row r="3" spans="1:20" x14ac:dyDescent="0.25">
      <c r="A3" s="9"/>
      <c r="I3" s="10"/>
      <c r="M3" s="11"/>
    </row>
    <row r="4" spans="1:20" ht="17.25" x14ac:dyDescent="0.4">
      <c r="A4" s="9"/>
      <c r="C4" s="12" t="s">
        <v>1</v>
      </c>
      <c r="D4" s="12"/>
      <c r="E4" s="12"/>
      <c r="F4" s="12"/>
      <c r="G4" s="12"/>
      <c r="I4" s="10"/>
      <c r="J4" s="13"/>
      <c r="M4" s="14"/>
      <c r="N4" s="15"/>
      <c r="O4" s="16"/>
      <c r="P4" s="17" t="s">
        <v>2</v>
      </c>
      <c r="Q4" s="17" t="s">
        <v>3</v>
      </c>
      <c r="R4" s="18" t="s">
        <v>4</v>
      </c>
      <c r="S4" s="19"/>
      <c r="T4" s="19"/>
    </row>
    <row r="5" spans="1:20" ht="17.25" x14ac:dyDescent="0.4">
      <c r="A5" s="9"/>
      <c r="C5" s="20"/>
      <c r="D5" s="21"/>
      <c r="E5" s="22" t="s">
        <v>5</v>
      </c>
      <c r="F5" s="22" t="s">
        <v>6</v>
      </c>
      <c r="G5" s="22" t="s">
        <v>7</v>
      </c>
      <c r="H5" s="23"/>
      <c r="I5" s="10"/>
      <c r="M5" s="24"/>
      <c r="N5" s="9"/>
      <c r="P5" s="25" t="s">
        <v>8</v>
      </c>
      <c r="Q5" s="25" t="s">
        <v>9</v>
      </c>
      <c r="R5" s="26" t="s">
        <v>9</v>
      </c>
      <c r="S5" s="19"/>
      <c r="T5" s="19"/>
    </row>
    <row r="6" spans="1:20" x14ac:dyDescent="0.25">
      <c r="A6" s="9"/>
      <c r="C6" s="4" t="s">
        <v>10</v>
      </c>
      <c r="E6" s="27">
        <f>C28</f>
        <v>7965</v>
      </c>
      <c r="F6" s="27">
        <f>D28</f>
        <v>13099240</v>
      </c>
      <c r="G6" s="28">
        <f>F32</f>
        <v>309315.94999999995</v>
      </c>
      <c r="H6" s="28"/>
      <c r="I6" s="10"/>
      <c r="N6" s="9" t="s">
        <v>11</v>
      </c>
      <c r="Q6" s="28">
        <f>2523865+25441</f>
        <v>2549306</v>
      </c>
      <c r="R6" s="29">
        <f>G6</f>
        <v>309315.94999999995</v>
      </c>
    </row>
    <row r="7" spans="1:20" x14ac:dyDescent="0.25">
      <c r="A7" s="9"/>
      <c r="C7" s="4" t="s">
        <v>12</v>
      </c>
      <c r="E7" s="27">
        <f>C47</f>
        <v>656</v>
      </c>
      <c r="F7" s="27">
        <f>D47</f>
        <v>693140</v>
      </c>
      <c r="G7" s="27">
        <f>F51</f>
        <v>29012.28</v>
      </c>
      <c r="H7" s="27"/>
      <c r="I7" s="10"/>
      <c r="N7" s="9" t="s">
        <v>13</v>
      </c>
      <c r="Q7" s="27">
        <f>47173+18227</f>
        <v>65400</v>
      </c>
      <c r="R7" s="30">
        <f>G7</f>
        <v>29012.28</v>
      </c>
    </row>
    <row r="8" spans="1:20" ht="17.25" x14ac:dyDescent="0.4">
      <c r="A8" s="9"/>
      <c r="E8" s="31"/>
      <c r="F8" s="32"/>
      <c r="G8" s="31"/>
      <c r="H8" s="27"/>
      <c r="I8" s="10"/>
      <c r="N8" s="9" t="s">
        <v>14</v>
      </c>
      <c r="Q8" s="33">
        <f>46170+110949</f>
        <v>157119</v>
      </c>
      <c r="R8" s="34">
        <f>G8</f>
        <v>0</v>
      </c>
    </row>
    <row r="9" spans="1:20" x14ac:dyDescent="0.25">
      <c r="A9" s="9"/>
      <c r="C9" s="4" t="s">
        <v>15</v>
      </c>
      <c r="E9" s="24">
        <f>SUM(E6:E8)</f>
        <v>8621</v>
      </c>
      <c r="F9" s="27">
        <f>SUM(F6:F8)</f>
        <v>13792380</v>
      </c>
      <c r="G9" s="28">
        <f>SUM(G6:G8)</f>
        <v>338328.23</v>
      </c>
      <c r="H9" s="28"/>
      <c r="I9" s="10"/>
      <c r="K9" s="24"/>
      <c r="L9" s="35"/>
      <c r="N9" s="9" t="s">
        <v>15</v>
      </c>
      <c r="P9" s="28">
        <f>'[1]SAO - DSC'!F9</f>
        <v>345210</v>
      </c>
      <c r="Q9" s="27">
        <f>SUM(Q6:Q8)</f>
        <v>2771825</v>
      </c>
      <c r="R9" s="30">
        <f>G9</f>
        <v>338328.23</v>
      </c>
    </row>
    <row r="10" spans="1:20" x14ac:dyDescent="0.25">
      <c r="A10" s="9"/>
      <c r="C10" s="36" t="s">
        <v>16</v>
      </c>
      <c r="G10" s="31">
        <f>L23</f>
        <v>-4481</v>
      </c>
      <c r="H10" s="27"/>
      <c r="I10" s="37"/>
      <c r="N10" s="9"/>
      <c r="P10" s="28"/>
      <c r="Q10" s="24">
        <f>Q9-P9</f>
        <v>2426615</v>
      </c>
      <c r="R10" s="37">
        <f>R9-Q9</f>
        <v>-2433496.77</v>
      </c>
    </row>
    <row r="11" spans="1:20" x14ac:dyDescent="0.25">
      <c r="A11" s="9"/>
      <c r="C11" s="38" t="s">
        <v>17</v>
      </c>
      <c r="G11" s="39">
        <f>G9+G10</f>
        <v>333847.23</v>
      </c>
      <c r="H11" s="39"/>
      <c r="I11" s="29"/>
      <c r="N11" s="9" t="s">
        <v>18</v>
      </c>
      <c r="P11" s="28">
        <v>2587900</v>
      </c>
      <c r="R11" s="10"/>
    </row>
    <row r="12" spans="1:20" x14ac:dyDescent="0.25">
      <c r="A12" s="9"/>
      <c r="C12" s="4" t="s">
        <v>19</v>
      </c>
      <c r="F12" s="40"/>
      <c r="G12" s="31">
        <v>-345210</v>
      </c>
      <c r="I12" s="29"/>
      <c r="N12" s="9"/>
      <c r="Q12" s="41">
        <f>F9/1000*0.09</f>
        <v>1241.3141999999998</v>
      </c>
      <c r="R12" s="42">
        <f>F9/1000*0.18</f>
        <v>2482.6283999999996</v>
      </c>
      <c r="S12"/>
    </row>
    <row r="13" spans="1:20" ht="15.75" thickBot="1" x14ac:dyDescent="0.3">
      <c r="A13" s="9"/>
      <c r="C13" s="4" t="s">
        <v>20</v>
      </c>
      <c r="F13" s="40"/>
      <c r="G13" s="43">
        <f>SUM(G11:G12)</f>
        <v>-11362.770000000019</v>
      </c>
      <c r="I13" s="29"/>
      <c r="N13" s="9"/>
      <c r="R13" s="44">
        <f>P9+Q12+R12</f>
        <v>348933.94260000001</v>
      </c>
    </row>
    <row r="14" spans="1:20" ht="15.75" thickTop="1" x14ac:dyDescent="0.25">
      <c r="A14" s="9"/>
      <c r="F14" s="40"/>
      <c r="G14" s="45"/>
      <c r="I14" s="29"/>
      <c r="N14" s="9"/>
      <c r="R14" s="10"/>
    </row>
    <row r="15" spans="1:20" x14ac:dyDescent="0.25">
      <c r="A15" s="9"/>
      <c r="I15" s="10"/>
    </row>
    <row r="16" spans="1:20" x14ac:dyDescent="0.25">
      <c r="A16" s="9" t="s">
        <v>21</v>
      </c>
      <c r="I16" s="10"/>
    </row>
    <row r="17" spans="1:12" ht="15.75" x14ac:dyDescent="0.25">
      <c r="A17" s="46"/>
      <c r="B17" s="47"/>
      <c r="C17" s="47"/>
      <c r="D17" s="47"/>
      <c r="E17" s="47" t="s">
        <v>22</v>
      </c>
      <c r="F17" s="47" t="s">
        <v>23</v>
      </c>
      <c r="G17" s="48" t="s">
        <v>23</v>
      </c>
      <c r="H17" s="47" t="s">
        <v>24</v>
      </c>
      <c r="I17" s="49" t="s">
        <v>25</v>
      </c>
      <c r="K17" s="50" t="s">
        <v>26</v>
      </c>
      <c r="L17" s="51">
        <v>-692.07</v>
      </c>
    </row>
    <row r="18" spans="1:12" ht="15.75" x14ac:dyDescent="0.25">
      <c r="A18" s="46"/>
      <c r="B18" s="52" t="s">
        <v>27</v>
      </c>
      <c r="C18" s="52" t="s">
        <v>28</v>
      </c>
      <c r="D18" s="52" t="s">
        <v>29</v>
      </c>
      <c r="E18" s="53">
        <f>B19</f>
        <v>2000</v>
      </c>
      <c r="F18" s="53">
        <f>B20</f>
        <v>3000</v>
      </c>
      <c r="G18" s="54">
        <f>B21</f>
        <v>5000</v>
      </c>
      <c r="H18" s="55">
        <f>SUM(E18:G18)</f>
        <v>10000</v>
      </c>
      <c r="I18" s="56"/>
      <c r="K18" s="50" t="s">
        <v>30</v>
      </c>
      <c r="L18" s="51">
        <v>-1376.6</v>
      </c>
    </row>
    <row r="19" spans="1:12" ht="15.75" x14ac:dyDescent="0.25">
      <c r="A19" s="46" t="s">
        <v>22</v>
      </c>
      <c r="B19" s="48">
        <v>2000</v>
      </c>
      <c r="C19" s="57">
        <v>2848</v>
      </c>
      <c r="D19" s="57">
        <v>2865240</v>
      </c>
      <c r="E19" s="57">
        <f>D19</f>
        <v>2865240</v>
      </c>
      <c r="F19" s="57">
        <v>0</v>
      </c>
      <c r="G19" s="48">
        <v>0</v>
      </c>
      <c r="H19" s="57">
        <v>0</v>
      </c>
      <c r="I19" s="58">
        <f>SUM(E19:H19)</f>
        <v>2865240</v>
      </c>
      <c r="K19" s="50" t="s">
        <v>31</v>
      </c>
      <c r="L19" s="51">
        <v>-1053.5899999999999</v>
      </c>
    </row>
    <row r="20" spans="1:12" ht="15.75" x14ac:dyDescent="0.25">
      <c r="A20" s="46" t="s">
        <v>23</v>
      </c>
      <c r="B20" s="48">
        <v>3000</v>
      </c>
      <c r="C20" s="57">
        <v>3562</v>
      </c>
      <c r="D20" s="57">
        <v>11559720</v>
      </c>
      <c r="E20" s="57">
        <f>$C20*E$18</f>
        <v>7124000</v>
      </c>
      <c r="F20" s="57">
        <f>D20-E20</f>
        <v>4435720</v>
      </c>
      <c r="G20" s="48">
        <v>0</v>
      </c>
      <c r="H20" s="57">
        <v>0</v>
      </c>
      <c r="I20" s="58">
        <f t="shared" ref="I20:I22" si="0">SUM(E20:H20)</f>
        <v>11559720</v>
      </c>
      <c r="K20" s="50" t="s">
        <v>32</v>
      </c>
      <c r="L20" s="5">
        <v>-1320.84</v>
      </c>
    </row>
    <row r="21" spans="1:12" ht="15.75" x14ac:dyDescent="0.25">
      <c r="A21" s="46" t="s">
        <v>23</v>
      </c>
      <c r="B21" s="48">
        <v>5000</v>
      </c>
      <c r="C21" s="57">
        <v>1198</v>
      </c>
      <c r="D21" s="57">
        <v>7846570</v>
      </c>
      <c r="E21" s="57">
        <f t="shared" ref="E21:G22" si="1">$C21*E$18</f>
        <v>2396000</v>
      </c>
      <c r="F21" s="57">
        <f t="shared" si="1"/>
        <v>3594000</v>
      </c>
      <c r="G21" s="48">
        <f>D21-E21-F21</f>
        <v>1856570</v>
      </c>
      <c r="H21" s="57">
        <v>0</v>
      </c>
      <c r="I21" s="58">
        <f t="shared" si="0"/>
        <v>7846570</v>
      </c>
      <c r="K21" s="50" t="s">
        <v>33</v>
      </c>
      <c r="L21" s="5">
        <v>-5.79</v>
      </c>
    </row>
    <row r="22" spans="1:12" ht="15.75" x14ac:dyDescent="0.25">
      <c r="A22" s="46" t="s">
        <v>24</v>
      </c>
      <c r="B22" s="48">
        <f>SUM(B19:B21)</f>
        <v>10000</v>
      </c>
      <c r="C22" s="57">
        <v>357</v>
      </c>
      <c r="D22" s="57">
        <v>7741880</v>
      </c>
      <c r="E22" s="57">
        <f t="shared" si="1"/>
        <v>714000</v>
      </c>
      <c r="F22" s="57">
        <f t="shared" si="1"/>
        <v>1071000</v>
      </c>
      <c r="G22" s="57">
        <f t="shared" si="1"/>
        <v>1785000</v>
      </c>
      <c r="H22" s="57">
        <f>D22-E22-F22-G22</f>
        <v>4171880</v>
      </c>
      <c r="I22" s="58">
        <f t="shared" si="0"/>
        <v>7741880</v>
      </c>
      <c r="K22" s="50" t="s">
        <v>34</v>
      </c>
      <c r="L22" s="50">
        <v>-31.81</v>
      </c>
    </row>
    <row r="23" spans="1:12" ht="16.5" thickBot="1" x14ac:dyDescent="0.3">
      <c r="A23" s="46"/>
      <c r="B23" t="s">
        <v>35</v>
      </c>
      <c r="C23" s="59">
        <f t="shared" ref="C23:I23" si="2">SUM(C19:C22)</f>
        <v>7965</v>
      </c>
      <c r="D23" s="59">
        <f t="shared" si="2"/>
        <v>30013410</v>
      </c>
      <c r="E23" s="59">
        <f t="shared" si="2"/>
        <v>13099240</v>
      </c>
      <c r="F23" s="59">
        <f t="shared" si="2"/>
        <v>9100720</v>
      </c>
      <c r="G23" s="60">
        <f t="shared" si="2"/>
        <v>3641570</v>
      </c>
      <c r="H23" s="59">
        <f t="shared" si="2"/>
        <v>4171880</v>
      </c>
      <c r="I23" s="61">
        <f t="shared" si="2"/>
        <v>30013410</v>
      </c>
      <c r="K23" s="50" t="s">
        <v>36</v>
      </c>
      <c r="L23" s="62">
        <f>ROUND(SUM(L17:L22),0)</f>
        <v>-4481</v>
      </c>
    </row>
    <row r="24" spans="1:12" ht="15.75" thickTop="1" x14ac:dyDescent="0.25">
      <c r="A24" s="63"/>
      <c r="B24"/>
      <c r="C24"/>
      <c r="D24"/>
      <c r="E24"/>
      <c r="F24"/>
      <c r="G24" s="64"/>
      <c r="H24"/>
      <c r="I24" s="65"/>
    </row>
    <row r="25" spans="1:12" x14ac:dyDescent="0.25">
      <c r="A25" s="63"/>
      <c r="B25" t="s">
        <v>37</v>
      </c>
      <c r="C25"/>
      <c r="D25"/>
      <c r="E25"/>
      <c r="F25"/>
      <c r="G25" s="64"/>
      <c r="H25"/>
      <c r="I25" s="65"/>
    </row>
    <row r="26" spans="1:12" x14ac:dyDescent="0.25">
      <c r="A26" s="63"/>
      <c r="B26"/>
      <c r="C26"/>
      <c r="D26"/>
      <c r="E26"/>
      <c r="F26"/>
      <c r="G26" s="64"/>
      <c r="H26"/>
      <c r="I26" s="65"/>
    </row>
    <row r="27" spans="1:12" x14ac:dyDescent="0.25">
      <c r="A27" s="63"/>
      <c r="B27" s="66"/>
      <c r="C27" s="66" t="s">
        <v>28</v>
      </c>
      <c r="D27" s="66" t="s">
        <v>29</v>
      </c>
      <c r="E27" s="66" t="s">
        <v>38</v>
      </c>
      <c r="F27" s="66" t="s">
        <v>7</v>
      </c>
      <c r="G27" s="64"/>
      <c r="H27"/>
      <c r="I27" s="65"/>
    </row>
    <row r="28" spans="1:12" x14ac:dyDescent="0.25">
      <c r="A28" s="46" t="s">
        <v>22</v>
      </c>
      <c r="B28" s="57">
        <f>B19</f>
        <v>2000</v>
      </c>
      <c r="C28" s="67">
        <f>C23</f>
        <v>7965</v>
      </c>
      <c r="D28" s="67">
        <f>E23</f>
        <v>13099240</v>
      </c>
      <c r="E28" s="68">
        <v>23.63</v>
      </c>
      <c r="F28" s="69">
        <f>E28*C28</f>
        <v>188212.94999999998</v>
      </c>
      <c r="G28" s="64"/>
      <c r="H28"/>
      <c r="I28" s="65"/>
    </row>
    <row r="29" spans="1:12" x14ac:dyDescent="0.25">
      <c r="A29" s="46" t="s">
        <v>23</v>
      </c>
      <c r="B29" s="57">
        <f t="shared" ref="B29:B31" si="3">B20</f>
        <v>3000</v>
      </c>
      <c r="C29"/>
      <c r="D29" s="67">
        <f>F23</f>
        <v>9100720</v>
      </c>
      <c r="E29" s="70">
        <v>7.6699999999999997E-3</v>
      </c>
      <c r="F29" s="71">
        <f>ROUND(D29*E29,0)</f>
        <v>69803</v>
      </c>
      <c r="G29" s="64"/>
      <c r="H29"/>
      <c r="I29" s="65"/>
      <c r="K29" s="72">
        <f>E29/1000</f>
        <v>7.6699999999999994E-6</v>
      </c>
    </row>
    <row r="30" spans="1:12" x14ac:dyDescent="0.25">
      <c r="A30" s="46" t="s">
        <v>23</v>
      </c>
      <c r="B30" s="57">
        <f t="shared" si="3"/>
        <v>5000</v>
      </c>
      <c r="C30"/>
      <c r="D30" s="67">
        <f>G23</f>
        <v>3641570</v>
      </c>
      <c r="E30" s="70">
        <v>6.9499999999999996E-3</v>
      </c>
      <c r="F30" s="71">
        <f t="shared" ref="F30:F31" si="4">ROUND(D30*E30,0)</f>
        <v>25309</v>
      </c>
      <c r="G30" s="64"/>
      <c r="H30"/>
      <c r="I30" s="65"/>
      <c r="K30" s="72">
        <f t="shared" ref="K30:K31" si="5">E30/1000</f>
        <v>6.9499999999999995E-6</v>
      </c>
    </row>
    <row r="31" spans="1:12" x14ac:dyDescent="0.25">
      <c r="A31" s="46" t="s">
        <v>24</v>
      </c>
      <c r="B31" s="57">
        <f t="shared" si="3"/>
        <v>10000</v>
      </c>
      <c r="C31" s="66"/>
      <c r="D31" s="73">
        <f>H22</f>
        <v>4171880</v>
      </c>
      <c r="E31" s="70">
        <v>6.2300000000000003E-3</v>
      </c>
      <c r="F31" s="74">
        <f t="shared" si="4"/>
        <v>25991</v>
      </c>
      <c r="G31" s="64"/>
      <c r="H31"/>
      <c r="I31" s="65"/>
      <c r="K31" s="72">
        <f t="shared" si="5"/>
        <v>6.2300000000000005E-6</v>
      </c>
    </row>
    <row r="32" spans="1:12" ht="15.75" thickBot="1" x14ac:dyDescent="0.3">
      <c r="A32" s="63"/>
      <c r="B32" t="s">
        <v>39</v>
      </c>
      <c r="C32"/>
      <c r="D32" s="59">
        <f>SUM(D28:D31)</f>
        <v>30013410</v>
      </c>
      <c r="E32"/>
      <c r="F32" s="75">
        <f>SUM(F28:F31)</f>
        <v>309315.94999999995</v>
      </c>
      <c r="G32" s="64"/>
      <c r="H32"/>
      <c r="I32" s="65" t="s">
        <v>40</v>
      </c>
    </row>
    <row r="33" spans="1:9" ht="15.75" thickTop="1" x14ac:dyDescent="0.25">
      <c r="A33" s="63"/>
      <c r="B33"/>
      <c r="C33"/>
      <c r="D33"/>
      <c r="E33"/>
      <c r="F33"/>
      <c r="G33" s="64"/>
      <c r="H33"/>
      <c r="I33" s="65"/>
    </row>
    <row r="34" spans="1:9" x14ac:dyDescent="0.25">
      <c r="A34" s="63"/>
      <c r="B34"/>
      <c r="C34"/>
      <c r="D34"/>
      <c r="E34"/>
      <c r="F34"/>
      <c r="G34" s="64"/>
      <c r="H34"/>
      <c r="I34" s="65"/>
    </row>
    <row r="35" spans="1:9" ht="15.75" x14ac:dyDescent="0.25">
      <c r="A35" s="76" t="s">
        <v>12</v>
      </c>
      <c r="B35"/>
      <c r="C35"/>
      <c r="D35"/>
      <c r="E35"/>
      <c r="F35"/>
      <c r="G35" s="64"/>
      <c r="H35"/>
      <c r="I35" s="65"/>
    </row>
    <row r="36" spans="1:9" x14ac:dyDescent="0.25">
      <c r="A36" s="46"/>
      <c r="B36" s="47"/>
      <c r="C36" s="47"/>
      <c r="D36" s="47"/>
      <c r="E36" s="47" t="s">
        <v>22</v>
      </c>
      <c r="F36" s="47" t="s">
        <v>23</v>
      </c>
      <c r="G36" s="48" t="s">
        <v>23</v>
      </c>
      <c r="H36" s="47" t="s">
        <v>24</v>
      </c>
      <c r="I36" s="49" t="s">
        <v>25</v>
      </c>
    </row>
    <row r="37" spans="1:9" x14ac:dyDescent="0.25">
      <c r="A37" s="46"/>
      <c r="B37" s="52" t="s">
        <v>27</v>
      </c>
      <c r="C37" s="52" t="s">
        <v>28</v>
      </c>
      <c r="D37" s="52" t="s">
        <v>29</v>
      </c>
      <c r="E37" s="53">
        <f>B38</f>
        <v>2000</v>
      </c>
      <c r="F37" s="53">
        <f>B39</f>
        <v>3000</v>
      </c>
      <c r="G37" s="54">
        <f>B40</f>
        <v>5000</v>
      </c>
      <c r="H37" s="55">
        <f>SUM(E37:G37)</f>
        <v>10000</v>
      </c>
      <c r="I37" s="56"/>
    </row>
    <row r="38" spans="1:9" x14ac:dyDescent="0.25">
      <c r="A38" s="46" t="s">
        <v>22</v>
      </c>
      <c r="B38" s="48">
        <v>2000</v>
      </c>
      <c r="C38" s="57">
        <v>441</v>
      </c>
      <c r="D38" s="57">
        <v>263140</v>
      </c>
      <c r="E38" s="57">
        <f>D38</f>
        <v>263140</v>
      </c>
      <c r="F38" s="57">
        <v>0</v>
      </c>
      <c r="G38" s="48">
        <v>0</v>
      </c>
      <c r="H38" s="57">
        <v>0</v>
      </c>
      <c r="I38" s="58">
        <f>SUM(E38:H38)</f>
        <v>263140</v>
      </c>
    </row>
    <row r="39" spans="1:9" x14ac:dyDescent="0.25">
      <c r="A39" s="46" t="s">
        <v>23</v>
      </c>
      <c r="B39" s="48">
        <v>3000</v>
      </c>
      <c r="C39" s="57">
        <v>89</v>
      </c>
      <c r="D39" s="57">
        <v>289820</v>
      </c>
      <c r="E39" s="57">
        <f>$C39*E$37</f>
        <v>178000</v>
      </c>
      <c r="F39" s="57">
        <f>D39-E39</f>
        <v>111820</v>
      </c>
      <c r="G39" s="48">
        <v>0</v>
      </c>
      <c r="H39" s="57">
        <v>0</v>
      </c>
      <c r="I39" s="58">
        <f t="shared" ref="I39:I41" si="6">SUM(E39:H39)</f>
        <v>289820</v>
      </c>
    </row>
    <row r="40" spans="1:9" x14ac:dyDescent="0.25">
      <c r="A40" s="46" t="s">
        <v>23</v>
      </c>
      <c r="B40" s="48">
        <v>5000</v>
      </c>
      <c r="C40" s="57">
        <v>53</v>
      </c>
      <c r="D40" s="57">
        <v>337910</v>
      </c>
      <c r="E40" s="57">
        <f t="shared" ref="E40:G41" si="7">$C40*E$37</f>
        <v>106000</v>
      </c>
      <c r="F40" s="57">
        <f t="shared" si="7"/>
        <v>159000</v>
      </c>
      <c r="G40" s="48">
        <f>D40-E40-F40</f>
        <v>72910</v>
      </c>
      <c r="H40" s="57">
        <v>0</v>
      </c>
      <c r="I40" s="58">
        <f t="shared" si="6"/>
        <v>337910</v>
      </c>
    </row>
    <row r="41" spans="1:9" x14ac:dyDescent="0.25">
      <c r="A41" s="46" t="s">
        <v>24</v>
      </c>
      <c r="B41" s="48">
        <f>SUM(B38:B40)</f>
        <v>10000</v>
      </c>
      <c r="C41" s="57">
        <v>73</v>
      </c>
      <c r="D41" s="57">
        <v>1807180</v>
      </c>
      <c r="E41" s="57">
        <f t="shared" si="7"/>
        <v>146000</v>
      </c>
      <c r="F41" s="57">
        <f t="shared" si="7"/>
        <v>219000</v>
      </c>
      <c r="G41" s="57">
        <f t="shared" si="7"/>
        <v>365000</v>
      </c>
      <c r="H41" s="57">
        <f>D41-E41-F41-G41</f>
        <v>1077180</v>
      </c>
      <c r="I41" s="58">
        <f t="shared" si="6"/>
        <v>1807180</v>
      </c>
    </row>
    <row r="42" spans="1:9" ht="15.75" thickBot="1" x14ac:dyDescent="0.3">
      <c r="A42" s="46"/>
      <c r="B42" t="s">
        <v>35</v>
      </c>
      <c r="C42" s="59">
        <f t="shared" ref="C42:I42" si="8">SUM(C38:C41)</f>
        <v>656</v>
      </c>
      <c r="D42" s="59">
        <f t="shared" si="8"/>
        <v>2698050</v>
      </c>
      <c r="E42" s="59">
        <f t="shared" si="8"/>
        <v>693140</v>
      </c>
      <c r="F42" s="59">
        <f t="shared" si="8"/>
        <v>489820</v>
      </c>
      <c r="G42" s="60">
        <f t="shared" si="8"/>
        <v>437910</v>
      </c>
      <c r="H42" s="59">
        <f t="shared" si="8"/>
        <v>1077180</v>
      </c>
      <c r="I42" s="61">
        <f t="shared" si="8"/>
        <v>2698050</v>
      </c>
    </row>
    <row r="43" spans="1:9" ht="15.75" thickTop="1" x14ac:dyDescent="0.25">
      <c r="A43" s="63"/>
      <c r="B43"/>
      <c r="C43"/>
      <c r="D43"/>
      <c r="E43"/>
      <c r="F43"/>
      <c r="G43" s="64"/>
      <c r="H43"/>
      <c r="I43" s="65"/>
    </row>
    <row r="44" spans="1:9" x14ac:dyDescent="0.25">
      <c r="A44" s="63"/>
      <c r="B44" t="s">
        <v>37</v>
      </c>
      <c r="C44"/>
      <c r="D44"/>
      <c r="E44"/>
      <c r="F44"/>
      <c r="G44" s="64"/>
      <c r="H44"/>
      <c r="I44" s="65"/>
    </row>
    <row r="45" spans="1:9" x14ac:dyDescent="0.25">
      <c r="A45" s="63"/>
      <c r="B45"/>
      <c r="C45"/>
      <c r="D45"/>
      <c r="E45"/>
      <c r="F45"/>
      <c r="G45" s="64"/>
      <c r="H45"/>
      <c r="I45" s="65"/>
    </row>
    <row r="46" spans="1:9" x14ac:dyDescent="0.25">
      <c r="A46" s="63"/>
      <c r="B46" s="66"/>
      <c r="C46" s="66" t="s">
        <v>28</v>
      </c>
      <c r="D46" s="66" t="s">
        <v>29</v>
      </c>
      <c r="E46" s="66" t="s">
        <v>38</v>
      </c>
      <c r="F46" s="66" t="s">
        <v>7</v>
      </c>
      <c r="G46" s="64"/>
      <c r="H46"/>
      <c r="I46" s="65"/>
    </row>
    <row r="47" spans="1:9" x14ac:dyDescent="0.25">
      <c r="A47" s="46" t="s">
        <v>22</v>
      </c>
      <c r="B47" s="57">
        <f>B38</f>
        <v>2000</v>
      </c>
      <c r="C47" s="67">
        <f>C42</f>
        <v>656</v>
      </c>
      <c r="D47" s="67">
        <f>E42</f>
        <v>693140</v>
      </c>
      <c r="E47" s="68">
        <f>E28</f>
        <v>23.63</v>
      </c>
      <c r="F47" s="69">
        <f>E47*C47</f>
        <v>15501.279999999999</v>
      </c>
      <c r="G47" s="64"/>
      <c r="H47"/>
      <c r="I47" s="65"/>
    </row>
    <row r="48" spans="1:9" x14ac:dyDescent="0.25">
      <c r="A48" s="46" t="s">
        <v>23</v>
      </c>
      <c r="B48" s="57">
        <f t="shared" ref="B48:B50" si="9">B39</f>
        <v>3000</v>
      </c>
      <c r="C48"/>
      <c r="D48" s="67">
        <f>F42</f>
        <v>489820</v>
      </c>
      <c r="E48" s="70">
        <f t="shared" ref="E48:E50" si="10">E29</f>
        <v>7.6699999999999997E-3</v>
      </c>
      <c r="F48" s="71">
        <f>ROUND(D48*E48,0)</f>
        <v>3757</v>
      </c>
      <c r="G48" s="64"/>
      <c r="H48"/>
      <c r="I48" s="65"/>
    </row>
    <row r="49" spans="1:9" x14ac:dyDescent="0.25">
      <c r="A49" s="46" t="s">
        <v>23</v>
      </c>
      <c r="B49" s="57">
        <f t="shared" si="9"/>
        <v>5000</v>
      </c>
      <c r="C49"/>
      <c r="D49" s="67">
        <f>G42</f>
        <v>437910</v>
      </c>
      <c r="E49" s="70">
        <f t="shared" si="10"/>
        <v>6.9499999999999996E-3</v>
      </c>
      <c r="F49" s="71">
        <f t="shared" ref="F49:F50" si="11">ROUND(D49*E49,0)</f>
        <v>3043</v>
      </c>
      <c r="G49" s="64"/>
      <c r="H49"/>
      <c r="I49" s="65"/>
    </row>
    <row r="50" spans="1:9" x14ac:dyDescent="0.25">
      <c r="A50" s="46" t="s">
        <v>24</v>
      </c>
      <c r="B50" s="57">
        <f t="shared" si="9"/>
        <v>10000</v>
      </c>
      <c r="C50" s="66"/>
      <c r="D50" s="73">
        <f>H41</f>
        <v>1077180</v>
      </c>
      <c r="E50" s="70">
        <f t="shared" si="10"/>
        <v>6.2300000000000003E-3</v>
      </c>
      <c r="F50" s="74">
        <f t="shared" si="11"/>
        <v>6711</v>
      </c>
      <c r="G50" s="64"/>
      <c r="H50"/>
      <c r="I50" s="65"/>
    </row>
    <row r="51" spans="1:9" ht="15.75" thickBot="1" x14ac:dyDescent="0.3">
      <c r="A51" s="63"/>
      <c r="B51" t="s">
        <v>39</v>
      </c>
      <c r="C51"/>
      <c r="D51" s="59">
        <f>SUM(D47:D50)</f>
        <v>2698050</v>
      </c>
      <c r="E51"/>
      <c r="F51" s="75">
        <f>SUM(F47:F50)</f>
        <v>29012.28</v>
      </c>
      <c r="G51" s="64"/>
      <c r="H51"/>
      <c r="I51" s="65" t="s">
        <v>40</v>
      </c>
    </row>
    <row r="52" spans="1:9" ht="15.75" thickTop="1" x14ac:dyDescent="0.25">
      <c r="A52" s="77"/>
      <c r="B52" s="21"/>
      <c r="C52" s="21"/>
      <c r="D52" s="21"/>
      <c r="E52" s="21"/>
      <c r="F52" s="21"/>
      <c r="G52" s="21"/>
      <c r="H52" s="21"/>
      <c r="I52" s="78"/>
    </row>
  </sheetData>
  <mergeCells count="3">
    <mergeCell ref="A1:I1"/>
    <mergeCell ref="A2:I2"/>
    <mergeCell ref="C4:G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9208-3F62-4DE7-9FA2-60214649D1DB}">
  <dimension ref="A1:T52"/>
  <sheetViews>
    <sheetView workbookViewId="0">
      <selection activeCell="G13" sqref="G13"/>
    </sheetView>
  </sheetViews>
  <sheetFormatPr defaultColWidth="11.42578125" defaultRowHeight="15" x14ac:dyDescent="0.25"/>
  <cols>
    <col min="1" max="1" width="10.85546875" style="4" customWidth="1"/>
    <col min="2" max="2" width="9.7109375" style="4" customWidth="1"/>
    <col min="3" max="3" width="10.28515625" style="4" customWidth="1"/>
    <col min="4" max="9" width="20.28515625" style="4" customWidth="1"/>
    <col min="10" max="10" width="11.85546875" style="4" bestFit="1" customWidth="1"/>
    <col min="11" max="11" width="27.85546875" style="4" customWidth="1"/>
    <col min="12" max="12" width="14.7109375" style="5" customWidth="1"/>
    <col min="13" max="13" width="11.5703125" style="4" bestFit="1" customWidth="1"/>
    <col min="14" max="15" width="11.42578125" style="4"/>
    <col min="16" max="16" width="12.7109375" style="4" customWidth="1"/>
    <col min="17" max="17" width="12.140625" style="4" customWidth="1"/>
    <col min="18" max="18" width="13.140625" style="4" bestFit="1" customWidth="1"/>
    <col min="19" max="16384" width="11.42578125" style="4"/>
  </cols>
  <sheetData>
    <row r="1" spans="1:20" ht="18.75" x14ac:dyDescent="0.3">
      <c r="A1" s="1" t="s">
        <v>41</v>
      </c>
      <c r="B1" s="2"/>
      <c r="C1" s="2"/>
      <c r="D1" s="2"/>
      <c r="E1" s="2"/>
      <c r="F1" s="2"/>
      <c r="G1" s="2"/>
      <c r="H1" s="2"/>
      <c r="I1" s="3"/>
    </row>
    <row r="2" spans="1:20" ht="18.75" x14ac:dyDescent="0.25">
      <c r="A2" s="6" t="str">
        <f>'[1]SAO - DSC'!C4</f>
        <v>Cannonsburg Water District</v>
      </c>
      <c r="B2" s="7"/>
      <c r="C2" s="7"/>
      <c r="D2" s="7"/>
      <c r="E2" s="7"/>
      <c r="F2" s="7"/>
      <c r="G2" s="7"/>
      <c r="H2" s="7"/>
      <c r="I2" s="8"/>
    </row>
    <row r="3" spans="1:20" x14ac:dyDescent="0.25">
      <c r="A3" s="9"/>
      <c r="I3" s="10"/>
      <c r="M3" s="11"/>
    </row>
    <row r="4" spans="1:20" ht="17.25" x14ac:dyDescent="0.4">
      <c r="A4" s="9"/>
      <c r="C4" s="12" t="s">
        <v>1</v>
      </c>
      <c r="D4" s="12"/>
      <c r="E4" s="12"/>
      <c r="F4" s="12"/>
      <c r="G4" s="12"/>
      <c r="I4" s="10"/>
      <c r="J4" s="13"/>
      <c r="M4" s="14"/>
      <c r="N4" s="15"/>
      <c r="O4" s="16"/>
      <c r="P4" s="17" t="s">
        <v>2</v>
      </c>
      <c r="Q4" s="17" t="s">
        <v>3</v>
      </c>
      <c r="R4" s="18" t="s">
        <v>4</v>
      </c>
      <c r="S4" s="19"/>
      <c r="T4" s="19"/>
    </row>
    <row r="5" spans="1:20" ht="17.25" x14ac:dyDescent="0.4">
      <c r="A5" s="9"/>
      <c r="C5" s="20"/>
      <c r="D5" s="21"/>
      <c r="E5" s="22" t="s">
        <v>5</v>
      </c>
      <c r="F5" s="22" t="s">
        <v>6</v>
      </c>
      <c r="G5" s="22" t="s">
        <v>7</v>
      </c>
      <c r="H5" s="23"/>
      <c r="I5" s="10"/>
      <c r="M5" s="24"/>
      <c r="N5" s="9"/>
      <c r="P5" s="25" t="s">
        <v>8</v>
      </c>
      <c r="Q5" s="25" t="s">
        <v>9</v>
      </c>
      <c r="R5" s="26" t="s">
        <v>9</v>
      </c>
      <c r="S5" s="19"/>
      <c r="T5" s="19"/>
    </row>
    <row r="6" spans="1:20" x14ac:dyDescent="0.25">
      <c r="A6" s="9"/>
      <c r="C6" s="4" t="s">
        <v>10</v>
      </c>
      <c r="E6" s="27">
        <f>C28</f>
        <v>7965</v>
      </c>
      <c r="F6" s="27">
        <f>D28</f>
        <v>13099240</v>
      </c>
      <c r="G6" s="28">
        <f>F32</f>
        <v>318840.65000000002</v>
      </c>
      <c r="H6" s="28"/>
      <c r="I6" s="10"/>
      <c r="N6" s="9" t="s">
        <v>11</v>
      </c>
      <c r="Q6" s="28">
        <f>2523865+25441</f>
        <v>2549306</v>
      </c>
      <c r="R6" s="29">
        <f>G6</f>
        <v>318840.65000000002</v>
      </c>
    </row>
    <row r="7" spans="1:20" x14ac:dyDescent="0.25">
      <c r="A7" s="9"/>
      <c r="C7" s="4" t="s">
        <v>12</v>
      </c>
      <c r="E7" s="27">
        <f>C47</f>
        <v>656</v>
      </c>
      <c r="F7" s="27">
        <f>D47</f>
        <v>693140</v>
      </c>
      <c r="G7" s="27">
        <f>F51</f>
        <v>29973.760000000002</v>
      </c>
      <c r="H7" s="27"/>
      <c r="I7" s="10"/>
      <c r="N7" s="9" t="s">
        <v>13</v>
      </c>
      <c r="Q7" s="27">
        <f>47173+18227</f>
        <v>65400</v>
      </c>
      <c r="R7" s="30">
        <f>G7</f>
        <v>29973.760000000002</v>
      </c>
    </row>
    <row r="8" spans="1:20" ht="17.25" x14ac:dyDescent="0.4">
      <c r="A8" s="9"/>
      <c r="E8" s="31"/>
      <c r="F8" s="32"/>
      <c r="G8" s="31"/>
      <c r="H8" s="27"/>
      <c r="I8" s="10"/>
      <c r="N8" s="9" t="s">
        <v>14</v>
      </c>
      <c r="Q8" s="33">
        <f>46170+110949</f>
        <v>157119</v>
      </c>
      <c r="R8" s="34">
        <f>G8</f>
        <v>0</v>
      </c>
    </row>
    <row r="9" spans="1:20" x14ac:dyDescent="0.25">
      <c r="A9" s="9"/>
      <c r="C9" s="4" t="s">
        <v>15</v>
      </c>
      <c r="E9" s="24">
        <f>SUM(E6:E8)</f>
        <v>8621</v>
      </c>
      <c r="F9" s="27">
        <f>SUM(F6:F8)</f>
        <v>13792380</v>
      </c>
      <c r="G9" s="28">
        <f>SUM(G6:G8)</f>
        <v>348814.41000000003</v>
      </c>
      <c r="H9" s="28"/>
      <c r="I9" s="10"/>
      <c r="K9" s="24"/>
      <c r="L9" s="35"/>
      <c r="N9" s="9" t="s">
        <v>15</v>
      </c>
      <c r="P9" s="28">
        <f>'[1]SAO - DSC'!F9</f>
        <v>345210</v>
      </c>
      <c r="Q9" s="27">
        <f>SUM(Q6:Q8)</f>
        <v>2771825</v>
      </c>
      <c r="R9" s="30">
        <f>G9</f>
        <v>348814.41000000003</v>
      </c>
    </row>
    <row r="10" spans="1:20" x14ac:dyDescent="0.25">
      <c r="A10" s="9"/>
      <c r="C10" s="36" t="s">
        <v>16</v>
      </c>
      <c r="G10" s="31">
        <f>L23</f>
        <v>-4481</v>
      </c>
      <c r="H10" s="27"/>
      <c r="I10" s="37"/>
      <c r="N10" s="9"/>
      <c r="P10" s="28"/>
      <c r="Q10" s="24">
        <f>Q9-P9</f>
        <v>2426615</v>
      </c>
      <c r="R10" s="37">
        <f>R9-Q9</f>
        <v>-2423010.59</v>
      </c>
    </row>
    <row r="11" spans="1:20" x14ac:dyDescent="0.25">
      <c r="A11" s="9"/>
      <c r="C11" s="38" t="s">
        <v>17</v>
      </c>
      <c r="G11" s="39">
        <f>G9+G10</f>
        <v>344333.41000000003</v>
      </c>
      <c r="H11" s="39"/>
      <c r="I11" s="29"/>
      <c r="N11" s="9" t="s">
        <v>18</v>
      </c>
      <c r="P11" s="28">
        <v>2587900</v>
      </c>
      <c r="R11" s="10"/>
    </row>
    <row r="12" spans="1:20" x14ac:dyDescent="0.25">
      <c r="A12" s="9"/>
      <c r="C12" s="4" t="s">
        <v>42</v>
      </c>
      <c r="F12" s="40"/>
      <c r="G12" s="31">
        <f>-'Beginning Rates'!G11</f>
        <v>-333847.23</v>
      </c>
      <c r="I12" s="29"/>
      <c r="N12" s="9"/>
      <c r="Q12" s="41">
        <f>F9/1000*0.09</f>
        <v>1241.3141999999998</v>
      </c>
      <c r="R12" s="42">
        <f>F9/1000*0.18</f>
        <v>2482.6283999999996</v>
      </c>
      <c r="S12"/>
    </row>
    <row r="13" spans="1:20" ht="15.75" thickBot="1" x14ac:dyDescent="0.3">
      <c r="A13" s="9"/>
      <c r="C13" s="4" t="s">
        <v>20</v>
      </c>
      <c r="F13" s="40"/>
      <c r="G13" s="43">
        <f>SUM(G11:G12)</f>
        <v>10486.180000000051</v>
      </c>
      <c r="I13" s="29"/>
      <c r="N13" s="9"/>
      <c r="R13" s="44">
        <f>P9+Q12+R12</f>
        <v>348933.94260000001</v>
      </c>
    </row>
    <row r="14" spans="1:20" ht="15.75" thickTop="1" x14ac:dyDescent="0.25">
      <c r="A14" s="9"/>
      <c r="F14" s="40"/>
      <c r="G14" s="45"/>
      <c r="I14" s="29"/>
      <c r="N14" s="9"/>
      <c r="R14" s="10"/>
    </row>
    <row r="15" spans="1:20" x14ac:dyDescent="0.25">
      <c r="A15" s="9"/>
      <c r="I15" s="10"/>
    </row>
    <row r="16" spans="1:20" x14ac:dyDescent="0.25">
      <c r="A16" s="9" t="s">
        <v>21</v>
      </c>
      <c r="I16" s="10"/>
    </row>
    <row r="17" spans="1:12" ht="15.75" x14ac:dyDescent="0.25">
      <c r="A17" s="46"/>
      <c r="B17" s="47"/>
      <c r="C17" s="47"/>
      <c r="D17" s="47"/>
      <c r="E17" s="47" t="s">
        <v>22</v>
      </c>
      <c r="F17" s="47" t="s">
        <v>23</v>
      </c>
      <c r="G17" s="48" t="s">
        <v>23</v>
      </c>
      <c r="H17" s="47" t="s">
        <v>24</v>
      </c>
      <c r="I17" s="49" t="s">
        <v>25</v>
      </c>
      <c r="K17" s="50" t="s">
        <v>26</v>
      </c>
      <c r="L17" s="51">
        <v>-692.07</v>
      </c>
    </row>
    <row r="18" spans="1:12" ht="15.75" x14ac:dyDescent="0.25">
      <c r="A18" s="46"/>
      <c r="B18" s="52" t="s">
        <v>27</v>
      </c>
      <c r="C18" s="52" t="s">
        <v>28</v>
      </c>
      <c r="D18" s="52" t="s">
        <v>29</v>
      </c>
      <c r="E18" s="53">
        <f>B19</f>
        <v>2000</v>
      </c>
      <c r="F18" s="53">
        <f>B20</f>
        <v>3000</v>
      </c>
      <c r="G18" s="54">
        <f>B21</f>
        <v>5000</v>
      </c>
      <c r="H18" s="55">
        <f>SUM(E18:G18)</f>
        <v>10000</v>
      </c>
      <c r="I18" s="56"/>
      <c r="K18" s="50" t="s">
        <v>30</v>
      </c>
      <c r="L18" s="51">
        <v>-1376.6</v>
      </c>
    </row>
    <row r="19" spans="1:12" ht="15.75" x14ac:dyDescent="0.25">
      <c r="A19" s="46" t="s">
        <v>22</v>
      </c>
      <c r="B19" s="48">
        <v>2000</v>
      </c>
      <c r="C19" s="57">
        <v>2848</v>
      </c>
      <c r="D19" s="57">
        <v>2865240</v>
      </c>
      <c r="E19" s="57">
        <f>D19</f>
        <v>2865240</v>
      </c>
      <c r="F19" s="57">
        <v>0</v>
      </c>
      <c r="G19" s="48">
        <v>0</v>
      </c>
      <c r="H19" s="57">
        <v>0</v>
      </c>
      <c r="I19" s="58">
        <f>SUM(E19:H19)</f>
        <v>2865240</v>
      </c>
      <c r="K19" s="50" t="s">
        <v>31</v>
      </c>
      <c r="L19" s="51">
        <v>-1053.5899999999999</v>
      </c>
    </row>
    <row r="20" spans="1:12" ht="15.75" x14ac:dyDescent="0.25">
      <c r="A20" s="46" t="s">
        <v>23</v>
      </c>
      <c r="B20" s="48">
        <v>3000</v>
      </c>
      <c r="C20" s="57">
        <v>3562</v>
      </c>
      <c r="D20" s="57">
        <v>11559720</v>
      </c>
      <c r="E20" s="57">
        <f>$C20*E$18</f>
        <v>7124000</v>
      </c>
      <c r="F20" s="57">
        <f>D20-E20</f>
        <v>4435720</v>
      </c>
      <c r="G20" s="48">
        <v>0</v>
      </c>
      <c r="H20" s="57">
        <v>0</v>
      </c>
      <c r="I20" s="58">
        <f t="shared" ref="I20:I22" si="0">SUM(E20:H20)</f>
        <v>11559720</v>
      </c>
      <c r="K20" s="50" t="s">
        <v>32</v>
      </c>
      <c r="L20" s="5">
        <v>-1320.84</v>
      </c>
    </row>
    <row r="21" spans="1:12" ht="15.75" x14ac:dyDescent="0.25">
      <c r="A21" s="46" t="s">
        <v>23</v>
      </c>
      <c r="B21" s="48">
        <v>5000</v>
      </c>
      <c r="C21" s="57">
        <v>1198</v>
      </c>
      <c r="D21" s="57">
        <v>7846570</v>
      </c>
      <c r="E21" s="57">
        <f t="shared" ref="E21:G22" si="1">$C21*E$18</f>
        <v>2396000</v>
      </c>
      <c r="F21" s="57">
        <f t="shared" si="1"/>
        <v>3594000</v>
      </c>
      <c r="G21" s="48">
        <f>D21-E21-F21</f>
        <v>1856570</v>
      </c>
      <c r="H21" s="57">
        <v>0</v>
      </c>
      <c r="I21" s="58">
        <f t="shared" si="0"/>
        <v>7846570</v>
      </c>
      <c r="K21" s="50" t="s">
        <v>33</v>
      </c>
      <c r="L21" s="5">
        <v>-5.79</v>
      </c>
    </row>
    <row r="22" spans="1:12" ht="15.75" x14ac:dyDescent="0.25">
      <c r="A22" s="46" t="s">
        <v>24</v>
      </c>
      <c r="B22" s="48">
        <f>SUM(B19:B21)</f>
        <v>10000</v>
      </c>
      <c r="C22" s="57">
        <v>357</v>
      </c>
      <c r="D22" s="57">
        <v>7741880</v>
      </c>
      <c r="E22" s="57">
        <f t="shared" si="1"/>
        <v>714000</v>
      </c>
      <c r="F22" s="57">
        <f t="shared" si="1"/>
        <v>1071000</v>
      </c>
      <c r="G22" s="57">
        <f t="shared" si="1"/>
        <v>1785000</v>
      </c>
      <c r="H22" s="57">
        <f>D22-E22-F22-G22</f>
        <v>4171880</v>
      </c>
      <c r="I22" s="58">
        <f t="shared" si="0"/>
        <v>7741880</v>
      </c>
      <c r="K22" s="50" t="s">
        <v>34</v>
      </c>
      <c r="L22" s="50">
        <v>-31.81</v>
      </c>
    </row>
    <row r="23" spans="1:12" ht="16.5" thickBot="1" x14ac:dyDescent="0.3">
      <c r="A23" s="46"/>
      <c r="B23" t="s">
        <v>35</v>
      </c>
      <c r="C23" s="59">
        <f t="shared" ref="C23:I23" si="2">SUM(C19:C22)</f>
        <v>7965</v>
      </c>
      <c r="D23" s="59">
        <f t="shared" si="2"/>
        <v>30013410</v>
      </c>
      <c r="E23" s="59">
        <f t="shared" si="2"/>
        <v>13099240</v>
      </c>
      <c r="F23" s="59">
        <f t="shared" si="2"/>
        <v>9100720</v>
      </c>
      <c r="G23" s="60">
        <f t="shared" si="2"/>
        <v>3641570</v>
      </c>
      <c r="H23" s="59">
        <f t="shared" si="2"/>
        <v>4171880</v>
      </c>
      <c r="I23" s="61">
        <f t="shared" si="2"/>
        <v>30013410</v>
      </c>
      <c r="K23" s="50" t="s">
        <v>36</v>
      </c>
      <c r="L23" s="62">
        <f>ROUND(SUM(L17:L22),0)</f>
        <v>-4481</v>
      </c>
    </row>
    <row r="24" spans="1:12" ht="15.75" thickTop="1" x14ac:dyDescent="0.25">
      <c r="A24" s="63"/>
      <c r="B24"/>
      <c r="C24"/>
      <c r="D24"/>
      <c r="E24"/>
      <c r="F24"/>
      <c r="G24" s="64"/>
      <c r="H24"/>
      <c r="I24" s="65"/>
    </row>
    <row r="25" spans="1:12" x14ac:dyDescent="0.25">
      <c r="A25" s="63"/>
      <c r="B25" t="s">
        <v>37</v>
      </c>
      <c r="C25"/>
      <c r="D25"/>
      <c r="E25"/>
      <c r="F25"/>
      <c r="G25" s="64"/>
      <c r="H25"/>
      <c r="I25" s="65"/>
    </row>
    <row r="26" spans="1:12" x14ac:dyDescent="0.25">
      <c r="A26" s="63"/>
      <c r="B26"/>
      <c r="C26"/>
      <c r="D26"/>
      <c r="E26"/>
      <c r="F26"/>
      <c r="G26" s="64"/>
      <c r="H26"/>
      <c r="I26" s="65"/>
    </row>
    <row r="27" spans="1:12" x14ac:dyDescent="0.25">
      <c r="A27" s="63"/>
      <c r="B27" s="66"/>
      <c r="C27" s="66" t="s">
        <v>28</v>
      </c>
      <c r="D27" s="66" t="s">
        <v>29</v>
      </c>
      <c r="E27" s="66" t="s">
        <v>38</v>
      </c>
      <c r="F27" s="66" t="s">
        <v>7</v>
      </c>
      <c r="G27" s="64"/>
      <c r="H27"/>
      <c r="I27" s="65"/>
    </row>
    <row r="28" spans="1:12" x14ac:dyDescent="0.25">
      <c r="A28" s="46" t="s">
        <v>22</v>
      </c>
      <c r="B28" s="57">
        <f>B19</f>
        <v>2000</v>
      </c>
      <c r="C28" s="67">
        <f>C23</f>
        <v>7965</v>
      </c>
      <c r="D28" s="67">
        <f>E23</f>
        <v>13099240</v>
      </c>
      <c r="E28" s="68">
        <v>24.21</v>
      </c>
      <c r="F28" s="69">
        <f>E28*C28</f>
        <v>192832.65</v>
      </c>
      <c r="G28" s="64"/>
      <c r="H28"/>
      <c r="I28" s="65"/>
    </row>
    <row r="29" spans="1:12" x14ac:dyDescent="0.25">
      <c r="A29" s="46" t="s">
        <v>23</v>
      </c>
      <c r="B29" s="57">
        <f t="shared" ref="B29:B31" si="3">B20</f>
        <v>3000</v>
      </c>
      <c r="C29"/>
      <c r="D29" s="67">
        <f>F23</f>
        <v>9100720</v>
      </c>
      <c r="E29" s="70">
        <v>7.9600000000000001E-3</v>
      </c>
      <c r="F29" s="71">
        <f>ROUND(D29*E29,0)</f>
        <v>72442</v>
      </c>
      <c r="G29" s="64"/>
      <c r="H29"/>
      <c r="I29" s="65"/>
      <c r="K29" s="72">
        <f>E29/1000</f>
        <v>7.96E-6</v>
      </c>
    </row>
    <row r="30" spans="1:12" x14ac:dyDescent="0.25">
      <c r="A30" s="46" t="s">
        <v>23</v>
      </c>
      <c r="B30" s="57">
        <f t="shared" si="3"/>
        <v>5000</v>
      </c>
      <c r="C30"/>
      <c r="D30" s="67">
        <f>G23</f>
        <v>3641570</v>
      </c>
      <c r="E30" s="70">
        <v>7.2399999999999999E-3</v>
      </c>
      <c r="F30" s="71">
        <f t="shared" ref="F30:F31" si="4">ROUND(D30*E30,0)</f>
        <v>26365</v>
      </c>
      <c r="G30" s="64"/>
      <c r="H30"/>
      <c r="I30" s="65"/>
      <c r="K30" s="72">
        <f t="shared" ref="K30:K31" si="5">E30/1000</f>
        <v>7.2400000000000001E-6</v>
      </c>
    </row>
    <row r="31" spans="1:12" x14ac:dyDescent="0.25">
      <c r="A31" s="46" t="s">
        <v>24</v>
      </c>
      <c r="B31" s="57">
        <f t="shared" si="3"/>
        <v>10000</v>
      </c>
      <c r="C31" s="66"/>
      <c r="D31" s="73">
        <f>H22</f>
        <v>4171880</v>
      </c>
      <c r="E31" s="70">
        <v>6.5199999999999998E-3</v>
      </c>
      <c r="F31" s="74">
        <f t="shared" si="4"/>
        <v>27201</v>
      </c>
      <c r="G31" s="64"/>
      <c r="H31"/>
      <c r="I31" s="65"/>
      <c r="K31" s="72">
        <f t="shared" si="5"/>
        <v>6.5199999999999994E-6</v>
      </c>
    </row>
    <row r="32" spans="1:12" ht="15.75" thickBot="1" x14ac:dyDescent="0.3">
      <c r="A32" s="63"/>
      <c r="B32" t="s">
        <v>39</v>
      </c>
      <c r="C32"/>
      <c r="D32" s="59">
        <f>SUM(D28:D31)</f>
        <v>30013410</v>
      </c>
      <c r="E32"/>
      <c r="F32" s="75">
        <f>SUM(F28:F31)</f>
        <v>318840.65000000002</v>
      </c>
      <c r="G32" s="64"/>
      <c r="H32"/>
      <c r="I32" s="65" t="s">
        <v>40</v>
      </c>
    </row>
    <row r="33" spans="1:9" ht="15.75" thickTop="1" x14ac:dyDescent="0.25">
      <c r="A33" s="63"/>
      <c r="B33"/>
      <c r="C33"/>
      <c r="D33"/>
      <c r="E33"/>
      <c r="F33"/>
      <c r="G33" s="64"/>
      <c r="H33"/>
      <c r="I33" s="65"/>
    </row>
    <row r="34" spans="1:9" x14ac:dyDescent="0.25">
      <c r="A34" s="63"/>
      <c r="B34"/>
      <c r="C34"/>
      <c r="D34"/>
      <c r="E34"/>
      <c r="F34"/>
      <c r="G34" s="64"/>
      <c r="H34"/>
      <c r="I34" s="65"/>
    </row>
    <row r="35" spans="1:9" ht="15.75" x14ac:dyDescent="0.25">
      <c r="A35" s="76" t="s">
        <v>12</v>
      </c>
      <c r="B35"/>
      <c r="C35"/>
      <c r="D35"/>
      <c r="E35"/>
      <c r="F35"/>
      <c r="G35" s="64"/>
      <c r="H35"/>
      <c r="I35" s="65"/>
    </row>
    <row r="36" spans="1:9" x14ac:dyDescent="0.25">
      <c r="A36" s="46"/>
      <c r="B36" s="47"/>
      <c r="C36" s="47"/>
      <c r="D36" s="47"/>
      <c r="E36" s="47" t="s">
        <v>22</v>
      </c>
      <c r="F36" s="47" t="s">
        <v>23</v>
      </c>
      <c r="G36" s="48" t="s">
        <v>23</v>
      </c>
      <c r="H36" s="47" t="s">
        <v>24</v>
      </c>
      <c r="I36" s="49" t="s">
        <v>25</v>
      </c>
    </row>
    <row r="37" spans="1:9" x14ac:dyDescent="0.25">
      <c r="A37" s="46"/>
      <c r="B37" s="52" t="s">
        <v>27</v>
      </c>
      <c r="C37" s="52" t="s">
        <v>28</v>
      </c>
      <c r="D37" s="52" t="s">
        <v>29</v>
      </c>
      <c r="E37" s="53">
        <f>B38</f>
        <v>2000</v>
      </c>
      <c r="F37" s="53">
        <f>B39</f>
        <v>3000</v>
      </c>
      <c r="G37" s="54">
        <f>B40</f>
        <v>5000</v>
      </c>
      <c r="H37" s="55">
        <f>SUM(E37:G37)</f>
        <v>10000</v>
      </c>
      <c r="I37" s="56"/>
    </row>
    <row r="38" spans="1:9" x14ac:dyDescent="0.25">
      <c r="A38" s="46" t="s">
        <v>22</v>
      </c>
      <c r="B38" s="48">
        <v>2000</v>
      </c>
      <c r="C38" s="57">
        <v>441</v>
      </c>
      <c r="D38" s="57">
        <v>263140</v>
      </c>
      <c r="E38" s="57">
        <f>D38</f>
        <v>263140</v>
      </c>
      <c r="F38" s="57">
        <v>0</v>
      </c>
      <c r="G38" s="48">
        <v>0</v>
      </c>
      <c r="H38" s="57">
        <v>0</v>
      </c>
      <c r="I38" s="58">
        <f>SUM(E38:H38)</f>
        <v>263140</v>
      </c>
    </row>
    <row r="39" spans="1:9" x14ac:dyDescent="0.25">
      <c r="A39" s="46" t="s">
        <v>23</v>
      </c>
      <c r="B39" s="48">
        <v>3000</v>
      </c>
      <c r="C39" s="57">
        <v>89</v>
      </c>
      <c r="D39" s="57">
        <v>289820</v>
      </c>
      <c r="E39" s="57">
        <f>$C39*E$37</f>
        <v>178000</v>
      </c>
      <c r="F39" s="57">
        <f>D39-E39</f>
        <v>111820</v>
      </c>
      <c r="G39" s="48">
        <v>0</v>
      </c>
      <c r="H39" s="57">
        <v>0</v>
      </c>
      <c r="I39" s="58">
        <f t="shared" ref="I39:I41" si="6">SUM(E39:H39)</f>
        <v>289820</v>
      </c>
    </row>
    <row r="40" spans="1:9" x14ac:dyDescent="0.25">
      <c r="A40" s="46" t="s">
        <v>23</v>
      </c>
      <c r="B40" s="48">
        <v>5000</v>
      </c>
      <c r="C40" s="57">
        <v>53</v>
      </c>
      <c r="D40" s="57">
        <v>337910</v>
      </c>
      <c r="E40" s="57">
        <f t="shared" ref="E40:G41" si="7">$C40*E$37</f>
        <v>106000</v>
      </c>
      <c r="F40" s="57">
        <f t="shared" si="7"/>
        <v>159000</v>
      </c>
      <c r="G40" s="48">
        <f>D40-E40-F40</f>
        <v>72910</v>
      </c>
      <c r="H40" s="57">
        <v>0</v>
      </c>
      <c r="I40" s="58">
        <f t="shared" si="6"/>
        <v>337910</v>
      </c>
    </row>
    <row r="41" spans="1:9" x14ac:dyDescent="0.25">
      <c r="A41" s="46" t="s">
        <v>24</v>
      </c>
      <c r="B41" s="48">
        <f>SUM(B38:B40)</f>
        <v>10000</v>
      </c>
      <c r="C41" s="57">
        <v>73</v>
      </c>
      <c r="D41" s="57">
        <v>1807180</v>
      </c>
      <c r="E41" s="57">
        <f t="shared" si="7"/>
        <v>146000</v>
      </c>
      <c r="F41" s="57">
        <f t="shared" si="7"/>
        <v>219000</v>
      </c>
      <c r="G41" s="57">
        <f t="shared" si="7"/>
        <v>365000</v>
      </c>
      <c r="H41" s="57">
        <f>D41-E41-F41-G41</f>
        <v>1077180</v>
      </c>
      <c r="I41" s="58">
        <f t="shared" si="6"/>
        <v>1807180</v>
      </c>
    </row>
    <row r="42" spans="1:9" ht="15.75" thickBot="1" x14ac:dyDescent="0.3">
      <c r="A42" s="46"/>
      <c r="B42" t="s">
        <v>35</v>
      </c>
      <c r="C42" s="59">
        <f t="shared" ref="C42:I42" si="8">SUM(C38:C41)</f>
        <v>656</v>
      </c>
      <c r="D42" s="59">
        <f t="shared" si="8"/>
        <v>2698050</v>
      </c>
      <c r="E42" s="59">
        <f t="shared" si="8"/>
        <v>693140</v>
      </c>
      <c r="F42" s="59">
        <f t="shared" si="8"/>
        <v>489820</v>
      </c>
      <c r="G42" s="60">
        <f t="shared" si="8"/>
        <v>437910</v>
      </c>
      <c r="H42" s="59">
        <f t="shared" si="8"/>
        <v>1077180</v>
      </c>
      <c r="I42" s="61">
        <f t="shared" si="8"/>
        <v>2698050</v>
      </c>
    </row>
    <row r="43" spans="1:9" ht="15.75" thickTop="1" x14ac:dyDescent="0.25">
      <c r="A43" s="63"/>
      <c r="B43"/>
      <c r="C43"/>
      <c r="D43"/>
      <c r="E43"/>
      <c r="F43"/>
      <c r="G43" s="64"/>
      <c r="H43"/>
      <c r="I43" s="65"/>
    </row>
    <row r="44" spans="1:9" x14ac:dyDescent="0.25">
      <c r="A44" s="63"/>
      <c r="B44" t="s">
        <v>37</v>
      </c>
      <c r="C44"/>
      <c r="D44"/>
      <c r="E44"/>
      <c r="F44"/>
      <c r="G44" s="64"/>
      <c r="H44"/>
      <c r="I44" s="65"/>
    </row>
    <row r="45" spans="1:9" x14ac:dyDescent="0.25">
      <c r="A45" s="63"/>
      <c r="B45"/>
      <c r="C45"/>
      <c r="D45"/>
      <c r="E45"/>
      <c r="F45"/>
      <c r="G45" s="64"/>
      <c r="H45"/>
      <c r="I45" s="65"/>
    </row>
    <row r="46" spans="1:9" x14ac:dyDescent="0.25">
      <c r="A46" s="63"/>
      <c r="B46" s="66"/>
      <c r="C46" s="66" t="s">
        <v>28</v>
      </c>
      <c r="D46" s="66" t="s">
        <v>29</v>
      </c>
      <c r="E46" s="66" t="s">
        <v>38</v>
      </c>
      <c r="F46" s="66" t="s">
        <v>7</v>
      </c>
      <c r="G46" s="64"/>
      <c r="H46"/>
      <c r="I46" s="65"/>
    </row>
    <row r="47" spans="1:9" x14ac:dyDescent="0.25">
      <c r="A47" s="46" t="s">
        <v>22</v>
      </c>
      <c r="B47" s="57">
        <f>B38</f>
        <v>2000</v>
      </c>
      <c r="C47" s="67">
        <f>C42</f>
        <v>656</v>
      </c>
      <c r="D47" s="67">
        <f>E42</f>
        <v>693140</v>
      </c>
      <c r="E47" s="68">
        <f>E28</f>
        <v>24.21</v>
      </c>
      <c r="F47" s="69">
        <f>E47*C47</f>
        <v>15881.76</v>
      </c>
      <c r="G47" s="64"/>
      <c r="H47"/>
      <c r="I47" s="65"/>
    </row>
    <row r="48" spans="1:9" x14ac:dyDescent="0.25">
      <c r="A48" s="46" t="s">
        <v>23</v>
      </c>
      <c r="B48" s="57">
        <f t="shared" ref="B48:B50" si="9">B39</f>
        <v>3000</v>
      </c>
      <c r="C48"/>
      <c r="D48" s="67">
        <f>F42</f>
        <v>489820</v>
      </c>
      <c r="E48" s="70">
        <f t="shared" ref="E48:E50" si="10">E29</f>
        <v>7.9600000000000001E-3</v>
      </c>
      <c r="F48" s="71">
        <f>ROUND(D48*E48,0)</f>
        <v>3899</v>
      </c>
      <c r="G48" s="64"/>
      <c r="H48"/>
      <c r="I48" s="65"/>
    </row>
    <row r="49" spans="1:9" x14ac:dyDescent="0.25">
      <c r="A49" s="46" t="s">
        <v>23</v>
      </c>
      <c r="B49" s="57">
        <f t="shared" si="9"/>
        <v>5000</v>
      </c>
      <c r="C49"/>
      <c r="D49" s="67">
        <f>G42</f>
        <v>437910</v>
      </c>
      <c r="E49" s="70">
        <f t="shared" si="10"/>
        <v>7.2399999999999999E-3</v>
      </c>
      <c r="F49" s="71">
        <f t="shared" ref="F49:F50" si="11">ROUND(D49*E49,0)</f>
        <v>3170</v>
      </c>
      <c r="G49" s="64"/>
      <c r="H49"/>
      <c r="I49" s="65"/>
    </row>
    <row r="50" spans="1:9" x14ac:dyDescent="0.25">
      <c r="A50" s="46" t="s">
        <v>24</v>
      </c>
      <c r="B50" s="57">
        <f t="shared" si="9"/>
        <v>10000</v>
      </c>
      <c r="C50" s="66"/>
      <c r="D50" s="73">
        <f>H41</f>
        <v>1077180</v>
      </c>
      <c r="E50" s="70">
        <f t="shared" si="10"/>
        <v>6.5199999999999998E-3</v>
      </c>
      <c r="F50" s="74">
        <f t="shared" si="11"/>
        <v>7023</v>
      </c>
      <c r="G50" s="64"/>
      <c r="H50"/>
      <c r="I50" s="65"/>
    </row>
    <row r="51" spans="1:9" ht="15.75" thickBot="1" x14ac:dyDescent="0.3">
      <c r="A51" s="63"/>
      <c r="B51" t="s">
        <v>39</v>
      </c>
      <c r="C51"/>
      <c r="D51" s="59">
        <f>SUM(D47:D50)</f>
        <v>2698050</v>
      </c>
      <c r="E51"/>
      <c r="F51" s="75">
        <f>SUM(F47:F50)</f>
        <v>29973.760000000002</v>
      </c>
      <c r="G51" s="64"/>
      <c r="H51"/>
      <c r="I51" s="65" t="s">
        <v>40</v>
      </c>
    </row>
    <row r="52" spans="1:9" ht="15.75" thickTop="1" x14ac:dyDescent="0.25">
      <c r="A52" s="77"/>
      <c r="B52" s="21"/>
      <c r="C52" s="21"/>
      <c r="D52" s="21"/>
      <c r="E52" s="21"/>
      <c r="F52" s="21"/>
      <c r="G52" s="21"/>
      <c r="H52" s="21"/>
      <c r="I52" s="78"/>
    </row>
  </sheetData>
  <mergeCells count="3">
    <mergeCell ref="A1:I1"/>
    <mergeCell ref="A2:I2"/>
    <mergeCell ref="C4:G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A60B-B569-46E5-BA70-7AE7D1E7BF7D}">
  <dimension ref="A1:T52"/>
  <sheetViews>
    <sheetView workbookViewId="0">
      <selection activeCell="G13" sqref="G13"/>
    </sheetView>
  </sheetViews>
  <sheetFormatPr defaultColWidth="11.42578125" defaultRowHeight="15" x14ac:dyDescent="0.25"/>
  <cols>
    <col min="1" max="1" width="10.85546875" style="4" customWidth="1"/>
    <col min="2" max="2" width="9.7109375" style="4" customWidth="1"/>
    <col min="3" max="3" width="10.28515625" style="4" customWidth="1"/>
    <col min="4" max="9" width="20.28515625" style="4" customWidth="1"/>
    <col min="10" max="10" width="11.85546875" style="4" bestFit="1" customWidth="1"/>
    <col min="11" max="11" width="27.85546875" style="4" customWidth="1"/>
    <col min="12" max="12" width="14.7109375" style="5" customWidth="1"/>
    <col min="13" max="13" width="11.5703125" style="4" bestFit="1" customWidth="1"/>
    <col min="14" max="15" width="11.42578125" style="4"/>
    <col min="16" max="16" width="12.7109375" style="4" customWidth="1"/>
    <col min="17" max="17" width="12.140625" style="4" customWidth="1"/>
    <col min="18" max="18" width="13.140625" style="4" bestFit="1" customWidth="1"/>
    <col min="19" max="16384" width="11.42578125" style="4"/>
  </cols>
  <sheetData>
    <row r="1" spans="1:20" ht="18.75" x14ac:dyDescent="0.3">
      <c r="A1" s="1" t="s">
        <v>43</v>
      </c>
      <c r="B1" s="2"/>
      <c r="C1" s="2"/>
      <c r="D1" s="2"/>
      <c r="E1" s="2"/>
      <c r="F1" s="2"/>
      <c r="G1" s="2"/>
      <c r="H1" s="2"/>
      <c r="I1" s="3"/>
    </row>
    <row r="2" spans="1:20" ht="18.75" x14ac:dyDescent="0.25">
      <c r="A2" s="6" t="str">
        <f>'[1]SAO - DSC'!C4</f>
        <v>Cannonsburg Water District</v>
      </c>
      <c r="B2" s="7"/>
      <c r="C2" s="7"/>
      <c r="D2" s="7"/>
      <c r="E2" s="7"/>
      <c r="F2" s="7"/>
      <c r="G2" s="7"/>
      <c r="H2" s="7"/>
      <c r="I2" s="8"/>
    </row>
    <row r="3" spans="1:20" x14ac:dyDescent="0.25">
      <c r="A3" s="9"/>
      <c r="I3" s="10"/>
      <c r="M3" s="11"/>
    </row>
    <row r="4" spans="1:20" ht="17.25" x14ac:dyDescent="0.4">
      <c r="A4" s="9"/>
      <c r="C4" s="12" t="s">
        <v>1</v>
      </c>
      <c r="D4" s="12"/>
      <c r="E4" s="12"/>
      <c r="F4" s="12"/>
      <c r="G4" s="12"/>
      <c r="I4" s="10"/>
      <c r="J4" s="13"/>
      <c r="M4" s="14"/>
      <c r="N4" s="15"/>
      <c r="O4" s="16"/>
      <c r="P4" s="17" t="s">
        <v>2</v>
      </c>
      <c r="Q4" s="17" t="s">
        <v>3</v>
      </c>
      <c r="R4" s="18" t="s">
        <v>4</v>
      </c>
      <c r="S4" s="19"/>
      <c r="T4" s="19"/>
    </row>
    <row r="5" spans="1:20" ht="17.25" x14ac:dyDescent="0.4">
      <c r="A5" s="9"/>
      <c r="C5" s="20"/>
      <c r="D5" s="21"/>
      <c r="E5" s="22" t="s">
        <v>5</v>
      </c>
      <c r="F5" s="22" t="s">
        <v>6</v>
      </c>
      <c r="G5" s="22" t="s">
        <v>7</v>
      </c>
      <c r="H5" s="23"/>
      <c r="I5" s="10"/>
      <c r="M5" s="24"/>
      <c r="N5" s="9"/>
      <c r="P5" s="25" t="s">
        <v>8</v>
      </c>
      <c r="Q5" s="25" t="s">
        <v>9</v>
      </c>
      <c r="R5" s="26" t="s">
        <v>9</v>
      </c>
      <c r="S5" s="19"/>
      <c r="T5" s="19"/>
    </row>
    <row r="6" spans="1:20" x14ac:dyDescent="0.25">
      <c r="A6" s="9"/>
      <c r="C6" s="4" t="s">
        <v>10</v>
      </c>
      <c r="E6" s="27">
        <f>C28</f>
        <v>7965</v>
      </c>
      <c r="F6" s="27">
        <f>D28</f>
        <v>13099240</v>
      </c>
      <c r="G6" s="28">
        <f>F32</f>
        <v>345830.9</v>
      </c>
      <c r="H6" s="28"/>
      <c r="I6" s="10"/>
      <c r="N6" s="9" t="s">
        <v>11</v>
      </c>
      <c r="Q6" s="28">
        <f>2523865+25441</f>
        <v>2549306</v>
      </c>
      <c r="R6" s="29">
        <f>G6</f>
        <v>345830.9</v>
      </c>
    </row>
    <row r="7" spans="1:20" x14ac:dyDescent="0.25">
      <c r="A7" s="9"/>
      <c r="C7" s="4" t="s">
        <v>12</v>
      </c>
      <c r="E7" s="27">
        <f>C47</f>
        <v>656</v>
      </c>
      <c r="F7" s="27">
        <f>D47</f>
        <v>693140</v>
      </c>
      <c r="G7" s="27">
        <f>F51</f>
        <v>32420.760000000002</v>
      </c>
      <c r="H7" s="27"/>
      <c r="I7" s="10"/>
      <c r="N7" s="9" t="s">
        <v>13</v>
      </c>
      <c r="Q7" s="27">
        <f>47173+18227</f>
        <v>65400</v>
      </c>
      <c r="R7" s="30">
        <f>G7</f>
        <v>32420.760000000002</v>
      </c>
    </row>
    <row r="8" spans="1:20" ht="17.25" x14ac:dyDescent="0.4">
      <c r="A8" s="9"/>
      <c r="E8" s="31"/>
      <c r="F8" s="32"/>
      <c r="G8" s="31"/>
      <c r="H8" s="27"/>
      <c r="I8" s="10"/>
      <c r="N8" s="9" t="s">
        <v>14</v>
      </c>
      <c r="Q8" s="33">
        <f>46170+110949</f>
        <v>157119</v>
      </c>
      <c r="R8" s="34">
        <f>G8</f>
        <v>0</v>
      </c>
    </row>
    <row r="9" spans="1:20" x14ac:dyDescent="0.25">
      <c r="A9" s="9"/>
      <c r="C9" s="4" t="s">
        <v>15</v>
      </c>
      <c r="E9" s="24">
        <f>SUM(E6:E8)</f>
        <v>8621</v>
      </c>
      <c r="F9" s="27">
        <f>SUM(F6:F8)</f>
        <v>13792380</v>
      </c>
      <c r="G9" s="28">
        <f>SUM(G6:G8)</f>
        <v>378251.66000000003</v>
      </c>
      <c r="H9" s="28"/>
      <c r="I9" s="10"/>
      <c r="K9" s="24"/>
      <c r="L9" s="35"/>
      <c r="N9" s="9" t="s">
        <v>15</v>
      </c>
      <c r="P9" s="28">
        <f>'[1]SAO - DSC'!F9</f>
        <v>345210</v>
      </c>
      <c r="Q9" s="27">
        <f>SUM(Q6:Q8)</f>
        <v>2771825</v>
      </c>
      <c r="R9" s="30">
        <f>G9</f>
        <v>378251.66000000003</v>
      </c>
    </row>
    <row r="10" spans="1:20" x14ac:dyDescent="0.25">
      <c r="A10" s="9"/>
      <c r="C10" s="36" t="s">
        <v>16</v>
      </c>
      <c r="G10" s="31">
        <f>L23</f>
        <v>-4481</v>
      </c>
      <c r="H10" s="27"/>
      <c r="I10" s="37"/>
      <c r="N10" s="9"/>
      <c r="P10" s="28"/>
      <c r="Q10" s="24">
        <f>Q9-P9</f>
        <v>2426615</v>
      </c>
      <c r="R10" s="37">
        <f>R9-Q9</f>
        <v>-2393573.34</v>
      </c>
    </row>
    <row r="11" spans="1:20" x14ac:dyDescent="0.25">
      <c r="A11" s="9"/>
      <c r="C11" s="38" t="s">
        <v>17</v>
      </c>
      <c r="G11" s="39">
        <f>G9+G10</f>
        <v>373770.66000000003</v>
      </c>
      <c r="H11" s="39"/>
      <c r="I11" s="29"/>
      <c r="N11" s="9" t="s">
        <v>18</v>
      </c>
      <c r="P11" s="28">
        <v>2587900</v>
      </c>
      <c r="R11" s="10"/>
    </row>
    <row r="12" spans="1:20" x14ac:dyDescent="0.25">
      <c r="A12" s="9"/>
      <c r="C12" s="4" t="s">
        <v>42</v>
      </c>
      <c r="F12" s="40"/>
      <c r="G12" s="31">
        <f>-'BA - PWA 2022-00242'!G11</f>
        <v>-344333.41000000003</v>
      </c>
      <c r="I12" s="29"/>
      <c r="N12" s="9"/>
      <c r="Q12" s="41">
        <f>F9/1000*0.09</f>
        <v>1241.3141999999998</v>
      </c>
      <c r="R12" s="42">
        <f>F9/1000*0.18</f>
        <v>2482.6283999999996</v>
      </c>
      <c r="S12"/>
    </row>
    <row r="13" spans="1:20" ht="15.75" thickBot="1" x14ac:dyDescent="0.3">
      <c r="A13" s="9"/>
      <c r="C13" s="4" t="s">
        <v>20</v>
      </c>
      <c r="F13" s="40"/>
      <c r="G13" s="43">
        <f>SUM(G11:G12)</f>
        <v>29437.25</v>
      </c>
      <c r="I13" s="29"/>
      <c r="N13" s="9"/>
      <c r="R13" s="44">
        <f>P9+Q12+R12</f>
        <v>348933.94260000001</v>
      </c>
    </row>
    <row r="14" spans="1:20" ht="15.75" thickTop="1" x14ac:dyDescent="0.25">
      <c r="A14" s="9"/>
      <c r="F14" s="40"/>
      <c r="G14" s="45"/>
      <c r="I14" s="29"/>
      <c r="N14" s="9"/>
      <c r="R14" s="10"/>
    </row>
    <row r="15" spans="1:20" x14ac:dyDescent="0.25">
      <c r="A15" s="9"/>
      <c r="I15" s="10"/>
    </row>
    <row r="16" spans="1:20" x14ac:dyDescent="0.25">
      <c r="A16" s="9" t="s">
        <v>21</v>
      </c>
      <c r="I16" s="10"/>
    </row>
    <row r="17" spans="1:12" ht="15.75" x14ac:dyDescent="0.25">
      <c r="A17" s="46"/>
      <c r="B17" s="47"/>
      <c r="C17" s="47"/>
      <c r="D17" s="47"/>
      <c r="E17" s="47" t="s">
        <v>22</v>
      </c>
      <c r="F17" s="47" t="s">
        <v>23</v>
      </c>
      <c r="G17" s="48" t="s">
        <v>23</v>
      </c>
      <c r="H17" s="47" t="s">
        <v>24</v>
      </c>
      <c r="I17" s="49" t="s">
        <v>25</v>
      </c>
      <c r="K17" s="50" t="s">
        <v>26</v>
      </c>
      <c r="L17" s="51">
        <v>-692.07</v>
      </c>
    </row>
    <row r="18" spans="1:12" ht="15.75" x14ac:dyDescent="0.25">
      <c r="A18" s="46"/>
      <c r="B18" s="52" t="s">
        <v>27</v>
      </c>
      <c r="C18" s="52" t="s">
        <v>28</v>
      </c>
      <c r="D18" s="52" t="s">
        <v>29</v>
      </c>
      <c r="E18" s="53">
        <f>B19</f>
        <v>2000</v>
      </c>
      <c r="F18" s="53">
        <f>B20</f>
        <v>3000</v>
      </c>
      <c r="G18" s="54">
        <f>B21</f>
        <v>5000</v>
      </c>
      <c r="H18" s="55">
        <f>SUM(E18:G18)</f>
        <v>10000</v>
      </c>
      <c r="I18" s="56"/>
      <c r="K18" s="50" t="s">
        <v>30</v>
      </c>
      <c r="L18" s="51">
        <v>-1376.6</v>
      </c>
    </row>
    <row r="19" spans="1:12" ht="15.75" x14ac:dyDescent="0.25">
      <c r="A19" s="46" t="s">
        <v>22</v>
      </c>
      <c r="B19" s="48">
        <v>2000</v>
      </c>
      <c r="C19" s="57">
        <v>2848</v>
      </c>
      <c r="D19" s="57">
        <v>2865240</v>
      </c>
      <c r="E19" s="57">
        <f>D19</f>
        <v>2865240</v>
      </c>
      <c r="F19" s="57">
        <v>0</v>
      </c>
      <c r="G19" s="48">
        <v>0</v>
      </c>
      <c r="H19" s="57">
        <v>0</v>
      </c>
      <c r="I19" s="58">
        <f>SUM(E19:H19)</f>
        <v>2865240</v>
      </c>
      <c r="K19" s="50" t="s">
        <v>31</v>
      </c>
      <c r="L19" s="51">
        <v>-1053.5899999999999</v>
      </c>
    </row>
    <row r="20" spans="1:12" ht="15.75" x14ac:dyDescent="0.25">
      <c r="A20" s="46" t="s">
        <v>23</v>
      </c>
      <c r="B20" s="48">
        <v>3000</v>
      </c>
      <c r="C20" s="57">
        <v>3562</v>
      </c>
      <c r="D20" s="57">
        <v>11559720</v>
      </c>
      <c r="E20" s="57">
        <f>$C20*E$18</f>
        <v>7124000</v>
      </c>
      <c r="F20" s="57">
        <f>D20-E20</f>
        <v>4435720</v>
      </c>
      <c r="G20" s="48">
        <v>0</v>
      </c>
      <c r="H20" s="57">
        <v>0</v>
      </c>
      <c r="I20" s="58">
        <f t="shared" ref="I20:I22" si="0">SUM(E20:H20)</f>
        <v>11559720</v>
      </c>
      <c r="K20" s="50" t="s">
        <v>32</v>
      </c>
      <c r="L20" s="5">
        <v>-1320.84</v>
      </c>
    </row>
    <row r="21" spans="1:12" ht="15.75" x14ac:dyDescent="0.25">
      <c r="A21" s="46" t="s">
        <v>23</v>
      </c>
      <c r="B21" s="48">
        <v>5000</v>
      </c>
      <c r="C21" s="57">
        <v>1198</v>
      </c>
      <c r="D21" s="57">
        <v>7846570</v>
      </c>
      <c r="E21" s="57">
        <f t="shared" ref="E21:G22" si="1">$C21*E$18</f>
        <v>2396000</v>
      </c>
      <c r="F21" s="57">
        <f t="shared" si="1"/>
        <v>3594000</v>
      </c>
      <c r="G21" s="48">
        <f>D21-E21-F21</f>
        <v>1856570</v>
      </c>
      <c r="H21" s="57">
        <v>0</v>
      </c>
      <c r="I21" s="58">
        <f t="shared" si="0"/>
        <v>7846570</v>
      </c>
      <c r="K21" s="50" t="s">
        <v>33</v>
      </c>
      <c r="L21" s="5">
        <v>-5.79</v>
      </c>
    </row>
    <row r="22" spans="1:12" ht="15.75" x14ac:dyDescent="0.25">
      <c r="A22" s="46" t="s">
        <v>24</v>
      </c>
      <c r="B22" s="48">
        <f>SUM(B19:B21)</f>
        <v>10000</v>
      </c>
      <c r="C22" s="57">
        <v>357</v>
      </c>
      <c r="D22" s="57">
        <v>7741880</v>
      </c>
      <c r="E22" s="57">
        <f t="shared" si="1"/>
        <v>714000</v>
      </c>
      <c r="F22" s="57">
        <f t="shared" si="1"/>
        <v>1071000</v>
      </c>
      <c r="G22" s="57">
        <f t="shared" si="1"/>
        <v>1785000</v>
      </c>
      <c r="H22" s="57">
        <f>D22-E22-F22-G22</f>
        <v>4171880</v>
      </c>
      <c r="I22" s="58">
        <f t="shared" si="0"/>
        <v>7741880</v>
      </c>
      <c r="K22" s="50" t="s">
        <v>34</v>
      </c>
      <c r="L22" s="50">
        <v>-31.81</v>
      </c>
    </row>
    <row r="23" spans="1:12" ht="16.5" thickBot="1" x14ac:dyDescent="0.3">
      <c r="A23" s="46"/>
      <c r="B23" t="s">
        <v>35</v>
      </c>
      <c r="C23" s="59">
        <f t="shared" ref="C23:I23" si="2">SUM(C19:C22)</f>
        <v>7965</v>
      </c>
      <c r="D23" s="59">
        <f t="shared" si="2"/>
        <v>30013410</v>
      </c>
      <c r="E23" s="59">
        <f t="shared" si="2"/>
        <v>13099240</v>
      </c>
      <c r="F23" s="59">
        <f t="shared" si="2"/>
        <v>9100720</v>
      </c>
      <c r="G23" s="60">
        <f t="shared" si="2"/>
        <v>3641570</v>
      </c>
      <c r="H23" s="59">
        <f t="shared" si="2"/>
        <v>4171880</v>
      </c>
      <c r="I23" s="61">
        <f t="shared" si="2"/>
        <v>30013410</v>
      </c>
      <c r="K23" s="50" t="s">
        <v>36</v>
      </c>
      <c r="L23" s="62">
        <f>ROUND(SUM(L17:L22),0)</f>
        <v>-4481</v>
      </c>
    </row>
    <row r="24" spans="1:12" ht="15.75" thickTop="1" x14ac:dyDescent="0.25">
      <c r="A24" s="63"/>
      <c r="B24"/>
      <c r="C24"/>
      <c r="D24"/>
      <c r="E24"/>
      <c r="F24"/>
      <c r="G24" s="64"/>
      <c r="H24"/>
      <c r="I24" s="65"/>
    </row>
    <row r="25" spans="1:12" x14ac:dyDescent="0.25">
      <c r="A25" s="63"/>
      <c r="B25" t="s">
        <v>37</v>
      </c>
      <c r="C25"/>
      <c r="D25"/>
      <c r="E25"/>
      <c r="F25"/>
      <c r="G25" s="64"/>
      <c r="H25"/>
      <c r="I25" s="65"/>
    </row>
    <row r="26" spans="1:12" x14ac:dyDescent="0.25">
      <c r="A26" s="63"/>
      <c r="B26"/>
      <c r="C26"/>
      <c r="D26"/>
      <c r="E26"/>
      <c r="F26"/>
      <c r="G26" s="64"/>
      <c r="H26"/>
      <c r="I26" s="65"/>
    </row>
    <row r="27" spans="1:12" x14ac:dyDescent="0.25">
      <c r="A27" s="63"/>
      <c r="B27" s="66"/>
      <c r="C27" s="66" t="s">
        <v>28</v>
      </c>
      <c r="D27" s="66" t="s">
        <v>29</v>
      </c>
      <c r="E27" s="66" t="s">
        <v>38</v>
      </c>
      <c r="F27" s="66" t="s">
        <v>7</v>
      </c>
      <c r="G27" s="64"/>
      <c r="H27"/>
      <c r="I27" s="65"/>
    </row>
    <row r="28" spans="1:12" x14ac:dyDescent="0.25">
      <c r="A28" s="46" t="s">
        <v>22</v>
      </c>
      <c r="B28" s="57">
        <f>B19</f>
        <v>2000</v>
      </c>
      <c r="C28" s="67">
        <f>C23</f>
        <v>7965</v>
      </c>
      <c r="D28" s="67">
        <f>E23</f>
        <v>13099240</v>
      </c>
      <c r="E28" s="68">
        <v>26.46</v>
      </c>
      <c r="F28" s="69">
        <f>E28*C28</f>
        <v>210753.9</v>
      </c>
      <c r="G28" s="64"/>
      <c r="H28"/>
      <c r="I28" s="65"/>
    </row>
    <row r="29" spans="1:12" x14ac:dyDescent="0.25">
      <c r="A29" s="46" t="s">
        <v>23</v>
      </c>
      <c r="B29" s="57">
        <f t="shared" ref="B29:B31" si="3">B20</f>
        <v>3000</v>
      </c>
      <c r="C29"/>
      <c r="D29" s="67">
        <f>F23</f>
        <v>9100720</v>
      </c>
      <c r="E29" s="70">
        <v>8.5599999999999999E-3</v>
      </c>
      <c r="F29" s="71">
        <f>ROUND(D29*E29,0)</f>
        <v>77902</v>
      </c>
      <c r="G29" s="64"/>
      <c r="H29"/>
      <c r="I29" s="65"/>
    </row>
    <row r="30" spans="1:12" x14ac:dyDescent="0.25">
      <c r="A30" s="46" t="s">
        <v>23</v>
      </c>
      <c r="B30" s="57">
        <f t="shared" si="3"/>
        <v>5000</v>
      </c>
      <c r="C30"/>
      <c r="D30" s="67">
        <f>G23</f>
        <v>3641570</v>
      </c>
      <c r="E30" s="70">
        <v>7.7499999999999999E-3</v>
      </c>
      <c r="F30" s="71">
        <f t="shared" ref="F30:F31" si="4">ROUND(D30*E30,0)</f>
        <v>28222</v>
      </c>
      <c r="G30" s="64"/>
      <c r="H30"/>
      <c r="I30" s="65"/>
    </row>
    <row r="31" spans="1:12" x14ac:dyDescent="0.25">
      <c r="A31" s="46" t="s">
        <v>24</v>
      </c>
      <c r="B31" s="57">
        <f t="shared" si="3"/>
        <v>10000</v>
      </c>
      <c r="C31" s="66"/>
      <c r="D31" s="73">
        <f>H22</f>
        <v>4171880</v>
      </c>
      <c r="E31" s="70">
        <v>6.94E-3</v>
      </c>
      <c r="F31" s="74">
        <f t="shared" si="4"/>
        <v>28953</v>
      </c>
      <c r="G31" s="64"/>
      <c r="H31"/>
      <c r="I31" s="65"/>
    </row>
    <row r="32" spans="1:12" ht="15.75" thickBot="1" x14ac:dyDescent="0.3">
      <c r="A32" s="63"/>
      <c r="B32" t="s">
        <v>39</v>
      </c>
      <c r="C32"/>
      <c r="D32" s="59">
        <f>SUM(D28:D31)</f>
        <v>30013410</v>
      </c>
      <c r="E32"/>
      <c r="F32" s="75">
        <f>SUM(F28:F31)</f>
        <v>345830.9</v>
      </c>
      <c r="G32" s="64"/>
      <c r="H32"/>
      <c r="I32" s="65" t="s">
        <v>40</v>
      </c>
    </row>
    <row r="33" spans="1:9" ht="15.75" thickTop="1" x14ac:dyDescent="0.25">
      <c r="A33" s="63"/>
      <c r="B33"/>
      <c r="C33"/>
      <c r="D33"/>
      <c r="E33"/>
      <c r="F33"/>
      <c r="G33" s="64"/>
      <c r="H33"/>
      <c r="I33" s="65"/>
    </row>
    <row r="34" spans="1:9" x14ac:dyDescent="0.25">
      <c r="A34" s="63"/>
      <c r="B34"/>
      <c r="C34"/>
      <c r="D34"/>
      <c r="E34"/>
      <c r="F34"/>
      <c r="G34" s="64"/>
      <c r="H34"/>
      <c r="I34" s="65"/>
    </row>
    <row r="35" spans="1:9" ht="15.75" x14ac:dyDescent="0.25">
      <c r="A35" s="76" t="s">
        <v>12</v>
      </c>
      <c r="B35"/>
      <c r="C35"/>
      <c r="D35"/>
      <c r="E35"/>
      <c r="F35"/>
      <c r="G35" s="64"/>
      <c r="H35"/>
      <c r="I35" s="65"/>
    </row>
    <row r="36" spans="1:9" x14ac:dyDescent="0.25">
      <c r="A36" s="46"/>
      <c r="B36" s="47"/>
      <c r="C36" s="47"/>
      <c r="D36" s="47"/>
      <c r="E36" s="47" t="s">
        <v>22</v>
      </c>
      <c r="F36" s="47" t="s">
        <v>23</v>
      </c>
      <c r="G36" s="48" t="s">
        <v>23</v>
      </c>
      <c r="H36" s="47" t="s">
        <v>24</v>
      </c>
      <c r="I36" s="49" t="s">
        <v>25</v>
      </c>
    </row>
    <row r="37" spans="1:9" x14ac:dyDescent="0.25">
      <c r="A37" s="46"/>
      <c r="B37" s="52" t="s">
        <v>27</v>
      </c>
      <c r="C37" s="52" t="s">
        <v>28</v>
      </c>
      <c r="D37" s="52" t="s">
        <v>29</v>
      </c>
      <c r="E37" s="53">
        <f>B38</f>
        <v>2000</v>
      </c>
      <c r="F37" s="53">
        <f>B39</f>
        <v>3000</v>
      </c>
      <c r="G37" s="54">
        <f>B40</f>
        <v>5000</v>
      </c>
      <c r="H37" s="55">
        <f>SUM(E37:G37)</f>
        <v>10000</v>
      </c>
      <c r="I37" s="56"/>
    </row>
    <row r="38" spans="1:9" x14ac:dyDescent="0.25">
      <c r="A38" s="46" t="s">
        <v>22</v>
      </c>
      <c r="B38" s="48">
        <v>2000</v>
      </c>
      <c r="C38" s="57">
        <v>441</v>
      </c>
      <c r="D38" s="57">
        <v>263140</v>
      </c>
      <c r="E38" s="57">
        <f>D38</f>
        <v>263140</v>
      </c>
      <c r="F38" s="57">
        <v>0</v>
      </c>
      <c r="G38" s="48">
        <v>0</v>
      </c>
      <c r="H38" s="57">
        <v>0</v>
      </c>
      <c r="I38" s="58">
        <f>SUM(E38:H38)</f>
        <v>263140</v>
      </c>
    </row>
    <row r="39" spans="1:9" x14ac:dyDescent="0.25">
      <c r="A39" s="46" t="s">
        <v>23</v>
      </c>
      <c r="B39" s="48">
        <v>3000</v>
      </c>
      <c r="C39" s="57">
        <v>89</v>
      </c>
      <c r="D39" s="57">
        <v>289820</v>
      </c>
      <c r="E39" s="57">
        <f>$C39*E$37</f>
        <v>178000</v>
      </c>
      <c r="F39" s="57">
        <f>D39-E39</f>
        <v>111820</v>
      </c>
      <c r="G39" s="48">
        <v>0</v>
      </c>
      <c r="H39" s="57">
        <v>0</v>
      </c>
      <c r="I39" s="58">
        <f t="shared" ref="I39:I41" si="5">SUM(E39:H39)</f>
        <v>289820</v>
      </c>
    </row>
    <row r="40" spans="1:9" x14ac:dyDescent="0.25">
      <c r="A40" s="46" t="s">
        <v>23</v>
      </c>
      <c r="B40" s="48">
        <v>5000</v>
      </c>
      <c r="C40" s="57">
        <v>53</v>
      </c>
      <c r="D40" s="57">
        <v>337910</v>
      </c>
      <c r="E40" s="57">
        <f t="shared" ref="E40:G41" si="6">$C40*E$37</f>
        <v>106000</v>
      </c>
      <c r="F40" s="57">
        <f t="shared" si="6"/>
        <v>159000</v>
      </c>
      <c r="G40" s="48">
        <f>D40-E40-F40</f>
        <v>72910</v>
      </c>
      <c r="H40" s="57">
        <v>0</v>
      </c>
      <c r="I40" s="58">
        <f t="shared" si="5"/>
        <v>337910</v>
      </c>
    </row>
    <row r="41" spans="1:9" x14ac:dyDescent="0.25">
      <c r="A41" s="46" t="s">
        <v>24</v>
      </c>
      <c r="B41" s="48">
        <f>SUM(B38:B40)</f>
        <v>10000</v>
      </c>
      <c r="C41" s="57">
        <v>73</v>
      </c>
      <c r="D41" s="57">
        <v>1807180</v>
      </c>
      <c r="E41" s="57">
        <f t="shared" si="6"/>
        <v>146000</v>
      </c>
      <c r="F41" s="57">
        <f t="shared" si="6"/>
        <v>219000</v>
      </c>
      <c r="G41" s="57">
        <f t="shared" si="6"/>
        <v>365000</v>
      </c>
      <c r="H41" s="57">
        <f>D41-E41-F41-G41</f>
        <v>1077180</v>
      </c>
      <c r="I41" s="58">
        <f t="shared" si="5"/>
        <v>1807180</v>
      </c>
    </row>
    <row r="42" spans="1:9" ht="15.75" thickBot="1" x14ac:dyDescent="0.3">
      <c r="A42" s="46"/>
      <c r="B42" t="s">
        <v>35</v>
      </c>
      <c r="C42" s="59">
        <f t="shared" ref="C42:I42" si="7">SUM(C38:C41)</f>
        <v>656</v>
      </c>
      <c r="D42" s="59">
        <f t="shared" si="7"/>
        <v>2698050</v>
      </c>
      <c r="E42" s="59">
        <f t="shared" si="7"/>
        <v>693140</v>
      </c>
      <c r="F42" s="59">
        <f t="shared" si="7"/>
        <v>489820</v>
      </c>
      <c r="G42" s="60">
        <f t="shared" si="7"/>
        <v>437910</v>
      </c>
      <c r="H42" s="59">
        <f t="shared" si="7"/>
        <v>1077180</v>
      </c>
      <c r="I42" s="61">
        <f t="shared" si="7"/>
        <v>2698050</v>
      </c>
    </row>
    <row r="43" spans="1:9" ht="15.75" thickTop="1" x14ac:dyDescent="0.25">
      <c r="A43" s="63"/>
      <c r="B43"/>
      <c r="C43"/>
      <c r="D43"/>
      <c r="E43"/>
      <c r="F43"/>
      <c r="G43" s="64"/>
      <c r="H43"/>
      <c r="I43" s="65"/>
    </row>
    <row r="44" spans="1:9" x14ac:dyDescent="0.25">
      <c r="A44" s="63"/>
      <c r="B44" t="s">
        <v>37</v>
      </c>
      <c r="C44"/>
      <c r="D44"/>
      <c r="E44"/>
      <c r="F44"/>
      <c r="G44" s="64"/>
      <c r="H44"/>
      <c r="I44" s="65"/>
    </row>
    <row r="45" spans="1:9" x14ac:dyDescent="0.25">
      <c r="A45" s="63"/>
      <c r="B45"/>
      <c r="C45"/>
      <c r="D45"/>
      <c r="E45"/>
      <c r="F45"/>
      <c r="G45" s="64"/>
      <c r="H45"/>
      <c r="I45" s="65"/>
    </row>
    <row r="46" spans="1:9" x14ac:dyDescent="0.25">
      <c r="A46" s="63"/>
      <c r="B46" s="66"/>
      <c r="C46" s="66" t="s">
        <v>28</v>
      </c>
      <c r="D46" s="66" t="s">
        <v>29</v>
      </c>
      <c r="E46" s="66" t="s">
        <v>38</v>
      </c>
      <c r="F46" s="66" t="s">
        <v>7</v>
      </c>
      <c r="G46" s="64"/>
      <c r="H46"/>
      <c r="I46" s="65"/>
    </row>
    <row r="47" spans="1:9" x14ac:dyDescent="0.25">
      <c r="A47" s="46" t="s">
        <v>22</v>
      </c>
      <c r="B47" s="57">
        <f>B38</f>
        <v>2000</v>
      </c>
      <c r="C47" s="67">
        <f>C42</f>
        <v>656</v>
      </c>
      <c r="D47" s="67">
        <f>E42</f>
        <v>693140</v>
      </c>
      <c r="E47" s="68">
        <f>E28</f>
        <v>26.46</v>
      </c>
      <c r="F47" s="69">
        <f>E47*C47</f>
        <v>17357.760000000002</v>
      </c>
      <c r="G47" s="64"/>
      <c r="H47"/>
      <c r="I47" s="65"/>
    </row>
    <row r="48" spans="1:9" x14ac:dyDescent="0.25">
      <c r="A48" s="46" t="s">
        <v>23</v>
      </c>
      <c r="B48" s="57">
        <f t="shared" ref="B48:B50" si="8">B39</f>
        <v>3000</v>
      </c>
      <c r="C48"/>
      <c r="D48" s="67">
        <f>F42</f>
        <v>489820</v>
      </c>
      <c r="E48" s="70">
        <f t="shared" ref="E48:E50" si="9">E29</f>
        <v>8.5599999999999999E-3</v>
      </c>
      <c r="F48" s="71">
        <f>ROUND(D48*E48,0)</f>
        <v>4193</v>
      </c>
      <c r="G48" s="64"/>
      <c r="H48"/>
      <c r="I48" s="65"/>
    </row>
    <row r="49" spans="1:9" x14ac:dyDescent="0.25">
      <c r="A49" s="46" t="s">
        <v>23</v>
      </c>
      <c r="B49" s="57">
        <f t="shared" si="8"/>
        <v>5000</v>
      </c>
      <c r="C49"/>
      <c r="D49" s="67">
        <f>G42</f>
        <v>437910</v>
      </c>
      <c r="E49" s="70">
        <f t="shared" si="9"/>
        <v>7.7499999999999999E-3</v>
      </c>
      <c r="F49" s="71">
        <f t="shared" ref="F49:F50" si="10">ROUND(D49*E49,0)</f>
        <v>3394</v>
      </c>
      <c r="G49" s="64"/>
      <c r="H49"/>
      <c r="I49" s="65"/>
    </row>
    <row r="50" spans="1:9" x14ac:dyDescent="0.25">
      <c r="A50" s="46" t="s">
        <v>24</v>
      </c>
      <c r="B50" s="57">
        <f t="shared" si="8"/>
        <v>10000</v>
      </c>
      <c r="C50" s="66"/>
      <c r="D50" s="73">
        <f>H41</f>
        <v>1077180</v>
      </c>
      <c r="E50" s="70">
        <f t="shared" si="9"/>
        <v>6.94E-3</v>
      </c>
      <c r="F50" s="74">
        <f t="shared" si="10"/>
        <v>7476</v>
      </c>
      <c r="G50" s="64"/>
      <c r="H50"/>
      <c r="I50" s="65"/>
    </row>
    <row r="51" spans="1:9" ht="15.75" thickBot="1" x14ac:dyDescent="0.3">
      <c r="A51" s="63"/>
      <c r="B51" t="s">
        <v>39</v>
      </c>
      <c r="C51"/>
      <c r="D51" s="59">
        <f>SUM(D47:D50)</f>
        <v>2698050</v>
      </c>
      <c r="E51"/>
      <c r="F51" s="75">
        <f>SUM(F47:F50)</f>
        <v>32420.760000000002</v>
      </c>
      <c r="G51" s="64"/>
      <c r="H51"/>
      <c r="I51" s="65" t="s">
        <v>40</v>
      </c>
    </row>
    <row r="52" spans="1:9" ht="15.75" thickTop="1" x14ac:dyDescent="0.25">
      <c r="A52" s="77"/>
      <c r="B52" s="21"/>
      <c r="C52" s="21"/>
      <c r="D52" s="21"/>
      <c r="E52" s="21"/>
      <c r="F52" s="21"/>
      <c r="G52" s="21"/>
      <c r="H52" s="21"/>
      <c r="I52" s="78"/>
    </row>
  </sheetData>
  <mergeCells count="3">
    <mergeCell ref="A1:I1"/>
    <mergeCell ref="A2:I2"/>
    <mergeCell ref="C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B4E9-558D-4D7F-BD64-B40D0ED67973}">
  <dimension ref="A1:T52"/>
  <sheetViews>
    <sheetView workbookViewId="0">
      <selection activeCell="D7" sqref="D7"/>
    </sheetView>
  </sheetViews>
  <sheetFormatPr defaultColWidth="11.42578125" defaultRowHeight="15" x14ac:dyDescent="0.25"/>
  <cols>
    <col min="1" max="1" width="10.85546875" style="4" customWidth="1"/>
    <col min="2" max="2" width="9.7109375" style="4" customWidth="1"/>
    <col min="3" max="3" width="10.28515625" style="4" customWidth="1"/>
    <col min="4" max="9" width="20.28515625" style="4" customWidth="1"/>
    <col min="10" max="10" width="11.85546875" style="4" bestFit="1" customWidth="1"/>
    <col min="11" max="11" width="27.85546875" style="4" customWidth="1"/>
    <col min="12" max="12" width="14.7109375" style="5" customWidth="1"/>
    <col min="13" max="13" width="11.5703125" style="4" bestFit="1" customWidth="1"/>
    <col min="14" max="15" width="11.42578125" style="4"/>
    <col min="16" max="16" width="12.7109375" style="4" customWidth="1"/>
    <col min="17" max="17" width="12.140625" style="4" customWidth="1"/>
    <col min="18" max="18" width="13.140625" style="4" bestFit="1" customWidth="1"/>
    <col min="19" max="16384" width="11.42578125" style="4"/>
  </cols>
  <sheetData>
    <row r="1" spans="1:20" ht="18.75" x14ac:dyDescent="0.3">
      <c r="A1" s="79" t="s">
        <v>44</v>
      </c>
      <c r="B1" s="79"/>
      <c r="C1" s="79"/>
      <c r="D1" s="79"/>
      <c r="E1" s="79"/>
      <c r="F1" s="79"/>
      <c r="G1" s="79"/>
      <c r="H1" s="79"/>
      <c r="I1" s="79"/>
    </row>
    <row r="2" spans="1:20" ht="18.75" x14ac:dyDescent="0.25">
      <c r="A2" s="80" t="str">
        <f>'[1]SAO - DSC'!C4</f>
        <v>Cannonsburg Water District</v>
      </c>
      <c r="B2" s="81"/>
      <c r="C2" s="81"/>
      <c r="D2" s="81"/>
      <c r="E2" s="81"/>
      <c r="F2" s="81"/>
      <c r="G2" s="81"/>
      <c r="H2" s="81"/>
      <c r="I2" s="82"/>
    </row>
    <row r="3" spans="1:20" x14ac:dyDescent="0.25">
      <c r="A3" s="9"/>
      <c r="I3" s="10"/>
      <c r="M3" s="11"/>
    </row>
    <row r="4" spans="1:20" ht="17.25" x14ac:dyDescent="0.4">
      <c r="A4" s="9"/>
      <c r="C4" s="12" t="s">
        <v>1</v>
      </c>
      <c r="D4" s="12"/>
      <c r="E4" s="12"/>
      <c r="F4" s="12"/>
      <c r="G4" s="12"/>
      <c r="I4" s="10"/>
      <c r="J4" s="13"/>
      <c r="M4" s="14"/>
      <c r="N4" s="15"/>
      <c r="O4" s="16"/>
      <c r="P4" s="17" t="s">
        <v>2</v>
      </c>
      <c r="Q4" s="17" t="s">
        <v>3</v>
      </c>
      <c r="R4" s="18" t="s">
        <v>4</v>
      </c>
      <c r="S4" s="19"/>
      <c r="T4" s="19"/>
    </row>
    <row r="5" spans="1:20" ht="17.25" x14ac:dyDescent="0.4">
      <c r="A5" s="9"/>
      <c r="C5" s="20"/>
      <c r="D5" s="21"/>
      <c r="E5" s="22" t="s">
        <v>5</v>
      </c>
      <c r="F5" s="22" t="s">
        <v>6</v>
      </c>
      <c r="G5" s="22" t="s">
        <v>7</v>
      </c>
      <c r="H5" s="23"/>
      <c r="I5" s="10"/>
      <c r="M5" s="24"/>
      <c r="N5" s="9"/>
      <c r="P5" s="25" t="s">
        <v>8</v>
      </c>
      <c r="Q5" s="25" t="s">
        <v>9</v>
      </c>
      <c r="R5" s="26" t="s">
        <v>9</v>
      </c>
      <c r="S5" s="19"/>
      <c r="T5" s="19"/>
    </row>
    <row r="6" spans="1:20" x14ac:dyDescent="0.25">
      <c r="A6" s="9"/>
      <c r="C6" s="4" t="s">
        <v>10</v>
      </c>
      <c r="E6" s="27">
        <f>C28</f>
        <v>7965</v>
      </c>
      <c r="F6" s="27">
        <f>D28</f>
        <v>13099240</v>
      </c>
      <c r="G6" s="28">
        <f>F32</f>
        <v>358311.3</v>
      </c>
      <c r="H6" s="28"/>
      <c r="I6" s="10"/>
      <c r="N6" s="9" t="s">
        <v>11</v>
      </c>
      <c r="Q6" s="28">
        <f>2523865+25441</f>
        <v>2549306</v>
      </c>
      <c r="R6" s="29">
        <f>G6</f>
        <v>358311.3</v>
      </c>
    </row>
    <row r="7" spans="1:20" x14ac:dyDescent="0.25">
      <c r="A7" s="9"/>
      <c r="C7" s="4" t="s">
        <v>12</v>
      </c>
      <c r="E7" s="27">
        <f>C47</f>
        <v>656</v>
      </c>
      <c r="F7" s="27">
        <f>D47</f>
        <v>693140</v>
      </c>
      <c r="G7" s="27">
        <f>F51</f>
        <v>33680.32</v>
      </c>
      <c r="H7" s="27"/>
      <c r="I7" s="10"/>
      <c r="N7" s="9" t="s">
        <v>13</v>
      </c>
      <c r="Q7" s="27">
        <f>47173+18227</f>
        <v>65400</v>
      </c>
      <c r="R7" s="30">
        <f>G7</f>
        <v>33680.32</v>
      </c>
    </row>
    <row r="8" spans="1:20" ht="17.25" x14ac:dyDescent="0.4">
      <c r="A8" s="9"/>
      <c r="E8" s="31"/>
      <c r="F8" s="32"/>
      <c r="G8" s="31"/>
      <c r="H8" s="27"/>
      <c r="I8" s="10"/>
      <c r="N8" s="9" t="s">
        <v>14</v>
      </c>
      <c r="Q8" s="33">
        <f>46170+110949</f>
        <v>157119</v>
      </c>
      <c r="R8" s="34">
        <f>G8</f>
        <v>0</v>
      </c>
    </row>
    <row r="9" spans="1:20" x14ac:dyDescent="0.25">
      <c r="A9" s="9"/>
      <c r="C9" s="4" t="s">
        <v>15</v>
      </c>
      <c r="E9" s="24">
        <f>SUM(E6:E8)</f>
        <v>8621</v>
      </c>
      <c r="F9" s="27">
        <f>SUM(F6:F8)</f>
        <v>13792380</v>
      </c>
      <c r="G9" s="28">
        <f>SUM(G6:G8)</f>
        <v>391991.62</v>
      </c>
      <c r="H9" s="28"/>
      <c r="I9" s="10"/>
      <c r="K9" s="24"/>
      <c r="L9" s="35"/>
      <c r="N9" s="9" t="s">
        <v>15</v>
      </c>
      <c r="P9" s="28">
        <f>'[1]SAO - DSC'!F9</f>
        <v>345210</v>
      </c>
      <c r="Q9" s="27">
        <f>SUM(Q6:Q8)</f>
        <v>2771825</v>
      </c>
      <c r="R9" s="30">
        <f>G9</f>
        <v>391991.62</v>
      </c>
    </row>
    <row r="10" spans="1:20" x14ac:dyDescent="0.25">
      <c r="A10" s="9"/>
      <c r="C10" s="36" t="s">
        <v>16</v>
      </c>
      <c r="G10" s="31">
        <f>L23</f>
        <v>-4481</v>
      </c>
      <c r="H10" s="27"/>
      <c r="I10" s="37"/>
      <c r="N10" s="9"/>
      <c r="P10" s="28"/>
      <c r="Q10" s="24">
        <f>Q9-P9</f>
        <v>2426615</v>
      </c>
      <c r="R10" s="37">
        <f>R9-Q9</f>
        <v>-2379833.38</v>
      </c>
    </row>
    <row r="11" spans="1:20" x14ac:dyDescent="0.25">
      <c r="A11" s="9"/>
      <c r="C11" s="38" t="s">
        <v>17</v>
      </c>
      <c r="G11" s="39">
        <f>G9+G10</f>
        <v>387510.62</v>
      </c>
      <c r="H11" s="39"/>
      <c r="I11" s="29"/>
      <c r="N11" s="9" t="s">
        <v>18</v>
      </c>
      <c r="P11" s="28">
        <v>2587900</v>
      </c>
      <c r="R11" s="10"/>
    </row>
    <row r="12" spans="1:20" x14ac:dyDescent="0.25">
      <c r="A12" s="9"/>
      <c r="C12" s="4" t="s">
        <v>42</v>
      </c>
      <c r="F12" s="40"/>
      <c r="G12" s="31">
        <f>-'BA - 0.023 CN 2023-00098'!G11</f>
        <v>-373770.66000000003</v>
      </c>
      <c r="I12" s="29"/>
      <c r="N12" s="9"/>
      <c r="Q12" s="41">
        <f>F9/1000*0.09</f>
        <v>1241.3141999999998</v>
      </c>
      <c r="R12" s="42">
        <f>F9/1000*0.18</f>
        <v>2482.6283999999996</v>
      </c>
      <c r="S12"/>
    </row>
    <row r="13" spans="1:20" ht="15.75" thickBot="1" x14ac:dyDescent="0.3">
      <c r="A13" s="9"/>
      <c r="C13" s="4" t="s">
        <v>20</v>
      </c>
      <c r="F13" s="40"/>
      <c r="G13" s="43">
        <f>SUM(G11:G12)</f>
        <v>13739.959999999963</v>
      </c>
      <c r="I13" s="29"/>
      <c r="N13" s="9"/>
      <c r="R13" s="44">
        <f>P9+Q12+R12</f>
        <v>348933.94260000001</v>
      </c>
    </row>
    <row r="14" spans="1:20" ht="15.75" thickTop="1" x14ac:dyDescent="0.25">
      <c r="A14" s="9"/>
      <c r="F14" s="40"/>
      <c r="G14" s="45"/>
      <c r="I14" s="29"/>
      <c r="N14" s="9"/>
      <c r="R14" s="10"/>
    </row>
    <row r="15" spans="1:20" x14ac:dyDescent="0.25">
      <c r="A15" s="9"/>
      <c r="I15" s="10"/>
    </row>
    <row r="16" spans="1:20" x14ac:dyDescent="0.25">
      <c r="A16" s="9" t="s">
        <v>21</v>
      </c>
      <c r="I16" s="10"/>
    </row>
    <row r="17" spans="1:12" ht="15.75" x14ac:dyDescent="0.25">
      <c r="A17" s="46"/>
      <c r="B17" s="47"/>
      <c r="C17" s="47"/>
      <c r="D17" s="47"/>
      <c r="E17" s="47" t="s">
        <v>22</v>
      </c>
      <c r="F17" s="47" t="s">
        <v>23</v>
      </c>
      <c r="G17" s="48" t="s">
        <v>23</v>
      </c>
      <c r="H17" s="47" t="s">
        <v>24</v>
      </c>
      <c r="I17" s="49" t="s">
        <v>25</v>
      </c>
      <c r="K17" s="50" t="s">
        <v>26</v>
      </c>
      <c r="L17" s="51">
        <v>-692.07</v>
      </c>
    </row>
    <row r="18" spans="1:12" ht="15.75" x14ac:dyDescent="0.25">
      <c r="A18" s="46"/>
      <c r="B18" s="52" t="s">
        <v>27</v>
      </c>
      <c r="C18" s="52" t="s">
        <v>28</v>
      </c>
      <c r="D18" s="52" t="s">
        <v>29</v>
      </c>
      <c r="E18" s="53">
        <f>B19</f>
        <v>2000</v>
      </c>
      <c r="F18" s="53">
        <f>B20</f>
        <v>3000</v>
      </c>
      <c r="G18" s="54">
        <f>B21</f>
        <v>5000</v>
      </c>
      <c r="H18" s="55">
        <f>SUM(E18:G18)</f>
        <v>10000</v>
      </c>
      <c r="I18" s="56"/>
      <c r="K18" s="50" t="s">
        <v>30</v>
      </c>
      <c r="L18" s="51">
        <v>-1376.6</v>
      </c>
    </row>
    <row r="19" spans="1:12" ht="15.75" x14ac:dyDescent="0.25">
      <c r="A19" s="46" t="s">
        <v>22</v>
      </c>
      <c r="B19" s="48">
        <v>2000</v>
      </c>
      <c r="C19" s="57">
        <v>2848</v>
      </c>
      <c r="D19" s="57">
        <v>2865240</v>
      </c>
      <c r="E19" s="57">
        <f>D19</f>
        <v>2865240</v>
      </c>
      <c r="F19" s="57">
        <v>0</v>
      </c>
      <c r="G19" s="48">
        <v>0</v>
      </c>
      <c r="H19" s="57">
        <v>0</v>
      </c>
      <c r="I19" s="58">
        <f>SUM(E19:H19)</f>
        <v>2865240</v>
      </c>
      <c r="K19" s="50" t="s">
        <v>31</v>
      </c>
      <c r="L19" s="51">
        <v>-1053.5899999999999</v>
      </c>
    </row>
    <row r="20" spans="1:12" ht="15.75" x14ac:dyDescent="0.25">
      <c r="A20" s="46" t="s">
        <v>23</v>
      </c>
      <c r="B20" s="48">
        <v>3000</v>
      </c>
      <c r="C20" s="57">
        <v>3562</v>
      </c>
      <c r="D20" s="57">
        <v>11559720</v>
      </c>
      <c r="E20" s="57">
        <f>$C20*E$18</f>
        <v>7124000</v>
      </c>
      <c r="F20" s="57">
        <f>D20-E20</f>
        <v>4435720</v>
      </c>
      <c r="G20" s="48">
        <v>0</v>
      </c>
      <c r="H20" s="57">
        <v>0</v>
      </c>
      <c r="I20" s="58">
        <f t="shared" ref="I20:I22" si="0">SUM(E20:H20)</f>
        <v>11559720</v>
      </c>
      <c r="K20" s="50" t="s">
        <v>32</v>
      </c>
      <c r="L20" s="5">
        <v>-1320.84</v>
      </c>
    </row>
    <row r="21" spans="1:12" ht="15.75" x14ac:dyDescent="0.25">
      <c r="A21" s="46" t="s">
        <v>23</v>
      </c>
      <c r="B21" s="48">
        <v>5000</v>
      </c>
      <c r="C21" s="57">
        <v>1198</v>
      </c>
      <c r="D21" s="57">
        <v>7846570</v>
      </c>
      <c r="E21" s="57">
        <f t="shared" ref="E21:G22" si="1">$C21*E$18</f>
        <v>2396000</v>
      </c>
      <c r="F21" s="57">
        <f t="shared" si="1"/>
        <v>3594000</v>
      </c>
      <c r="G21" s="48">
        <f>D21-E21-F21</f>
        <v>1856570</v>
      </c>
      <c r="H21" s="57">
        <v>0</v>
      </c>
      <c r="I21" s="58">
        <f t="shared" si="0"/>
        <v>7846570</v>
      </c>
      <c r="K21" s="50" t="s">
        <v>33</v>
      </c>
      <c r="L21" s="5">
        <v>-5.79</v>
      </c>
    </row>
    <row r="22" spans="1:12" ht="15.75" x14ac:dyDescent="0.25">
      <c r="A22" s="46" t="s">
        <v>24</v>
      </c>
      <c r="B22" s="48">
        <f>SUM(B19:B21)</f>
        <v>10000</v>
      </c>
      <c r="C22" s="57">
        <v>357</v>
      </c>
      <c r="D22" s="57">
        <v>7741880</v>
      </c>
      <c r="E22" s="57">
        <f t="shared" si="1"/>
        <v>714000</v>
      </c>
      <c r="F22" s="57">
        <f t="shared" si="1"/>
        <v>1071000</v>
      </c>
      <c r="G22" s="57">
        <f t="shared" si="1"/>
        <v>1785000</v>
      </c>
      <c r="H22" s="57">
        <f>D22-E22-F22-G22</f>
        <v>4171880</v>
      </c>
      <c r="I22" s="58">
        <f t="shared" si="0"/>
        <v>7741880</v>
      </c>
      <c r="K22" s="50" t="s">
        <v>34</v>
      </c>
      <c r="L22" s="50">
        <v>-31.81</v>
      </c>
    </row>
    <row r="23" spans="1:12" ht="16.5" thickBot="1" x14ac:dyDescent="0.3">
      <c r="A23" s="46"/>
      <c r="B23" t="s">
        <v>35</v>
      </c>
      <c r="C23" s="59">
        <f t="shared" ref="C23:I23" si="2">SUM(C19:C22)</f>
        <v>7965</v>
      </c>
      <c r="D23" s="59">
        <f t="shared" si="2"/>
        <v>30013410</v>
      </c>
      <c r="E23" s="59">
        <f t="shared" si="2"/>
        <v>13099240</v>
      </c>
      <c r="F23" s="59">
        <f t="shared" si="2"/>
        <v>9100720</v>
      </c>
      <c r="G23" s="60">
        <f t="shared" si="2"/>
        <v>3641570</v>
      </c>
      <c r="H23" s="59">
        <f t="shared" si="2"/>
        <v>4171880</v>
      </c>
      <c r="I23" s="61">
        <f t="shared" si="2"/>
        <v>30013410</v>
      </c>
      <c r="K23" s="50" t="s">
        <v>36</v>
      </c>
      <c r="L23" s="62">
        <f>ROUND(SUM(L17:L22),0)</f>
        <v>-4481</v>
      </c>
    </row>
    <row r="24" spans="1:12" ht="15.75" thickTop="1" x14ac:dyDescent="0.25">
      <c r="A24" s="63"/>
      <c r="B24"/>
      <c r="C24"/>
      <c r="D24"/>
      <c r="E24"/>
      <c r="F24"/>
      <c r="G24" s="64"/>
      <c r="H24"/>
      <c r="I24" s="65"/>
    </row>
    <row r="25" spans="1:12" x14ac:dyDescent="0.25">
      <c r="A25" s="63"/>
      <c r="B25" t="s">
        <v>37</v>
      </c>
      <c r="C25"/>
      <c r="D25"/>
      <c r="E25"/>
      <c r="F25"/>
      <c r="G25" s="64"/>
      <c r="H25"/>
      <c r="I25" s="65"/>
    </row>
    <row r="26" spans="1:12" x14ac:dyDescent="0.25">
      <c r="A26" s="63"/>
      <c r="B26"/>
      <c r="C26"/>
      <c r="D26"/>
      <c r="E26"/>
      <c r="F26"/>
      <c r="G26" s="64"/>
      <c r="H26"/>
      <c r="I26" s="65"/>
    </row>
    <row r="27" spans="1:12" x14ac:dyDescent="0.25">
      <c r="A27" s="63"/>
      <c r="B27" s="66"/>
      <c r="C27" s="66" t="s">
        <v>28</v>
      </c>
      <c r="D27" s="66" t="s">
        <v>29</v>
      </c>
      <c r="E27" s="66" t="s">
        <v>38</v>
      </c>
      <c r="F27" s="66" t="s">
        <v>7</v>
      </c>
      <c r="G27" s="64"/>
      <c r="H27"/>
      <c r="I27" s="65"/>
    </row>
    <row r="28" spans="1:12" x14ac:dyDescent="0.25">
      <c r="A28" s="46" t="s">
        <v>22</v>
      </c>
      <c r="B28" s="57">
        <f>B19</f>
        <v>2000</v>
      </c>
      <c r="C28" s="67">
        <f>C23</f>
        <v>7965</v>
      </c>
      <c r="D28" s="67">
        <f>E23</f>
        <v>13099240</v>
      </c>
      <c r="E28" s="68">
        <v>27.22</v>
      </c>
      <c r="F28" s="69">
        <f>E28*C28</f>
        <v>216807.3</v>
      </c>
      <c r="G28" s="64"/>
      <c r="H28"/>
      <c r="I28" s="65"/>
    </row>
    <row r="29" spans="1:12" x14ac:dyDescent="0.25">
      <c r="A29" s="46" t="s">
        <v>23</v>
      </c>
      <c r="B29" s="57">
        <f t="shared" ref="B29:B31" si="3">B20</f>
        <v>3000</v>
      </c>
      <c r="C29"/>
      <c r="D29" s="67">
        <f>F23</f>
        <v>9100720</v>
      </c>
      <c r="E29" s="70">
        <v>8.94E-3</v>
      </c>
      <c r="F29" s="71">
        <f>ROUND(D29*E29,0)</f>
        <v>81360</v>
      </c>
      <c r="G29" s="64"/>
      <c r="H29"/>
      <c r="I29" s="65"/>
      <c r="K29" s="72">
        <f>E29/1000</f>
        <v>8.9400000000000008E-6</v>
      </c>
    </row>
    <row r="30" spans="1:12" x14ac:dyDescent="0.25">
      <c r="A30" s="46" t="s">
        <v>23</v>
      </c>
      <c r="B30" s="57">
        <f t="shared" si="3"/>
        <v>5000</v>
      </c>
      <c r="C30"/>
      <c r="D30" s="67">
        <f>G23</f>
        <v>3641570</v>
      </c>
      <c r="E30" s="70">
        <v>8.1300000000000001E-3</v>
      </c>
      <c r="F30" s="71">
        <f t="shared" ref="F30:F31" si="4">ROUND(D30*E30,0)</f>
        <v>29606</v>
      </c>
      <c r="G30" s="64"/>
      <c r="H30"/>
      <c r="I30" s="65"/>
      <c r="K30" s="72">
        <f t="shared" ref="K30:K31" si="5">E30/1000</f>
        <v>8.1300000000000001E-6</v>
      </c>
    </row>
    <row r="31" spans="1:12" x14ac:dyDescent="0.25">
      <c r="A31" s="46" t="s">
        <v>24</v>
      </c>
      <c r="B31" s="57">
        <f t="shared" si="3"/>
        <v>10000</v>
      </c>
      <c r="C31" s="66"/>
      <c r="D31" s="73">
        <f>H22</f>
        <v>4171880</v>
      </c>
      <c r="E31" s="70">
        <v>7.3200000000000001E-3</v>
      </c>
      <c r="F31" s="74">
        <f t="shared" si="4"/>
        <v>30538</v>
      </c>
      <c r="G31" s="64"/>
      <c r="H31"/>
      <c r="I31" s="65"/>
      <c r="K31" s="72">
        <f t="shared" si="5"/>
        <v>7.3200000000000002E-6</v>
      </c>
    </row>
    <row r="32" spans="1:12" ht="15.75" thickBot="1" x14ac:dyDescent="0.3">
      <c r="A32" s="63"/>
      <c r="B32" t="s">
        <v>39</v>
      </c>
      <c r="C32"/>
      <c r="D32" s="59">
        <f>SUM(D28:D31)</f>
        <v>30013410</v>
      </c>
      <c r="E32"/>
      <c r="F32" s="75">
        <f>SUM(F28:F31)</f>
        <v>358311.3</v>
      </c>
      <c r="G32" s="64"/>
      <c r="H32"/>
      <c r="I32" s="65" t="s">
        <v>40</v>
      </c>
    </row>
    <row r="33" spans="1:9" ht="15.75" thickTop="1" x14ac:dyDescent="0.25">
      <c r="A33" s="63"/>
      <c r="B33"/>
      <c r="C33"/>
      <c r="D33"/>
      <c r="E33"/>
      <c r="F33"/>
      <c r="G33" s="64"/>
      <c r="H33"/>
      <c r="I33" s="65"/>
    </row>
    <row r="34" spans="1:9" x14ac:dyDescent="0.25">
      <c r="A34" s="63"/>
      <c r="B34"/>
      <c r="C34"/>
      <c r="D34"/>
      <c r="E34"/>
      <c r="F34"/>
      <c r="G34" s="64"/>
      <c r="H34"/>
      <c r="I34" s="65"/>
    </row>
    <row r="35" spans="1:9" ht="15.75" x14ac:dyDescent="0.25">
      <c r="A35" s="76" t="s">
        <v>12</v>
      </c>
      <c r="B35"/>
      <c r="C35"/>
      <c r="D35"/>
      <c r="E35"/>
      <c r="F35"/>
      <c r="G35" s="64"/>
      <c r="H35"/>
      <c r="I35" s="65"/>
    </row>
    <row r="36" spans="1:9" x14ac:dyDescent="0.25">
      <c r="A36" s="46"/>
      <c r="B36" s="47"/>
      <c r="C36" s="47"/>
      <c r="D36" s="47"/>
      <c r="E36" s="47" t="s">
        <v>22</v>
      </c>
      <c r="F36" s="47" t="s">
        <v>23</v>
      </c>
      <c r="G36" s="48" t="s">
        <v>23</v>
      </c>
      <c r="H36" s="47" t="s">
        <v>24</v>
      </c>
      <c r="I36" s="49" t="s">
        <v>25</v>
      </c>
    </row>
    <row r="37" spans="1:9" x14ac:dyDescent="0.25">
      <c r="A37" s="46"/>
      <c r="B37" s="52" t="s">
        <v>27</v>
      </c>
      <c r="C37" s="52" t="s">
        <v>28</v>
      </c>
      <c r="D37" s="52" t="s">
        <v>29</v>
      </c>
      <c r="E37" s="53">
        <f>B38</f>
        <v>2000</v>
      </c>
      <c r="F37" s="53">
        <f>B39</f>
        <v>3000</v>
      </c>
      <c r="G37" s="54">
        <f>B40</f>
        <v>5000</v>
      </c>
      <c r="H37" s="55">
        <f>SUM(E37:G37)</f>
        <v>10000</v>
      </c>
      <c r="I37" s="56"/>
    </row>
    <row r="38" spans="1:9" x14ac:dyDescent="0.25">
      <c r="A38" s="46" t="s">
        <v>22</v>
      </c>
      <c r="B38" s="48">
        <v>2000</v>
      </c>
      <c r="C38" s="57">
        <v>441</v>
      </c>
      <c r="D38" s="57">
        <v>263140</v>
      </c>
      <c r="E38" s="57">
        <f>D38</f>
        <v>263140</v>
      </c>
      <c r="F38" s="57">
        <v>0</v>
      </c>
      <c r="G38" s="48">
        <v>0</v>
      </c>
      <c r="H38" s="57">
        <v>0</v>
      </c>
      <c r="I38" s="58">
        <f>SUM(E38:H38)</f>
        <v>263140</v>
      </c>
    </row>
    <row r="39" spans="1:9" x14ac:dyDescent="0.25">
      <c r="A39" s="46" t="s">
        <v>23</v>
      </c>
      <c r="B39" s="48">
        <v>3000</v>
      </c>
      <c r="C39" s="57">
        <v>89</v>
      </c>
      <c r="D39" s="57">
        <v>289820</v>
      </c>
      <c r="E39" s="57">
        <f>$C39*E$37</f>
        <v>178000</v>
      </c>
      <c r="F39" s="57">
        <f>D39-E39</f>
        <v>111820</v>
      </c>
      <c r="G39" s="48">
        <v>0</v>
      </c>
      <c r="H39" s="57">
        <v>0</v>
      </c>
      <c r="I39" s="58">
        <f t="shared" ref="I39:I41" si="6">SUM(E39:H39)</f>
        <v>289820</v>
      </c>
    </row>
    <row r="40" spans="1:9" x14ac:dyDescent="0.25">
      <c r="A40" s="46" t="s">
        <v>23</v>
      </c>
      <c r="B40" s="48">
        <v>5000</v>
      </c>
      <c r="C40" s="57">
        <v>53</v>
      </c>
      <c r="D40" s="57">
        <v>337910</v>
      </c>
      <c r="E40" s="57">
        <f t="shared" ref="E40:G41" si="7">$C40*E$37</f>
        <v>106000</v>
      </c>
      <c r="F40" s="57">
        <f t="shared" si="7"/>
        <v>159000</v>
      </c>
      <c r="G40" s="48">
        <f>D40-E40-F40</f>
        <v>72910</v>
      </c>
      <c r="H40" s="57">
        <v>0</v>
      </c>
      <c r="I40" s="58">
        <f t="shared" si="6"/>
        <v>337910</v>
      </c>
    </row>
    <row r="41" spans="1:9" x14ac:dyDescent="0.25">
      <c r="A41" s="46" t="s">
        <v>24</v>
      </c>
      <c r="B41" s="48">
        <f>SUM(B38:B40)</f>
        <v>10000</v>
      </c>
      <c r="C41" s="57">
        <v>73</v>
      </c>
      <c r="D41" s="57">
        <v>1807180</v>
      </c>
      <c r="E41" s="57">
        <f t="shared" si="7"/>
        <v>146000</v>
      </c>
      <c r="F41" s="57">
        <f t="shared" si="7"/>
        <v>219000</v>
      </c>
      <c r="G41" s="57">
        <f t="shared" si="7"/>
        <v>365000</v>
      </c>
      <c r="H41" s="57">
        <f>D41-E41-F41-G41</f>
        <v>1077180</v>
      </c>
      <c r="I41" s="58">
        <f t="shared" si="6"/>
        <v>1807180</v>
      </c>
    </row>
    <row r="42" spans="1:9" ht="15.75" thickBot="1" x14ac:dyDescent="0.3">
      <c r="A42" s="46"/>
      <c r="B42" t="s">
        <v>35</v>
      </c>
      <c r="C42" s="59">
        <f t="shared" ref="C42:I42" si="8">SUM(C38:C41)</f>
        <v>656</v>
      </c>
      <c r="D42" s="59">
        <f t="shared" si="8"/>
        <v>2698050</v>
      </c>
      <c r="E42" s="59">
        <f t="shared" si="8"/>
        <v>693140</v>
      </c>
      <c r="F42" s="59">
        <f t="shared" si="8"/>
        <v>489820</v>
      </c>
      <c r="G42" s="60">
        <f t="shared" si="8"/>
        <v>437910</v>
      </c>
      <c r="H42" s="59">
        <f t="shared" si="8"/>
        <v>1077180</v>
      </c>
      <c r="I42" s="61">
        <f t="shared" si="8"/>
        <v>2698050</v>
      </c>
    </row>
    <row r="43" spans="1:9" ht="15.75" thickTop="1" x14ac:dyDescent="0.25">
      <c r="A43" s="63"/>
      <c r="B43"/>
      <c r="C43"/>
      <c r="D43"/>
      <c r="E43"/>
      <c r="F43"/>
      <c r="G43" s="64"/>
      <c r="H43"/>
      <c r="I43" s="65"/>
    </row>
    <row r="44" spans="1:9" x14ac:dyDescent="0.25">
      <c r="A44" s="63"/>
      <c r="B44" t="s">
        <v>37</v>
      </c>
      <c r="C44"/>
      <c r="D44"/>
      <c r="E44"/>
      <c r="F44"/>
      <c r="G44" s="64"/>
      <c r="H44"/>
      <c r="I44" s="65"/>
    </row>
    <row r="45" spans="1:9" x14ac:dyDescent="0.25">
      <c r="A45" s="63"/>
      <c r="B45"/>
      <c r="C45"/>
      <c r="D45"/>
      <c r="E45"/>
      <c r="F45"/>
      <c r="G45" s="64"/>
      <c r="H45"/>
      <c r="I45" s="65"/>
    </row>
    <row r="46" spans="1:9" x14ac:dyDescent="0.25">
      <c r="A46" s="63"/>
      <c r="B46" s="66"/>
      <c r="C46" s="66" t="s">
        <v>28</v>
      </c>
      <c r="D46" s="66" t="s">
        <v>29</v>
      </c>
      <c r="E46" s="66" t="s">
        <v>38</v>
      </c>
      <c r="F46" s="66" t="s">
        <v>7</v>
      </c>
      <c r="G46" s="64"/>
      <c r="H46"/>
      <c r="I46" s="65"/>
    </row>
    <row r="47" spans="1:9" x14ac:dyDescent="0.25">
      <c r="A47" s="46" t="s">
        <v>22</v>
      </c>
      <c r="B47" s="57">
        <f>B38</f>
        <v>2000</v>
      </c>
      <c r="C47" s="67">
        <f>C42</f>
        <v>656</v>
      </c>
      <c r="D47" s="67">
        <f>E42</f>
        <v>693140</v>
      </c>
      <c r="E47" s="68">
        <f>E28</f>
        <v>27.22</v>
      </c>
      <c r="F47" s="69">
        <f>E47*C47</f>
        <v>17856.32</v>
      </c>
      <c r="G47" s="64"/>
      <c r="H47"/>
      <c r="I47" s="65"/>
    </row>
    <row r="48" spans="1:9" x14ac:dyDescent="0.25">
      <c r="A48" s="46" t="s">
        <v>23</v>
      </c>
      <c r="B48" s="57">
        <f t="shared" ref="B48:B50" si="9">B39</f>
        <v>3000</v>
      </c>
      <c r="C48"/>
      <c r="D48" s="67">
        <f>F42</f>
        <v>489820</v>
      </c>
      <c r="E48" s="70">
        <f t="shared" ref="E48:E50" si="10">E29</f>
        <v>8.94E-3</v>
      </c>
      <c r="F48" s="71">
        <f>ROUND(D48*E48,0)</f>
        <v>4379</v>
      </c>
      <c r="G48" s="64"/>
      <c r="H48"/>
      <c r="I48" s="65"/>
    </row>
    <row r="49" spans="1:9" x14ac:dyDescent="0.25">
      <c r="A49" s="46" t="s">
        <v>23</v>
      </c>
      <c r="B49" s="57">
        <f t="shared" si="9"/>
        <v>5000</v>
      </c>
      <c r="C49"/>
      <c r="D49" s="67">
        <f>G42</f>
        <v>437910</v>
      </c>
      <c r="E49" s="70">
        <f t="shared" si="10"/>
        <v>8.1300000000000001E-3</v>
      </c>
      <c r="F49" s="71">
        <f t="shared" ref="F49:F50" si="11">ROUND(D49*E49,0)</f>
        <v>3560</v>
      </c>
      <c r="G49" s="64"/>
      <c r="H49"/>
      <c r="I49" s="65"/>
    </row>
    <row r="50" spans="1:9" x14ac:dyDescent="0.25">
      <c r="A50" s="46" t="s">
        <v>24</v>
      </c>
      <c r="B50" s="57">
        <f t="shared" si="9"/>
        <v>10000</v>
      </c>
      <c r="C50" s="66"/>
      <c r="D50" s="73">
        <f>H41</f>
        <v>1077180</v>
      </c>
      <c r="E50" s="70">
        <f t="shared" si="10"/>
        <v>7.3200000000000001E-3</v>
      </c>
      <c r="F50" s="74">
        <f t="shared" si="11"/>
        <v>7885</v>
      </c>
      <c r="G50" s="64"/>
      <c r="H50"/>
      <c r="I50" s="65"/>
    </row>
    <row r="51" spans="1:9" ht="15.75" thickBot="1" x14ac:dyDescent="0.3">
      <c r="A51" s="63"/>
      <c r="B51" t="s">
        <v>39</v>
      </c>
      <c r="C51"/>
      <c r="D51" s="59">
        <f>SUM(D47:D50)</f>
        <v>2698050</v>
      </c>
      <c r="E51"/>
      <c r="F51" s="75">
        <f>SUM(F47:F50)</f>
        <v>33680.32</v>
      </c>
      <c r="G51" s="64"/>
      <c r="H51"/>
      <c r="I51" s="65" t="s">
        <v>40</v>
      </c>
    </row>
    <row r="52" spans="1:9" ht="15.75" thickTop="1" x14ac:dyDescent="0.25">
      <c r="A52" s="77"/>
      <c r="B52" s="21"/>
      <c r="C52" s="21"/>
      <c r="D52" s="21"/>
      <c r="E52" s="21"/>
      <c r="F52" s="21"/>
      <c r="G52" s="21"/>
      <c r="H52" s="21"/>
      <c r="I52" s="78"/>
    </row>
  </sheetData>
  <mergeCells count="3">
    <mergeCell ref="A1:I1"/>
    <mergeCell ref="A2:I2"/>
    <mergeCell ref="C4:G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5222-5EB3-4351-BF9E-70C53E892895}">
  <dimension ref="A1:T52"/>
  <sheetViews>
    <sheetView tabSelected="1" topLeftCell="A15" workbookViewId="0">
      <selection activeCell="H23" sqref="H23"/>
    </sheetView>
  </sheetViews>
  <sheetFormatPr defaultColWidth="11.42578125" defaultRowHeight="15" x14ac:dyDescent="0.25"/>
  <cols>
    <col min="1" max="1" width="10.85546875" style="4" customWidth="1"/>
    <col min="2" max="2" width="9.7109375" style="4" customWidth="1"/>
    <col min="3" max="3" width="10.28515625" style="4" customWidth="1"/>
    <col min="4" max="9" width="20.28515625" style="4" customWidth="1"/>
    <col min="10" max="10" width="11.85546875" style="4" bestFit="1" customWidth="1"/>
    <col min="11" max="11" width="27.85546875" style="4" customWidth="1"/>
    <col min="12" max="12" width="14.7109375" style="5" customWidth="1"/>
    <col min="13" max="13" width="11.5703125" style="4" bestFit="1" customWidth="1"/>
    <col min="14" max="15" width="11.42578125" style="4"/>
    <col min="16" max="16" width="12.7109375" style="4" customWidth="1"/>
    <col min="17" max="17" width="12.140625" style="4" customWidth="1"/>
    <col min="18" max="18" width="13.140625" style="4" bestFit="1" customWidth="1"/>
    <col min="19" max="16384" width="11.42578125" style="4"/>
  </cols>
  <sheetData>
    <row r="1" spans="1:20" ht="18.75" x14ac:dyDescent="0.3">
      <c r="A1" s="1" t="s">
        <v>45</v>
      </c>
      <c r="B1" s="2"/>
      <c r="C1" s="2"/>
      <c r="D1" s="2"/>
      <c r="E1" s="2"/>
      <c r="F1" s="2"/>
      <c r="G1" s="2"/>
      <c r="H1" s="2"/>
      <c r="I1" s="3"/>
    </row>
    <row r="2" spans="1:20" ht="18.75" x14ac:dyDescent="0.25">
      <c r="A2" s="6" t="str">
        <f>[1]Adj!B1</f>
        <v>Cannonsburg Water District</v>
      </c>
      <c r="B2" s="7"/>
      <c r="C2" s="7"/>
      <c r="D2" s="7"/>
      <c r="E2" s="7"/>
      <c r="F2" s="7"/>
      <c r="G2" s="7"/>
      <c r="H2" s="7"/>
      <c r="I2" s="8"/>
    </row>
    <row r="3" spans="1:20" x14ac:dyDescent="0.25">
      <c r="A3" s="9"/>
      <c r="I3" s="10"/>
    </row>
    <row r="4" spans="1:20" ht="17.25" x14ac:dyDescent="0.4">
      <c r="A4" s="9"/>
      <c r="C4" s="83" t="s">
        <v>1</v>
      </c>
      <c r="I4" s="10"/>
      <c r="J4" s="13"/>
      <c r="S4" s="19"/>
      <c r="T4" s="19"/>
    </row>
    <row r="5" spans="1:20" ht="17.25" x14ac:dyDescent="0.4">
      <c r="A5" s="9"/>
      <c r="C5" s="20"/>
      <c r="D5" s="21"/>
      <c r="E5" s="22" t="s">
        <v>5</v>
      </c>
      <c r="F5" s="22" t="s">
        <v>6</v>
      </c>
      <c r="G5" s="22" t="s">
        <v>7</v>
      </c>
      <c r="H5" s="23"/>
      <c r="I5" s="10"/>
      <c r="S5" s="19"/>
      <c r="T5" s="19"/>
    </row>
    <row r="6" spans="1:20" x14ac:dyDescent="0.25">
      <c r="A6" s="9"/>
      <c r="C6" s="4" t="s">
        <v>10</v>
      </c>
      <c r="E6" s="27">
        <f>C28</f>
        <v>7965</v>
      </c>
      <c r="F6" s="27">
        <f>D28</f>
        <v>13099240</v>
      </c>
      <c r="G6" s="28">
        <f>F32</f>
        <v>467603.1</v>
      </c>
      <c r="H6" s="28"/>
      <c r="I6" s="10"/>
    </row>
    <row r="7" spans="1:20" x14ac:dyDescent="0.25">
      <c r="A7" s="9"/>
      <c r="C7" s="4" t="s">
        <v>12</v>
      </c>
      <c r="E7" s="27">
        <f>C47</f>
        <v>656</v>
      </c>
      <c r="F7" s="27">
        <f>D47</f>
        <v>693140</v>
      </c>
      <c r="G7" s="27">
        <f>F51</f>
        <v>43945.24</v>
      </c>
      <c r="H7" s="27"/>
      <c r="I7" s="10"/>
    </row>
    <row r="8" spans="1:20" x14ac:dyDescent="0.25">
      <c r="A8" s="9"/>
      <c r="E8" s="31"/>
      <c r="F8" s="32"/>
      <c r="G8" s="31"/>
      <c r="H8" s="27"/>
      <c r="I8" s="10"/>
    </row>
    <row r="9" spans="1:20" x14ac:dyDescent="0.25">
      <c r="A9" s="9"/>
      <c r="C9" s="4" t="s">
        <v>15</v>
      </c>
      <c r="E9" s="24">
        <f>SUM(E6:E8)</f>
        <v>8621</v>
      </c>
      <c r="F9" s="27">
        <f>SUM(F6:F8)</f>
        <v>13792380</v>
      </c>
      <c r="G9" s="28">
        <f>SUM(G6:G8)</f>
        <v>511548.33999999997</v>
      </c>
      <c r="H9" s="28"/>
      <c r="I9" s="10"/>
    </row>
    <row r="10" spans="1:20" x14ac:dyDescent="0.25">
      <c r="A10" s="9"/>
      <c r="C10" s="36" t="s">
        <v>16</v>
      </c>
      <c r="G10" s="31">
        <f>ROUND('[1]BA Adj'!E33,0)</f>
        <v>-4481</v>
      </c>
      <c r="H10" s="27"/>
      <c r="I10" s="37"/>
    </row>
    <row r="11" spans="1:20" x14ac:dyDescent="0.25">
      <c r="A11" s="9"/>
      <c r="C11" s="38" t="s">
        <v>17</v>
      </c>
      <c r="G11" s="39">
        <f>G9+G10</f>
        <v>507067.33999999997</v>
      </c>
      <c r="H11" s="39"/>
      <c r="I11" s="29"/>
    </row>
    <row r="12" spans="1:20" x14ac:dyDescent="0.25">
      <c r="A12" s="9"/>
      <c r="C12" s="4" t="s">
        <v>42</v>
      </c>
      <c r="F12" s="40"/>
      <c r="G12" s="31">
        <f>-'[1]SAO - DSC'!L53</f>
        <v>-505617.35349999997</v>
      </c>
      <c r="I12" s="29"/>
      <c r="S12"/>
    </row>
    <row r="13" spans="1:20" ht="15.75" thickBot="1" x14ac:dyDescent="0.3">
      <c r="A13" s="9"/>
      <c r="C13" s="4" t="s">
        <v>20</v>
      </c>
      <c r="F13" s="40"/>
      <c r="G13" s="43">
        <f>SUM(G11:G12)</f>
        <v>1449.9864999999991</v>
      </c>
      <c r="I13" s="29"/>
    </row>
    <row r="14" spans="1:20" ht="15.75" thickTop="1" x14ac:dyDescent="0.25">
      <c r="A14" s="9"/>
      <c r="F14" s="40"/>
      <c r="G14" s="45"/>
      <c r="I14" s="29"/>
    </row>
    <row r="15" spans="1:20" x14ac:dyDescent="0.25">
      <c r="A15" s="9"/>
      <c r="I15" s="10"/>
    </row>
    <row r="16" spans="1:20" x14ac:dyDescent="0.25">
      <c r="A16" s="9" t="s">
        <v>21</v>
      </c>
      <c r="I16" s="10"/>
    </row>
    <row r="17" spans="1:15" x14ac:dyDescent="0.25">
      <c r="A17" s="46"/>
      <c r="B17" s="47"/>
      <c r="C17" s="47"/>
      <c r="D17" s="47"/>
      <c r="E17" s="47" t="s">
        <v>22</v>
      </c>
      <c r="F17" s="47" t="s">
        <v>23</v>
      </c>
      <c r="G17" s="48" t="s">
        <v>23</v>
      </c>
      <c r="H17" s="47" t="s">
        <v>24</v>
      </c>
      <c r="I17" s="49" t="s">
        <v>25</v>
      </c>
    </row>
    <row r="18" spans="1:15" x14ac:dyDescent="0.25">
      <c r="A18" s="46"/>
      <c r="B18" s="52" t="s">
        <v>27</v>
      </c>
      <c r="C18" s="52" t="s">
        <v>28</v>
      </c>
      <c r="D18" s="52" t="s">
        <v>29</v>
      </c>
      <c r="E18" s="53">
        <f>B19</f>
        <v>2000</v>
      </c>
      <c r="F18" s="53">
        <f>B20</f>
        <v>3000</v>
      </c>
      <c r="G18" s="54">
        <f>B21</f>
        <v>5000</v>
      </c>
      <c r="H18" s="55">
        <f>SUM(E18:G18)</f>
        <v>10000</v>
      </c>
      <c r="I18" s="56"/>
    </row>
    <row r="19" spans="1:15" x14ac:dyDescent="0.25">
      <c r="A19" s="46" t="s">
        <v>22</v>
      </c>
      <c r="B19" s="48">
        <v>2000</v>
      </c>
      <c r="C19" s="57">
        <v>2848</v>
      </c>
      <c r="D19" s="57">
        <v>2865240</v>
      </c>
      <c r="E19" s="57">
        <f>D19</f>
        <v>2865240</v>
      </c>
      <c r="F19" s="57">
        <v>0</v>
      </c>
      <c r="G19" s="48">
        <v>0</v>
      </c>
      <c r="H19" s="57">
        <v>0</v>
      </c>
      <c r="I19" s="58">
        <f>SUM(E19:H19)</f>
        <v>2865240</v>
      </c>
    </row>
    <row r="20" spans="1:15" x14ac:dyDescent="0.25">
      <c r="A20" s="46" t="s">
        <v>23</v>
      </c>
      <c r="B20" s="48">
        <v>3000</v>
      </c>
      <c r="C20" s="57">
        <v>3562</v>
      </c>
      <c r="D20" s="57">
        <v>11559720</v>
      </c>
      <c r="E20" s="57">
        <f>$C20*E$18</f>
        <v>7124000</v>
      </c>
      <c r="F20" s="57">
        <f>D20-E20</f>
        <v>4435720</v>
      </c>
      <c r="G20" s="48">
        <v>0</v>
      </c>
      <c r="H20" s="57">
        <v>0</v>
      </c>
      <c r="I20" s="58">
        <f t="shared" ref="I20:I22" si="0">SUM(E20:H20)</f>
        <v>11559720</v>
      </c>
    </row>
    <row r="21" spans="1:15" x14ac:dyDescent="0.25">
      <c r="A21" s="46" t="s">
        <v>23</v>
      </c>
      <c r="B21" s="48">
        <v>5000</v>
      </c>
      <c r="C21" s="57">
        <v>1198</v>
      </c>
      <c r="D21" s="57">
        <v>7846570</v>
      </c>
      <c r="E21" s="57">
        <f t="shared" ref="E21:G22" si="1">$C21*E$18</f>
        <v>2396000</v>
      </c>
      <c r="F21" s="57">
        <f t="shared" si="1"/>
        <v>3594000</v>
      </c>
      <c r="G21" s="48">
        <f>D21-E21-F21</f>
        <v>1856570</v>
      </c>
      <c r="H21" s="57">
        <v>0</v>
      </c>
      <c r="I21" s="58">
        <f t="shared" si="0"/>
        <v>7846570</v>
      </c>
    </row>
    <row r="22" spans="1:15" x14ac:dyDescent="0.25">
      <c r="A22" s="46" t="s">
        <v>24</v>
      </c>
      <c r="B22" s="48">
        <f>SUM(B19:B21)</f>
        <v>10000</v>
      </c>
      <c r="C22" s="57">
        <v>357</v>
      </c>
      <c r="D22" s="57">
        <v>7741880</v>
      </c>
      <c r="E22" s="57">
        <f t="shared" si="1"/>
        <v>714000</v>
      </c>
      <c r="F22" s="57">
        <f t="shared" si="1"/>
        <v>1071000</v>
      </c>
      <c r="G22" s="57">
        <f t="shared" si="1"/>
        <v>1785000</v>
      </c>
      <c r="H22" s="57">
        <f>D22-E22-F22-G22</f>
        <v>4171880</v>
      </c>
      <c r="I22" s="58">
        <f t="shared" si="0"/>
        <v>7741880</v>
      </c>
    </row>
    <row r="23" spans="1:15" ht="15.75" thickBot="1" x14ac:dyDescent="0.3">
      <c r="A23" s="46"/>
      <c r="B23" t="s">
        <v>35</v>
      </c>
      <c r="C23" s="59">
        <f t="shared" ref="C23:I23" si="2">SUM(C19:C22)</f>
        <v>7965</v>
      </c>
      <c r="D23" s="59">
        <f t="shared" si="2"/>
        <v>30013410</v>
      </c>
      <c r="E23" s="59">
        <f t="shared" si="2"/>
        <v>13099240</v>
      </c>
      <c r="F23" s="59">
        <f t="shared" si="2"/>
        <v>9100720</v>
      </c>
      <c r="G23" s="60">
        <f t="shared" si="2"/>
        <v>3641570</v>
      </c>
      <c r="H23" s="59">
        <f t="shared" si="2"/>
        <v>4171880</v>
      </c>
      <c r="I23" s="61">
        <f t="shared" si="2"/>
        <v>30013410</v>
      </c>
    </row>
    <row r="24" spans="1:15" ht="15.75" thickTop="1" x14ac:dyDescent="0.25">
      <c r="A24" s="63"/>
      <c r="B24"/>
      <c r="C24"/>
      <c r="D24"/>
      <c r="E24"/>
      <c r="F24"/>
      <c r="G24" s="64"/>
      <c r="H24"/>
      <c r="I24" s="65"/>
    </row>
    <row r="25" spans="1:15" x14ac:dyDescent="0.25">
      <c r="A25" s="63"/>
      <c r="B25" t="s">
        <v>37</v>
      </c>
      <c r="C25"/>
      <c r="D25"/>
      <c r="E25"/>
      <c r="F25"/>
      <c r="G25" s="64"/>
      <c r="H25"/>
      <c r="I25" s="65"/>
    </row>
    <row r="26" spans="1:15" x14ac:dyDescent="0.25">
      <c r="A26" s="63"/>
      <c r="B26"/>
      <c r="C26"/>
      <c r="D26"/>
      <c r="E26"/>
      <c r="F26"/>
      <c r="G26" s="64"/>
      <c r="H26"/>
      <c r="I26" s="65"/>
    </row>
    <row r="27" spans="1:15" x14ac:dyDescent="0.25">
      <c r="A27" s="63"/>
      <c r="B27" s="66"/>
      <c r="C27" s="66" t="s">
        <v>28</v>
      </c>
      <c r="D27" s="66" t="s">
        <v>29</v>
      </c>
      <c r="E27" s="66" t="s">
        <v>38</v>
      </c>
      <c r="F27" s="66" t="s">
        <v>7</v>
      </c>
      <c r="G27" s="64"/>
      <c r="H27"/>
      <c r="I27" s="65"/>
      <c r="M27" s="84">
        <f>'[1]SAO - DSC'!L56</f>
        <v>0.30480000000000002</v>
      </c>
    </row>
    <row r="28" spans="1:15" x14ac:dyDescent="0.25">
      <c r="A28" s="46" t="s">
        <v>22</v>
      </c>
      <c r="B28" s="57">
        <f>B19</f>
        <v>2000</v>
      </c>
      <c r="C28" s="67">
        <f>C23</f>
        <v>7965</v>
      </c>
      <c r="D28" s="67">
        <f>E23</f>
        <v>13099240</v>
      </c>
      <c r="E28" s="68">
        <v>35.54</v>
      </c>
      <c r="F28" s="69">
        <f>E28*C28</f>
        <v>283076.09999999998</v>
      </c>
      <c r="G28" s="64"/>
      <c r="H28"/>
      <c r="I28" s="65"/>
      <c r="L28" s="5">
        <f>'[1]BA - PWA CN 2023-00243'!E28</f>
        <v>27.22</v>
      </c>
      <c r="M28" s="4">
        <f>ROUND(M27*L28,2)</f>
        <v>8.3000000000000007</v>
      </c>
      <c r="N28" s="4">
        <v>0.02</v>
      </c>
      <c r="O28" s="5">
        <f>SUM(L28:N28)</f>
        <v>35.54</v>
      </c>
    </row>
    <row r="29" spans="1:15" x14ac:dyDescent="0.25">
      <c r="A29" s="46" t="s">
        <v>23</v>
      </c>
      <c r="B29" s="57">
        <f t="shared" ref="B29:B31" si="3">B20</f>
        <v>3000</v>
      </c>
      <c r="C29"/>
      <c r="D29" s="67">
        <f>F23</f>
        <v>9100720</v>
      </c>
      <c r="E29" s="70">
        <v>1.1650000000000001E-2</v>
      </c>
      <c r="F29" s="71">
        <f>ROUND(D29*E29,0)</f>
        <v>106023</v>
      </c>
      <c r="G29" s="64"/>
      <c r="H29"/>
      <c r="I29" s="65"/>
      <c r="L29" s="85">
        <f>'[1]BA - PWA CN 2023-00243'!E29</f>
        <v>8.94E-3</v>
      </c>
      <c r="M29" s="85">
        <f>ROUND(L29*M$27,4)</f>
        <v>2.7000000000000001E-3</v>
      </c>
      <c r="N29" s="85">
        <v>1.0000000000000001E-5</v>
      </c>
      <c r="O29" s="85">
        <f>SUM(L29:N29)</f>
        <v>1.1650000000000001E-2</v>
      </c>
    </row>
    <row r="30" spans="1:15" x14ac:dyDescent="0.25">
      <c r="A30" s="46" t="s">
        <v>23</v>
      </c>
      <c r="B30" s="57">
        <f t="shared" si="3"/>
        <v>5000</v>
      </c>
      <c r="C30"/>
      <c r="D30" s="67">
        <f>G23</f>
        <v>3641570</v>
      </c>
      <c r="E30" s="70">
        <v>1.064E-2</v>
      </c>
      <c r="F30" s="71">
        <f t="shared" ref="F30:F31" si="4">ROUND(D30*E30,0)</f>
        <v>38746</v>
      </c>
      <c r="G30" s="64"/>
      <c r="H30"/>
      <c r="I30" s="65"/>
      <c r="L30" s="85">
        <f>'[1]BA - PWA CN 2023-00243'!E30</f>
        <v>8.1300000000000001E-3</v>
      </c>
      <c r="M30" s="85">
        <f t="shared" ref="M30:M31" si="5">ROUND(L30*M$27,4)</f>
        <v>2.5000000000000001E-3</v>
      </c>
      <c r="N30" s="85">
        <v>1.0000000000000001E-5</v>
      </c>
      <c r="O30" s="85">
        <f t="shared" ref="O30:O31" si="6">SUM(L30:N30)</f>
        <v>1.064E-2</v>
      </c>
    </row>
    <row r="31" spans="1:15" x14ac:dyDescent="0.25">
      <c r="A31" s="46" t="s">
        <v>24</v>
      </c>
      <c r="B31" s="57">
        <f t="shared" si="3"/>
        <v>10000</v>
      </c>
      <c r="C31" s="66"/>
      <c r="D31" s="73">
        <f>H22</f>
        <v>4171880</v>
      </c>
      <c r="E31" s="70">
        <v>9.5300000000000003E-3</v>
      </c>
      <c r="F31" s="74">
        <f t="shared" si="4"/>
        <v>39758</v>
      </c>
      <c r="G31" s="64"/>
      <c r="H31"/>
      <c r="I31" s="65"/>
      <c r="L31" s="85">
        <f>'[1]BA - PWA CN 2023-00243'!E31</f>
        <v>7.3200000000000001E-3</v>
      </c>
      <c r="M31" s="85">
        <f t="shared" si="5"/>
        <v>2.2000000000000001E-3</v>
      </c>
      <c r="N31" s="85">
        <v>1.0000000000000001E-5</v>
      </c>
      <c r="O31" s="85">
        <f t="shared" si="6"/>
        <v>9.5300000000000003E-3</v>
      </c>
    </row>
    <row r="32" spans="1:15" ht="15.75" thickBot="1" x14ac:dyDescent="0.3">
      <c r="A32" s="63"/>
      <c r="B32" t="s">
        <v>39</v>
      </c>
      <c r="C32"/>
      <c r="D32" s="59">
        <f>SUM(D28:D31)</f>
        <v>30013410</v>
      </c>
      <c r="E32"/>
      <c r="F32" s="75">
        <f>SUM(F28:F31)</f>
        <v>467603.1</v>
      </c>
      <c r="G32" s="64"/>
      <c r="H32"/>
      <c r="I32" s="65" t="s">
        <v>40</v>
      </c>
    </row>
    <row r="33" spans="1:9" ht="15.75" thickTop="1" x14ac:dyDescent="0.25">
      <c r="A33" s="63"/>
      <c r="B33"/>
      <c r="C33"/>
      <c r="D33"/>
      <c r="E33"/>
      <c r="F33"/>
      <c r="G33" s="64"/>
      <c r="H33"/>
      <c r="I33" s="65"/>
    </row>
    <row r="34" spans="1:9" x14ac:dyDescent="0.25">
      <c r="A34" s="63"/>
      <c r="B34"/>
      <c r="C34"/>
      <c r="D34"/>
      <c r="E34"/>
      <c r="F34"/>
      <c r="G34" s="64"/>
      <c r="H34"/>
      <c r="I34" s="65"/>
    </row>
    <row r="35" spans="1:9" ht="15.75" x14ac:dyDescent="0.25">
      <c r="A35" s="76" t="s">
        <v>12</v>
      </c>
      <c r="B35"/>
      <c r="C35"/>
      <c r="D35"/>
      <c r="E35"/>
      <c r="F35"/>
      <c r="G35" s="64"/>
      <c r="H35"/>
      <c r="I35" s="65"/>
    </row>
    <row r="36" spans="1:9" x14ac:dyDescent="0.25">
      <c r="A36" s="46"/>
      <c r="B36" s="47"/>
      <c r="C36" s="47"/>
      <c r="D36" s="47"/>
      <c r="E36" s="47" t="s">
        <v>22</v>
      </c>
      <c r="F36" s="47" t="s">
        <v>23</v>
      </c>
      <c r="G36" s="48" t="s">
        <v>23</v>
      </c>
      <c r="H36" s="47" t="s">
        <v>24</v>
      </c>
      <c r="I36" s="49" t="s">
        <v>25</v>
      </c>
    </row>
    <row r="37" spans="1:9" x14ac:dyDescent="0.25">
      <c r="A37" s="46"/>
      <c r="B37" s="52" t="s">
        <v>27</v>
      </c>
      <c r="C37" s="52" t="s">
        <v>28</v>
      </c>
      <c r="D37" s="52" t="s">
        <v>29</v>
      </c>
      <c r="E37" s="53">
        <f>B38</f>
        <v>2000</v>
      </c>
      <c r="F37" s="53">
        <f>B39</f>
        <v>3000</v>
      </c>
      <c r="G37" s="54">
        <f>B40</f>
        <v>5000</v>
      </c>
      <c r="H37" s="55">
        <f>SUM(E37:G37)</f>
        <v>10000</v>
      </c>
      <c r="I37" s="56"/>
    </row>
    <row r="38" spans="1:9" x14ac:dyDescent="0.25">
      <c r="A38" s="46" t="s">
        <v>22</v>
      </c>
      <c r="B38" s="48">
        <v>2000</v>
      </c>
      <c r="C38" s="57">
        <v>441</v>
      </c>
      <c r="D38" s="57">
        <v>263140</v>
      </c>
      <c r="E38" s="57">
        <f>D38</f>
        <v>263140</v>
      </c>
      <c r="F38" s="57">
        <v>0</v>
      </c>
      <c r="G38" s="48">
        <v>0</v>
      </c>
      <c r="H38" s="57">
        <v>0</v>
      </c>
      <c r="I38" s="58">
        <f>SUM(E38:H38)</f>
        <v>263140</v>
      </c>
    </row>
    <row r="39" spans="1:9" x14ac:dyDescent="0.25">
      <c r="A39" s="46" t="s">
        <v>23</v>
      </c>
      <c r="B39" s="48">
        <v>3000</v>
      </c>
      <c r="C39" s="57">
        <v>89</v>
      </c>
      <c r="D39" s="57">
        <v>289820</v>
      </c>
      <c r="E39" s="57">
        <f>$C39*E$37</f>
        <v>178000</v>
      </c>
      <c r="F39" s="57">
        <f>D39-E39</f>
        <v>111820</v>
      </c>
      <c r="G39" s="48">
        <v>0</v>
      </c>
      <c r="H39" s="57">
        <v>0</v>
      </c>
      <c r="I39" s="58">
        <f t="shared" ref="I39:I41" si="7">SUM(E39:H39)</f>
        <v>289820</v>
      </c>
    </row>
    <row r="40" spans="1:9" x14ac:dyDescent="0.25">
      <c r="A40" s="46" t="s">
        <v>23</v>
      </c>
      <c r="B40" s="48">
        <v>5000</v>
      </c>
      <c r="C40" s="57">
        <v>53</v>
      </c>
      <c r="D40" s="57">
        <v>337910</v>
      </c>
      <c r="E40" s="57">
        <f t="shared" ref="E40:G41" si="8">$C40*E$37</f>
        <v>106000</v>
      </c>
      <c r="F40" s="57">
        <f t="shared" si="8"/>
        <v>159000</v>
      </c>
      <c r="G40" s="48">
        <f>D40-E40-F40</f>
        <v>72910</v>
      </c>
      <c r="H40" s="57">
        <v>0</v>
      </c>
      <c r="I40" s="58">
        <f t="shared" si="7"/>
        <v>337910</v>
      </c>
    </row>
    <row r="41" spans="1:9" x14ac:dyDescent="0.25">
      <c r="A41" s="46" t="s">
        <v>24</v>
      </c>
      <c r="B41" s="48">
        <f>SUM(B38:B40)</f>
        <v>10000</v>
      </c>
      <c r="C41" s="57">
        <v>73</v>
      </c>
      <c r="D41" s="57">
        <v>1807180</v>
      </c>
      <c r="E41" s="57">
        <f t="shared" si="8"/>
        <v>146000</v>
      </c>
      <c r="F41" s="57">
        <f t="shared" si="8"/>
        <v>219000</v>
      </c>
      <c r="G41" s="57">
        <f t="shared" si="8"/>
        <v>365000</v>
      </c>
      <c r="H41" s="57">
        <f>D41-E41-F41-G41</f>
        <v>1077180</v>
      </c>
      <c r="I41" s="58">
        <f t="shared" si="7"/>
        <v>1807180</v>
      </c>
    </row>
    <row r="42" spans="1:9" ht="15.75" thickBot="1" x14ac:dyDescent="0.3">
      <c r="A42" s="46"/>
      <c r="B42" t="s">
        <v>35</v>
      </c>
      <c r="C42" s="59">
        <f t="shared" ref="C42:I42" si="9">SUM(C38:C41)</f>
        <v>656</v>
      </c>
      <c r="D42" s="59">
        <f t="shared" si="9"/>
        <v>2698050</v>
      </c>
      <c r="E42" s="59">
        <f t="shared" si="9"/>
        <v>693140</v>
      </c>
      <c r="F42" s="59">
        <f t="shared" si="9"/>
        <v>489820</v>
      </c>
      <c r="G42" s="60">
        <f t="shared" si="9"/>
        <v>437910</v>
      </c>
      <c r="H42" s="59">
        <f t="shared" si="9"/>
        <v>1077180</v>
      </c>
      <c r="I42" s="61">
        <f t="shared" si="9"/>
        <v>2698050</v>
      </c>
    </row>
    <row r="43" spans="1:9" ht="15.75" thickTop="1" x14ac:dyDescent="0.25">
      <c r="A43" s="63"/>
      <c r="B43"/>
      <c r="C43"/>
      <c r="D43"/>
      <c r="E43"/>
      <c r="F43"/>
      <c r="G43" s="64"/>
      <c r="H43"/>
      <c r="I43" s="65"/>
    </row>
    <row r="44" spans="1:9" x14ac:dyDescent="0.25">
      <c r="A44" s="63"/>
      <c r="B44" t="s">
        <v>37</v>
      </c>
      <c r="C44"/>
      <c r="D44"/>
      <c r="E44"/>
      <c r="F44"/>
      <c r="G44" s="64"/>
      <c r="H44"/>
      <c r="I44" s="65"/>
    </row>
    <row r="45" spans="1:9" x14ac:dyDescent="0.25">
      <c r="A45" s="63"/>
      <c r="B45"/>
      <c r="C45"/>
      <c r="D45"/>
      <c r="E45"/>
      <c r="F45"/>
      <c r="G45" s="64"/>
      <c r="H45"/>
      <c r="I45" s="65"/>
    </row>
    <row r="46" spans="1:9" x14ac:dyDescent="0.25">
      <c r="A46" s="63"/>
      <c r="B46" s="66"/>
      <c r="C46" s="66" t="s">
        <v>28</v>
      </c>
      <c r="D46" s="66" t="s">
        <v>29</v>
      </c>
      <c r="E46" s="66" t="s">
        <v>38</v>
      </c>
      <c r="F46" s="66" t="s">
        <v>7</v>
      </c>
      <c r="G46" s="64"/>
      <c r="H46"/>
      <c r="I46" s="65"/>
    </row>
    <row r="47" spans="1:9" x14ac:dyDescent="0.25">
      <c r="A47" s="46" t="s">
        <v>22</v>
      </c>
      <c r="B47" s="57">
        <f>B38</f>
        <v>2000</v>
      </c>
      <c r="C47" s="67">
        <f>C42</f>
        <v>656</v>
      </c>
      <c r="D47" s="67">
        <f>E42</f>
        <v>693140</v>
      </c>
      <c r="E47" s="68">
        <v>35.54</v>
      </c>
      <c r="F47" s="69">
        <f>E47*C47</f>
        <v>23314.239999999998</v>
      </c>
      <c r="G47" s="64"/>
      <c r="H47"/>
      <c r="I47" s="65"/>
    </row>
    <row r="48" spans="1:9" x14ac:dyDescent="0.25">
      <c r="A48" s="46" t="s">
        <v>23</v>
      </c>
      <c r="B48" s="57">
        <f t="shared" ref="B48:B50" si="10">B39</f>
        <v>3000</v>
      </c>
      <c r="C48"/>
      <c r="D48" s="67">
        <f>F42</f>
        <v>489820</v>
      </c>
      <c r="E48" s="70">
        <f t="shared" ref="E48:E50" si="11">E29</f>
        <v>1.1650000000000001E-2</v>
      </c>
      <c r="F48" s="71">
        <f>ROUND(D48*E48,0)</f>
        <v>5706</v>
      </c>
      <c r="G48" s="64"/>
      <c r="H48"/>
      <c r="I48" s="65"/>
    </row>
    <row r="49" spans="1:9" x14ac:dyDescent="0.25">
      <c r="A49" s="46" t="s">
        <v>23</v>
      </c>
      <c r="B49" s="57">
        <f t="shared" si="10"/>
        <v>5000</v>
      </c>
      <c r="C49"/>
      <c r="D49" s="67">
        <f>G42</f>
        <v>437910</v>
      </c>
      <c r="E49" s="70">
        <f t="shared" si="11"/>
        <v>1.064E-2</v>
      </c>
      <c r="F49" s="71">
        <f t="shared" ref="F49:F50" si="12">ROUND(D49*E49,0)</f>
        <v>4659</v>
      </c>
      <c r="G49" s="64"/>
      <c r="H49"/>
      <c r="I49" s="65"/>
    </row>
    <row r="50" spans="1:9" x14ac:dyDescent="0.25">
      <c r="A50" s="46" t="s">
        <v>24</v>
      </c>
      <c r="B50" s="57">
        <f t="shared" si="10"/>
        <v>10000</v>
      </c>
      <c r="C50" s="66"/>
      <c r="D50" s="73">
        <f>H41</f>
        <v>1077180</v>
      </c>
      <c r="E50" s="70">
        <f t="shared" si="11"/>
        <v>9.5300000000000003E-3</v>
      </c>
      <c r="F50" s="74">
        <f t="shared" si="12"/>
        <v>10266</v>
      </c>
      <c r="G50" s="64"/>
      <c r="H50"/>
      <c r="I50" s="65"/>
    </row>
    <row r="51" spans="1:9" ht="15.75" thickBot="1" x14ac:dyDescent="0.3">
      <c r="A51" s="63"/>
      <c r="B51" t="s">
        <v>39</v>
      </c>
      <c r="C51"/>
      <c r="D51" s="59">
        <f>SUM(D47:D50)</f>
        <v>2698050</v>
      </c>
      <c r="E51"/>
      <c r="F51" s="75">
        <f>SUM(F47:F50)</f>
        <v>43945.24</v>
      </c>
      <c r="G51" s="64"/>
      <c r="H51"/>
      <c r="I51" s="65" t="s">
        <v>40</v>
      </c>
    </row>
    <row r="52" spans="1:9" ht="15.75" thickTop="1" x14ac:dyDescent="0.25">
      <c r="A52" s="77"/>
      <c r="B52" s="21"/>
      <c r="C52" s="21"/>
      <c r="D52" s="21"/>
      <c r="E52" s="21"/>
      <c r="F52" s="21"/>
      <c r="G52" s="21"/>
      <c r="H52" s="21"/>
      <c r="I52" s="78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Beginning Rates</vt:lpstr>
      <vt:lpstr>BA - PWA 2022-00242</vt:lpstr>
      <vt:lpstr>BA - 0.023 CN 2023-00098</vt:lpstr>
      <vt:lpstr>BA - PWA CN 2023-00243</vt:lpstr>
      <vt:lpstr>BA - Requested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dcterms:created xsi:type="dcterms:W3CDTF">2023-10-12T18:59:53Z</dcterms:created>
  <dcterms:modified xsi:type="dcterms:W3CDTF">2023-10-12T19:07:25Z</dcterms:modified>
</cp:coreProperties>
</file>