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1\accounting\Travis\Rate Applications\2023 rate application\Data Requests\AG data request no. 1\Files for Upload\"/>
    </mc:Choice>
  </mc:AlternateContent>
  <xr:revisionPtr revIDLastSave="0" documentId="13_ncr:1_{0BBCDCC8-E584-42EE-861B-7B3B78E275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Sum" sheetId="1" r:id="rId1"/>
    <sheet name="Res" sheetId="2" r:id="rId2"/>
    <sheet name="Comm1p" sheetId="4" r:id="rId3"/>
    <sheet name="Comm3p" sheetId="15" r:id="rId4"/>
    <sheet name="Comm1000" sheetId="14" r:id="rId5"/>
    <sheet name="lights" sheetId="13" r:id="rId6"/>
    <sheet name="unbilled" sheetId="20" r:id="rId7"/>
    <sheet name="dir A" sheetId="12" r:id="rId8"/>
    <sheet name="dir B" sheetId="11" r:id="rId9"/>
    <sheet name="dir C" sheetId="10" r:id="rId10"/>
    <sheet name="Miscrev" sheetId="9" r:id="rId11"/>
    <sheet name="rurpwrcs" sheetId="7" r:id="rId12"/>
    <sheet name="revpergl" sheetId="17" r:id="rId13"/>
    <sheet name="IS" sheetId="21" r:id="rId14"/>
  </sheets>
  <externalReferences>
    <externalReference r:id="rId15"/>
    <externalReference r:id="rId16"/>
  </externalReferences>
  <definedNames>
    <definedName name="AAPR">rurpwrcs!$C$18:$C$18</definedName>
    <definedName name="AAUG">rurpwrcs!$C$26:$C$26</definedName>
    <definedName name="ADEC">rurpwrcs!$C$38:$C$38</definedName>
    <definedName name="AFEB">rurpwrcs!$C$14:$C$14</definedName>
    <definedName name="AJAN">rurpwrcs!$C$12:$C$12</definedName>
    <definedName name="AJUL">rurpwrcs!$C$24:$C$24</definedName>
    <definedName name="AJUN">rurpwrcs!$C$22:$C$22</definedName>
    <definedName name="AMAR">rurpwrcs!$C$16:$C$16</definedName>
    <definedName name="AMAY">rurpwrcs!$C$20:$C$20</definedName>
    <definedName name="ANOV">rurpwrcs!$C$36:$C$36</definedName>
    <definedName name="AOCT">rurpwrcs!$C$34:$C$34</definedName>
    <definedName name="APR">rurpwrcs!$B$18:$B$18</definedName>
    <definedName name="ASEP">rurpwrcs!$C$32:$C$32</definedName>
    <definedName name="AUG">rurpwrcs!$B$26:$B$26</definedName>
    <definedName name="DEC">rurpwrcs!$B$38:$B$38</definedName>
    <definedName name="FEB">rurpwrcs!$B$14:$B$14</definedName>
    <definedName name="JAN">rurpwrcs!$B$12:$B$12</definedName>
    <definedName name="JUL">rurpwrcs!$B$24:$B$24</definedName>
    <definedName name="JUN">rurpwrcs!$B$22:$B$22</definedName>
    <definedName name="MAR">rurpwrcs!$B$16:$B$16</definedName>
    <definedName name="MAY">rurpwrcs!$B$20:$B$20</definedName>
    <definedName name="NOV">rurpwrcs!$B$36:$B$36</definedName>
    <definedName name="OCT">rurpwrcs!$B$34:$B$34</definedName>
    <definedName name="_xlnm.Print_Area" localSheetId="4">Comm1000!$A$1:$J$51</definedName>
    <definedName name="_xlnm.Print_Area" localSheetId="2">Comm1p!$A$1:$J$58</definedName>
    <definedName name="_xlnm.Print_Area" localSheetId="3">Comm3p!$A$1:$J$63</definedName>
    <definedName name="_xlnm.Print_Area" localSheetId="7">'dir A'!$C$20:$G$30</definedName>
    <definedName name="_xlnm.Print_Area" localSheetId="8">'dir B'!$K$37:$W$65</definedName>
    <definedName name="_xlnm.Print_Area" localSheetId="9">'dir C'!$B$35:$K$48</definedName>
    <definedName name="_xlnm.Print_Area" localSheetId="13">IS!$B$1:$I$61</definedName>
    <definedName name="_xlnm.Print_Area" localSheetId="5">lights!$B$10:$B$100</definedName>
    <definedName name="_xlnm.Print_Area" localSheetId="10">Miscrev!$A$1:$R$64</definedName>
    <definedName name="_xlnm.Print_Area" localSheetId="1">Res!$A$1:$J$43</definedName>
    <definedName name="_xlnm.Print_Area" localSheetId="12">revpergl!$C$17:$H$29</definedName>
    <definedName name="_xlnm.Print_Area" localSheetId="0">RevSum!$A$4:$E$45</definedName>
    <definedName name="_xlnm.Print_Area" localSheetId="11">rurpwrcs!$D$141:$U$178</definedName>
    <definedName name="_xlnm.Print_Area" localSheetId="6">unbilled!$J$16:$S$42</definedName>
    <definedName name="_xlnm.Print_Titles" localSheetId="5">lights!$1:$9</definedName>
    <definedName name="SEP">rurpwrcs!$B$32:$B$32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1" l="1"/>
  <c r="D28" i="21"/>
  <c r="D21" i="21"/>
  <c r="V47" i="17"/>
  <c r="A49" i="7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P60" i="9" l="1"/>
  <c r="P59" i="9"/>
  <c r="P56" i="9"/>
  <c r="P10" i="9"/>
  <c r="P9" i="9"/>
  <c r="V135" i="17"/>
  <c r="AB130" i="13"/>
  <c r="AA130" i="13"/>
  <c r="Z130" i="13"/>
  <c r="Y130" i="13"/>
  <c r="X130" i="13"/>
  <c r="W130" i="13"/>
  <c r="V130" i="13"/>
  <c r="U130" i="13"/>
  <c r="T130" i="13"/>
  <c r="S130" i="13"/>
  <c r="R130" i="13"/>
  <c r="AB128" i="13"/>
  <c r="AA128" i="13"/>
  <c r="Z128" i="13"/>
  <c r="Y128" i="13"/>
  <c r="X128" i="13"/>
  <c r="W128" i="13"/>
  <c r="V128" i="13"/>
  <c r="U128" i="13"/>
  <c r="T128" i="13"/>
  <c r="S128" i="13"/>
  <c r="R128" i="13"/>
  <c r="AB126" i="13"/>
  <c r="AA126" i="13"/>
  <c r="Z126" i="13"/>
  <c r="Y126" i="13"/>
  <c r="X126" i="13"/>
  <c r="W126" i="13"/>
  <c r="V126" i="13"/>
  <c r="U126" i="13"/>
  <c r="T126" i="13"/>
  <c r="S126" i="13"/>
  <c r="R126" i="13"/>
  <c r="AB125" i="13"/>
  <c r="AA125" i="13"/>
  <c r="Z125" i="13"/>
  <c r="Y125" i="13"/>
  <c r="X125" i="13"/>
  <c r="W125" i="13"/>
  <c r="V125" i="13"/>
  <c r="U125" i="13"/>
  <c r="T125" i="13"/>
  <c r="S125" i="13"/>
  <c r="R125" i="13"/>
  <c r="Q130" i="13"/>
  <c r="Q128" i="13"/>
  <c r="Q126" i="13"/>
  <c r="Q125" i="13"/>
  <c r="X54" i="14"/>
  <c r="W54" i="14"/>
  <c r="V54" i="14"/>
  <c r="U54" i="14"/>
  <c r="T54" i="14"/>
  <c r="S54" i="14"/>
  <c r="R54" i="14"/>
  <c r="Q54" i="14"/>
  <c r="P54" i="14"/>
  <c r="O54" i="14"/>
  <c r="N54" i="14"/>
  <c r="X53" i="14"/>
  <c r="W53" i="14"/>
  <c r="V53" i="14"/>
  <c r="U53" i="14"/>
  <c r="T53" i="14"/>
  <c r="S53" i="14"/>
  <c r="R53" i="14"/>
  <c r="Q53" i="14"/>
  <c r="P53" i="14"/>
  <c r="O53" i="14"/>
  <c r="N53" i="14"/>
  <c r="X52" i="14"/>
  <c r="W52" i="14"/>
  <c r="V52" i="14"/>
  <c r="U52" i="14"/>
  <c r="T52" i="14"/>
  <c r="S52" i="14"/>
  <c r="R52" i="14"/>
  <c r="Q52" i="14"/>
  <c r="P52" i="14"/>
  <c r="O52" i="14"/>
  <c r="N52" i="14"/>
  <c r="X51" i="14"/>
  <c r="W51" i="14"/>
  <c r="V51" i="14"/>
  <c r="U51" i="14"/>
  <c r="T51" i="14"/>
  <c r="S51" i="14"/>
  <c r="R51" i="14"/>
  <c r="Q51" i="14"/>
  <c r="P51" i="14"/>
  <c r="O51" i="14"/>
  <c r="N51" i="14"/>
  <c r="X50" i="14"/>
  <c r="W50" i="14"/>
  <c r="V50" i="14"/>
  <c r="U50" i="14"/>
  <c r="T50" i="14"/>
  <c r="S50" i="14"/>
  <c r="R50" i="14"/>
  <c r="Q50" i="14"/>
  <c r="P50" i="14"/>
  <c r="O50" i="14"/>
  <c r="N50" i="14"/>
  <c r="X49" i="14"/>
  <c r="W49" i="14"/>
  <c r="V49" i="14"/>
  <c r="U49" i="14"/>
  <c r="T49" i="14"/>
  <c r="S49" i="14"/>
  <c r="R49" i="14"/>
  <c r="Q49" i="14"/>
  <c r="P49" i="14"/>
  <c r="O49" i="14"/>
  <c r="N49" i="14"/>
  <c r="X57" i="15"/>
  <c r="W57" i="15"/>
  <c r="V57" i="15"/>
  <c r="U57" i="15"/>
  <c r="T57" i="15"/>
  <c r="R57" i="15"/>
  <c r="Q57" i="15"/>
  <c r="O57" i="15"/>
  <c r="N57" i="15"/>
  <c r="X55" i="15"/>
  <c r="W55" i="15"/>
  <c r="V55" i="15"/>
  <c r="U55" i="15"/>
  <c r="R55" i="15"/>
  <c r="Q55" i="15"/>
  <c r="O55" i="15"/>
  <c r="N55" i="15"/>
  <c r="X53" i="15"/>
  <c r="W53" i="15"/>
  <c r="V53" i="15"/>
  <c r="U53" i="15"/>
  <c r="T53" i="15"/>
  <c r="R53" i="15"/>
  <c r="Q53" i="15"/>
  <c r="O53" i="15"/>
  <c r="N53" i="15"/>
  <c r="X52" i="15"/>
  <c r="W52" i="15"/>
  <c r="V52" i="15"/>
  <c r="U52" i="15"/>
  <c r="T52" i="15"/>
  <c r="Q52" i="15"/>
  <c r="O52" i="15"/>
  <c r="N52" i="15"/>
  <c r="M57" i="15"/>
  <c r="M55" i="15"/>
  <c r="M53" i="15"/>
  <c r="M52" i="15"/>
  <c r="V145" i="17" l="1"/>
  <c r="N148" i="7"/>
  <c r="C27" i="7" s="1"/>
  <c r="E31" i="7"/>
  <c r="E30" i="7"/>
  <c r="E29" i="7"/>
  <c r="E28" i="7"/>
  <c r="D28" i="7" l="1"/>
  <c r="D30" i="7"/>
  <c r="D29" i="7"/>
  <c r="D31" i="7"/>
  <c r="C28" i="21"/>
  <c r="C48" i="21" l="1"/>
  <c r="C47" i="21"/>
  <c r="C46" i="21"/>
  <c r="C40" i="21"/>
  <c r="C39" i="21"/>
  <c r="C38" i="21"/>
  <c r="C37" i="21"/>
  <c r="C36" i="21"/>
  <c r="C35" i="21"/>
  <c r="C33" i="21"/>
  <c r="C32" i="21"/>
  <c r="C31" i="21"/>
  <c r="C30" i="21"/>
  <c r="U94" i="7"/>
  <c r="U93" i="7"/>
  <c r="T120" i="7"/>
  <c r="H120" i="7"/>
  <c r="G120" i="7"/>
  <c r="T118" i="7"/>
  <c r="H118" i="7"/>
  <c r="G118" i="7"/>
  <c r="T116" i="7"/>
  <c r="H116" i="7"/>
  <c r="G116" i="7"/>
  <c r="T114" i="7"/>
  <c r="H114" i="7"/>
  <c r="G114" i="7"/>
  <c r="T112" i="7"/>
  <c r="H112" i="7"/>
  <c r="G112" i="7"/>
  <c r="T110" i="7"/>
  <c r="H110" i="7"/>
  <c r="G110" i="7"/>
  <c r="T108" i="7"/>
  <c r="H108" i="7"/>
  <c r="G108" i="7"/>
  <c r="T106" i="7"/>
  <c r="H106" i="7"/>
  <c r="G106" i="7"/>
  <c r="T104" i="7"/>
  <c r="H104" i="7"/>
  <c r="G104" i="7"/>
  <c r="T102" i="7"/>
  <c r="H102" i="7"/>
  <c r="G102" i="7"/>
  <c r="N126" i="7"/>
  <c r="O126" i="7"/>
  <c r="D126" i="7"/>
  <c r="P126" i="7"/>
  <c r="R126" i="7"/>
  <c r="E126" i="7"/>
  <c r="Q126" i="7"/>
  <c r="M126" i="7"/>
  <c r="L126" i="7"/>
  <c r="I126" i="7"/>
  <c r="J126" i="7"/>
  <c r="L148" i="7"/>
  <c r="L149" i="7" s="1"/>
  <c r="K148" i="7"/>
  <c r="J148" i="7"/>
  <c r="I148" i="7"/>
  <c r="H148" i="7"/>
  <c r="G148" i="7"/>
  <c r="F148" i="7"/>
  <c r="E148" i="7"/>
  <c r="D148" i="7"/>
  <c r="T92" i="7" l="1"/>
  <c r="E27" i="7" s="1"/>
  <c r="U95" i="7"/>
  <c r="F126" i="7"/>
  <c r="J128" i="7" s="1"/>
  <c r="J129" i="7" s="1"/>
  <c r="E24" i="7" s="1"/>
  <c r="T126" i="7"/>
  <c r="T94" i="7" s="1"/>
  <c r="K126" i="7"/>
  <c r="H149" i="7"/>
  <c r="H151" i="7" s="1"/>
  <c r="D149" i="7"/>
  <c r="G149" i="7"/>
  <c r="G151" i="7" s="1"/>
  <c r="F149" i="7"/>
  <c r="F151" i="7" s="1"/>
  <c r="I149" i="7"/>
  <c r="I151" i="7" s="1"/>
  <c r="E149" i="7"/>
  <c r="J149" i="7"/>
  <c r="J151" i="7" s="1"/>
  <c r="D157" i="7" s="1"/>
  <c r="G42" i="7" s="1"/>
  <c r="K149" i="7"/>
  <c r="K151" i="7" s="1"/>
  <c r="D158" i="7" s="1"/>
  <c r="G43" i="7" s="1"/>
  <c r="F31" i="7" l="1"/>
  <c r="C27" i="21"/>
  <c r="D155" i="7"/>
  <c r="G40" i="7" s="1"/>
  <c r="E150" i="7"/>
  <c r="E151" i="7" s="1"/>
  <c r="D150" i="7"/>
  <c r="L150" i="7" s="1"/>
  <c r="M149" i="7"/>
  <c r="L10" i="14"/>
  <c r="E63" i="1"/>
  <c r="D154" i="7" l="1"/>
  <c r="G39" i="7" s="1"/>
  <c r="D151" i="7"/>
  <c r="S80" i="10"/>
  <c r="S79" i="10"/>
  <c r="S78" i="10"/>
  <c r="S77" i="10"/>
  <c r="S76" i="10"/>
  <c r="S75" i="10"/>
  <c r="S74" i="10"/>
  <c r="S73" i="10"/>
  <c r="S72" i="10"/>
  <c r="S71" i="10"/>
  <c r="S70" i="10"/>
  <c r="S69" i="10"/>
  <c r="K69" i="10"/>
  <c r="M69" i="10" s="1"/>
  <c r="S754" i="10"/>
  <c r="S502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T80" i="10"/>
  <c r="T79" i="10"/>
  <c r="U96" i="10"/>
  <c r="T96" i="10"/>
  <c r="S96" i="10"/>
  <c r="R96" i="10"/>
  <c r="U95" i="10"/>
  <c r="T95" i="10"/>
  <c r="S95" i="10"/>
  <c r="R95" i="10"/>
  <c r="U94" i="10"/>
  <c r="T94" i="10"/>
  <c r="S94" i="10"/>
  <c r="R94" i="10"/>
  <c r="U93" i="10"/>
  <c r="T93" i="10"/>
  <c r="S93" i="10"/>
  <c r="R93" i="10"/>
  <c r="U92" i="10"/>
  <c r="T92" i="10"/>
  <c r="S92" i="10"/>
  <c r="R92" i="10"/>
  <c r="U91" i="10"/>
  <c r="T91" i="10"/>
  <c r="S91" i="10"/>
  <c r="R91" i="10"/>
  <c r="U90" i="10"/>
  <c r="T90" i="10"/>
  <c r="S90" i="10"/>
  <c r="R90" i="10"/>
  <c r="U89" i="10"/>
  <c r="T89" i="10"/>
  <c r="S89" i="10"/>
  <c r="R89" i="10"/>
  <c r="U88" i="10"/>
  <c r="T88" i="10"/>
  <c r="S88" i="10"/>
  <c r="R88" i="10"/>
  <c r="U87" i="10"/>
  <c r="T87" i="10"/>
  <c r="S87" i="10"/>
  <c r="R87" i="10"/>
  <c r="R97" i="10"/>
  <c r="P857" i="10"/>
  <c r="P856" i="10"/>
  <c r="X835" i="10"/>
  <c r="Z835" i="10" s="1"/>
  <c r="AB835" i="10" s="1"/>
  <c r="X834" i="10"/>
  <c r="Z834" i="10" s="1"/>
  <c r="AB834" i="10" s="1"/>
  <c r="X790" i="10"/>
  <c r="X789" i="10"/>
  <c r="X788" i="10"/>
  <c r="Z788" i="10" s="1"/>
  <c r="AB788" i="10" s="1"/>
  <c r="X783" i="10"/>
  <c r="Z783" i="10" s="1"/>
  <c r="AB783" i="10" s="1"/>
  <c r="X782" i="10"/>
  <c r="Z782" i="10" s="1"/>
  <c r="AB782" i="10" s="1"/>
  <c r="AB813" i="10"/>
  <c r="X791" i="10" s="1"/>
  <c r="Z791" i="10" s="1"/>
  <c r="AB791" i="10" s="1"/>
  <c r="AB812" i="10"/>
  <c r="AB811" i="10"/>
  <c r="AB810" i="10"/>
  <c r="AB809" i="10"/>
  <c r="X787" i="10" s="1"/>
  <c r="Z787" i="10" s="1"/>
  <c r="AB787" i="10" s="1"/>
  <c r="AB808" i="10"/>
  <c r="X786" i="10" s="1"/>
  <c r="Z786" i="10" s="1"/>
  <c r="AB786" i="10" s="1"/>
  <c r="AB807" i="10"/>
  <c r="X785" i="10" s="1"/>
  <c r="Z785" i="10" s="1"/>
  <c r="AB785" i="10" s="1"/>
  <c r="AB806" i="10"/>
  <c r="X784" i="10" s="1"/>
  <c r="Z784" i="10" s="1"/>
  <c r="AB784" i="10" s="1"/>
  <c r="AB805" i="10"/>
  <c r="AB804" i="10"/>
  <c r="P815" i="10"/>
  <c r="P814" i="10"/>
  <c r="X793" i="10"/>
  <c r="Z793" i="10" s="1"/>
  <c r="AB793" i="10" s="1"/>
  <c r="X792" i="10"/>
  <c r="Z792" i="10" s="1"/>
  <c r="AB792" i="10" s="1"/>
  <c r="P773" i="10"/>
  <c r="P772" i="10"/>
  <c r="X751" i="10"/>
  <c r="Z751" i="10" s="1"/>
  <c r="AB751" i="10" s="1"/>
  <c r="Z750" i="10"/>
  <c r="AB750" i="10" s="1"/>
  <c r="X750" i="10"/>
  <c r="P647" i="10"/>
  <c r="P646" i="10"/>
  <c r="X625" i="10"/>
  <c r="Z625" i="10" s="1"/>
  <c r="AB625" i="10" s="1"/>
  <c r="X624" i="10"/>
  <c r="Z624" i="10" s="1"/>
  <c r="AB624" i="10" s="1"/>
  <c r="P521" i="10"/>
  <c r="P520" i="10"/>
  <c r="X499" i="10"/>
  <c r="Z499" i="10" s="1"/>
  <c r="AB499" i="10" s="1"/>
  <c r="X498" i="10"/>
  <c r="Z498" i="10" s="1"/>
  <c r="AB498" i="10" s="1"/>
  <c r="P479" i="10"/>
  <c r="P478" i="10"/>
  <c r="X457" i="10"/>
  <c r="Z457" i="10" s="1"/>
  <c r="AB457" i="10" s="1"/>
  <c r="X456" i="10"/>
  <c r="Z456" i="10" s="1"/>
  <c r="AB456" i="10" s="1"/>
  <c r="P395" i="10"/>
  <c r="X373" i="10"/>
  <c r="Z373" i="10" s="1"/>
  <c r="AB373" i="10" s="1"/>
  <c r="X372" i="10"/>
  <c r="Z372" i="10" s="1"/>
  <c r="AB372" i="10" s="1"/>
  <c r="P372" i="10"/>
  <c r="P353" i="10"/>
  <c r="P352" i="10"/>
  <c r="X331" i="10"/>
  <c r="Z331" i="10" s="1"/>
  <c r="AB331" i="10" s="1"/>
  <c r="X330" i="10"/>
  <c r="Z330" i="10" s="1"/>
  <c r="AB330" i="10" s="1"/>
  <c r="P311" i="10"/>
  <c r="P310" i="10"/>
  <c r="AC289" i="10"/>
  <c r="X289" i="10"/>
  <c r="Z289" i="10" s="1"/>
  <c r="AB289" i="10" s="1"/>
  <c r="AC288" i="10"/>
  <c r="X288" i="10"/>
  <c r="Z288" i="10" s="1"/>
  <c r="AB288" i="10" s="1"/>
  <c r="P269" i="10"/>
  <c r="P268" i="10"/>
  <c r="AC247" i="10"/>
  <c r="X247" i="10"/>
  <c r="Z247" i="10" s="1"/>
  <c r="AB247" i="10" s="1"/>
  <c r="AC246" i="10"/>
  <c r="X246" i="10"/>
  <c r="Z246" i="10" s="1"/>
  <c r="AB246" i="10" s="1"/>
  <c r="P227" i="10"/>
  <c r="P226" i="10"/>
  <c r="P143" i="10"/>
  <c r="P142" i="10"/>
  <c r="X121" i="10"/>
  <c r="Z121" i="10" s="1"/>
  <c r="AB121" i="10" s="1"/>
  <c r="X120" i="10"/>
  <c r="Z120" i="10" s="1"/>
  <c r="AB120" i="10" s="1"/>
  <c r="P855" i="10"/>
  <c r="P854" i="10"/>
  <c r="P853" i="10"/>
  <c r="P852" i="10"/>
  <c r="P851" i="10"/>
  <c r="P850" i="10"/>
  <c r="P849" i="10"/>
  <c r="P848" i="10"/>
  <c r="P847" i="10"/>
  <c r="P846" i="10"/>
  <c r="X833" i="10"/>
  <c r="Z833" i="10" s="1"/>
  <c r="AB833" i="10" s="1"/>
  <c r="X832" i="10"/>
  <c r="Z832" i="10" s="1"/>
  <c r="AB832" i="10" s="1"/>
  <c r="X831" i="10"/>
  <c r="Z831" i="10" s="1"/>
  <c r="AB831" i="10" s="1"/>
  <c r="X830" i="10"/>
  <c r="Z830" i="10" s="1"/>
  <c r="AB830" i="10" s="1"/>
  <c r="X829" i="10"/>
  <c r="Z829" i="10" s="1"/>
  <c r="AB829" i="10" s="1"/>
  <c r="X828" i="10"/>
  <c r="Z828" i="10" s="1"/>
  <c r="AB828" i="10" s="1"/>
  <c r="X827" i="10"/>
  <c r="Z827" i="10" s="1"/>
  <c r="AB827" i="10" s="1"/>
  <c r="X826" i="10"/>
  <c r="Z826" i="10" s="1"/>
  <c r="AB826" i="10" s="1"/>
  <c r="X825" i="10"/>
  <c r="Z825" i="10" s="1"/>
  <c r="AB825" i="10" s="1"/>
  <c r="X824" i="10"/>
  <c r="Z824" i="10" s="1"/>
  <c r="AB824" i="10" s="1"/>
  <c r="P804" i="10"/>
  <c r="P805" i="10"/>
  <c r="P806" i="10"/>
  <c r="P807" i="10"/>
  <c r="P808" i="10"/>
  <c r="P809" i="10"/>
  <c r="P810" i="10"/>
  <c r="P811" i="10"/>
  <c r="P812" i="10"/>
  <c r="P813" i="10"/>
  <c r="Z790" i="10"/>
  <c r="AB790" i="10" s="1"/>
  <c r="Z789" i="10"/>
  <c r="AB789" i="10" s="1"/>
  <c r="P771" i="10"/>
  <c r="P770" i="10"/>
  <c r="P769" i="10"/>
  <c r="P768" i="10"/>
  <c r="P767" i="10"/>
  <c r="P766" i="10"/>
  <c r="P765" i="10"/>
  <c r="P764" i="10"/>
  <c r="P763" i="10"/>
  <c r="P762" i="10"/>
  <c r="X749" i="10"/>
  <c r="Z749" i="10" s="1"/>
  <c r="AB749" i="10" s="1"/>
  <c r="X748" i="10"/>
  <c r="Z748" i="10" s="1"/>
  <c r="AB748" i="10" s="1"/>
  <c r="X747" i="10"/>
  <c r="Z747" i="10" s="1"/>
  <c r="AB747" i="10" s="1"/>
  <c r="X746" i="10"/>
  <c r="Z746" i="10" s="1"/>
  <c r="AB746" i="10" s="1"/>
  <c r="X745" i="10"/>
  <c r="Z745" i="10" s="1"/>
  <c r="AB745" i="10" s="1"/>
  <c r="X744" i="10"/>
  <c r="Z744" i="10" s="1"/>
  <c r="AB744" i="10" s="1"/>
  <c r="X743" i="10"/>
  <c r="Z743" i="10" s="1"/>
  <c r="AB743" i="10" s="1"/>
  <c r="X742" i="10"/>
  <c r="Z742" i="10" s="1"/>
  <c r="AB742" i="10" s="1"/>
  <c r="X741" i="10"/>
  <c r="Z741" i="10" s="1"/>
  <c r="AB741" i="10" s="1"/>
  <c r="X740" i="10"/>
  <c r="Z740" i="10" s="1"/>
  <c r="AB740" i="10" s="1"/>
  <c r="P645" i="10"/>
  <c r="P644" i="10"/>
  <c r="P643" i="10"/>
  <c r="P642" i="10"/>
  <c r="P641" i="10"/>
  <c r="P640" i="10"/>
  <c r="P639" i="10"/>
  <c r="P638" i="10"/>
  <c r="P637" i="10"/>
  <c r="P636" i="10"/>
  <c r="X623" i="10"/>
  <c r="Z623" i="10" s="1"/>
  <c r="AB623" i="10" s="1"/>
  <c r="X622" i="10"/>
  <c r="Z622" i="10" s="1"/>
  <c r="AB622" i="10" s="1"/>
  <c r="X621" i="10"/>
  <c r="Z621" i="10" s="1"/>
  <c r="AB621" i="10" s="1"/>
  <c r="X620" i="10"/>
  <c r="Z620" i="10" s="1"/>
  <c r="AB620" i="10" s="1"/>
  <c r="X619" i="10"/>
  <c r="Z619" i="10" s="1"/>
  <c r="AB619" i="10" s="1"/>
  <c r="X618" i="10"/>
  <c r="Z618" i="10" s="1"/>
  <c r="AB618" i="10" s="1"/>
  <c r="X617" i="10"/>
  <c r="Z617" i="10" s="1"/>
  <c r="AB617" i="10" s="1"/>
  <c r="X616" i="10"/>
  <c r="Z616" i="10" s="1"/>
  <c r="AB616" i="10" s="1"/>
  <c r="X615" i="10"/>
  <c r="Z615" i="10" s="1"/>
  <c r="AB615" i="10" s="1"/>
  <c r="X614" i="10"/>
  <c r="Z614" i="10" s="1"/>
  <c r="AB614" i="10" s="1"/>
  <c r="P519" i="10"/>
  <c r="P518" i="10"/>
  <c r="P517" i="10"/>
  <c r="P516" i="10"/>
  <c r="P515" i="10"/>
  <c r="P514" i="10"/>
  <c r="P513" i="10"/>
  <c r="P512" i="10"/>
  <c r="P511" i="10"/>
  <c r="P510" i="10"/>
  <c r="X497" i="10"/>
  <c r="Z497" i="10" s="1"/>
  <c r="AB497" i="10" s="1"/>
  <c r="X496" i="10"/>
  <c r="Z496" i="10" s="1"/>
  <c r="AB496" i="10" s="1"/>
  <c r="X495" i="10"/>
  <c r="Z495" i="10" s="1"/>
  <c r="AB495" i="10" s="1"/>
  <c r="X494" i="10"/>
  <c r="Z494" i="10" s="1"/>
  <c r="AB494" i="10" s="1"/>
  <c r="X493" i="10"/>
  <c r="Z493" i="10" s="1"/>
  <c r="AB493" i="10" s="1"/>
  <c r="X492" i="10"/>
  <c r="Z492" i="10" s="1"/>
  <c r="AB492" i="10" s="1"/>
  <c r="X491" i="10"/>
  <c r="Z491" i="10" s="1"/>
  <c r="AB491" i="10" s="1"/>
  <c r="X490" i="10"/>
  <c r="Z490" i="10" s="1"/>
  <c r="AB490" i="10" s="1"/>
  <c r="X489" i="10"/>
  <c r="Z489" i="10" s="1"/>
  <c r="AB489" i="10" s="1"/>
  <c r="X488" i="10"/>
  <c r="Z488" i="10" s="1"/>
  <c r="AB488" i="10" s="1"/>
  <c r="P477" i="10"/>
  <c r="P476" i="10"/>
  <c r="P475" i="10"/>
  <c r="P474" i="10"/>
  <c r="P473" i="10"/>
  <c r="P472" i="10"/>
  <c r="P471" i="10"/>
  <c r="P470" i="10"/>
  <c r="P469" i="10"/>
  <c r="P468" i="10"/>
  <c r="X455" i="10"/>
  <c r="Z455" i="10" s="1"/>
  <c r="AB455" i="10" s="1"/>
  <c r="X454" i="10"/>
  <c r="Z454" i="10" s="1"/>
  <c r="AB454" i="10" s="1"/>
  <c r="X453" i="10"/>
  <c r="Z453" i="10" s="1"/>
  <c r="AB453" i="10" s="1"/>
  <c r="X452" i="10"/>
  <c r="Z452" i="10" s="1"/>
  <c r="AB452" i="10" s="1"/>
  <c r="X451" i="10"/>
  <c r="Z451" i="10" s="1"/>
  <c r="AB451" i="10" s="1"/>
  <c r="X450" i="10"/>
  <c r="Z450" i="10" s="1"/>
  <c r="AB450" i="10" s="1"/>
  <c r="X449" i="10"/>
  <c r="Z449" i="10" s="1"/>
  <c r="AB449" i="10" s="1"/>
  <c r="X448" i="10"/>
  <c r="Z448" i="10" s="1"/>
  <c r="AB448" i="10" s="1"/>
  <c r="X447" i="10"/>
  <c r="Z447" i="10" s="1"/>
  <c r="AB447" i="10" s="1"/>
  <c r="X446" i="10"/>
  <c r="Z446" i="10" s="1"/>
  <c r="AB446" i="10" s="1"/>
  <c r="P393" i="10"/>
  <c r="P392" i="10"/>
  <c r="P391" i="10"/>
  <c r="P390" i="10"/>
  <c r="P389" i="10"/>
  <c r="P388" i="10"/>
  <c r="P387" i="10"/>
  <c r="P386" i="10"/>
  <c r="P385" i="10"/>
  <c r="P384" i="10"/>
  <c r="X371" i="10"/>
  <c r="Z371" i="10" s="1"/>
  <c r="AB371" i="10" s="1"/>
  <c r="X370" i="10"/>
  <c r="Z370" i="10" s="1"/>
  <c r="AB370" i="10" s="1"/>
  <c r="X369" i="10"/>
  <c r="Z369" i="10" s="1"/>
  <c r="AB369" i="10" s="1"/>
  <c r="X368" i="10"/>
  <c r="Z368" i="10" s="1"/>
  <c r="AB368" i="10" s="1"/>
  <c r="X367" i="10"/>
  <c r="Z367" i="10" s="1"/>
  <c r="AB367" i="10" s="1"/>
  <c r="X366" i="10"/>
  <c r="Z366" i="10" s="1"/>
  <c r="AB366" i="10" s="1"/>
  <c r="X365" i="10"/>
  <c r="Z365" i="10" s="1"/>
  <c r="AB365" i="10" s="1"/>
  <c r="X364" i="10"/>
  <c r="Z364" i="10" s="1"/>
  <c r="AB364" i="10" s="1"/>
  <c r="X363" i="10"/>
  <c r="Z363" i="10" s="1"/>
  <c r="AB363" i="10" s="1"/>
  <c r="X362" i="10"/>
  <c r="Z362" i="10" s="1"/>
  <c r="AB362" i="10" s="1"/>
  <c r="P351" i="10"/>
  <c r="P350" i="10"/>
  <c r="P349" i="10"/>
  <c r="P348" i="10"/>
  <c r="P347" i="10"/>
  <c r="P346" i="10"/>
  <c r="P345" i="10"/>
  <c r="P344" i="10"/>
  <c r="P343" i="10"/>
  <c r="P342" i="10"/>
  <c r="AC329" i="10"/>
  <c r="X329" i="10"/>
  <c r="Z329" i="10" s="1"/>
  <c r="AB329" i="10" s="1"/>
  <c r="X328" i="10"/>
  <c r="Z328" i="10" s="1"/>
  <c r="AB328" i="10" s="1"/>
  <c r="AC327" i="10"/>
  <c r="X327" i="10"/>
  <c r="Z327" i="10" s="1"/>
  <c r="AB327" i="10" s="1"/>
  <c r="AC326" i="10"/>
  <c r="X326" i="10"/>
  <c r="Z326" i="10" s="1"/>
  <c r="AB326" i="10" s="1"/>
  <c r="X325" i="10"/>
  <c r="Z325" i="10" s="1"/>
  <c r="AB325" i="10" s="1"/>
  <c r="X324" i="10"/>
  <c r="Z324" i="10" s="1"/>
  <c r="AB324" i="10" s="1"/>
  <c r="X323" i="10"/>
  <c r="Z323" i="10" s="1"/>
  <c r="AB323" i="10" s="1"/>
  <c r="X322" i="10"/>
  <c r="Z322" i="10" s="1"/>
  <c r="AB322" i="10" s="1"/>
  <c r="X321" i="10"/>
  <c r="Z321" i="10" s="1"/>
  <c r="AB321" i="10" s="1"/>
  <c r="X320" i="10"/>
  <c r="Z320" i="10" s="1"/>
  <c r="AB320" i="10" s="1"/>
  <c r="P267" i="10"/>
  <c r="P266" i="10"/>
  <c r="P265" i="10"/>
  <c r="P264" i="10"/>
  <c r="P263" i="10"/>
  <c r="P262" i="10"/>
  <c r="P261" i="10"/>
  <c r="P260" i="10"/>
  <c r="P259" i="10"/>
  <c r="P258" i="10"/>
  <c r="U271" i="10"/>
  <c r="T271" i="10"/>
  <c r="S271" i="10"/>
  <c r="X284" i="10"/>
  <c r="AB312" i="10"/>
  <c r="AB311" i="10"/>
  <c r="AB310" i="10"/>
  <c r="AB309" i="10"/>
  <c r="X287" i="10" s="1"/>
  <c r="AB308" i="10"/>
  <c r="X286" i="10" s="1"/>
  <c r="AB307" i="10"/>
  <c r="X285" i="10" s="1"/>
  <c r="AB306" i="10"/>
  <c r="AB305" i="10"/>
  <c r="X283" i="10" s="1"/>
  <c r="AB304" i="10"/>
  <c r="X282" i="10" s="1"/>
  <c r="AB303" i="10"/>
  <c r="X281" i="10" s="1"/>
  <c r="AB302" i="10"/>
  <c r="X280" i="10" s="1"/>
  <c r="AB301" i="10"/>
  <c r="X279" i="10" s="1"/>
  <c r="U313" i="10"/>
  <c r="T313" i="10"/>
  <c r="S313" i="10"/>
  <c r="AB300" i="10"/>
  <c r="X278" i="10" s="1"/>
  <c r="R82" i="10" l="1"/>
  <c r="L151" i="7"/>
  <c r="L152" i="7" s="1"/>
  <c r="D156" i="7"/>
  <c r="D159" i="7" l="1"/>
  <c r="G41" i="7"/>
  <c r="AC287" i="10"/>
  <c r="Z287" i="10"/>
  <c r="AB287" i="10" s="1"/>
  <c r="Z286" i="10"/>
  <c r="AB286" i="10" s="1"/>
  <c r="AC285" i="10"/>
  <c r="Z285" i="10"/>
  <c r="AB285" i="10" s="1"/>
  <c r="AC284" i="10"/>
  <c r="Z284" i="10"/>
  <c r="AB284" i="10" s="1"/>
  <c r="AC283" i="10"/>
  <c r="Z283" i="10"/>
  <c r="AB283" i="10" s="1"/>
  <c r="AC282" i="10"/>
  <c r="Z282" i="10"/>
  <c r="AB282" i="10" s="1"/>
  <c r="AC281" i="10"/>
  <c r="Z281" i="10"/>
  <c r="AB281" i="10" s="1"/>
  <c r="AC280" i="10"/>
  <c r="Z280" i="10"/>
  <c r="AB280" i="10" s="1"/>
  <c r="AC279" i="10"/>
  <c r="Z279" i="10"/>
  <c r="AB279" i="10" s="1"/>
  <c r="AC278" i="10"/>
  <c r="Z278" i="10"/>
  <c r="AB278" i="10" s="1"/>
  <c r="P300" i="10"/>
  <c r="P301" i="10"/>
  <c r="P302" i="10"/>
  <c r="P303" i="10"/>
  <c r="P304" i="10"/>
  <c r="P305" i="10"/>
  <c r="P306" i="10"/>
  <c r="P307" i="10"/>
  <c r="P308" i="10"/>
  <c r="P309" i="10"/>
  <c r="P141" i="10"/>
  <c r="P140" i="10"/>
  <c r="P139" i="10"/>
  <c r="P138" i="10"/>
  <c r="P137" i="10"/>
  <c r="P136" i="10"/>
  <c r="P135" i="10"/>
  <c r="P134" i="10"/>
  <c r="P133" i="10"/>
  <c r="P132" i="10"/>
  <c r="E45" i="10" l="1"/>
  <c r="E40" i="10"/>
  <c r="E39" i="10"/>
  <c r="E38" i="10"/>
  <c r="E46" i="10"/>
  <c r="E44" i="10"/>
  <c r="E43" i="10"/>
  <c r="E42" i="10"/>
  <c r="E41" i="10"/>
  <c r="E37" i="10"/>
  <c r="E36" i="10"/>
  <c r="E35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47" i="10" s="1"/>
  <c r="E47" i="10" l="1"/>
  <c r="K47" i="10" s="1"/>
  <c r="I190" i="11"/>
  <c r="E190" i="11"/>
  <c r="D190" i="11"/>
  <c r="I189" i="11"/>
  <c r="E189" i="11"/>
  <c r="F189" i="11" s="1"/>
  <c r="H189" i="11" s="1"/>
  <c r="J189" i="11" s="1"/>
  <c r="K189" i="11" s="1"/>
  <c r="D189" i="11"/>
  <c r="I188" i="11"/>
  <c r="E188" i="11"/>
  <c r="D188" i="11"/>
  <c r="I187" i="11"/>
  <c r="E187" i="11"/>
  <c r="D187" i="11"/>
  <c r="I186" i="11"/>
  <c r="E186" i="11"/>
  <c r="D186" i="11"/>
  <c r="F186" i="11" s="1"/>
  <c r="H186" i="11" s="1"/>
  <c r="I185" i="11"/>
  <c r="F185" i="11"/>
  <c r="H185" i="11" s="1"/>
  <c r="J185" i="11" s="1"/>
  <c r="K185" i="11" s="1"/>
  <c r="E185" i="11"/>
  <c r="D185" i="11"/>
  <c r="I184" i="11"/>
  <c r="E184" i="11"/>
  <c r="D184" i="11"/>
  <c r="F184" i="11" s="1"/>
  <c r="H184" i="11" s="1"/>
  <c r="J184" i="11" s="1"/>
  <c r="K184" i="11" s="1"/>
  <c r="I183" i="11"/>
  <c r="E183" i="11"/>
  <c r="D183" i="11"/>
  <c r="I182" i="11"/>
  <c r="E182" i="11"/>
  <c r="D182" i="11"/>
  <c r="F182" i="11" s="1"/>
  <c r="H182" i="11" s="1"/>
  <c r="J182" i="11" s="1"/>
  <c r="K182" i="11" s="1"/>
  <c r="I181" i="11"/>
  <c r="E181" i="11"/>
  <c r="D181" i="11"/>
  <c r="F181" i="11" s="1"/>
  <c r="H181" i="11" s="1"/>
  <c r="J181" i="11" s="1"/>
  <c r="K181" i="11" s="1"/>
  <c r="I180" i="11"/>
  <c r="E180" i="11"/>
  <c r="D180" i="11"/>
  <c r="I179" i="11"/>
  <c r="E179" i="11"/>
  <c r="D179" i="11"/>
  <c r="F179" i="11" s="1"/>
  <c r="H179" i="11" s="1"/>
  <c r="J179" i="11" s="1"/>
  <c r="K179" i="11" s="1"/>
  <c r="M15" i="11"/>
  <c r="M16" i="11" s="1"/>
  <c r="D11" i="11" s="1"/>
  <c r="L15" i="11"/>
  <c r="I173" i="11"/>
  <c r="H173" i="11"/>
  <c r="J173" i="11" s="1"/>
  <c r="K173" i="11" s="1"/>
  <c r="J194" i="11"/>
  <c r="H194" i="11"/>
  <c r="H192" i="11"/>
  <c r="H144" i="11"/>
  <c r="H146" i="11" s="1"/>
  <c r="J146" i="11" s="1"/>
  <c r="H104" i="11"/>
  <c r="H102" i="11"/>
  <c r="E47" i="11"/>
  <c r="E46" i="11"/>
  <c r="E45" i="11"/>
  <c r="E44" i="11"/>
  <c r="D47" i="11"/>
  <c r="C47" i="11"/>
  <c r="AE193" i="11"/>
  <c r="AD193" i="11"/>
  <c r="AC193" i="11"/>
  <c r="AA193" i="11"/>
  <c r="J197" i="11" s="1"/>
  <c r="Z193" i="11"/>
  <c r="AC194" i="11" s="1"/>
  <c r="AO193" i="11"/>
  <c r="AN193" i="11"/>
  <c r="AM193" i="11"/>
  <c r="AL193" i="11"/>
  <c r="AK193" i="11"/>
  <c r="C11" i="11" s="1"/>
  <c r="AJ193" i="11"/>
  <c r="AI193" i="11"/>
  <c r="AH193" i="11"/>
  <c r="AG193" i="11"/>
  <c r="J108" i="11"/>
  <c r="G63" i="11"/>
  <c r="G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W193" i="11"/>
  <c r="U193" i="11"/>
  <c r="S193" i="11"/>
  <c r="R193" i="11"/>
  <c r="Q193" i="11"/>
  <c r="F196" i="11" s="1"/>
  <c r="P193" i="11"/>
  <c r="O193" i="11"/>
  <c r="N193" i="11"/>
  <c r="Y193" i="11"/>
  <c r="AC195" i="11" s="1"/>
  <c r="T190" i="11"/>
  <c r="V190" i="11" s="1"/>
  <c r="X190" i="11" s="1"/>
  <c r="T189" i="11"/>
  <c r="L212" i="11"/>
  <c r="L211" i="11"/>
  <c r="M193" i="11"/>
  <c r="X157" i="11"/>
  <c r="T135" i="11" s="1"/>
  <c r="V135" i="11" s="1"/>
  <c r="W149" i="11"/>
  <c r="U149" i="11"/>
  <c r="S149" i="11"/>
  <c r="R149" i="11"/>
  <c r="Q149" i="11"/>
  <c r="F44" i="11" s="1"/>
  <c r="F47" i="11" s="1"/>
  <c r="G47" i="11" s="1"/>
  <c r="O149" i="11"/>
  <c r="N149" i="11"/>
  <c r="W170" i="11"/>
  <c r="V170" i="11"/>
  <c r="U170" i="11"/>
  <c r="T170" i="11"/>
  <c r="S170" i="11"/>
  <c r="R170" i="11"/>
  <c r="Q170" i="11"/>
  <c r="P170" i="11"/>
  <c r="O170" i="11"/>
  <c r="N170" i="11"/>
  <c r="AA133" i="11"/>
  <c r="AA135" i="11" s="1"/>
  <c r="D36" i="11"/>
  <c r="G36" i="11" s="1"/>
  <c r="D35" i="11"/>
  <c r="D34" i="11"/>
  <c r="F36" i="11"/>
  <c r="F35" i="11"/>
  <c r="F34" i="11"/>
  <c r="AF105" i="11"/>
  <c r="N126" i="11"/>
  <c r="W126" i="11"/>
  <c r="V126" i="11"/>
  <c r="U126" i="11"/>
  <c r="T126" i="11"/>
  <c r="S126" i="11"/>
  <c r="R126" i="11"/>
  <c r="Q126" i="11"/>
  <c r="P126" i="11"/>
  <c r="O126" i="11"/>
  <c r="W105" i="11"/>
  <c r="U105" i="11"/>
  <c r="S105" i="11"/>
  <c r="R105" i="11"/>
  <c r="Q105" i="11"/>
  <c r="O105" i="11"/>
  <c r="N105" i="11"/>
  <c r="AE102" i="11"/>
  <c r="AE101" i="11"/>
  <c r="AA102" i="11"/>
  <c r="AA101" i="11"/>
  <c r="AB101" i="11"/>
  <c r="AB102" i="11"/>
  <c r="X124" i="11"/>
  <c r="X123" i="11"/>
  <c r="T102" i="11"/>
  <c r="V102" i="11" s="1"/>
  <c r="X102" i="11" s="1"/>
  <c r="T101" i="11"/>
  <c r="V101" i="11" s="1"/>
  <c r="X101" i="11" s="1"/>
  <c r="L122" i="11"/>
  <c r="L121" i="11"/>
  <c r="L120" i="11"/>
  <c r="L119" i="11"/>
  <c r="L118" i="11"/>
  <c r="L117" i="11"/>
  <c r="L116" i="11"/>
  <c r="L115" i="11"/>
  <c r="L114" i="11"/>
  <c r="L113" i="11"/>
  <c r="AE100" i="11"/>
  <c r="AE99" i="11"/>
  <c r="AE98" i="11"/>
  <c r="AE97" i="11"/>
  <c r="AE96" i="11"/>
  <c r="AE95" i="11"/>
  <c r="AE94" i="11"/>
  <c r="AE93" i="11"/>
  <c r="AE92" i="11"/>
  <c r="AE91" i="11"/>
  <c r="AA100" i="11"/>
  <c r="AA99" i="11"/>
  <c r="AA98" i="11"/>
  <c r="AA97" i="11"/>
  <c r="AA96" i="11"/>
  <c r="AA95" i="11"/>
  <c r="AA94" i="11"/>
  <c r="AA93" i="11"/>
  <c r="AA92" i="11"/>
  <c r="AA91" i="11"/>
  <c r="AB100" i="11"/>
  <c r="AB99" i="11"/>
  <c r="AB98" i="11"/>
  <c r="AB97" i="11"/>
  <c r="AB96" i="11"/>
  <c r="AB95" i="11"/>
  <c r="AB94" i="11"/>
  <c r="AB93" i="11"/>
  <c r="AB92" i="11"/>
  <c r="AB91" i="11"/>
  <c r="T100" i="11"/>
  <c r="T99" i="11"/>
  <c r="V99" i="11" s="1"/>
  <c r="X99" i="11" s="1"/>
  <c r="AG99" i="11" s="1"/>
  <c r="T98" i="11"/>
  <c r="V98" i="11" s="1"/>
  <c r="X98" i="11" s="1"/>
  <c r="T97" i="11"/>
  <c r="V97" i="11" s="1"/>
  <c r="X97" i="11" s="1"/>
  <c r="T96" i="11"/>
  <c r="V96" i="11" s="1"/>
  <c r="X96" i="11" s="1"/>
  <c r="T95" i="11"/>
  <c r="V95" i="11" s="1"/>
  <c r="X95" i="11" s="1"/>
  <c r="T94" i="11"/>
  <c r="V94" i="11" s="1"/>
  <c r="X94" i="11" s="1"/>
  <c r="T93" i="11"/>
  <c r="V93" i="11" s="1"/>
  <c r="X93" i="11" s="1"/>
  <c r="T92" i="11"/>
  <c r="V92" i="11" s="1"/>
  <c r="X92" i="11" s="1"/>
  <c r="T91" i="11"/>
  <c r="V91" i="11" s="1"/>
  <c r="X91" i="11" s="1"/>
  <c r="G76" i="12"/>
  <c r="I76" i="12"/>
  <c r="H76" i="12"/>
  <c r="F76" i="12"/>
  <c r="E76" i="12"/>
  <c r="D76" i="12"/>
  <c r="S76" i="12"/>
  <c r="Q76" i="12"/>
  <c r="P76" i="12"/>
  <c r="M76" i="12"/>
  <c r="V63" i="17"/>
  <c r="V64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F14" i="12"/>
  <c r="P82" i="12" s="1"/>
  <c r="G27" i="12"/>
  <c r="E27" i="12"/>
  <c r="U73" i="12"/>
  <c r="U72" i="12"/>
  <c r="O73" i="12"/>
  <c r="R73" i="12" s="1"/>
  <c r="T73" i="12" s="1"/>
  <c r="O72" i="12"/>
  <c r="R72" i="12" s="1"/>
  <c r="T72" i="12" s="1"/>
  <c r="J73" i="12"/>
  <c r="L73" i="12" s="1"/>
  <c r="N73" i="12" s="1"/>
  <c r="J72" i="12"/>
  <c r="L72" i="12" s="1"/>
  <c r="N72" i="12" s="1"/>
  <c r="G44" i="11" l="1"/>
  <c r="F180" i="11"/>
  <c r="H180" i="11" s="1"/>
  <c r="J180" i="11" s="1"/>
  <c r="K180" i="11" s="1"/>
  <c r="AC97" i="11"/>
  <c r="V72" i="12"/>
  <c r="W72" i="12" s="1"/>
  <c r="H148" i="11"/>
  <c r="J148" i="11" s="1"/>
  <c r="F188" i="11"/>
  <c r="H188" i="11" s="1"/>
  <c r="J188" i="11" s="1"/>
  <c r="K188" i="11" s="1"/>
  <c r="G196" i="11"/>
  <c r="H196" i="11" s="1"/>
  <c r="J196" i="11" s="1"/>
  <c r="J198" i="11" s="1"/>
  <c r="J199" i="11" s="1"/>
  <c r="J186" i="11"/>
  <c r="K186" i="11" s="1"/>
  <c r="F183" i="11"/>
  <c r="H183" i="11" s="1"/>
  <c r="J183" i="11" s="1"/>
  <c r="K183" i="11" s="1"/>
  <c r="F187" i="11"/>
  <c r="H187" i="11" s="1"/>
  <c r="J187" i="11" s="1"/>
  <c r="K187" i="11" s="1"/>
  <c r="G34" i="11"/>
  <c r="G35" i="11"/>
  <c r="F190" i="11"/>
  <c r="H190" i="11" s="1"/>
  <c r="J190" i="11" s="1"/>
  <c r="K190" i="11" s="1"/>
  <c r="AG92" i="11"/>
  <c r="AG93" i="11"/>
  <c r="Q49" i="11"/>
  <c r="R49" i="11"/>
  <c r="AG94" i="11"/>
  <c r="AG102" i="11"/>
  <c r="D10" i="11"/>
  <c r="AE105" i="11"/>
  <c r="AG105" i="11" s="1"/>
  <c r="AC99" i="11"/>
  <c r="T193" i="11"/>
  <c r="AG98" i="11"/>
  <c r="V189" i="11"/>
  <c r="X189" i="11" s="1"/>
  <c r="X193" i="11" s="1"/>
  <c r="AG101" i="11"/>
  <c r="AG95" i="11"/>
  <c r="AG96" i="11"/>
  <c r="AG97" i="11"/>
  <c r="AC196" i="11"/>
  <c r="AC101" i="11"/>
  <c r="AC102" i="11"/>
  <c r="AC91" i="11"/>
  <c r="AG91" i="11"/>
  <c r="AC92" i="11"/>
  <c r="AC93" i="11"/>
  <c r="AC94" i="11"/>
  <c r="T105" i="11"/>
  <c r="AC95" i="11"/>
  <c r="AC96" i="11"/>
  <c r="V100" i="11"/>
  <c r="AC98" i="11"/>
  <c r="X135" i="11"/>
  <c r="W49" i="11" s="1"/>
  <c r="V73" i="12"/>
  <c r="W73" i="12" s="1"/>
  <c r="X100" i="11" l="1"/>
  <c r="V193" i="11"/>
  <c r="V105" i="11"/>
  <c r="X105" i="11"/>
  <c r="AC100" i="11"/>
  <c r="U71" i="12"/>
  <c r="U70" i="12"/>
  <c r="U69" i="12"/>
  <c r="U68" i="12"/>
  <c r="U67" i="12"/>
  <c r="U66" i="12"/>
  <c r="U65" i="12"/>
  <c r="U64" i="12"/>
  <c r="U63" i="12"/>
  <c r="U62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O71" i="12"/>
  <c r="R71" i="12" s="1"/>
  <c r="T71" i="12" s="1"/>
  <c r="O70" i="12"/>
  <c r="R70" i="12" s="1"/>
  <c r="T70" i="12" s="1"/>
  <c r="O69" i="12"/>
  <c r="R69" i="12" s="1"/>
  <c r="T69" i="12" s="1"/>
  <c r="O68" i="12"/>
  <c r="R68" i="12" s="1"/>
  <c r="T68" i="12" s="1"/>
  <c r="O67" i="12"/>
  <c r="R67" i="12" s="1"/>
  <c r="T67" i="12" s="1"/>
  <c r="O66" i="12"/>
  <c r="R66" i="12" s="1"/>
  <c r="T66" i="12" s="1"/>
  <c r="O65" i="12"/>
  <c r="R65" i="12" s="1"/>
  <c r="T65" i="12" s="1"/>
  <c r="O64" i="12"/>
  <c r="R64" i="12" s="1"/>
  <c r="T64" i="12" s="1"/>
  <c r="O63" i="12"/>
  <c r="R63" i="12" s="1"/>
  <c r="T63" i="12" s="1"/>
  <c r="O62" i="12"/>
  <c r="K76" i="12"/>
  <c r="J71" i="12"/>
  <c r="L71" i="12" s="1"/>
  <c r="N71" i="12" s="1"/>
  <c r="J70" i="12"/>
  <c r="L70" i="12" s="1"/>
  <c r="N70" i="12" s="1"/>
  <c r="J69" i="12"/>
  <c r="L69" i="12" s="1"/>
  <c r="N69" i="12" s="1"/>
  <c r="J68" i="12"/>
  <c r="L68" i="12" s="1"/>
  <c r="N68" i="12" s="1"/>
  <c r="J67" i="12"/>
  <c r="L67" i="12" s="1"/>
  <c r="N67" i="12" s="1"/>
  <c r="J66" i="12"/>
  <c r="L66" i="12" s="1"/>
  <c r="N66" i="12" s="1"/>
  <c r="J65" i="12"/>
  <c r="L65" i="12" s="1"/>
  <c r="N65" i="12" s="1"/>
  <c r="J64" i="12"/>
  <c r="L64" i="12" s="1"/>
  <c r="N64" i="12" s="1"/>
  <c r="J63" i="12"/>
  <c r="L63" i="12" s="1"/>
  <c r="N63" i="12" s="1"/>
  <c r="J62" i="12"/>
  <c r="U76" i="12" l="1"/>
  <c r="O76" i="12"/>
  <c r="AG100" i="11"/>
  <c r="V64" i="12"/>
  <c r="W64" i="12" s="1"/>
  <c r="V66" i="12"/>
  <c r="W66" i="12" s="1"/>
  <c r="J76" i="12"/>
  <c r="V68" i="12"/>
  <c r="W68" i="12" s="1"/>
  <c r="V69" i="12"/>
  <c r="W69" i="12" s="1"/>
  <c r="V71" i="12"/>
  <c r="W71" i="12" s="1"/>
  <c r="V63" i="12"/>
  <c r="W63" i="12" s="1"/>
  <c r="V70" i="12"/>
  <c r="W70" i="12" s="1"/>
  <c r="V67" i="12"/>
  <c r="W67" i="12" s="1"/>
  <c r="V65" i="12"/>
  <c r="W65" i="12" s="1"/>
  <c r="R62" i="12"/>
  <c r="R76" i="12" s="1"/>
  <c r="L62" i="12"/>
  <c r="L76" i="12" s="1"/>
  <c r="N62" i="12" l="1"/>
  <c r="N76" i="12" s="1"/>
  <c r="T62" i="12"/>
  <c r="T76" i="12" s="1"/>
  <c r="V62" i="12" l="1"/>
  <c r="V76" i="12" s="1"/>
  <c r="W62" i="12" l="1"/>
  <c r="W76" i="12" s="1"/>
  <c r="K56" i="12" l="1"/>
  <c r="I56" i="12"/>
  <c r="H56" i="12"/>
  <c r="G56" i="12"/>
  <c r="D10" i="12" s="1"/>
  <c r="F56" i="12"/>
  <c r="E56" i="12"/>
  <c r="D56" i="12"/>
  <c r="S56" i="12"/>
  <c r="Q56" i="12"/>
  <c r="Q79" i="12" s="1"/>
  <c r="P56" i="12"/>
  <c r="P79" i="12" s="1"/>
  <c r="P83" i="12" s="1"/>
  <c r="M56" i="12"/>
  <c r="M79" i="12" s="1"/>
  <c r="U52" i="12"/>
  <c r="U51" i="12"/>
  <c r="U50" i="12"/>
  <c r="U49" i="12"/>
  <c r="U48" i="12"/>
  <c r="U47" i="12"/>
  <c r="U46" i="12"/>
  <c r="U45" i="12"/>
  <c r="U44" i="12"/>
  <c r="U43" i="12"/>
  <c r="U42" i="12"/>
  <c r="U53" i="12"/>
  <c r="O52" i="12"/>
  <c r="R52" i="12" s="1"/>
  <c r="T52" i="12" s="1"/>
  <c r="V52" i="12" s="1"/>
  <c r="O51" i="12"/>
  <c r="O50" i="12"/>
  <c r="O49" i="12"/>
  <c r="O48" i="12"/>
  <c r="O47" i="12"/>
  <c r="O46" i="12"/>
  <c r="O45" i="12"/>
  <c r="O44" i="12"/>
  <c r="O43" i="12"/>
  <c r="O42" i="12"/>
  <c r="O53" i="12"/>
  <c r="R53" i="12" s="1"/>
  <c r="T53" i="12" s="1"/>
  <c r="N53" i="12"/>
  <c r="N52" i="12"/>
  <c r="AG53" i="12"/>
  <c r="AE53" i="12"/>
  <c r="AD53" i="12"/>
  <c r="AC53" i="12"/>
  <c r="AB53" i="12"/>
  <c r="AA53" i="12"/>
  <c r="Z53" i="12"/>
  <c r="Y53" i="12"/>
  <c r="X53" i="12"/>
  <c r="AG52" i="12"/>
  <c r="AE52" i="12"/>
  <c r="AD52" i="12"/>
  <c r="AC52" i="12"/>
  <c r="AB52" i="12"/>
  <c r="AA52" i="12"/>
  <c r="Y52" i="12"/>
  <c r="Z52" i="12" s="1"/>
  <c r="X52" i="12"/>
  <c r="D46" i="1" l="1"/>
  <c r="S79" i="12"/>
  <c r="F15" i="12"/>
  <c r="S82" i="12" s="1"/>
  <c r="S83" i="12" s="1"/>
  <c r="O56" i="12"/>
  <c r="O79" i="12" s="1"/>
  <c r="U56" i="12"/>
  <c r="U79" i="12" s="1"/>
  <c r="O80" i="12" s="1"/>
  <c r="V53" i="12"/>
  <c r="W53" i="12" s="1"/>
  <c r="W52" i="12"/>
  <c r="AF53" i="12"/>
  <c r="AF52" i="12"/>
  <c r="O81" i="12" l="1"/>
  <c r="R51" i="12"/>
  <c r="T51" i="12" s="1"/>
  <c r="R50" i="12"/>
  <c r="T50" i="12" s="1"/>
  <c r="V50" i="12" s="1"/>
  <c r="R49" i="12"/>
  <c r="T49" i="12" s="1"/>
  <c r="V49" i="12" s="1"/>
  <c r="R48" i="12"/>
  <c r="T48" i="12" s="1"/>
  <c r="V48" i="12" s="1"/>
  <c r="R47" i="12"/>
  <c r="T47" i="12" s="1"/>
  <c r="R46" i="12"/>
  <c r="T46" i="12" s="1"/>
  <c r="V46" i="12" s="1"/>
  <c r="R45" i="12"/>
  <c r="T45" i="12" s="1"/>
  <c r="V45" i="12" s="1"/>
  <c r="R44" i="12"/>
  <c r="T44" i="12" s="1"/>
  <c r="V44" i="12" s="1"/>
  <c r="R43" i="12"/>
  <c r="T43" i="12" s="1"/>
  <c r="V43" i="12" s="1"/>
  <c r="J56" i="12" l="1"/>
  <c r="N48" i="12"/>
  <c r="W48" i="12" s="1"/>
  <c r="N50" i="12"/>
  <c r="W50" i="12" s="1"/>
  <c r="N43" i="12"/>
  <c r="W43" i="12" s="1"/>
  <c r="N46" i="12"/>
  <c r="W46" i="12" s="1"/>
  <c r="N45" i="12"/>
  <c r="W45" i="12" s="1"/>
  <c r="N51" i="12"/>
  <c r="N47" i="12"/>
  <c r="N49" i="12"/>
  <c r="W49" i="12" s="1"/>
  <c r="N44" i="12"/>
  <c r="W44" i="12" s="1"/>
  <c r="V47" i="12"/>
  <c r="V51" i="12"/>
  <c r="N42" i="12"/>
  <c r="R42" i="12"/>
  <c r="R56" i="12" s="1"/>
  <c r="R79" i="12" s="1"/>
  <c r="W47" i="12" l="1"/>
  <c r="W51" i="12"/>
  <c r="N56" i="12"/>
  <c r="N79" i="12" s="1"/>
  <c r="L56" i="12"/>
  <c r="L79" i="12" s="1"/>
  <c r="T42" i="12"/>
  <c r="T56" i="12" s="1"/>
  <c r="T79" i="12" s="1"/>
  <c r="V42" i="12" l="1"/>
  <c r="V56" i="12" s="1"/>
  <c r="V79" i="12" s="1"/>
  <c r="W42" i="12" l="1"/>
  <c r="W56" i="12" s="1"/>
  <c r="W79" i="12" l="1"/>
  <c r="Q80" i="12" s="1"/>
  <c r="Q81" i="12" s="1"/>
  <c r="F16" i="12"/>
  <c r="H37" i="9"/>
  <c r="H36" i="9"/>
  <c r="F51" i="9"/>
  <c r="E49" i="9"/>
  <c r="Y139" i="9"/>
  <c r="AA139" i="9" s="1"/>
  <c r="AH138" i="9"/>
  <c r="AI136" i="9"/>
  <c r="AG137" i="9"/>
  <c r="AI137" i="9" s="1"/>
  <c r="AG136" i="9"/>
  <c r="AH135" i="9"/>
  <c r="AG134" i="9"/>
  <c r="AI134" i="9" s="1"/>
  <c r="AG133" i="9"/>
  <c r="AI133" i="9" s="1"/>
  <c r="AI135" i="9" s="1"/>
  <c r="AJ135" i="9" s="1"/>
  <c r="G51" i="9" s="1"/>
  <c r="AH132" i="9"/>
  <c r="AG131" i="9"/>
  <c r="AI131" i="9" s="1"/>
  <c r="AG130" i="9"/>
  <c r="AI130" i="9" s="1"/>
  <c r="AI132" i="9" s="1"/>
  <c r="AJ132" i="9" s="1"/>
  <c r="G48" i="9" s="1"/>
  <c r="AH129" i="9"/>
  <c r="AI128" i="9"/>
  <c r="AG128" i="9"/>
  <c r="AG127" i="9"/>
  <c r="AI127" i="9" s="1"/>
  <c r="AI129" i="9" s="1"/>
  <c r="AJ129" i="9" s="1"/>
  <c r="G50" i="9" s="1"/>
  <c r="Z141" i="9"/>
  <c r="AA140" i="9"/>
  <c r="Y140" i="9"/>
  <c r="Z138" i="9"/>
  <c r="AA136" i="9"/>
  <c r="Y137" i="9"/>
  <c r="AA137" i="9" s="1"/>
  <c r="Y136" i="9"/>
  <c r="Z135" i="9"/>
  <c r="AA134" i="9"/>
  <c r="Y134" i="9"/>
  <c r="Y133" i="9"/>
  <c r="AA133" i="9" s="1"/>
  <c r="AA135" i="9" s="1"/>
  <c r="AB135" i="9" s="1"/>
  <c r="G45" i="9" s="1"/>
  <c r="AF123" i="9"/>
  <c r="AF116" i="9"/>
  <c r="AF112" i="9"/>
  <c r="AF108" i="9"/>
  <c r="AF95" i="9"/>
  <c r="AF88" i="9"/>
  <c r="AF80" i="9"/>
  <c r="AF84" i="9"/>
  <c r="AB88" i="9"/>
  <c r="AB116" i="9"/>
  <c r="AB112" i="9"/>
  <c r="AB84" i="9"/>
  <c r="Z132" i="9"/>
  <c r="Y131" i="9"/>
  <c r="AA131" i="9" s="1"/>
  <c r="Y130" i="9"/>
  <c r="AA130" i="9" s="1"/>
  <c r="AA132" i="9" s="1"/>
  <c r="AB132" i="9" s="1"/>
  <c r="G41" i="9" s="1"/>
  <c r="Z129" i="9"/>
  <c r="AA128" i="9"/>
  <c r="AA127" i="9"/>
  <c r="AA129" i="9" s="1"/>
  <c r="AB129" i="9" s="1"/>
  <c r="G44" i="9" s="1"/>
  <c r="AA117" i="9"/>
  <c r="AI124" i="9"/>
  <c r="AH123" i="9"/>
  <c r="AI123" i="9" s="1"/>
  <c r="AI119" i="9"/>
  <c r="AI117" i="9"/>
  <c r="AH116" i="9"/>
  <c r="AI116" i="9" s="1"/>
  <c r="AE119" i="9"/>
  <c r="AE117" i="9"/>
  <c r="AE116" i="9"/>
  <c r="AD116" i="9"/>
  <c r="AH112" i="9"/>
  <c r="AI112" i="9" s="1"/>
  <c r="AD112" i="9"/>
  <c r="AE112" i="9" s="1"/>
  <c r="AB108" i="9"/>
  <c r="AB80" i="9"/>
  <c r="AH108" i="9"/>
  <c r="AI108" i="9" s="1"/>
  <c r="AD108" i="9"/>
  <c r="AE108" i="9" s="1"/>
  <c r="AK126" i="9"/>
  <c r="AB72" i="9"/>
  <c r="AI138" i="9" l="1"/>
  <c r="AJ138" i="9" s="1"/>
  <c r="G49" i="9" s="1"/>
  <c r="AA138" i="9"/>
  <c r="AB138" i="9" s="1"/>
  <c r="G46" i="9" s="1"/>
  <c r="AA141" i="9"/>
  <c r="AB141" i="9" s="1"/>
  <c r="I16" i="12"/>
  <c r="Q82" i="12"/>
  <c r="Q83" i="12" s="1"/>
  <c r="G47" i="9" l="1"/>
  <c r="G42" i="9"/>
  <c r="Y26" i="9"/>
  <c r="V102" i="13"/>
  <c r="C50" i="13" l="1"/>
  <c r="C49" i="13"/>
  <c r="C105" i="13"/>
  <c r="C21" i="13"/>
  <c r="P275" i="13" l="1"/>
  <c r="Q275" i="13" l="1"/>
  <c r="N28" i="4" l="1"/>
  <c r="N32" i="4"/>
  <c r="N35" i="4"/>
  <c r="N34" i="4"/>
  <c r="N31" i="4"/>
  <c r="N29" i="4"/>
  <c r="N25" i="4"/>
  <c r="N45" i="4" s="1"/>
  <c r="N26" i="4"/>
  <c r="N17" i="4"/>
  <c r="N18" i="4"/>
  <c r="N10" i="4"/>
  <c r="N11" i="4"/>
  <c r="O17" i="2"/>
  <c r="O20" i="2"/>
  <c r="O10" i="2"/>
  <c r="O29" i="2"/>
  <c r="O35" i="2"/>
  <c r="O34" i="2"/>
  <c r="O50" i="2" s="1"/>
  <c r="O32" i="2"/>
  <c r="O31" i="2"/>
  <c r="O48" i="2" s="1"/>
  <c r="O28" i="2"/>
  <c r="O46" i="2" s="1"/>
  <c r="O26" i="2"/>
  <c r="O25" i="2"/>
  <c r="O45" i="2" s="1"/>
  <c r="O11" i="2"/>
  <c r="N48" i="4" l="1"/>
  <c r="N50" i="4"/>
  <c r="N46" i="4"/>
  <c r="M25" i="4"/>
  <c r="O25" i="4"/>
  <c r="P25" i="4"/>
  <c r="Q25" i="4"/>
  <c r="R25" i="4"/>
  <c r="S25" i="4"/>
  <c r="T25" i="4"/>
  <c r="U25" i="4"/>
  <c r="V25" i="4"/>
  <c r="W25" i="4"/>
  <c r="X25" i="4"/>
  <c r="Y17" i="2"/>
  <c r="C21" i="4" l="1"/>
  <c r="C20" i="4"/>
  <c r="C19" i="4"/>
  <c r="E36" i="15"/>
  <c r="E34" i="15"/>
  <c r="E32" i="15"/>
  <c r="E30" i="15"/>
  <c r="H15" i="20" l="1"/>
  <c r="F14" i="20"/>
  <c r="F13" i="20"/>
  <c r="AB104" i="13" l="1"/>
  <c r="AB102" i="13"/>
  <c r="X34" i="4"/>
  <c r="X31" i="4"/>
  <c r="X28" i="4"/>
  <c r="X17" i="4"/>
  <c r="X45" i="4" s="1"/>
  <c r="X10" i="4"/>
  <c r="Y34" i="2"/>
  <c r="Y50" i="2" s="1"/>
  <c r="Y31" i="2"/>
  <c r="Y48" i="2" s="1"/>
  <c r="Y28" i="2"/>
  <c r="Y46" i="2" s="1"/>
  <c r="Y25" i="2"/>
  <c r="Y45" i="2" s="1"/>
  <c r="Y10" i="2"/>
  <c r="X50" i="4" l="1"/>
  <c r="X46" i="4"/>
  <c r="X48" i="4"/>
  <c r="AA104" i="13"/>
  <c r="AA102" i="13"/>
  <c r="W34" i="4"/>
  <c r="W31" i="4"/>
  <c r="W28" i="4"/>
  <c r="W46" i="4" s="1"/>
  <c r="W17" i="4"/>
  <c r="W45" i="4" s="1"/>
  <c r="W10" i="4"/>
  <c r="X34" i="2"/>
  <c r="X50" i="2" s="1"/>
  <c r="X31" i="2"/>
  <c r="X48" i="2" s="1"/>
  <c r="X28" i="2"/>
  <c r="X25" i="2"/>
  <c r="X17" i="2"/>
  <c r="W48" i="4" l="1"/>
  <c r="W50" i="4"/>
  <c r="X45" i="2"/>
  <c r="X46" i="2"/>
  <c r="Z104" i="13"/>
  <c r="Z102" i="13"/>
  <c r="V34" i="4"/>
  <c r="V50" i="4" s="1"/>
  <c r="V31" i="4"/>
  <c r="V48" i="4" s="1"/>
  <c r="V28" i="4"/>
  <c r="V17" i="4"/>
  <c r="V45" i="4" s="1"/>
  <c r="V10" i="4"/>
  <c r="W34" i="2"/>
  <c r="W50" i="2" s="1"/>
  <c r="W31" i="2"/>
  <c r="W28" i="2"/>
  <c r="W25" i="2"/>
  <c r="W17" i="2"/>
  <c r="W10" i="2"/>
  <c r="V46" i="4" l="1"/>
  <c r="W45" i="2"/>
  <c r="W46" i="2"/>
  <c r="W48" i="2"/>
  <c r="Y104" i="13"/>
  <c r="Y102" i="13"/>
  <c r="U34" i="4"/>
  <c r="U50" i="4" s="1"/>
  <c r="U31" i="4"/>
  <c r="U48" i="4" s="1"/>
  <c r="U28" i="4"/>
  <c r="U46" i="4" s="1"/>
  <c r="U17" i="4"/>
  <c r="U45" i="4" s="1"/>
  <c r="V25" i="2"/>
  <c r="V45" i="2" s="1"/>
  <c r="V34" i="2"/>
  <c r="V50" i="2" s="1"/>
  <c r="V31" i="2"/>
  <c r="V48" i="2" s="1"/>
  <c r="V28" i="2"/>
  <c r="V17" i="2"/>
  <c r="V10" i="2"/>
  <c r="V46" i="2" l="1"/>
  <c r="X104" i="13"/>
  <c r="X102" i="13"/>
  <c r="T33" i="15"/>
  <c r="T55" i="15" s="1"/>
  <c r="T13" i="15"/>
  <c r="T34" i="4"/>
  <c r="T31" i="4"/>
  <c r="T28" i="4"/>
  <c r="T17" i="4"/>
  <c r="T45" i="4" s="1"/>
  <c r="T10" i="4"/>
  <c r="U34" i="2"/>
  <c r="U50" i="2" s="1"/>
  <c r="U31" i="2"/>
  <c r="U48" i="2" s="1"/>
  <c r="U28" i="2"/>
  <c r="U25" i="2"/>
  <c r="U17" i="2"/>
  <c r="U10" i="2"/>
  <c r="T50" i="4" l="1"/>
  <c r="T46" i="4"/>
  <c r="T48" i="4"/>
  <c r="U45" i="2"/>
  <c r="U46" i="2"/>
  <c r="W102" i="13"/>
  <c r="S35" i="15"/>
  <c r="S33" i="15"/>
  <c r="S31" i="15"/>
  <c r="S29" i="15"/>
  <c r="S52" i="15" s="1"/>
  <c r="S21" i="15"/>
  <c r="S20" i="15"/>
  <c r="S34" i="4"/>
  <c r="S31" i="4"/>
  <c r="S28" i="4"/>
  <c r="S17" i="4"/>
  <c r="S45" i="4" s="1"/>
  <c r="T34" i="2"/>
  <c r="T31" i="2"/>
  <c r="T48" i="2" s="1"/>
  <c r="T28" i="2"/>
  <c r="T25" i="2"/>
  <c r="T17" i="2"/>
  <c r="T10" i="2"/>
  <c r="T46" i="2" l="1"/>
  <c r="S57" i="15"/>
  <c r="S53" i="15"/>
  <c r="T45" i="2"/>
  <c r="S46" i="4"/>
  <c r="S55" i="15"/>
  <c r="T50" i="2"/>
  <c r="S48" i="4"/>
  <c r="S50" i="4"/>
  <c r="V104" i="13"/>
  <c r="R29" i="15"/>
  <c r="R52" i="15" s="1"/>
  <c r="R13" i="15"/>
  <c r="R34" i="4"/>
  <c r="R31" i="4"/>
  <c r="R28" i="4"/>
  <c r="R17" i="4"/>
  <c r="R45" i="4" s="1"/>
  <c r="R10" i="4"/>
  <c r="S34" i="2"/>
  <c r="S31" i="2"/>
  <c r="S48" i="2" s="1"/>
  <c r="S28" i="2"/>
  <c r="S25" i="2"/>
  <c r="S45" i="2" s="1"/>
  <c r="S17" i="2"/>
  <c r="S10" i="2"/>
  <c r="S46" i="2" l="1"/>
  <c r="S50" i="2"/>
  <c r="R46" i="4"/>
  <c r="R48" i="4"/>
  <c r="R50" i="4"/>
  <c r="U102" i="13"/>
  <c r="Q34" i="4"/>
  <c r="Q31" i="4"/>
  <c r="Q28" i="4"/>
  <c r="Q46" i="4" s="1"/>
  <c r="Q17" i="4"/>
  <c r="Q45" i="4" s="1"/>
  <c r="Q10" i="4"/>
  <c r="R34" i="2"/>
  <c r="R50" i="2" s="1"/>
  <c r="R31" i="2"/>
  <c r="R28" i="2"/>
  <c r="R25" i="2"/>
  <c r="R17" i="2"/>
  <c r="R10" i="2"/>
  <c r="Q48" i="4" l="1"/>
  <c r="Q50" i="4"/>
  <c r="R45" i="2"/>
  <c r="R46" i="2"/>
  <c r="R48" i="2"/>
  <c r="W14" i="9"/>
  <c r="T61" i="9"/>
  <c r="J61" i="9" s="1"/>
  <c r="L61" i="9" s="1"/>
  <c r="N61" i="9" s="1"/>
  <c r="P61" i="9" s="1"/>
  <c r="AS23" i="9"/>
  <c r="AR19" i="9"/>
  <c r="AR17" i="9"/>
  <c r="AS17" i="9" s="1"/>
  <c r="AR16" i="9"/>
  <c r="AS16" i="9" s="1"/>
  <c r="AR15" i="9"/>
  <c r="AQ23" i="9"/>
  <c r="AP19" i="9"/>
  <c r="AP16" i="9"/>
  <c r="AQ16" i="9" s="1"/>
  <c r="AP15" i="9"/>
  <c r="AO17" i="9"/>
  <c r="AN19" i="9"/>
  <c r="AN16" i="9"/>
  <c r="AO16" i="9" s="1"/>
  <c r="AN15" i="9"/>
  <c r="AM23" i="9"/>
  <c r="AM17" i="9"/>
  <c r="AL19" i="9"/>
  <c r="AL16" i="9"/>
  <c r="AM16" i="9" s="1"/>
  <c r="AL15" i="9"/>
  <c r="AK23" i="9"/>
  <c r="AK17" i="9"/>
  <c r="AJ19" i="9"/>
  <c r="AJ18" i="9"/>
  <c r="AJ16" i="9"/>
  <c r="AK16" i="9" s="1"/>
  <c r="AJ15" i="9"/>
  <c r="AI27" i="9"/>
  <c r="AI17" i="9"/>
  <c r="AH19" i="9"/>
  <c r="AH16" i="9"/>
  <c r="AI16" i="9" s="1"/>
  <c r="AH15" i="9"/>
  <c r="AH29" i="9" s="1"/>
  <c r="AH63" i="9" s="1"/>
  <c r="AG26" i="9"/>
  <c r="AG17" i="9"/>
  <c r="AF19" i="9"/>
  <c r="AF16" i="9"/>
  <c r="AG16" i="9" s="1"/>
  <c r="AF15" i="9"/>
  <c r="AE23" i="9"/>
  <c r="AE17" i="9"/>
  <c r="AD19" i="9"/>
  <c r="AD16" i="9"/>
  <c r="AD15" i="9"/>
  <c r="AC14" i="9"/>
  <c r="AB19" i="9"/>
  <c r="AB16" i="9"/>
  <c r="AC16" i="9" s="1"/>
  <c r="AB15" i="9"/>
  <c r="AB13" i="9"/>
  <c r="AB29" i="9" l="1"/>
  <c r="AB63" i="9" s="1"/>
  <c r="AL29" i="9"/>
  <c r="AL63" i="9" s="1"/>
  <c r="AF29" i="9"/>
  <c r="AF63" i="9" s="1"/>
  <c r="AR29" i="9"/>
  <c r="AR63" i="9" s="1"/>
  <c r="AD29" i="9"/>
  <c r="AD63" i="9" s="1"/>
  <c r="AE16" i="9"/>
  <c r="AP29" i="9"/>
  <c r="AP63" i="9" s="1"/>
  <c r="AJ29" i="9"/>
  <c r="AJ63" i="9" s="1"/>
  <c r="AN29" i="9"/>
  <c r="AN63" i="9" s="1"/>
  <c r="T104" i="13"/>
  <c r="T102" i="13"/>
  <c r="C22" i="15"/>
  <c r="P31" i="15"/>
  <c r="P33" i="15"/>
  <c r="P35" i="15"/>
  <c r="P39" i="15"/>
  <c r="P29" i="15"/>
  <c r="P21" i="15"/>
  <c r="P20" i="15"/>
  <c r="P19" i="15"/>
  <c r="P13" i="15"/>
  <c r="P9" i="15"/>
  <c r="E36" i="4"/>
  <c r="E35" i="4"/>
  <c r="E33" i="4"/>
  <c r="E32" i="4"/>
  <c r="E30" i="4"/>
  <c r="E29" i="4"/>
  <c r="E27" i="4"/>
  <c r="E26" i="4"/>
  <c r="E25" i="4"/>
  <c r="P17" i="4"/>
  <c r="P45" i="4" s="1"/>
  <c r="C18" i="4"/>
  <c r="C13" i="4"/>
  <c r="C11" i="4"/>
  <c r="P28" i="4"/>
  <c r="P31" i="4"/>
  <c r="P48" i="4" s="1"/>
  <c r="P34" i="4"/>
  <c r="P50" i="4" s="1"/>
  <c r="P10" i="4"/>
  <c r="C21" i="2"/>
  <c r="C20" i="2"/>
  <c r="C13" i="2"/>
  <c r="C32" i="1" s="1"/>
  <c r="E36" i="2"/>
  <c r="E35" i="2"/>
  <c r="E33" i="2"/>
  <c r="E32" i="2"/>
  <c r="E30" i="2"/>
  <c r="E29" i="2"/>
  <c r="E27" i="2"/>
  <c r="E26" i="2"/>
  <c r="Q28" i="2"/>
  <c r="Q31" i="2"/>
  <c r="Q34" i="2"/>
  <c r="Q17" i="2"/>
  <c r="Q25" i="2"/>
  <c r="Q10" i="2"/>
  <c r="Q45" i="2" l="1"/>
  <c r="Q50" i="2"/>
  <c r="P46" i="4"/>
  <c r="P52" i="15"/>
  <c r="Q48" i="2"/>
  <c r="Q46" i="2"/>
  <c r="P57" i="15"/>
  <c r="P55" i="15"/>
  <c r="P53" i="15"/>
  <c r="W23" i="9"/>
  <c r="X19" i="9" l="1"/>
  <c r="Z19" i="9" l="1"/>
  <c r="Z16" i="9"/>
  <c r="AA16" i="9" s="1"/>
  <c r="S104" i="13"/>
  <c r="S103" i="13"/>
  <c r="S102" i="13"/>
  <c r="O34" i="4"/>
  <c r="O31" i="4"/>
  <c r="O28" i="4"/>
  <c r="O17" i="4"/>
  <c r="O45" i="4" s="1"/>
  <c r="O10" i="4"/>
  <c r="P34" i="2"/>
  <c r="P50" i="2" s="1"/>
  <c r="P31" i="2"/>
  <c r="P48" i="2" s="1"/>
  <c r="P28" i="2"/>
  <c r="P25" i="2"/>
  <c r="P17" i="2"/>
  <c r="P16" i="2"/>
  <c r="P11" i="2"/>
  <c r="C11" i="2" s="1"/>
  <c r="P10" i="2"/>
  <c r="O46" i="4" l="1"/>
  <c r="O48" i="4"/>
  <c r="O50" i="4"/>
  <c r="P45" i="2"/>
  <c r="P46" i="2"/>
  <c r="Z29" i="9"/>
  <c r="Z63" i="9" s="1"/>
  <c r="O19" i="2" l="1"/>
  <c r="C19" i="2" s="1"/>
  <c r="O18" i="2"/>
  <c r="C18" i="2" s="1"/>
  <c r="V19" i="9" l="1"/>
  <c r="V16" i="9"/>
  <c r="V15" i="9"/>
  <c r="V29" i="9" s="1"/>
  <c r="V63" i="9" s="1"/>
  <c r="R104" i="13"/>
  <c r="R103" i="13"/>
  <c r="R102" i="13"/>
  <c r="Q104" i="13"/>
  <c r="Q102" i="13"/>
  <c r="M13" i="15"/>
  <c r="M34" i="4"/>
  <c r="M31" i="4"/>
  <c r="M28" i="4"/>
  <c r="M17" i="4"/>
  <c r="M10" i="4"/>
  <c r="C10" i="4" s="1"/>
  <c r="M50" i="4" l="1"/>
  <c r="E34" i="4"/>
  <c r="M48" i="4"/>
  <c r="E31" i="4"/>
  <c r="M46" i="4"/>
  <c r="E28" i="4"/>
  <c r="M45" i="4"/>
  <c r="C17" i="4"/>
  <c r="N34" i="2"/>
  <c r="N31" i="2"/>
  <c r="N28" i="2"/>
  <c r="N25" i="2"/>
  <c r="N17" i="2"/>
  <c r="C17" i="2" s="1"/>
  <c r="N10" i="2"/>
  <c r="C10" i="2" s="1"/>
  <c r="AJ98" i="9"/>
  <c r="AH98" i="9"/>
  <c r="N48" i="2" l="1"/>
  <c r="E31" i="2"/>
  <c r="N50" i="2"/>
  <c r="E34" i="2"/>
  <c r="AK98" i="9"/>
  <c r="AI98" i="9"/>
  <c r="N45" i="2"/>
  <c r="E25" i="2"/>
  <c r="N46" i="2"/>
  <c r="E28" i="2"/>
  <c r="AJ96" i="9"/>
  <c r="AH96" i="9"/>
  <c r="AI96" i="9" s="1"/>
  <c r="J51" i="9" s="1"/>
  <c r="D51" i="9" s="1"/>
  <c r="AD96" i="9"/>
  <c r="Z96" i="9"/>
  <c r="AJ94" i="9"/>
  <c r="AH94" i="9"/>
  <c r="AD94" i="9"/>
  <c r="Z94" i="9"/>
  <c r="AJ93" i="9"/>
  <c r="AH93" i="9"/>
  <c r="AH95" i="9" s="1"/>
  <c r="AI95" i="9" s="1"/>
  <c r="AD93" i="9"/>
  <c r="Z93" i="9"/>
  <c r="AJ91" i="9"/>
  <c r="AH91" i="9"/>
  <c r="AI91" i="9" s="1"/>
  <c r="J50" i="9" s="1"/>
  <c r="D50" i="9" s="1"/>
  <c r="E50" i="9" s="1"/>
  <c r="L50" i="9" s="1"/>
  <c r="AD91" i="9"/>
  <c r="AE91" i="9" s="1"/>
  <c r="J47" i="9" s="1"/>
  <c r="D47" i="9" s="1"/>
  <c r="E47" i="9" s="1"/>
  <c r="Z91" i="9"/>
  <c r="AJ89" i="9"/>
  <c r="AH89" i="9"/>
  <c r="AI89" i="9" s="1"/>
  <c r="J49" i="9" s="1"/>
  <c r="D49" i="9" s="1"/>
  <c r="AD89" i="9"/>
  <c r="AE89" i="9" s="1"/>
  <c r="J46" i="9" s="1"/>
  <c r="D46" i="9" s="1"/>
  <c r="Z89" i="9"/>
  <c r="AA89" i="9" s="1"/>
  <c r="J44" i="9" s="1"/>
  <c r="D44" i="9" s="1"/>
  <c r="E44" i="9" s="1"/>
  <c r="AJ87" i="9"/>
  <c r="AH87" i="9"/>
  <c r="AD87" i="9"/>
  <c r="Z87" i="9"/>
  <c r="AJ86" i="9"/>
  <c r="AH86" i="9"/>
  <c r="AD86" i="9"/>
  <c r="Z86" i="9"/>
  <c r="AJ85" i="9"/>
  <c r="AH85" i="9"/>
  <c r="AD85" i="9"/>
  <c r="Z85" i="9"/>
  <c r="AJ83" i="9"/>
  <c r="AH83" i="9"/>
  <c r="AD83" i="9"/>
  <c r="Z83" i="9"/>
  <c r="AJ82" i="9"/>
  <c r="AH82" i="9"/>
  <c r="AD82" i="9"/>
  <c r="Z82" i="9"/>
  <c r="AJ81" i="9"/>
  <c r="AH81" i="9"/>
  <c r="AD81" i="9"/>
  <c r="Z81" i="9"/>
  <c r="AJ79" i="9"/>
  <c r="AH79" i="9"/>
  <c r="AD79" i="9"/>
  <c r="Z79" i="9"/>
  <c r="AJ78" i="9"/>
  <c r="AH78" i="9"/>
  <c r="AD78" i="9"/>
  <c r="Z78" i="9"/>
  <c r="AJ77" i="9"/>
  <c r="AH77" i="9"/>
  <c r="AD77" i="9"/>
  <c r="Z77" i="9"/>
  <c r="AJ76" i="9"/>
  <c r="AH76" i="9"/>
  <c r="AD76" i="9"/>
  <c r="AD80" i="9" s="1"/>
  <c r="AE80" i="9" s="1"/>
  <c r="J36" i="9" s="1"/>
  <c r="D36" i="9" s="1"/>
  <c r="Z76" i="9"/>
  <c r="AL68" i="9"/>
  <c r="AH68" i="9"/>
  <c r="AL67" i="9"/>
  <c r="AH67" i="9"/>
  <c r="T52" i="9"/>
  <c r="T34" i="9"/>
  <c r="J33" i="9" s="1"/>
  <c r="Y19" i="9"/>
  <c r="Y14" i="9"/>
  <c r="U14" i="9" s="1"/>
  <c r="D14" i="9" s="1"/>
  <c r="J14" i="9" s="1"/>
  <c r="Y17" i="9"/>
  <c r="R61" i="9"/>
  <c r="R60" i="9"/>
  <c r="R59" i="9"/>
  <c r="N57" i="9"/>
  <c r="L57" i="9"/>
  <c r="R56" i="9"/>
  <c r="J57" i="9"/>
  <c r="M52" i="9"/>
  <c r="N51" i="9"/>
  <c r="L51" i="9"/>
  <c r="M43" i="9"/>
  <c r="J39" i="9"/>
  <c r="P39" i="9" s="1"/>
  <c r="E39" i="9"/>
  <c r="F39" i="9" s="1"/>
  <c r="J38" i="9"/>
  <c r="P38" i="9" s="1"/>
  <c r="E38" i="9"/>
  <c r="F38" i="9" s="1"/>
  <c r="L37" i="9"/>
  <c r="F37" i="9"/>
  <c r="N37" i="9" s="1"/>
  <c r="L36" i="9"/>
  <c r="F36" i="9"/>
  <c r="N36" i="9" s="1"/>
  <c r="P36" i="9" s="1"/>
  <c r="T31" i="9"/>
  <c r="O31" i="9"/>
  <c r="M31" i="9"/>
  <c r="F29" i="9"/>
  <c r="E29" i="9"/>
  <c r="N28" i="9"/>
  <c r="L28" i="9"/>
  <c r="J28" i="9"/>
  <c r="U27" i="9"/>
  <c r="D27" i="9" s="1"/>
  <c r="J27" i="9" s="1"/>
  <c r="T27" i="9"/>
  <c r="S27" i="9" s="1"/>
  <c r="N27" i="9"/>
  <c r="L27" i="9"/>
  <c r="U26" i="9"/>
  <c r="D26" i="9" s="1"/>
  <c r="J26" i="9" s="1"/>
  <c r="T26" i="9"/>
  <c r="S26" i="9" s="1"/>
  <c r="N26" i="9"/>
  <c r="P26" i="9" s="1"/>
  <c r="L26" i="9"/>
  <c r="U25" i="9"/>
  <c r="D25" i="9" s="1"/>
  <c r="J25" i="9" s="1"/>
  <c r="T25" i="9"/>
  <c r="S25" i="9" s="1"/>
  <c r="N25" i="9"/>
  <c r="P25" i="9" s="1"/>
  <c r="L25" i="9"/>
  <c r="T24" i="9"/>
  <c r="S24" i="9" s="1"/>
  <c r="N24" i="9"/>
  <c r="P24" i="9" s="1"/>
  <c r="L24" i="9"/>
  <c r="D24" i="9"/>
  <c r="J24" i="9" s="1"/>
  <c r="AA23" i="9"/>
  <c r="Y23" i="9"/>
  <c r="T23" i="9"/>
  <c r="S23" i="9" s="1"/>
  <c r="N23" i="9"/>
  <c r="L23" i="9"/>
  <c r="U22" i="9"/>
  <c r="T22" i="9"/>
  <c r="N22" i="9"/>
  <c r="P22" i="9" s="1"/>
  <c r="L22" i="9"/>
  <c r="U21" i="9"/>
  <c r="T21" i="9"/>
  <c r="L21" i="9"/>
  <c r="N21" i="9" s="1"/>
  <c r="AS20" i="9"/>
  <c r="AQ20" i="9"/>
  <c r="AO20" i="9"/>
  <c r="AM20" i="9"/>
  <c r="AK20" i="9"/>
  <c r="AI20" i="9"/>
  <c r="AG20" i="9"/>
  <c r="AE20" i="9"/>
  <c r="AC20" i="9"/>
  <c r="AA20" i="9"/>
  <c r="Y20" i="9"/>
  <c r="W20" i="9"/>
  <c r="T20" i="9"/>
  <c r="N20" i="9"/>
  <c r="L20" i="9"/>
  <c r="AS19" i="9"/>
  <c r="AQ19" i="9"/>
  <c r="AO19" i="9"/>
  <c r="AM19" i="9"/>
  <c r="AK19" i="9"/>
  <c r="AI19" i="9"/>
  <c r="AG19" i="9"/>
  <c r="AE19" i="9"/>
  <c r="AC19" i="9"/>
  <c r="AA19" i="9"/>
  <c r="W19" i="9"/>
  <c r="N19" i="9"/>
  <c r="L19" i="9"/>
  <c r="AS18" i="9"/>
  <c r="AQ18" i="9"/>
  <c r="AO18" i="9"/>
  <c r="AM18" i="9"/>
  <c r="AK18" i="9"/>
  <c r="AI18" i="9"/>
  <c r="AG18" i="9"/>
  <c r="AE18" i="9"/>
  <c r="AC18" i="9"/>
  <c r="AA18" i="9"/>
  <c r="Y18" i="9"/>
  <c r="W18" i="9"/>
  <c r="T18" i="9"/>
  <c r="N18" i="9"/>
  <c r="L18" i="9"/>
  <c r="W17" i="9"/>
  <c r="T17" i="9"/>
  <c r="N17" i="9"/>
  <c r="L17" i="9"/>
  <c r="W16" i="9"/>
  <c r="N16" i="9"/>
  <c r="L16" i="9"/>
  <c r="AS15" i="9"/>
  <c r="AQ15" i="9"/>
  <c r="AO15" i="9"/>
  <c r="AM15" i="9"/>
  <c r="AK15" i="9"/>
  <c r="AI15" i="9"/>
  <c r="AG15" i="9"/>
  <c r="AE15" i="9"/>
  <c r="AC15" i="9"/>
  <c r="AA15" i="9"/>
  <c r="Y15" i="9"/>
  <c r="W15" i="9"/>
  <c r="T15" i="9"/>
  <c r="N15" i="9"/>
  <c r="L15" i="9"/>
  <c r="T14" i="9"/>
  <c r="N14" i="9"/>
  <c r="P14" i="9" s="1"/>
  <c r="L14" i="9"/>
  <c r="AS13" i="9"/>
  <c r="AQ13" i="9"/>
  <c r="AO13" i="9"/>
  <c r="AM13" i="9"/>
  <c r="AG13" i="9"/>
  <c r="AE13" i="9"/>
  <c r="AC13" i="9"/>
  <c r="AA13" i="9"/>
  <c r="Y13" i="9"/>
  <c r="W13" i="9"/>
  <c r="T13" i="9"/>
  <c r="N13" i="9"/>
  <c r="L13" i="9"/>
  <c r="R10" i="9"/>
  <c r="R9" i="9"/>
  <c r="A9" i="9"/>
  <c r="A10" i="9" s="1"/>
  <c r="A11" i="9" s="1"/>
  <c r="A12" i="9" s="1"/>
  <c r="A13" i="9" s="1"/>
  <c r="T8" i="9"/>
  <c r="J8" i="9" s="1"/>
  <c r="G112" i="13"/>
  <c r="G113" i="13"/>
  <c r="G114" i="13"/>
  <c r="G115" i="13"/>
  <c r="P28" i="9" l="1"/>
  <c r="P19" i="9"/>
  <c r="R19" i="9" s="1"/>
  <c r="AD88" i="9"/>
  <c r="AE88" i="9" s="1"/>
  <c r="J45" i="9" s="1"/>
  <c r="D45" i="9" s="1"/>
  <c r="E45" i="9" s="1"/>
  <c r="P20" i="9"/>
  <c r="P51" i="9"/>
  <c r="J34" i="9"/>
  <c r="L33" i="9"/>
  <c r="L34" i="9" s="1"/>
  <c r="AH88" i="9"/>
  <c r="AI88" i="9" s="1"/>
  <c r="J48" i="9" s="1"/>
  <c r="D48" i="9" s="1"/>
  <c r="E48" i="9" s="1"/>
  <c r="J11" i="9"/>
  <c r="L8" i="9"/>
  <c r="P21" i="9"/>
  <c r="R21" i="9" s="1"/>
  <c r="P27" i="9"/>
  <c r="R27" i="9" s="1"/>
  <c r="M53" i="9"/>
  <c r="AH80" i="9"/>
  <c r="AI80" i="9" s="1"/>
  <c r="J37" i="9" s="1"/>
  <c r="D37" i="9" s="1"/>
  <c r="AH84" i="9"/>
  <c r="AI84" i="9" s="1"/>
  <c r="J42" i="9" s="1"/>
  <c r="D42" i="9" s="1"/>
  <c r="E42" i="9" s="1"/>
  <c r="AD84" i="9"/>
  <c r="AE84" i="9" s="1"/>
  <c r="J41" i="9" s="1"/>
  <c r="D41" i="9" s="1"/>
  <c r="E41" i="9" s="1"/>
  <c r="R22" i="9"/>
  <c r="R25" i="9"/>
  <c r="R20" i="9"/>
  <c r="R26" i="9"/>
  <c r="R24" i="9"/>
  <c r="AK79" i="9"/>
  <c r="AK83" i="9"/>
  <c r="AK93" i="9"/>
  <c r="AJ100" i="9"/>
  <c r="X29" i="9"/>
  <c r="L29" i="9"/>
  <c r="U23" i="9"/>
  <c r="D23" i="9" s="1"/>
  <c r="J23" i="9" s="1"/>
  <c r="P23" i="9" s="1"/>
  <c r="R23" i="9" s="1"/>
  <c r="P57" i="9"/>
  <c r="R57" i="9" s="1"/>
  <c r="N29" i="9"/>
  <c r="AK78" i="9"/>
  <c r="AK96" i="9"/>
  <c r="U20" i="9"/>
  <c r="D20" i="9" s="1"/>
  <c r="J20" i="9" s="1"/>
  <c r="U17" i="9"/>
  <c r="D17" i="9" s="1"/>
  <c r="J17" i="9" s="1"/>
  <c r="P17" i="9" s="1"/>
  <c r="R17" i="9" s="1"/>
  <c r="U18" i="9"/>
  <c r="D18" i="9" s="1"/>
  <c r="J18" i="9" s="1"/>
  <c r="P18" i="9" s="1"/>
  <c r="R18" i="9" s="1"/>
  <c r="AM67" i="9"/>
  <c r="AM68" i="9"/>
  <c r="AK85" i="9"/>
  <c r="AK91" i="9"/>
  <c r="AK87" i="9"/>
  <c r="AK86" i="9"/>
  <c r="AK94" i="9"/>
  <c r="AK81" i="9"/>
  <c r="AK77" i="9"/>
  <c r="AK76" i="9"/>
  <c r="AK89" i="9"/>
  <c r="AK82" i="9"/>
  <c r="L40" i="9"/>
  <c r="J52" i="9"/>
  <c r="U15" i="9"/>
  <c r="D15" i="9" s="1"/>
  <c r="J15" i="9" s="1"/>
  <c r="P15" i="9" s="1"/>
  <c r="R15" i="9" s="1"/>
  <c r="T16" i="9"/>
  <c r="S16" i="9" s="1"/>
  <c r="Y16" i="9"/>
  <c r="U16" i="9" s="1"/>
  <c r="D16" i="9" s="1"/>
  <c r="J16" i="9" s="1"/>
  <c r="P16" i="9" s="1"/>
  <c r="S13" i="9"/>
  <c r="U19" i="9"/>
  <c r="D19" i="9" s="1"/>
  <c r="J19" i="9" s="1"/>
  <c r="U13" i="9"/>
  <c r="N40" i="9"/>
  <c r="L47" i="9"/>
  <c r="F47" i="9"/>
  <c r="N47" i="9" s="1"/>
  <c r="P47" i="9" s="1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F50" i="9"/>
  <c r="N50" i="9" s="1"/>
  <c r="P50" i="9" s="1"/>
  <c r="R14" i="9"/>
  <c r="N33" i="9"/>
  <c r="P33" i="9" s="1"/>
  <c r="T19" i="9"/>
  <c r="S19" i="9" s="1"/>
  <c r="H11" i="20"/>
  <c r="F45" i="9" l="1"/>
  <c r="N45" i="9" s="1"/>
  <c r="P45" i="9" s="1"/>
  <c r="L45" i="9"/>
  <c r="N8" i="9"/>
  <c r="L11" i="9"/>
  <c r="P37" i="9"/>
  <c r="L41" i="9"/>
  <c r="L43" i="9" s="1"/>
  <c r="F41" i="9"/>
  <c r="N41" i="9" s="1"/>
  <c r="F42" i="9"/>
  <c r="N42" i="9" s="1"/>
  <c r="P42" i="9" s="1"/>
  <c r="L42" i="9"/>
  <c r="L48" i="9"/>
  <c r="F48" i="9"/>
  <c r="N48" i="9" s="1"/>
  <c r="P48" i="9" s="1"/>
  <c r="J40" i="9"/>
  <c r="J53" i="9" s="1"/>
  <c r="J43" i="9"/>
  <c r="D13" i="9"/>
  <c r="U29" i="9"/>
  <c r="X63" i="9"/>
  <c r="T63" i="9" s="1"/>
  <c r="T29" i="9"/>
  <c r="AM69" i="9"/>
  <c r="AM71" i="9" s="1"/>
  <c r="L30" i="9" s="1"/>
  <c r="AK100" i="9"/>
  <c r="AK101" i="9" s="1"/>
  <c r="F49" i="9"/>
  <c r="N49" i="9" s="1"/>
  <c r="P49" i="9" s="1"/>
  <c r="L49" i="9"/>
  <c r="S29" i="9"/>
  <c r="L44" i="9"/>
  <c r="F44" i="9"/>
  <c r="N44" i="9" s="1"/>
  <c r="P44" i="9" s="1"/>
  <c r="L46" i="9"/>
  <c r="F46" i="9"/>
  <c r="N46" i="9" s="1"/>
  <c r="P46" i="9" s="1"/>
  <c r="N34" i="9"/>
  <c r="R36" i="9"/>
  <c r="N45" i="20"/>
  <c r="N12" i="20"/>
  <c r="N47" i="20"/>
  <c r="N51" i="20" s="1"/>
  <c r="N52" i="20" s="1"/>
  <c r="N15" i="20"/>
  <c r="N13" i="20"/>
  <c r="D22" i="15"/>
  <c r="E21" i="4"/>
  <c r="D21" i="2"/>
  <c r="E21" i="2" s="1"/>
  <c r="P41" i="9" l="1"/>
  <c r="P43" i="9" s="1"/>
  <c r="N43" i="9"/>
  <c r="L31" i="9"/>
  <c r="N30" i="9"/>
  <c r="P40" i="9"/>
  <c r="R37" i="9"/>
  <c r="P8" i="9"/>
  <c r="R8" i="9" s="1"/>
  <c r="N11" i="9"/>
  <c r="P52" i="9"/>
  <c r="AM72" i="9"/>
  <c r="J30" i="9" s="1"/>
  <c r="J31" i="9" s="1"/>
  <c r="J13" i="9"/>
  <c r="D29" i="9"/>
  <c r="L52" i="9"/>
  <c r="L53" i="9" s="1"/>
  <c r="R33" i="9"/>
  <c r="P34" i="9"/>
  <c r="R34" i="9" s="1"/>
  <c r="R43" i="9"/>
  <c r="R40" i="9"/>
  <c r="N52" i="9"/>
  <c r="N53" i="9" s="1"/>
  <c r="L45" i="20"/>
  <c r="P11" i="9" l="1"/>
  <c r="J29" i="9"/>
  <c r="P13" i="9"/>
  <c r="P53" i="9"/>
  <c r="P30" i="9"/>
  <c r="N31" i="9"/>
  <c r="N64" i="9" s="1"/>
  <c r="J64" i="9"/>
  <c r="E60" i="1" s="1"/>
  <c r="R52" i="9"/>
  <c r="L64" i="9"/>
  <c r="R53" i="9"/>
  <c r="L12" i="20"/>
  <c r="L16" i="20"/>
  <c r="L15" i="20"/>
  <c r="L13" i="20"/>
  <c r="R30" i="9" l="1"/>
  <c r="P31" i="9"/>
  <c r="R31" i="9" s="1"/>
  <c r="R13" i="9"/>
  <c r="P29" i="9"/>
  <c r="R29" i="9" s="1"/>
  <c r="R11" i="9"/>
  <c r="L11" i="20"/>
  <c r="P64" i="9" l="1"/>
  <c r="R64" i="9" s="1"/>
  <c r="E18" i="4"/>
  <c r="E20" i="2"/>
  <c r="E19" i="2"/>
  <c r="E11" i="2"/>
  <c r="E17" i="4" l="1"/>
  <c r="E18" i="2"/>
  <c r="C22" i="2"/>
  <c r="D11" i="1" s="1"/>
  <c r="E37" i="2"/>
  <c r="E10" i="2" l="1"/>
  <c r="C12" i="2"/>
  <c r="AF11" i="20"/>
  <c r="P14" i="20" l="1"/>
  <c r="P26" i="20" l="1"/>
  <c r="L33" i="20" l="1"/>
  <c r="L26" i="20"/>
  <c r="L18" i="20" l="1"/>
  <c r="C36" i="14"/>
  <c r="C35" i="14"/>
  <c r="C34" i="14"/>
  <c r="C33" i="14"/>
  <c r="E33" i="14" s="1"/>
  <c r="AH11" i="20" l="1"/>
  <c r="AH26" i="20"/>
  <c r="AH25" i="20"/>
  <c r="AH14" i="20"/>
  <c r="AH33" i="20" l="1"/>
  <c r="W35" i="20" l="1"/>
  <c r="U35" i="20"/>
  <c r="S35" i="20"/>
  <c r="Q35" i="20"/>
  <c r="O35" i="20"/>
  <c r="AH35" i="20" l="1"/>
  <c r="AG33" i="20"/>
  <c r="AG35" i="20" s="1"/>
  <c r="AE33" i="20"/>
  <c r="AE35" i="20" s="1"/>
  <c r="AC33" i="20"/>
  <c r="AC35" i="20" s="1"/>
  <c r="AA33" i="20"/>
  <c r="AA35" i="20" s="1"/>
  <c r="Y33" i="20"/>
  <c r="Y35" i="20" s="1"/>
  <c r="AF25" i="20" l="1"/>
  <c r="AF33" i="20" s="1"/>
  <c r="AF35" i="20" s="1"/>
  <c r="AF26" i="20"/>
  <c r="AD26" i="20"/>
  <c r="AD25" i="20"/>
  <c r="AD33" i="20" s="1"/>
  <c r="AD35" i="20" s="1"/>
  <c r="AF14" i="20"/>
  <c r="AD11" i="20" l="1"/>
  <c r="AB26" i="20"/>
  <c r="AB25" i="20"/>
  <c r="AB33" i="20" s="1"/>
  <c r="AB35" i="20" s="1"/>
  <c r="Z26" i="20"/>
  <c r="Z25" i="20"/>
  <c r="Z33" i="20" s="1"/>
  <c r="Z35" i="20" s="1"/>
  <c r="AB11" i="20" l="1"/>
  <c r="X11" i="20"/>
  <c r="Z11" i="20" l="1"/>
  <c r="X26" i="20" l="1"/>
  <c r="X25" i="20"/>
  <c r="X33" i="20" s="1"/>
  <c r="X35" i="20" s="1"/>
  <c r="V25" i="20" l="1"/>
  <c r="V33" i="20" s="1"/>
  <c r="V35" i="20" s="1"/>
  <c r="V26" i="20"/>
  <c r="T25" i="20"/>
  <c r="T33" i="20" s="1"/>
  <c r="T11" i="20"/>
  <c r="E17" i="2"/>
  <c r="E22" i="2" s="1"/>
  <c r="E39" i="2" l="1"/>
  <c r="V11" i="20"/>
  <c r="T35" i="20" l="1"/>
  <c r="T26" i="20" l="1"/>
  <c r="T14" i="20"/>
  <c r="R26" i="20" l="1"/>
  <c r="R25" i="20"/>
  <c r="R33" i="20" s="1"/>
  <c r="R11" i="20"/>
  <c r="R14" i="20"/>
  <c r="R35" i="20" l="1"/>
  <c r="P25" i="20" l="1"/>
  <c r="P33" i="20" s="1"/>
  <c r="P11" i="20"/>
  <c r="P35" i="20" l="1"/>
  <c r="L24" i="20"/>
  <c r="L25" i="20"/>
  <c r="L35" i="20" l="1"/>
  <c r="L27" i="20"/>
  <c r="L29" i="20" s="1"/>
  <c r="N26" i="20"/>
  <c r="N25" i="20"/>
  <c r="N33" i="20" s="1"/>
  <c r="M20" i="20"/>
  <c r="N11" i="20"/>
  <c r="N35" i="20" l="1"/>
  <c r="L14" i="20"/>
  <c r="M54" i="14" l="1"/>
  <c r="M53" i="14"/>
  <c r="M52" i="14"/>
  <c r="M51" i="14"/>
  <c r="M50" i="14"/>
  <c r="M49" i="14"/>
  <c r="L28" i="10" l="1"/>
  <c r="L26" i="10"/>
  <c r="L25" i="10"/>
  <c r="I28" i="10"/>
  <c r="I26" i="10"/>
  <c r="I25" i="10"/>
  <c r="I12" i="10"/>
  <c r="L12" i="10" s="1"/>
  <c r="I11" i="10"/>
  <c r="L11" i="10" s="1"/>
  <c r="I10" i="10"/>
  <c r="L10" i="10" s="1"/>
  <c r="J14" i="12"/>
  <c r="J13" i="12"/>
  <c r="I14" i="12"/>
  <c r="L14" i="12" s="1"/>
  <c r="M100" i="13" l="1"/>
  <c r="M98" i="13"/>
  <c r="M95" i="13"/>
  <c r="M94" i="13"/>
  <c r="M93" i="13"/>
  <c r="M90" i="13"/>
  <c r="M88" i="13"/>
  <c r="M86" i="13"/>
  <c r="M85" i="13"/>
  <c r="M84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6" i="13"/>
  <c r="M65" i="13"/>
  <c r="M64" i="13"/>
  <c r="M63" i="13"/>
  <c r="M62" i="13"/>
  <c r="M61" i="13"/>
  <c r="M60" i="13"/>
  <c r="M59" i="13"/>
  <c r="M58" i="13"/>
  <c r="M54" i="13"/>
  <c r="M53" i="13"/>
  <c r="M52" i="13"/>
  <c r="M51" i="13"/>
  <c r="M50" i="13"/>
  <c r="M49" i="13"/>
  <c r="M46" i="13"/>
  <c r="M45" i="13"/>
  <c r="M44" i="13"/>
  <c r="M43" i="13"/>
  <c r="M42" i="13"/>
  <c r="M41" i="13"/>
  <c r="M38" i="13"/>
  <c r="M37" i="13"/>
  <c r="M36" i="13"/>
  <c r="M35" i="13"/>
  <c r="M34" i="13"/>
  <c r="M33" i="13"/>
  <c r="M31" i="13"/>
  <c r="M26" i="13"/>
  <c r="M25" i="13"/>
  <c r="M24" i="13"/>
  <c r="M22" i="13"/>
  <c r="M21" i="13"/>
  <c r="M19" i="13"/>
  <c r="M18" i="13"/>
  <c r="M17" i="13"/>
  <c r="M16" i="13"/>
  <c r="M15" i="13"/>
  <c r="M14" i="13"/>
  <c r="H100" i="13"/>
  <c r="H98" i="13"/>
  <c r="H95" i="13"/>
  <c r="H94" i="13"/>
  <c r="H93" i="13"/>
  <c r="H90" i="13"/>
  <c r="H88" i="13"/>
  <c r="H86" i="13"/>
  <c r="H85" i="13"/>
  <c r="H84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6" i="13"/>
  <c r="H65" i="13"/>
  <c r="H64" i="13"/>
  <c r="H63" i="13"/>
  <c r="H62" i="13"/>
  <c r="H61" i="13"/>
  <c r="H60" i="13"/>
  <c r="H59" i="13"/>
  <c r="H58" i="13"/>
  <c r="H54" i="13"/>
  <c r="H53" i="13"/>
  <c r="H52" i="13"/>
  <c r="H51" i="13"/>
  <c r="H50" i="13"/>
  <c r="H49" i="13"/>
  <c r="H46" i="13"/>
  <c r="H45" i="13"/>
  <c r="H44" i="13"/>
  <c r="H43" i="13"/>
  <c r="H42" i="13"/>
  <c r="H41" i="13"/>
  <c r="H38" i="13"/>
  <c r="H37" i="13"/>
  <c r="H36" i="13"/>
  <c r="H35" i="13"/>
  <c r="H34" i="13"/>
  <c r="H33" i="13"/>
  <c r="H31" i="13"/>
  <c r="H26" i="13"/>
  <c r="H25" i="13"/>
  <c r="H24" i="13"/>
  <c r="H22" i="13"/>
  <c r="H19" i="13"/>
  <c r="H18" i="13"/>
  <c r="H17" i="13"/>
  <c r="H15" i="13"/>
  <c r="H14" i="13"/>
  <c r="F30" i="14" l="1"/>
  <c r="AA88" i="7" l="1"/>
  <c r="Z88" i="7"/>
  <c r="Y88" i="7"/>
  <c r="X88" i="7"/>
  <c r="W88" i="7"/>
  <c r="V88" i="7"/>
  <c r="U88" i="7"/>
  <c r="AA86" i="7"/>
  <c r="Z86" i="7"/>
  <c r="Y86" i="7"/>
  <c r="X86" i="7"/>
  <c r="W86" i="7"/>
  <c r="V86" i="7"/>
  <c r="U86" i="7"/>
  <c r="AA84" i="7"/>
  <c r="Z84" i="7"/>
  <c r="Y84" i="7"/>
  <c r="X84" i="7"/>
  <c r="W84" i="7"/>
  <c r="V84" i="7"/>
  <c r="U84" i="7"/>
  <c r="AA82" i="7"/>
  <c r="Z82" i="7"/>
  <c r="Y82" i="7"/>
  <c r="X82" i="7"/>
  <c r="W82" i="7"/>
  <c r="V82" i="7"/>
  <c r="U82" i="7"/>
  <c r="AA80" i="7"/>
  <c r="Z80" i="7"/>
  <c r="Y80" i="7"/>
  <c r="X80" i="7"/>
  <c r="W80" i="7"/>
  <c r="V80" i="7"/>
  <c r="U80" i="7"/>
  <c r="AA78" i="7"/>
  <c r="Z78" i="7"/>
  <c r="Y78" i="7"/>
  <c r="X78" i="7"/>
  <c r="W78" i="7"/>
  <c r="V78" i="7"/>
  <c r="U78" i="7"/>
  <c r="AA76" i="7"/>
  <c r="Z76" i="7"/>
  <c r="Y76" i="7"/>
  <c r="X76" i="7"/>
  <c r="W76" i="7"/>
  <c r="V76" i="7"/>
  <c r="U76" i="7"/>
  <c r="AA74" i="7"/>
  <c r="Z74" i="7"/>
  <c r="Y74" i="7"/>
  <c r="X74" i="7"/>
  <c r="W74" i="7"/>
  <c r="V74" i="7"/>
  <c r="U74" i="7"/>
  <c r="AA72" i="7"/>
  <c r="Z72" i="7"/>
  <c r="Y72" i="7"/>
  <c r="X72" i="7"/>
  <c r="W72" i="7"/>
  <c r="V72" i="7"/>
  <c r="U72" i="7"/>
  <c r="AA70" i="7"/>
  <c r="Z70" i="7"/>
  <c r="Y70" i="7"/>
  <c r="X70" i="7"/>
  <c r="W70" i="7"/>
  <c r="V70" i="7"/>
  <c r="U70" i="7"/>
  <c r="AA68" i="7"/>
  <c r="Z68" i="7"/>
  <c r="Y68" i="7"/>
  <c r="X68" i="7"/>
  <c r="W68" i="7"/>
  <c r="V68" i="7"/>
  <c r="U68" i="7"/>
  <c r="AA66" i="7"/>
  <c r="Z66" i="7"/>
  <c r="Y66" i="7"/>
  <c r="X66" i="7"/>
  <c r="W66" i="7"/>
  <c r="V66" i="7"/>
  <c r="U66" i="7"/>
  <c r="R90" i="7"/>
  <c r="Q90" i="7"/>
  <c r="P90" i="7"/>
  <c r="E19" i="7" s="1"/>
  <c r="O90" i="7"/>
  <c r="N90" i="7"/>
  <c r="E21" i="7" s="1"/>
  <c r="M90" i="7"/>
  <c r="E17" i="7" s="1"/>
  <c r="L90" i="7"/>
  <c r="E16" i="7" s="1"/>
  <c r="K90" i="7"/>
  <c r="J90" i="7"/>
  <c r="I90" i="7"/>
  <c r="F90" i="7"/>
  <c r="C13" i="7" s="1"/>
  <c r="C32" i="7" s="1"/>
  <c r="E90" i="7"/>
  <c r="D90" i="7"/>
  <c r="C11" i="7" s="1"/>
  <c r="U90" i="7" l="1"/>
  <c r="V90" i="7"/>
  <c r="W90" i="7"/>
  <c r="X90" i="7"/>
  <c r="Y90" i="7"/>
  <c r="AA90" i="7"/>
  <c r="G90" i="7"/>
  <c r="Z90" i="7"/>
  <c r="T91" i="7"/>
  <c r="T93" i="7" s="1"/>
  <c r="V588" i="10" l="1"/>
  <c r="V504" i="10"/>
  <c r="V462" i="10"/>
  <c r="G59" i="10"/>
  <c r="AL80" i="10" l="1"/>
  <c r="AL79" i="10"/>
  <c r="AL78" i="10"/>
  <c r="AL77" i="10"/>
  <c r="AL76" i="10"/>
  <c r="AL75" i="10"/>
  <c r="AL74" i="10"/>
  <c r="AL73" i="10"/>
  <c r="AL72" i="10"/>
  <c r="AL71" i="10"/>
  <c r="AL70" i="10"/>
  <c r="AL69" i="10"/>
  <c r="AJ796" i="10"/>
  <c r="AJ80" i="10"/>
  <c r="AJ79" i="10"/>
  <c r="AJ78" i="10"/>
  <c r="AJ77" i="10"/>
  <c r="AJ76" i="10"/>
  <c r="AJ75" i="10"/>
  <c r="AJ74" i="10"/>
  <c r="AJ73" i="10"/>
  <c r="AJ72" i="10"/>
  <c r="AJ71" i="10"/>
  <c r="AJ70" i="10"/>
  <c r="AJ69" i="10"/>
  <c r="Y523" i="10"/>
  <c r="X523" i="10"/>
  <c r="W523" i="10"/>
  <c r="V523" i="10"/>
  <c r="U523" i="10"/>
  <c r="T523" i="10"/>
  <c r="S523" i="10"/>
  <c r="R523" i="10"/>
  <c r="AA502" i="10"/>
  <c r="Y502" i="10"/>
  <c r="W502" i="10"/>
  <c r="V502" i="10"/>
  <c r="U502" i="10"/>
  <c r="T502" i="10"/>
  <c r="R502" i="10"/>
  <c r="W482" i="10"/>
  <c r="Y355" i="10"/>
  <c r="X355" i="10"/>
  <c r="W355" i="10"/>
  <c r="V355" i="10"/>
  <c r="U355" i="10"/>
  <c r="T355" i="10"/>
  <c r="S355" i="10"/>
  <c r="R355" i="10"/>
  <c r="AA334" i="10"/>
  <c r="Y334" i="10"/>
  <c r="W334" i="10"/>
  <c r="V334" i="10"/>
  <c r="U334" i="10"/>
  <c r="T334" i="10"/>
  <c r="R334" i="10"/>
  <c r="R336" i="10" s="1"/>
  <c r="U336" i="10" s="1"/>
  <c r="U314" i="10"/>
  <c r="W314" i="10" s="1"/>
  <c r="Y314" i="10" s="1"/>
  <c r="Z313" i="10"/>
  <c r="Y313" i="10"/>
  <c r="X313" i="10"/>
  <c r="W313" i="10"/>
  <c r="R313" i="10"/>
  <c r="AA292" i="10"/>
  <c r="Y292" i="10"/>
  <c r="W292" i="10"/>
  <c r="V292" i="10"/>
  <c r="U292" i="10"/>
  <c r="T292" i="10"/>
  <c r="R292" i="10"/>
  <c r="R294" i="10" s="1"/>
  <c r="U294" i="10" s="1"/>
  <c r="Z271" i="10"/>
  <c r="Y271" i="10"/>
  <c r="X271" i="10"/>
  <c r="W271" i="10"/>
  <c r="R271" i="10"/>
  <c r="AA250" i="10"/>
  <c r="Y250" i="10"/>
  <c r="W250" i="10"/>
  <c r="V250" i="10"/>
  <c r="U250" i="10"/>
  <c r="T250" i="10"/>
  <c r="R250" i="10"/>
  <c r="R252" i="10" s="1"/>
  <c r="U252" i="10" s="1"/>
  <c r="O236" i="10"/>
  <c r="O247" i="10"/>
  <c r="O258" i="10"/>
  <c r="O269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Y859" i="10"/>
  <c r="X859" i="10"/>
  <c r="W859" i="10"/>
  <c r="V859" i="10"/>
  <c r="U859" i="10"/>
  <c r="T859" i="10"/>
  <c r="S859" i="10"/>
  <c r="R859" i="10"/>
  <c r="AA838" i="10"/>
  <c r="Y838" i="10"/>
  <c r="W838" i="10"/>
  <c r="V838" i="10"/>
  <c r="U838" i="10"/>
  <c r="T838" i="10"/>
  <c r="R838" i="10"/>
  <c r="Y817" i="10"/>
  <c r="X817" i="10"/>
  <c r="W817" i="10"/>
  <c r="V817" i="10"/>
  <c r="U817" i="10"/>
  <c r="T817" i="10"/>
  <c r="S817" i="10"/>
  <c r="R817" i="10"/>
  <c r="AA796" i="10"/>
  <c r="Y796" i="10"/>
  <c r="W796" i="10"/>
  <c r="V796" i="10"/>
  <c r="U796" i="10"/>
  <c r="T796" i="10"/>
  <c r="R796" i="10"/>
  <c r="Y775" i="10"/>
  <c r="X775" i="10"/>
  <c r="W775" i="10"/>
  <c r="V775" i="10"/>
  <c r="U775" i="10"/>
  <c r="T775" i="10"/>
  <c r="S775" i="10"/>
  <c r="R775" i="10"/>
  <c r="AA754" i="10"/>
  <c r="Y754" i="10"/>
  <c r="W754" i="10"/>
  <c r="V754" i="10"/>
  <c r="U754" i="10"/>
  <c r="T754" i="10"/>
  <c r="R754" i="10"/>
  <c r="Y733" i="10"/>
  <c r="X733" i="10"/>
  <c r="W733" i="10"/>
  <c r="V733" i="10"/>
  <c r="U733" i="10"/>
  <c r="T733" i="10"/>
  <c r="S733" i="10"/>
  <c r="R733" i="10"/>
  <c r="P731" i="10"/>
  <c r="P730" i="10"/>
  <c r="P729" i="10"/>
  <c r="P728" i="10"/>
  <c r="P727" i="10"/>
  <c r="P726" i="10"/>
  <c r="P725" i="10"/>
  <c r="P724" i="10"/>
  <c r="P723" i="10"/>
  <c r="P722" i="10"/>
  <c r="P721" i="10"/>
  <c r="P720" i="10"/>
  <c r="AA712" i="10"/>
  <c r="Y712" i="10"/>
  <c r="W712" i="10"/>
  <c r="V712" i="10"/>
  <c r="U712" i="10"/>
  <c r="T712" i="10"/>
  <c r="R712" i="10"/>
  <c r="T692" i="10"/>
  <c r="V692" i="10" s="1"/>
  <c r="Y691" i="10"/>
  <c r="X691" i="10"/>
  <c r="W691" i="10"/>
  <c r="V691" i="10"/>
  <c r="U691" i="10"/>
  <c r="T691" i="10"/>
  <c r="S691" i="10"/>
  <c r="R691" i="10"/>
  <c r="P689" i="10"/>
  <c r="P688" i="10"/>
  <c r="P687" i="10"/>
  <c r="P686" i="10"/>
  <c r="P685" i="10"/>
  <c r="P684" i="10"/>
  <c r="P683" i="10"/>
  <c r="P682" i="10"/>
  <c r="P681" i="10"/>
  <c r="P680" i="10"/>
  <c r="P679" i="10"/>
  <c r="P678" i="10"/>
  <c r="AA670" i="10"/>
  <c r="Y670" i="10"/>
  <c r="W670" i="10"/>
  <c r="V670" i="10"/>
  <c r="U670" i="10"/>
  <c r="T670" i="10"/>
  <c r="R670" i="10"/>
  <c r="Y649" i="10"/>
  <c r="X649" i="10"/>
  <c r="W649" i="10"/>
  <c r="V649" i="10"/>
  <c r="U649" i="10"/>
  <c r="T649" i="10"/>
  <c r="S649" i="10"/>
  <c r="R649" i="10"/>
  <c r="AA628" i="10"/>
  <c r="Y628" i="10"/>
  <c r="W628" i="10"/>
  <c r="V628" i="10"/>
  <c r="U628" i="10"/>
  <c r="T628" i="10"/>
  <c r="R628" i="10"/>
  <c r="Y607" i="10"/>
  <c r="X607" i="10"/>
  <c r="W607" i="10"/>
  <c r="V607" i="10"/>
  <c r="U607" i="10"/>
  <c r="T607" i="10"/>
  <c r="S607" i="10"/>
  <c r="R607" i="10"/>
  <c r="P605" i="10"/>
  <c r="P604" i="10"/>
  <c r="P603" i="10"/>
  <c r="P602" i="10"/>
  <c r="P601" i="10"/>
  <c r="P600" i="10"/>
  <c r="P599" i="10"/>
  <c r="P598" i="10"/>
  <c r="P597" i="10"/>
  <c r="P596" i="10"/>
  <c r="P595" i="10"/>
  <c r="P594" i="10"/>
  <c r="AA586" i="10"/>
  <c r="Y586" i="10"/>
  <c r="W586" i="10"/>
  <c r="V586" i="10"/>
  <c r="U586" i="10"/>
  <c r="T586" i="10"/>
  <c r="R586" i="10"/>
  <c r="Y481" i="10"/>
  <c r="X481" i="10"/>
  <c r="W481" i="10"/>
  <c r="V481" i="10"/>
  <c r="U481" i="10"/>
  <c r="T481" i="10"/>
  <c r="S481" i="10"/>
  <c r="R481" i="10"/>
  <c r="AA460" i="10"/>
  <c r="Y460" i="10"/>
  <c r="W460" i="10"/>
  <c r="V460" i="10"/>
  <c r="U460" i="10"/>
  <c r="T460" i="10"/>
  <c r="Y439" i="10"/>
  <c r="X439" i="10"/>
  <c r="W439" i="10"/>
  <c r="V439" i="10"/>
  <c r="U439" i="10"/>
  <c r="T439" i="10"/>
  <c r="S439" i="10"/>
  <c r="R439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AA418" i="10"/>
  <c r="Y418" i="10"/>
  <c r="W418" i="10"/>
  <c r="V418" i="10"/>
  <c r="U418" i="10"/>
  <c r="T418" i="10"/>
  <c r="R418" i="10"/>
  <c r="R420" i="10" s="1"/>
  <c r="U420" i="10" s="1"/>
  <c r="Y397" i="10"/>
  <c r="X397" i="10"/>
  <c r="W397" i="10"/>
  <c r="V397" i="10"/>
  <c r="U397" i="10"/>
  <c r="T397" i="10"/>
  <c r="S397" i="10"/>
  <c r="R397" i="10"/>
  <c r="AA376" i="10"/>
  <c r="Y376" i="10"/>
  <c r="W376" i="10"/>
  <c r="V376" i="10"/>
  <c r="U376" i="10"/>
  <c r="T376" i="10"/>
  <c r="U356" i="10"/>
  <c r="W356" i="10" s="1"/>
  <c r="Z229" i="10"/>
  <c r="Y229" i="10"/>
  <c r="X229" i="10"/>
  <c r="W229" i="10"/>
  <c r="V229" i="10"/>
  <c r="U229" i="10"/>
  <c r="T229" i="10"/>
  <c r="R229" i="10"/>
  <c r="AA208" i="10"/>
  <c r="Y208" i="10"/>
  <c r="W208" i="10"/>
  <c r="V208" i="10"/>
  <c r="U208" i="10"/>
  <c r="T208" i="10"/>
  <c r="R208" i="10"/>
  <c r="R210" i="10" s="1"/>
  <c r="U210" i="10" s="1"/>
  <c r="Y187" i="10"/>
  <c r="X187" i="10"/>
  <c r="W187" i="10"/>
  <c r="V187" i="10"/>
  <c r="U187" i="10"/>
  <c r="T187" i="10"/>
  <c r="S187" i="10"/>
  <c r="R187" i="10"/>
  <c r="P185" i="10"/>
  <c r="P184" i="10"/>
  <c r="P183" i="10"/>
  <c r="P182" i="10"/>
  <c r="P181" i="10"/>
  <c r="P180" i="10"/>
  <c r="P179" i="10"/>
  <c r="P178" i="10"/>
  <c r="P177" i="10"/>
  <c r="P176" i="10"/>
  <c r="P175" i="10"/>
  <c r="P174" i="10"/>
  <c r="AA166" i="10"/>
  <c r="Y166" i="10"/>
  <c r="W166" i="10"/>
  <c r="V166" i="10"/>
  <c r="U166" i="10"/>
  <c r="T166" i="10"/>
  <c r="R166" i="10"/>
  <c r="R168" i="10" s="1"/>
  <c r="U168" i="10" s="1"/>
  <c r="Y145" i="10"/>
  <c r="X145" i="10"/>
  <c r="W145" i="10"/>
  <c r="V145" i="10"/>
  <c r="U145" i="10"/>
  <c r="T145" i="10"/>
  <c r="S145" i="10"/>
  <c r="R145" i="10"/>
  <c r="AA124" i="10"/>
  <c r="Y124" i="10"/>
  <c r="W124" i="10"/>
  <c r="V124" i="10"/>
  <c r="U124" i="10"/>
  <c r="T124" i="10"/>
  <c r="R124" i="10"/>
  <c r="R126" i="10" s="1"/>
  <c r="U126" i="10" s="1"/>
  <c r="X292" i="10" l="1"/>
  <c r="R460" i="10"/>
  <c r="X712" i="10"/>
  <c r="X166" i="10"/>
  <c r="X418" i="10"/>
  <c r="X124" i="10"/>
  <c r="X208" i="10"/>
  <c r="X250" i="10"/>
  <c r="X376" i="10"/>
  <c r="X586" i="10"/>
  <c r="X628" i="10"/>
  <c r="X670" i="10"/>
  <c r="X796" i="10"/>
  <c r="X334" i="10"/>
  <c r="X460" i="10"/>
  <c r="X754" i="10"/>
  <c r="X838" i="10"/>
  <c r="X502" i="10"/>
  <c r="AB502" i="10"/>
  <c r="Z502" i="10"/>
  <c r="R376" i="10"/>
  <c r="R378" i="10" s="1"/>
  <c r="U378" i="10" s="1"/>
  <c r="AB628" i="10" l="1"/>
  <c r="Z628" i="10"/>
  <c r="Z334" i="10"/>
  <c r="AB334" i="10"/>
  <c r="Z292" i="10"/>
  <c r="AB292" i="10"/>
  <c r="Z250" i="10"/>
  <c r="AB250" i="10"/>
  <c r="AB838" i="10"/>
  <c r="Z838" i="10"/>
  <c r="Z796" i="10"/>
  <c r="AB796" i="10"/>
  <c r="AB754" i="10"/>
  <c r="Z754" i="10"/>
  <c r="Z712" i="10"/>
  <c r="AB712" i="10"/>
  <c r="Z670" i="10"/>
  <c r="AB670" i="10"/>
  <c r="Z586" i="10"/>
  <c r="AB586" i="10"/>
  <c r="Z460" i="10"/>
  <c r="AB460" i="10"/>
  <c r="Z418" i="10"/>
  <c r="AB418" i="10"/>
  <c r="Z376" i="10"/>
  <c r="AB376" i="10"/>
  <c r="Z208" i="10"/>
  <c r="AB208" i="10"/>
  <c r="Z166" i="10"/>
  <c r="AB166" i="10"/>
  <c r="Z124" i="10"/>
  <c r="AB124" i="10"/>
  <c r="AC103" i="11" l="1"/>
  <c r="AB105" i="11"/>
  <c r="E15" i="11" s="1"/>
  <c r="E50" i="1" s="1"/>
  <c r="Z105" i="11"/>
  <c r="C15" i="11" s="1"/>
  <c r="AA105" i="11"/>
  <c r="AD106" i="11" s="1"/>
  <c r="AD105" i="11"/>
  <c r="J15" i="11" l="1"/>
  <c r="AD107" i="11"/>
  <c r="N63" i="11" s="1"/>
  <c r="AD108" i="11" l="1"/>
  <c r="C28" i="11" s="1"/>
  <c r="AD110" i="11"/>
  <c r="D15" i="11"/>
  <c r="L16" i="12" l="1"/>
  <c r="I15" i="12"/>
  <c r="L15" i="12" s="1"/>
  <c r="I13" i="12" l="1"/>
  <c r="L13" i="12" s="1"/>
  <c r="J10" i="12"/>
  <c r="F13" i="12"/>
  <c r="O82" i="12" s="1"/>
  <c r="O83" i="12" s="1"/>
  <c r="O107" i="13" l="1"/>
  <c r="J104" i="13" s="1"/>
  <c r="O106" i="13"/>
  <c r="O108" i="13" s="1"/>
  <c r="O101" i="13"/>
  <c r="O103" i="13" l="1"/>
  <c r="L104" i="13" s="1"/>
  <c r="N104" i="13" s="1"/>
  <c r="O104" i="13" l="1"/>
  <c r="F105" i="13" s="1"/>
  <c r="O102" i="13"/>
  <c r="G102" i="13" l="1"/>
  <c r="O105" i="13"/>
  <c r="G16" i="13" l="1"/>
  <c r="G100" i="13"/>
  <c r="G98" i="13"/>
  <c r="G95" i="13"/>
  <c r="G94" i="13"/>
  <c r="G93" i="13"/>
  <c r="G90" i="13"/>
  <c r="G88" i="13"/>
  <c r="G86" i="13"/>
  <c r="G85" i="13"/>
  <c r="G84" i="13"/>
  <c r="G81" i="13"/>
  <c r="G80" i="13"/>
  <c r="G78" i="13"/>
  <c r="G77" i="13"/>
  <c r="G75" i="13"/>
  <c r="G74" i="13"/>
  <c r="G72" i="13"/>
  <c r="G71" i="13"/>
  <c r="G70" i="13"/>
  <c r="G66" i="13"/>
  <c r="G65" i="13"/>
  <c r="G63" i="13"/>
  <c r="G62" i="13"/>
  <c r="G60" i="13"/>
  <c r="G59" i="13"/>
  <c r="G58" i="13"/>
  <c r="G54" i="13"/>
  <c r="G53" i="13"/>
  <c r="G52" i="13"/>
  <c r="G51" i="13"/>
  <c r="G50" i="13"/>
  <c r="G49" i="13"/>
  <c r="G46" i="13"/>
  <c r="G45" i="13"/>
  <c r="G44" i="13"/>
  <c r="G43" i="13"/>
  <c r="G42" i="13"/>
  <c r="G41" i="13"/>
  <c r="G38" i="13"/>
  <c r="G37" i="13"/>
  <c r="G36" i="13"/>
  <c r="G35" i="13"/>
  <c r="G34" i="13"/>
  <c r="G33" i="13"/>
  <c r="G31" i="13"/>
  <c r="G26" i="13"/>
  <c r="G25" i="13"/>
  <c r="G24" i="13"/>
  <c r="G22" i="13"/>
  <c r="G19" i="13"/>
  <c r="G18" i="13"/>
  <c r="G17" i="13"/>
  <c r="G15" i="13"/>
  <c r="E100" i="13"/>
  <c r="E95" i="13"/>
  <c r="E94" i="13"/>
  <c r="E93" i="13"/>
  <c r="E90" i="13"/>
  <c r="E88" i="13"/>
  <c r="E86" i="13"/>
  <c r="E85" i="13"/>
  <c r="E84" i="13"/>
  <c r="E81" i="13"/>
  <c r="E80" i="13"/>
  <c r="E78" i="13"/>
  <c r="E77" i="13"/>
  <c r="E75" i="13"/>
  <c r="E74" i="13"/>
  <c r="E72" i="13"/>
  <c r="E71" i="13"/>
  <c r="E70" i="13"/>
  <c r="E66" i="13"/>
  <c r="E65" i="13"/>
  <c r="E63" i="13"/>
  <c r="E62" i="13"/>
  <c r="E60" i="13"/>
  <c r="E59" i="13"/>
  <c r="E58" i="13"/>
  <c r="E54" i="13"/>
  <c r="E53" i="13"/>
  <c r="E52" i="13"/>
  <c r="E51" i="13"/>
  <c r="E50" i="13"/>
  <c r="E49" i="13"/>
  <c r="E46" i="13"/>
  <c r="E45" i="13"/>
  <c r="E44" i="13"/>
  <c r="E43" i="13"/>
  <c r="E42" i="13"/>
  <c r="E41" i="13"/>
  <c r="E38" i="13"/>
  <c r="E37" i="13"/>
  <c r="E36" i="13"/>
  <c r="E35" i="13"/>
  <c r="E34" i="13"/>
  <c r="E33" i="13"/>
  <c r="E31" i="13"/>
  <c r="E26" i="13"/>
  <c r="E25" i="13"/>
  <c r="E24" i="13"/>
  <c r="E22" i="13"/>
  <c r="E19" i="13"/>
  <c r="E18" i="13"/>
  <c r="E17" i="13"/>
  <c r="E15" i="13"/>
  <c r="G14" i="13"/>
  <c r="E14" i="13"/>
  <c r="E16" i="13" l="1"/>
  <c r="H16" i="13"/>
  <c r="G21" i="13"/>
  <c r="G101" i="13" s="1"/>
  <c r="H21" i="13"/>
  <c r="E21" i="13"/>
  <c r="AI8" i="20"/>
  <c r="G103" i="13" l="1"/>
  <c r="G106" i="13" s="1"/>
  <c r="AG8" i="20"/>
  <c r="AD14" i="20" l="1"/>
  <c r="AE8" i="20"/>
  <c r="AB14" i="20" l="1"/>
  <c r="AC8" i="20"/>
  <c r="Z14" i="20" l="1"/>
  <c r="AA8" i="20"/>
  <c r="X14" i="20" l="1"/>
  <c r="Y8" i="20"/>
  <c r="V14" i="20" l="1"/>
  <c r="W8" i="20"/>
  <c r="U8" i="20" l="1"/>
  <c r="U20" i="20" s="1"/>
  <c r="S8" i="20" l="1"/>
  <c r="S20" i="20" s="1"/>
  <c r="Q8" i="20" l="1"/>
  <c r="Q20" i="20" s="1"/>
  <c r="C25" i="15" l="1"/>
  <c r="G25" i="15" s="1"/>
  <c r="N14" i="20" l="1"/>
  <c r="E29" i="15" l="1"/>
  <c r="E31" i="15"/>
  <c r="E33" i="15"/>
  <c r="E35" i="15"/>
  <c r="E37" i="15" l="1"/>
  <c r="E40" i="2" l="1"/>
  <c r="E11" i="1" s="1"/>
  <c r="L10" i="20" l="1"/>
  <c r="H19" i="20" l="1"/>
  <c r="O8" i="20"/>
  <c r="O20" i="20" s="1"/>
  <c r="E111" i="13"/>
  <c r="D33" i="1" s="1"/>
  <c r="G117" i="13"/>
  <c r="G116" i="13"/>
  <c r="G111" i="13"/>
  <c r="E33" i="1" s="1"/>
  <c r="G119" i="13" l="1"/>
  <c r="D41" i="1"/>
  <c r="G118" i="13"/>
  <c r="E48" i="14"/>
  <c r="E44" i="14"/>
  <c r="E42" i="14"/>
  <c r="E40" i="14"/>
  <c r="E39" i="14"/>
  <c r="G36" i="14"/>
  <c r="J35" i="14"/>
  <c r="E34" i="14"/>
  <c r="C27" i="14"/>
  <c r="J27" i="14" s="1"/>
  <c r="C26" i="14"/>
  <c r="J26" i="14" s="1"/>
  <c r="C24" i="14"/>
  <c r="J24" i="14" s="1"/>
  <c r="C17" i="14"/>
  <c r="J17" i="14" s="1"/>
  <c r="C16" i="14"/>
  <c r="J16" i="14" s="1"/>
  <c r="C15" i="14"/>
  <c r="J15" i="14" s="1"/>
  <c r="C13" i="14"/>
  <c r="J13" i="14" s="1"/>
  <c r="C10" i="14"/>
  <c r="E44" i="15"/>
  <c r="C40" i="15"/>
  <c r="E40" i="15" s="1"/>
  <c r="D39" i="15"/>
  <c r="C41" i="15"/>
  <c r="C39" i="15"/>
  <c r="C21" i="15"/>
  <c r="C20" i="15"/>
  <c r="C19" i="15"/>
  <c r="C13" i="15"/>
  <c r="C15" i="15" s="1"/>
  <c r="C9" i="15"/>
  <c r="C11" i="15" s="1"/>
  <c r="C22" i="1" s="1"/>
  <c r="E40" i="4"/>
  <c r="C12" i="4"/>
  <c r="C23" i="15" l="1"/>
  <c r="E45" i="14"/>
  <c r="E37" i="4"/>
  <c r="E20" i="4"/>
  <c r="E22" i="4" s="1"/>
  <c r="C22" i="4"/>
  <c r="D16" i="1" s="1"/>
  <c r="E10" i="4"/>
  <c r="E34" i="1"/>
  <c r="C16" i="1"/>
  <c r="C11" i="1"/>
  <c r="C28" i="1"/>
  <c r="J10" i="14"/>
  <c r="E39" i="15"/>
  <c r="J72" i="13"/>
  <c r="J71" i="13"/>
  <c r="J70" i="13"/>
  <c r="N72" i="13"/>
  <c r="N71" i="13"/>
  <c r="N70" i="13"/>
  <c r="L72" i="13"/>
  <c r="L71" i="13"/>
  <c r="L70" i="13"/>
  <c r="D31" i="4" l="1"/>
  <c r="D34" i="2"/>
  <c r="D25" i="2"/>
  <c r="D28" i="4"/>
  <c r="D25" i="4"/>
  <c r="D28" i="2"/>
  <c r="D34" i="4"/>
  <c r="D31" i="2"/>
  <c r="AK111" i="10" l="1"/>
  <c r="AK112" i="10"/>
  <c r="AK113" i="10"/>
  <c r="AK114" i="10"/>
  <c r="AK115" i="10"/>
  <c r="AK116" i="10"/>
  <c r="AK117" i="10"/>
  <c r="AK118" i="10"/>
  <c r="AK119" i="10"/>
  <c r="AK120" i="10"/>
  <c r="AM120" i="10" s="1"/>
  <c r="AK121" i="10"/>
  <c r="AK110" i="10"/>
  <c r="C26" i="11" l="1"/>
  <c r="L835" i="10" l="1"/>
  <c r="L834" i="10"/>
  <c r="L833" i="10"/>
  <c r="L832" i="10"/>
  <c r="L831" i="10"/>
  <c r="L830" i="10"/>
  <c r="L829" i="10"/>
  <c r="L828" i="10"/>
  <c r="L827" i="10"/>
  <c r="L826" i="10"/>
  <c r="L825" i="10"/>
  <c r="L82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09" i="10"/>
  <c r="L708" i="10"/>
  <c r="L707" i="10"/>
  <c r="L706" i="10"/>
  <c r="L705" i="10"/>
  <c r="L704" i="10"/>
  <c r="L703" i="10"/>
  <c r="L702" i="10"/>
  <c r="L701" i="10"/>
  <c r="L700" i="10"/>
  <c r="L699" i="10"/>
  <c r="L698" i="10"/>
  <c r="L667" i="10"/>
  <c r="L666" i="10"/>
  <c r="L665" i="10"/>
  <c r="L664" i="10"/>
  <c r="L663" i="10"/>
  <c r="L662" i="10"/>
  <c r="L661" i="10"/>
  <c r="L660" i="10"/>
  <c r="L659" i="10"/>
  <c r="L658" i="10"/>
  <c r="L657" i="10"/>
  <c r="L656" i="10"/>
  <c r="L625" i="10"/>
  <c r="L624" i="10"/>
  <c r="L623" i="10"/>
  <c r="L622" i="10"/>
  <c r="L621" i="10"/>
  <c r="L620" i="10"/>
  <c r="L619" i="10"/>
  <c r="L618" i="10"/>
  <c r="L617" i="10"/>
  <c r="L616" i="10"/>
  <c r="L615" i="10"/>
  <c r="L614" i="10"/>
  <c r="L583" i="10"/>
  <c r="L582" i="10"/>
  <c r="L581" i="10"/>
  <c r="L580" i="10"/>
  <c r="L579" i="10"/>
  <c r="L578" i="10"/>
  <c r="L577" i="10"/>
  <c r="L576" i="10"/>
  <c r="L575" i="10"/>
  <c r="L574" i="10"/>
  <c r="L573" i="10"/>
  <c r="L572" i="10"/>
  <c r="L541" i="10"/>
  <c r="L540" i="10"/>
  <c r="L539" i="10"/>
  <c r="L538" i="10"/>
  <c r="L537" i="10"/>
  <c r="L536" i="10"/>
  <c r="L535" i="10"/>
  <c r="L534" i="10"/>
  <c r="L533" i="10"/>
  <c r="L532" i="10"/>
  <c r="L531" i="10"/>
  <c r="L530" i="10"/>
  <c r="L499" i="10"/>
  <c r="L498" i="10"/>
  <c r="L497" i="10"/>
  <c r="L496" i="10"/>
  <c r="L495" i="10"/>
  <c r="L494" i="10"/>
  <c r="L493" i="10"/>
  <c r="L492" i="10"/>
  <c r="L491" i="10"/>
  <c r="L490" i="10"/>
  <c r="L489" i="10"/>
  <c r="L488" i="10"/>
  <c r="L457" i="10"/>
  <c r="L456" i="10"/>
  <c r="L455" i="10"/>
  <c r="L454" i="10"/>
  <c r="L453" i="10"/>
  <c r="L452" i="10"/>
  <c r="L451" i="10"/>
  <c r="L450" i="10"/>
  <c r="L449" i="10"/>
  <c r="L448" i="10"/>
  <c r="L447" i="10"/>
  <c r="L446" i="10"/>
  <c r="L415" i="10"/>
  <c r="L414" i="10"/>
  <c r="L413" i="10"/>
  <c r="L412" i="10"/>
  <c r="L411" i="10"/>
  <c r="L410" i="10"/>
  <c r="L409" i="10"/>
  <c r="L408" i="10"/>
  <c r="L407" i="10"/>
  <c r="L406" i="10"/>
  <c r="L405" i="10"/>
  <c r="L404" i="10"/>
  <c r="L373" i="10"/>
  <c r="L372" i="10"/>
  <c r="L371" i="10"/>
  <c r="L370" i="10"/>
  <c r="L369" i="10"/>
  <c r="L368" i="10"/>
  <c r="L367" i="10"/>
  <c r="L366" i="10"/>
  <c r="L365" i="10"/>
  <c r="L364" i="10"/>
  <c r="L363" i="10"/>
  <c r="L362" i="10"/>
  <c r="L331" i="10"/>
  <c r="L330" i="10"/>
  <c r="L329" i="10"/>
  <c r="L328" i="10"/>
  <c r="L327" i="10"/>
  <c r="L326" i="10"/>
  <c r="L325" i="10"/>
  <c r="L324" i="10"/>
  <c r="L323" i="10"/>
  <c r="L322" i="10"/>
  <c r="L321" i="10"/>
  <c r="L32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11" i="10"/>
  <c r="L112" i="10"/>
  <c r="L113" i="10"/>
  <c r="L114" i="10"/>
  <c r="L115" i="10"/>
  <c r="L116" i="10"/>
  <c r="L117" i="10"/>
  <c r="L118" i="10"/>
  <c r="L119" i="10"/>
  <c r="L120" i="10"/>
  <c r="L121" i="10"/>
  <c r="L110" i="10"/>
  <c r="N835" i="10" l="1"/>
  <c r="M835" i="10" s="1"/>
  <c r="N834" i="10"/>
  <c r="M834" i="10" s="1"/>
  <c r="N833" i="10"/>
  <c r="M833" i="10" s="1"/>
  <c r="N832" i="10"/>
  <c r="M832" i="10" s="1"/>
  <c r="N831" i="10"/>
  <c r="M831" i="10" s="1"/>
  <c r="N830" i="10"/>
  <c r="M830" i="10" s="1"/>
  <c r="N829" i="10"/>
  <c r="M829" i="10" s="1"/>
  <c r="N828" i="10"/>
  <c r="M828" i="10" s="1"/>
  <c r="N827" i="10"/>
  <c r="M827" i="10" s="1"/>
  <c r="N826" i="10"/>
  <c r="M826" i="10" s="1"/>
  <c r="N825" i="10"/>
  <c r="M825" i="10" s="1"/>
  <c r="N824" i="10"/>
  <c r="M824" i="10" s="1"/>
  <c r="N793" i="10"/>
  <c r="M793" i="10" s="1"/>
  <c r="N792" i="10"/>
  <c r="M792" i="10" s="1"/>
  <c r="N791" i="10"/>
  <c r="M791" i="10" s="1"/>
  <c r="N790" i="10"/>
  <c r="M790" i="10" s="1"/>
  <c r="N789" i="10"/>
  <c r="M789" i="10" s="1"/>
  <c r="N788" i="10"/>
  <c r="M788" i="10" s="1"/>
  <c r="N787" i="10"/>
  <c r="M787" i="10" s="1"/>
  <c r="N786" i="10"/>
  <c r="M786" i="10" s="1"/>
  <c r="N785" i="10"/>
  <c r="M785" i="10" s="1"/>
  <c r="N784" i="10"/>
  <c r="M784" i="10" s="1"/>
  <c r="N783" i="10"/>
  <c r="M783" i="10" s="1"/>
  <c r="N782" i="10"/>
  <c r="M782" i="10" s="1"/>
  <c r="N751" i="10"/>
  <c r="M751" i="10" s="1"/>
  <c r="N750" i="10"/>
  <c r="M750" i="10" s="1"/>
  <c r="N749" i="10"/>
  <c r="M749" i="10" s="1"/>
  <c r="N748" i="10"/>
  <c r="M748" i="10" s="1"/>
  <c r="N747" i="10"/>
  <c r="M747" i="10" s="1"/>
  <c r="N746" i="10"/>
  <c r="M746" i="10" s="1"/>
  <c r="N745" i="10"/>
  <c r="M745" i="10" s="1"/>
  <c r="N744" i="10"/>
  <c r="M744" i="10" s="1"/>
  <c r="N743" i="10"/>
  <c r="M743" i="10" s="1"/>
  <c r="N742" i="10"/>
  <c r="M742" i="10" s="1"/>
  <c r="N741" i="10"/>
  <c r="M741" i="10" s="1"/>
  <c r="N740" i="10"/>
  <c r="M740" i="10" s="1"/>
  <c r="N709" i="10"/>
  <c r="M709" i="10" s="1"/>
  <c r="N708" i="10"/>
  <c r="M708" i="10" s="1"/>
  <c r="N707" i="10"/>
  <c r="M707" i="10" s="1"/>
  <c r="N706" i="10"/>
  <c r="M706" i="10" s="1"/>
  <c r="N705" i="10"/>
  <c r="M705" i="10" s="1"/>
  <c r="N704" i="10"/>
  <c r="M704" i="10" s="1"/>
  <c r="N703" i="10"/>
  <c r="M703" i="10" s="1"/>
  <c r="N702" i="10"/>
  <c r="M702" i="10" s="1"/>
  <c r="N701" i="10"/>
  <c r="M701" i="10" s="1"/>
  <c r="N700" i="10"/>
  <c r="M700" i="10" s="1"/>
  <c r="N699" i="10"/>
  <c r="M699" i="10" s="1"/>
  <c r="N698" i="10"/>
  <c r="M698" i="10" s="1"/>
  <c r="N667" i="10"/>
  <c r="M667" i="10" s="1"/>
  <c r="N666" i="10"/>
  <c r="M666" i="10" s="1"/>
  <c r="N665" i="10"/>
  <c r="M665" i="10" s="1"/>
  <c r="N664" i="10"/>
  <c r="M664" i="10" s="1"/>
  <c r="N663" i="10"/>
  <c r="M663" i="10" s="1"/>
  <c r="N662" i="10"/>
  <c r="M662" i="10" s="1"/>
  <c r="N661" i="10"/>
  <c r="M661" i="10" s="1"/>
  <c r="N660" i="10"/>
  <c r="M660" i="10" s="1"/>
  <c r="N659" i="10"/>
  <c r="M659" i="10" s="1"/>
  <c r="N658" i="10"/>
  <c r="M658" i="10" s="1"/>
  <c r="N657" i="10"/>
  <c r="M657" i="10" s="1"/>
  <c r="N656" i="10"/>
  <c r="M656" i="10" s="1"/>
  <c r="N625" i="10"/>
  <c r="M625" i="10" s="1"/>
  <c r="N624" i="10"/>
  <c r="M624" i="10" s="1"/>
  <c r="N623" i="10"/>
  <c r="M623" i="10" s="1"/>
  <c r="N622" i="10"/>
  <c r="M622" i="10" s="1"/>
  <c r="N621" i="10"/>
  <c r="M621" i="10" s="1"/>
  <c r="N620" i="10"/>
  <c r="M620" i="10" s="1"/>
  <c r="N619" i="10"/>
  <c r="M619" i="10" s="1"/>
  <c r="N618" i="10"/>
  <c r="M618" i="10" s="1"/>
  <c r="N617" i="10"/>
  <c r="M617" i="10" s="1"/>
  <c r="N616" i="10"/>
  <c r="M616" i="10" s="1"/>
  <c r="N615" i="10"/>
  <c r="M615" i="10" s="1"/>
  <c r="N614" i="10"/>
  <c r="M614" i="10" s="1"/>
  <c r="N583" i="10"/>
  <c r="M583" i="10" s="1"/>
  <c r="N582" i="10"/>
  <c r="M582" i="10" s="1"/>
  <c r="N581" i="10"/>
  <c r="M581" i="10" s="1"/>
  <c r="N580" i="10"/>
  <c r="M580" i="10" s="1"/>
  <c r="N579" i="10"/>
  <c r="M579" i="10" s="1"/>
  <c r="N578" i="10"/>
  <c r="M578" i="10" s="1"/>
  <c r="N577" i="10"/>
  <c r="M577" i="10" s="1"/>
  <c r="N576" i="10"/>
  <c r="M576" i="10" s="1"/>
  <c r="N575" i="10"/>
  <c r="M575" i="10" s="1"/>
  <c r="N574" i="10"/>
  <c r="M574" i="10" s="1"/>
  <c r="N573" i="10"/>
  <c r="M573" i="10" s="1"/>
  <c r="N572" i="10"/>
  <c r="M572" i="10" s="1"/>
  <c r="N541" i="10"/>
  <c r="M541" i="10" s="1"/>
  <c r="N540" i="10"/>
  <c r="M540" i="10" s="1"/>
  <c r="N539" i="10"/>
  <c r="M539" i="10" s="1"/>
  <c r="N538" i="10"/>
  <c r="M538" i="10" s="1"/>
  <c r="N537" i="10"/>
  <c r="M537" i="10" s="1"/>
  <c r="N536" i="10"/>
  <c r="M536" i="10" s="1"/>
  <c r="N535" i="10"/>
  <c r="M535" i="10" s="1"/>
  <c r="N534" i="10"/>
  <c r="M534" i="10" s="1"/>
  <c r="N533" i="10"/>
  <c r="M533" i="10" s="1"/>
  <c r="N532" i="10"/>
  <c r="M532" i="10" s="1"/>
  <c r="N531" i="10"/>
  <c r="M531" i="10" s="1"/>
  <c r="N530" i="10"/>
  <c r="M530" i="10" s="1"/>
  <c r="N499" i="10"/>
  <c r="M499" i="10" s="1"/>
  <c r="N498" i="10"/>
  <c r="M498" i="10" s="1"/>
  <c r="N497" i="10"/>
  <c r="M497" i="10" s="1"/>
  <c r="N496" i="10"/>
  <c r="M496" i="10" s="1"/>
  <c r="N495" i="10"/>
  <c r="M495" i="10" s="1"/>
  <c r="N494" i="10"/>
  <c r="M494" i="10" s="1"/>
  <c r="N493" i="10"/>
  <c r="M493" i="10" s="1"/>
  <c r="N492" i="10"/>
  <c r="M492" i="10" s="1"/>
  <c r="N491" i="10"/>
  <c r="M491" i="10" s="1"/>
  <c r="N490" i="10"/>
  <c r="M490" i="10" s="1"/>
  <c r="N489" i="10"/>
  <c r="M489" i="10" s="1"/>
  <c r="N488" i="10"/>
  <c r="M488" i="10" s="1"/>
  <c r="N457" i="10"/>
  <c r="M457" i="10" s="1"/>
  <c r="N456" i="10"/>
  <c r="M456" i="10" s="1"/>
  <c r="N455" i="10"/>
  <c r="M455" i="10" s="1"/>
  <c r="N454" i="10"/>
  <c r="M454" i="10" s="1"/>
  <c r="N453" i="10"/>
  <c r="M453" i="10" s="1"/>
  <c r="N452" i="10"/>
  <c r="M452" i="10" s="1"/>
  <c r="N451" i="10"/>
  <c r="M451" i="10" s="1"/>
  <c r="N450" i="10"/>
  <c r="M450" i="10" s="1"/>
  <c r="N449" i="10"/>
  <c r="M449" i="10" s="1"/>
  <c r="N448" i="10"/>
  <c r="M448" i="10" s="1"/>
  <c r="N447" i="10"/>
  <c r="M447" i="10" s="1"/>
  <c r="N446" i="10"/>
  <c r="M446" i="10" s="1"/>
  <c r="N415" i="10"/>
  <c r="M415" i="10" s="1"/>
  <c r="N414" i="10"/>
  <c r="M414" i="10" s="1"/>
  <c r="N413" i="10"/>
  <c r="M413" i="10" s="1"/>
  <c r="N412" i="10"/>
  <c r="M412" i="10" s="1"/>
  <c r="N411" i="10"/>
  <c r="M411" i="10" s="1"/>
  <c r="N410" i="10"/>
  <c r="M410" i="10" s="1"/>
  <c r="N409" i="10"/>
  <c r="M409" i="10" s="1"/>
  <c r="N408" i="10"/>
  <c r="M408" i="10" s="1"/>
  <c r="N407" i="10"/>
  <c r="M407" i="10" s="1"/>
  <c r="N406" i="10"/>
  <c r="M406" i="10" s="1"/>
  <c r="N405" i="10"/>
  <c r="M405" i="10" s="1"/>
  <c r="N404" i="10"/>
  <c r="M404" i="10" s="1"/>
  <c r="N373" i="10"/>
  <c r="M373" i="10" s="1"/>
  <c r="N372" i="10"/>
  <c r="M372" i="10" s="1"/>
  <c r="N371" i="10"/>
  <c r="M371" i="10" s="1"/>
  <c r="N370" i="10"/>
  <c r="M370" i="10" s="1"/>
  <c r="N369" i="10"/>
  <c r="M369" i="10" s="1"/>
  <c r="N368" i="10"/>
  <c r="M368" i="10" s="1"/>
  <c r="N367" i="10"/>
  <c r="M367" i="10" s="1"/>
  <c r="N366" i="10"/>
  <c r="M366" i="10" s="1"/>
  <c r="N365" i="10"/>
  <c r="M365" i="10" s="1"/>
  <c r="N364" i="10"/>
  <c r="M364" i="10" s="1"/>
  <c r="N363" i="10"/>
  <c r="M363" i="10" s="1"/>
  <c r="N362" i="10"/>
  <c r="M362" i="10" s="1"/>
  <c r="N205" i="10"/>
  <c r="M205" i="10" s="1"/>
  <c r="N204" i="10"/>
  <c r="M204" i="10" s="1"/>
  <c r="N203" i="10"/>
  <c r="M203" i="10" s="1"/>
  <c r="N202" i="10"/>
  <c r="M202" i="10" s="1"/>
  <c r="N201" i="10"/>
  <c r="M201" i="10" s="1"/>
  <c r="N200" i="10"/>
  <c r="M200" i="10" s="1"/>
  <c r="N199" i="10"/>
  <c r="M199" i="10" s="1"/>
  <c r="N198" i="10"/>
  <c r="M198" i="10" s="1"/>
  <c r="N197" i="10"/>
  <c r="M197" i="10" s="1"/>
  <c r="N196" i="10"/>
  <c r="M196" i="10" s="1"/>
  <c r="N195" i="10"/>
  <c r="M195" i="10" s="1"/>
  <c r="N194" i="10"/>
  <c r="M194" i="10" s="1"/>
  <c r="N163" i="10"/>
  <c r="M163" i="10" s="1"/>
  <c r="N162" i="10"/>
  <c r="M162" i="10" s="1"/>
  <c r="N161" i="10"/>
  <c r="M161" i="10" s="1"/>
  <c r="N160" i="10"/>
  <c r="M160" i="10" s="1"/>
  <c r="N159" i="10"/>
  <c r="M159" i="10" s="1"/>
  <c r="N158" i="10"/>
  <c r="M158" i="10" s="1"/>
  <c r="N157" i="10"/>
  <c r="M157" i="10" s="1"/>
  <c r="N156" i="10"/>
  <c r="M156" i="10" s="1"/>
  <c r="N155" i="10"/>
  <c r="M155" i="10" s="1"/>
  <c r="N154" i="10"/>
  <c r="M154" i="10" s="1"/>
  <c r="N153" i="10"/>
  <c r="M153" i="10" s="1"/>
  <c r="N152" i="10"/>
  <c r="M152" i="10" s="1"/>
  <c r="N121" i="10"/>
  <c r="M121" i="10" s="1"/>
  <c r="N120" i="10"/>
  <c r="M120" i="10" s="1"/>
  <c r="N119" i="10"/>
  <c r="M119" i="10" s="1"/>
  <c r="N118" i="10"/>
  <c r="M118" i="10" s="1"/>
  <c r="N117" i="10"/>
  <c r="M117" i="10" s="1"/>
  <c r="N116" i="10"/>
  <c r="M116" i="10" s="1"/>
  <c r="N115" i="10"/>
  <c r="M115" i="10" s="1"/>
  <c r="N114" i="10"/>
  <c r="M114" i="10" s="1"/>
  <c r="N113" i="10"/>
  <c r="M113" i="10" s="1"/>
  <c r="N112" i="10"/>
  <c r="M112" i="10" s="1"/>
  <c r="N111" i="10"/>
  <c r="M111" i="10" s="1"/>
  <c r="N110" i="10"/>
  <c r="M110" i="10" s="1"/>
  <c r="M242" i="10"/>
  <c r="M243" i="10"/>
  <c r="M244" i="10"/>
  <c r="M245" i="10"/>
  <c r="M246" i="10"/>
  <c r="M247" i="10"/>
  <c r="N284" i="10"/>
  <c r="M284" i="10" s="1"/>
  <c r="N285" i="10"/>
  <c r="M285" i="10" s="1"/>
  <c r="N286" i="10"/>
  <c r="M286" i="10" s="1"/>
  <c r="N287" i="10"/>
  <c r="M287" i="10" s="1"/>
  <c r="N288" i="10"/>
  <c r="M288" i="10" s="1"/>
  <c r="N289" i="10"/>
  <c r="M289" i="10" s="1"/>
  <c r="N326" i="10"/>
  <c r="M326" i="10" s="1"/>
  <c r="N327" i="10"/>
  <c r="M327" i="10" s="1"/>
  <c r="N328" i="10"/>
  <c r="M328" i="10" s="1"/>
  <c r="N329" i="10"/>
  <c r="M329" i="10" s="1"/>
  <c r="N330" i="10"/>
  <c r="M330" i="10" s="1"/>
  <c r="N331" i="10"/>
  <c r="M331" i="10" s="1"/>
  <c r="N325" i="10"/>
  <c r="M325" i="10" s="1"/>
  <c r="N321" i="10"/>
  <c r="M321" i="10" s="1"/>
  <c r="N278" i="10"/>
  <c r="M278" i="10" s="1"/>
  <c r="N283" i="10"/>
  <c r="M283" i="10" s="1"/>
  <c r="M241" i="10"/>
  <c r="N324" i="10"/>
  <c r="M324" i="10" s="1"/>
  <c r="N282" i="10"/>
  <c r="M282" i="10" s="1"/>
  <c r="M240" i="10"/>
  <c r="N323" i="10"/>
  <c r="M323" i="10" s="1"/>
  <c r="N281" i="10"/>
  <c r="M281" i="10" s="1"/>
  <c r="M239" i="10"/>
  <c r="N322" i="10"/>
  <c r="M322" i="10" s="1"/>
  <c r="N280" i="10"/>
  <c r="M280" i="10" s="1"/>
  <c r="M238" i="10"/>
  <c r="N279" i="10"/>
  <c r="M279" i="10" s="1"/>
  <c r="M237" i="10"/>
  <c r="N320" i="10"/>
  <c r="M320" i="10" s="1"/>
  <c r="M236" i="10"/>
  <c r="Z149" i="11" l="1"/>
  <c r="C10" i="11" s="1"/>
  <c r="E10" i="11" l="1"/>
  <c r="H63" i="11" s="1"/>
  <c r="J10" i="11"/>
  <c r="AA149" i="11" l="1"/>
  <c r="H34" i="14" l="1"/>
  <c r="J34" i="14" s="1"/>
  <c r="V66" i="13" l="1"/>
  <c r="I67" i="10" l="1"/>
  <c r="I66" i="10"/>
  <c r="I64" i="10"/>
  <c r="C41" i="21" l="1"/>
  <c r="L27" i="10"/>
  <c r="M22" i="10" l="1"/>
  <c r="J22" i="10"/>
  <c r="J30" i="10"/>
  <c r="M30" i="10" s="1"/>
  <c r="V87" i="10" l="1"/>
  <c r="W87" i="10"/>
  <c r="X87" i="10"/>
  <c r="Y87" i="10"/>
  <c r="Z87" i="10"/>
  <c r="AA87" i="10"/>
  <c r="V88" i="10"/>
  <c r="W88" i="10"/>
  <c r="X88" i="10"/>
  <c r="Y88" i="10"/>
  <c r="Z88" i="10"/>
  <c r="AA88" i="10"/>
  <c r="V89" i="10"/>
  <c r="W89" i="10"/>
  <c r="X89" i="10"/>
  <c r="Y89" i="10"/>
  <c r="Z89" i="10"/>
  <c r="AA89" i="10"/>
  <c r="V90" i="10"/>
  <c r="W90" i="10"/>
  <c r="X90" i="10"/>
  <c r="Y90" i="10"/>
  <c r="Z90" i="10"/>
  <c r="AA90" i="10"/>
  <c r="V91" i="10"/>
  <c r="W91" i="10"/>
  <c r="X91" i="10"/>
  <c r="Y91" i="10"/>
  <c r="Z91" i="10"/>
  <c r="AA91" i="10"/>
  <c r="V92" i="10"/>
  <c r="W92" i="10"/>
  <c r="X92" i="10"/>
  <c r="Y92" i="10"/>
  <c r="Z92" i="10"/>
  <c r="AA92" i="10"/>
  <c r="V93" i="10"/>
  <c r="W93" i="10"/>
  <c r="X93" i="10"/>
  <c r="Y93" i="10"/>
  <c r="Z93" i="10"/>
  <c r="AA93" i="10"/>
  <c r="V94" i="10"/>
  <c r="W94" i="10"/>
  <c r="X94" i="10"/>
  <c r="Y94" i="10"/>
  <c r="Z94" i="10"/>
  <c r="AA94" i="10"/>
  <c r="V95" i="10"/>
  <c r="W95" i="10"/>
  <c r="X95" i="10"/>
  <c r="Y95" i="10"/>
  <c r="Z95" i="10"/>
  <c r="AA95" i="10"/>
  <c r="V96" i="10"/>
  <c r="W96" i="10"/>
  <c r="X96" i="10"/>
  <c r="Y96" i="10"/>
  <c r="Z96" i="10"/>
  <c r="AA96" i="10"/>
  <c r="S97" i="10"/>
  <c r="T97" i="10"/>
  <c r="U97" i="10"/>
  <c r="V97" i="10"/>
  <c r="W97" i="10"/>
  <c r="X97" i="10"/>
  <c r="Y97" i="10"/>
  <c r="Z97" i="10"/>
  <c r="AA97" i="10"/>
  <c r="S98" i="10"/>
  <c r="T98" i="10"/>
  <c r="U98" i="10"/>
  <c r="V98" i="10"/>
  <c r="W98" i="10"/>
  <c r="X98" i="10"/>
  <c r="Y98" i="10"/>
  <c r="Z98" i="10"/>
  <c r="AA98" i="10"/>
  <c r="R98" i="10"/>
  <c r="AA80" i="10"/>
  <c r="AK163" i="10"/>
  <c r="M27" i="10" l="1"/>
  <c r="A10" i="10" l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Q70" i="11"/>
  <c r="R70" i="11"/>
  <c r="S70" i="11"/>
  <c r="T70" i="11"/>
  <c r="U70" i="11"/>
  <c r="V70" i="11"/>
  <c r="W70" i="11"/>
  <c r="Q71" i="11"/>
  <c r="R71" i="11"/>
  <c r="S71" i="11"/>
  <c r="T71" i="11"/>
  <c r="U71" i="11"/>
  <c r="V71" i="11"/>
  <c r="W71" i="11"/>
  <c r="Q72" i="11"/>
  <c r="R72" i="11"/>
  <c r="S72" i="11"/>
  <c r="T72" i="11"/>
  <c r="U72" i="11"/>
  <c r="V72" i="11"/>
  <c r="W72" i="11"/>
  <c r="Q73" i="11"/>
  <c r="R73" i="11"/>
  <c r="S73" i="11"/>
  <c r="T73" i="11"/>
  <c r="U73" i="11"/>
  <c r="V73" i="11"/>
  <c r="W73" i="11"/>
  <c r="Q74" i="11"/>
  <c r="R74" i="11"/>
  <c r="S74" i="11"/>
  <c r="T74" i="11"/>
  <c r="U74" i="11"/>
  <c r="V74" i="11"/>
  <c r="W74" i="11"/>
  <c r="Q75" i="11"/>
  <c r="R75" i="11"/>
  <c r="S75" i="11"/>
  <c r="T75" i="11"/>
  <c r="U75" i="11"/>
  <c r="V75" i="11"/>
  <c r="W75" i="11"/>
  <c r="Q76" i="11"/>
  <c r="R76" i="11"/>
  <c r="S76" i="11"/>
  <c r="T76" i="11"/>
  <c r="U76" i="11"/>
  <c r="V76" i="11"/>
  <c r="W76" i="11"/>
  <c r="Q77" i="11"/>
  <c r="R77" i="11"/>
  <c r="S77" i="11"/>
  <c r="T77" i="11"/>
  <c r="U77" i="11"/>
  <c r="V77" i="11"/>
  <c r="W77" i="11"/>
  <c r="Q78" i="11"/>
  <c r="R78" i="11"/>
  <c r="S78" i="11"/>
  <c r="T78" i="11"/>
  <c r="U78" i="11"/>
  <c r="V78" i="11"/>
  <c r="W78" i="11"/>
  <c r="Q79" i="11"/>
  <c r="R79" i="11"/>
  <c r="S79" i="11"/>
  <c r="T79" i="11"/>
  <c r="U79" i="11"/>
  <c r="V79" i="11"/>
  <c r="W79" i="11"/>
  <c r="Q80" i="11"/>
  <c r="R80" i="11"/>
  <c r="S80" i="11"/>
  <c r="T80" i="11"/>
  <c r="U80" i="11"/>
  <c r="V80" i="11"/>
  <c r="W80" i="11"/>
  <c r="Q81" i="11"/>
  <c r="R81" i="11"/>
  <c r="S81" i="11"/>
  <c r="T81" i="11"/>
  <c r="U81" i="11"/>
  <c r="V81" i="11"/>
  <c r="W81" i="11"/>
  <c r="AC838" i="10" l="1"/>
  <c r="AD838" i="10"/>
  <c r="AE838" i="10"/>
  <c r="AF838" i="10"/>
  <c r="AG838" i="10"/>
  <c r="AH838" i="10"/>
  <c r="AI838" i="10"/>
  <c r="AJ838" i="10"/>
  <c r="AL838" i="10"/>
  <c r="AC796" i="10"/>
  <c r="AD796" i="10"/>
  <c r="AE796" i="10"/>
  <c r="AF796" i="10"/>
  <c r="AG796" i="10"/>
  <c r="AH796" i="10"/>
  <c r="AI796" i="10"/>
  <c r="AC754" i="10"/>
  <c r="AD754" i="10"/>
  <c r="AE754" i="10"/>
  <c r="AF754" i="10"/>
  <c r="AG754" i="10"/>
  <c r="AH754" i="10"/>
  <c r="AI754" i="10"/>
  <c r="AJ754" i="10"/>
  <c r="AL754" i="10"/>
  <c r="AC712" i="10"/>
  <c r="AD712" i="10"/>
  <c r="AE712" i="10"/>
  <c r="AF712" i="10"/>
  <c r="AG712" i="10"/>
  <c r="AH712" i="10"/>
  <c r="AI712" i="10"/>
  <c r="AJ712" i="10"/>
  <c r="AL712" i="10"/>
  <c r="AC670" i="10"/>
  <c r="AD670" i="10"/>
  <c r="AE670" i="10"/>
  <c r="AF670" i="10"/>
  <c r="AG670" i="10"/>
  <c r="AH670" i="10"/>
  <c r="AI670" i="10"/>
  <c r="AJ670" i="10"/>
  <c r="AL670" i="10"/>
  <c r="AC628" i="10"/>
  <c r="AD628" i="10"/>
  <c r="AE628" i="10"/>
  <c r="AF628" i="10"/>
  <c r="AG628" i="10"/>
  <c r="AH628" i="10"/>
  <c r="AI628" i="10"/>
  <c r="AJ628" i="10"/>
  <c r="AL628" i="10"/>
  <c r="AC586" i="10"/>
  <c r="AD586" i="10"/>
  <c r="AE586" i="10"/>
  <c r="AF586" i="10"/>
  <c r="AG586" i="10"/>
  <c r="AH586" i="10"/>
  <c r="AI586" i="10"/>
  <c r="AJ586" i="10"/>
  <c r="AL586" i="10"/>
  <c r="AC544" i="10"/>
  <c r="AD544" i="10"/>
  <c r="AE544" i="10"/>
  <c r="AF544" i="10"/>
  <c r="AG544" i="10"/>
  <c r="AH544" i="10"/>
  <c r="AI544" i="10"/>
  <c r="AJ544" i="10"/>
  <c r="AL544" i="10"/>
  <c r="AC502" i="10"/>
  <c r="AD502" i="10"/>
  <c r="AE502" i="10"/>
  <c r="AF502" i="10"/>
  <c r="AG502" i="10"/>
  <c r="AH502" i="10"/>
  <c r="AI502" i="10"/>
  <c r="AJ502" i="10"/>
  <c r="AL502" i="10"/>
  <c r="AC460" i="10"/>
  <c r="AD460" i="10"/>
  <c r="AE460" i="10"/>
  <c r="AF460" i="10"/>
  <c r="AG460" i="10"/>
  <c r="AH460" i="10"/>
  <c r="AI460" i="10"/>
  <c r="AJ460" i="10"/>
  <c r="AL460" i="10"/>
  <c r="AC418" i="10"/>
  <c r="V420" i="10" s="1"/>
  <c r="W420" i="10" s="1"/>
  <c r="X420" i="10" s="1"/>
  <c r="AD418" i="10"/>
  <c r="AE418" i="10"/>
  <c r="AF418" i="10"/>
  <c r="AG418" i="10"/>
  <c r="AH418" i="10"/>
  <c r="AI418" i="10"/>
  <c r="AJ418" i="10"/>
  <c r="AL418" i="10"/>
  <c r="AC376" i="10"/>
  <c r="V378" i="10" s="1"/>
  <c r="W378" i="10" s="1"/>
  <c r="X378" i="10" s="1"/>
  <c r="AD376" i="10"/>
  <c r="AE376" i="10"/>
  <c r="AF376" i="10"/>
  <c r="AG376" i="10"/>
  <c r="AH376" i="10"/>
  <c r="AI376" i="10"/>
  <c r="AJ376" i="10"/>
  <c r="AL376" i="10"/>
  <c r="AC334" i="10"/>
  <c r="V336" i="10" s="1"/>
  <c r="W336" i="10" s="1"/>
  <c r="X336" i="10" s="1"/>
  <c r="AD334" i="10"/>
  <c r="AE334" i="10"/>
  <c r="AF334" i="10"/>
  <c r="AG334" i="10"/>
  <c r="AH334" i="10"/>
  <c r="AI334" i="10"/>
  <c r="AJ334" i="10"/>
  <c r="AL334" i="10"/>
  <c r="AC292" i="10"/>
  <c r="V294" i="10" s="1"/>
  <c r="W294" i="10" s="1"/>
  <c r="X294" i="10" s="1"/>
  <c r="AD292" i="10"/>
  <c r="AE292" i="10"/>
  <c r="AF292" i="10"/>
  <c r="AG292" i="10"/>
  <c r="AH292" i="10"/>
  <c r="AI292" i="10"/>
  <c r="AJ292" i="10"/>
  <c r="AL292" i="10"/>
  <c r="AC250" i="10"/>
  <c r="V252" i="10" s="1"/>
  <c r="W252" i="10" s="1"/>
  <c r="X252" i="10" s="1"/>
  <c r="AD250" i="10"/>
  <c r="AE250" i="10"/>
  <c r="AF250" i="10"/>
  <c r="AG250" i="10"/>
  <c r="AH250" i="10"/>
  <c r="AI250" i="10"/>
  <c r="AJ250" i="10"/>
  <c r="AL250" i="10"/>
  <c r="AC208" i="10"/>
  <c r="V210" i="10" s="1"/>
  <c r="W210" i="10" s="1"/>
  <c r="X210" i="10" s="1"/>
  <c r="AD208" i="10"/>
  <c r="AE208" i="10"/>
  <c r="AF208" i="10"/>
  <c r="AG208" i="10"/>
  <c r="AH208" i="10"/>
  <c r="AI208" i="10"/>
  <c r="AJ208" i="10"/>
  <c r="AL208" i="10"/>
  <c r="AC166" i="10"/>
  <c r="V168" i="10" s="1"/>
  <c r="W168" i="10" s="1"/>
  <c r="X168" i="10" s="1"/>
  <c r="AD166" i="10"/>
  <c r="AE166" i="10"/>
  <c r="AF166" i="10"/>
  <c r="AG166" i="10"/>
  <c r="AH166" i="10"/>
  <c r="AI166" i="10"/>
  <c r="AJ166" i="10"/>
  <c r="AL166" i="10"/>
  <c r="AI124" i="10"/>
  <c r="AC124" i="10"/>
  <c r="V126" i="10" s="1"/>
  <c r="W126" i="10" s="1"/>
  <c r="X126" i="10" s="1"/>
  <c r="AD124" i="10"/>
  <c r="AE124" i="10"/>
  <c r="AF124" i="10"/>
  <c r="AG124" i="10"/>
  <c r="AH124" i="10"/>
  <c r="AJ124" i="10"/>
  <c r="AL124" i="10"/>
  <c r="AK835" i="10"/>
  <c r="AM835" i="10" s="1"/>
  <c r="AK834" i="10"/>
  <c r="AM834" i="10" s="1"/>
  <c r="AK833" i="10"/>
  <c r="AM833" i="10" s="1"/>
  <c r="AK832" i="10"/>
  <c r="AM832" i="10" s="1"/>
  <c r="AK831" i="10"/>
  <c r="AM831" i="10" s="1"/>
  <c r="AK830" i="10"/>
  <c r="AM830" i="10" s="1"/>
  <c r="AK829" i="10"/>
  <c r="AM829" i="10" s="1"/>
  <c r="AK828" i="10"/>
  <c r="AM828" i="10" s="1"/>
  <c r="AK827" i="10"/>
  <c r="AM827" i="10" s="1"/>
  <c r="AK826" i="10"/>
  <c r="AM826" i="10" s="1"/>
  <c r="AK825" i="10"/>
  <c r="AM825" i="10" s="1"/>
  <c r="AK824" i="10"/>
  <c r="AM824" i="10" s="1"/>
  <c r="AK793" i="10"/>
  <c r="AM793" i="10" s="1"/>
  <c r="AK792" i="10"/>
  <c r="AM792" i="10" s="1"/>
  <c r="AK791" i="10"/>
  <c r="AM791" i="10" s="1"/>
  <c r="AK790" i="10"/>
  <c r="AM790" i="10" s="1"/>
  <c r="AK789" i="10"/>
  <c r="AM789" i="10" s="1"/>
  <c r="AK788" i="10"/>
  <c r="AM788" i="10" s="1"/>
  <c r="AK787" i="10"/>
  <c r="AM787" i="10" s="1"/>
  <c r="AK786" i="10"/>
  <c r="AM786" i="10" s="1"/>
  <c r="AK785" i="10"/>
  <c r="AM785" i="10" s="1"/>
  <c r="AK784" i="10"/>
  <c r="AM784" i="10" s="1"/>
  <c r="AK783" i="10"/>
  <c r="AM783" i="10" s="1"/>
  <c r="AK782" i="10"/>
  <c r="AM782" i="10" s="1"/>
  <c r="AK751" i="10"/>
  <c r="AM751" i="10" s="1"/>
  <c r="AK750" i="10"/>
  <c r="AM750" i="10" s="1"/>
  <c r="AK749" i="10"/>
  <c r="AM749" i="10" s="1"/>
  <c r="AK748" i="10"/>
  <c r="AM748" i="10" s="1"/>
  <c r="AK747" i="10"/>
  <c r="AM747" i="10" s="1"/>
  <c r="AK746" i="10"/>
  <c r="AM746" i="10" s="1"/>
  <c r="AK745" i="10"/>
  <c r="AM745" i="10" s="1"/>
  <c r="AK744" i="10"/>
  <c r="AM744" i="10" s="1"/>
  <c r="AK743" i="10"/>
  <c r="AM743" i="10" s="1"/>
  <c r="AK742" i="10"/>
  <c r="AM742" i="10" s="1"/>
  <c r="AK741" i="10"/>
  <c r="AM741" i="10" s="1"/>
  <c r="AK740" i="10"/>
  <c r="AM740" i="10" s="1"/>
  <c r="AK709" i="10"/>
  <c r="AM709" i="10" s="1"/>
  <c r="AK708" i="10"/>
  <c r="AM708" i="10" s="1"/>
  <c r="AK707" i="10"/>
  <c r="AM707" i="10" s="1"/>
  <c r="AK706" i="10"/>
  <c r="AM706" i="10" s="1"/>
  <c r="AK705" i="10"/>
  <c r="AM705" i="10" s="1"/>
  <c r="AK704" i="10"/>
  <c r="AM704" i="10" s="1"/>
  <c r="AK703" i="10"/>
  <c r="AM703" i="10" s="1"/>
  <c r="AK702" i="10"/>
  <c r="AM702" i="10" s="1"/>
  <c r="AK701" i="10"/>
  <c r="AM701" i="10" s="1"/>
  <c r="AK700" i="10"/>
  <c r="AM700" i="10" s="1"/>
  <c r="AK699" i="10"/>
  <c r="AM699" i="10" s="1"/>
  <c r="AK698" i="10"/>
  <c r="AK667" i="10"/>
  <c r="AM667" i="10" s="1"/>
  <c r="AK666" i="10"/>
  <c r="AM666" i="10" s="1"/>
  <c r="AK665" i="10"/>
  <c r="AM665" i="10" s="1"/>
  <c r="AK664" i="10"/>
  <c r="AM664" i="10" s="1"/>
  <c r="AK663" i="10"/>
  <c r="AM663" i="10" s="1"/>
  <c r="AK662" i="10"/>
  <c r="AM662" i="10" s="1"/>
  <c r="AK661" i="10"/>
  <c r="AM661" i="10" s="1"/>
  <c r="AK660" i="10"/>
  <c r="AM660" i="10" s="1"/>
  <c r="AK659" i="10"/>
  <c r="AM659" i="10" s="1"/>
  <c r="AK658" i="10"/>
  <c r="AM658" i="10" s="1"/>
  <c r="AK657" i="10"/>
  <c r="AM657" i="10" s="1"/>
  <c r="AK656" i="10"/>
  <c r="AK625" i="10"/>
  <c r="AM625" i="10" s="1"/>
  <c r="AK624" i="10"/>
  <c r="AM624" i="10" s="1"/>
  <c r="AK623" i="10"/>
  <c r="AM623" i="10" s="1"/>
  <c r="AK622" i="10"/>
  <c r="AM622" i="10" s="1"/>
  <c r="AK621" i="10"/>
  <c r="AM621" i="10" s="1"/>
  <c r="AK620" i="10"/>
  <c r="AM620" i="10" s="1"/>
  <c r="AK619" i="10"/>
  <c r="AM619" i="10" s="1"/>
  <c r="AK618" i="10"/>
  <c r="AM618" i="10" s="1"/>
  <c r="AK617" i="10"/>
  <c r="AM617" i="10" s="1"/>
  <c r="AK616" i="10"/>
  <c r="AM616" i="10" s="1"/>
  <c r="AK615" i="10"/>
  <c r="AM615" i="10" s="1"/>
  <c r="AK614" i="10"/>
  <c r="AM614" i="10" s="1"/>
  <c r="AK583" i="10"/>
  <c r="AM583" i="10" s="1"/>
  <c r="AK582" i="10"/>
  <c r="AM582" i="10" s="1"/>
  <c r="AK581" i="10"/>
  <c r="AM581" i="10" s="1"/>
  <c r="AK580" i="10"/>
  <c r="AM580" i="10" s="1"/>
  <c r="AK579" i="10"/>
  <c r="AM579" i="10" s="1"/>
  <c r="AK578" i="10"/>
  <c r="AM578" i="10" s="1"/>
  <c r="AK577" i="10"/>
  <c r="AM577" i="10" s="1"/>
  <c r="AK576" i="10"/>
  <c r="AM576" i="10" s="1"/>
  <c r="AK575" i="10"/>
  <c r="AM575" i="10" s="1"/>
  <c r="AK574" i="10"/>
  <c r="AM574" i="10" s="1"/>
  <c r="AK573" i="10"/>
  <c r="AM573" i="10" s="1"/>
  <c r="AK572" i="10"/>
  <c r="AK541" i="10"/>
  <c r="AM541" i="10" s="1"/>
  <c r="AK540" i="10"/>
  <c r="AM540" i="10" s="1"/>
  <c r="AK539" i="10"/>
  <c r="AM539" i="10" s="1"/>
  <c r="AK538" i="10"/>
  <c r="AM538" i="10" s="1"/>
  <c r="AK537" i="10"/>
  <c r="AM537" i="10" s="1"/>
  <c r="AK536" i="10"/>
  <c r="AM536" i="10" s="1"/>
  <c r="AK535" i="10"/>
  <c r="AM535" i="10" s="1"/>
  <c r="AK534" i="10"/>
  <c r="AM534" i="10" s="1"/>
  <c r="AK533" i="10"/>
  <c r="AM533" i="10" s="1"/>
  <c r="AK532" i="10"/>
  <c r="AM532" i="10" s="1"/>
  <c r="AK531" i="10"/>
  <c r="AM531" i="10" s="1"/>
  <c r="AK530" i="10"/>
  <c r="AM530" i="10" s="1"/>
  <c r="AK499" i="10"/>
  <c r="AM499" i="10" s="1"/>
  <c r="AK498" i="10"/>
  <c r="AM498" i="10" s="1"/>
  <c r="AK497" i="10"/>
  <c r="AM497" i="10" s="1"/>
  <c r="AK496" i="10"/>
  <c r="AM496" i="10" s="1"/>
  <c r="AK495" i="10"/>
  <c r="AM495" i="10" s="1"/>
  <c r="AK494" i="10"/>
  <c r="AM494" i="10" s="1"/>
  <c r="AK493" i="10"/>
  <c r="AM493" i="10" s="1"/>
  <c r="AK492" i="10"/>
  <c r="AM492" i="10" s="1"/>
  <c r="AK491" i="10"/>
  <c r="AM491" i="10" s="1"/>
  <c r="AK490" i="10"/>
  <c r="AM490" i="10" s="1"/>
  <c r="AK489" i="10"/>
  <c r="AM489" i="10" s="1"/>
  <c r="AK488" i="10"/>
  <c r="AK457" i="10"/>
  <c r="AM457" i="10" s="1"/>
  <c r="AK456" i="10"/>
  <c r="AM456" i="10" s="1"/>
  <c r="AK455" i="10"/>
  <c r="AM455" i="10" s="1"/>
  <c r="AK454" i="10"/>
  <c r="AM454" i="10" s="1"/>
  <c r="AK453" i="10"/>
  <c r="AM453" i="10" s="1"/>
  <c r="AK452" i="10"/>
  <c r="AM452" i="10" s="1"/>
  <c r="AK451" i="10"/>
  <c r="AM451" i="10" s="1"/>
  <c r="AK450" i="10"/>
  <c r="AM450" i="10" s="1"/>
  <c r="AK449" i="10"/>
  <c r="AM449" i="10" s="1"/>
  <c r="AK448" i="10"/>
  <c r="AM448" i="10" s="1"/>
  <c r="AK447" i="10"/>
  <c r="AM447" i="10" s="1"/>
  <c r="AK446" i="10"/>
  <c r="AM446" i="10" s="1"/>
  <c r="AK415" i="10"/>
  <c r="AM415" i="10" s="1"/>
  <c r="AK414" i="10"/>
  <c r="AM414" i="10" s="1"/>
  <c r="AK413" i="10"/>
  <c r="AM413" i="10" s="1"/>
  <c r="AK412" i="10"/>
  <c r="AM412" i="10" s="1"/>
  <c r="AK411" i="10"/>
  <c r="AM411" i="10" s="1"/>
  <c r="AK410" i="10"/>
  <c r="AM410" i="10" s="1"/>
  <c r="AK409" i="10"/>
  <c r="AM409" i="10" s="1"/>
  <c r="AK408" i="10"/>
  <c r="AM408" i="10" s="1"/>
  <c r="AK407" i="10"/>
  <c r="AM407" i="10" s="1"/>
  <c r="AK406" i="10"/>
  <c r="AM406" i="10" s="1"/>
  <c r="AK405" i="10"/>
  <c r="AM405" i="10" s="1"/>
  <c r="AK404" i="10"/>
  <c r="AM404" i="10" s="1"/>
  <c r="AK373" i="10"/>
  <c r="AM373" i="10" s="1"/>
  <c r="AK372" i="10"/>
  <c r="AM372" i="10" s="1"/>
  <c r="AK371" i="10"/>
  <c r="AM371" i="10" s="1"/>
  <c r="AK370" i="10"/>
  <c r="AM370" i="10" s="1"/>
  <c r="AK369" i="10"/>
  <c r="AM369" i="10" s="1"/>
  <c r="AK368" i="10"/>
  <c r="AM368" i="10" s="1"/>
  <c r="AK367" i="10"/>
  <c r="AM367" i="10" s="1"/>
  <c r="AK366" i="10"/>
  <c r="AM366" i="10" s="1"/>
  <c r="AK365" i="10"/>
  <c r="AM365" i="10" s="1"/>
  <c r="AK364" i="10"/>
  <c r="AM364" i="10" s="1"/>
  <c r="AK363" i="10"/>
  <c r="AM363" i="10" s="1"/>
  <c r="AK362" i="10"/>
  <c r="AK331" i="10"/>
  <c r="AM331" i="10" s="1"/>
  <c r="AK330" i="10"/>
  <c r="AM330" i="10" s="1"/>
  <c r="AK329" i="10"/>
  <c r="AM329" i="10" s="1"/>
  <c r="AK328" i="10"/>
  <c r="AM328" i="10" s="1"/>
  <c r="AK327" i="10"/>
  <c r="AM327" i="10" s="1"/>
  <c r="AK326" i="10"/>
  <c r="AM326" i="10" s="1"/>
  <c r="AK325" i="10"/>
  <c r="AM325" i="10" s="1"/>
  <c r="AK324" i="10"/>
  <c r="AM324" i="10" s="1"/>
  <c r="AK323" i="10"/>
  <c r="AM323" i="10" s="1"/>
  <c r="AK322" i="10"/>
  <c r="AM322" i="10" s="1"/>
  <c r="AK321" i="10"/>
  <c r="AM321" i="10" s="1"/>
  <c r="AK320" i="10"/>
  <c r="AM320" i="10" s="1"/>
  <c r="AK289" i="10"/>
  <c r="AM289" i="10" s="1"/>
  <c r="AK288" i="10"/>
  <c r="AM288" i="10" s="1"/>
  <c r="AK287" i="10"/>
  <c r="AM287" i="10" s="1"/>
  <c r="AK286" i="10"/>
  <c r="AM286" i="10" s="1"/>
  <c r="AK285" i="10"/>
  <c r="AM285" i="10" s="1"/>
  <c r="AK284" i="10"/>
  <c r="AM284" i="10" s="1"/>
  <c r="AK283" i="10"/>
  <c r="AM283" i="10" s="1"/>
  <c r="AK282" i="10"/>
  <c r="AM282" i="10" s="1"/>
  <c r="AK281" i="10"/>
  <c r="AM281" i="10" s="1"/>
  <c r="AK280" i="10"/>
  <c r="AM280" i="10" s="1"/>
  <c r="AK279" i="10"/>
  <c r="AM279" i="10" s="1"/>
  <c r="AK278" i="10"/>
  <c r="AM278" i="10" s="1"/>
  <c r="AK247" i="10"/>
  <c r="AM247" i="10" s="1"/>
  <c r="AK246" i="10"/>
  <c r="AM246" i="10" s="1"/>
  <c r="AK245" i="10"/>
  <c r="AM245" i="10" s="1"/>
  <c r="AK244" i="10"/>
  <c r="AM244" i="10" s="1"/>
  <c r="AK243" i="10"/>
  <c r="AM243" i="10" s="1"/>
  <c r="AK242" i="10"/>
  <c r="AM242" i="10" s="1"/>
  <c r="AK241" i="10"/>
  <c r="AM241" i="10" s="1"/>
  <c r="AK240" i="10"/>
  <c r="AM240" i="10" s="1"/>
  <c r="AK239" i="10"/>
  <c r="AM239" i="10" s="1"/>
  <c r="AK238" i="10"/>
  <c r="AM238" i="10" s="1"/>
  <c r="AK237" i="10"/>
  <c r="AM237" i="10" s="1"/>
  <c r="AK236" i="10"/>
  <c r="AM236" i="10" s="1"/>
  <c r="AK205" i="10"/>
  <c r="AM205" i="10" s="1"/>
  <c r="AK204" i="10"/>
  <c r="AM204" i="10" s="1"/>
  <c r="AK203" i="10"/>
  <c r="AM203" i="10" s="1"/>
  <c r="AK202" i="10"/>
  <c r="AM202" i="10" s="1"/>
  <c r="AK201" i="10"/>
  <c r="AM201" i="10" s="1"/>
  <c r="AK200" i="10"/>
  <c r="AM200" i="10" s="1"/>
  <c r="AK199" i="10"/>
  <c r="AM199" i="10" s="1"/>
  <c r="AK198" i="10"/>
  <c r="AM198" i="10" s="1"/>
  <c r="AK197" i="10"/>
  <c r="AM197" i="10" s="1"/>
  <c r="AK196" i="10"/>
  <c r="AM196" i="10" s="1"/>
  <c r="AK195" i="10"/>
  <c r="AM195" i="10" s="1"/>
  <c r="AK194" i="10"/>
  <c r="AM194" i="10" s="1"/>
  <c r="AM163" i="10"/>
  <c r="AK162" i="10"/>
  <c r="AM162" i="10" s="1"/>
  <c r="AK161" i="10"/>
  <c r="AM161" i="10" s="1"/>
  <c r="AK160" i="10"/>
  <c r="AM160" i="10" s="1"/>
  <c r="AK159" i="10"/>
  <c r="AM159" i="10" s="1"/>
  <c r="AK158" i="10"/>
  <c r="AM158" i="10" s="1"/>
  <c r="AK157" i="10"/>
  <c r="AM157" i="10" s="1"/>
  <c r="AK156" i="10"/>
  <c r="AM156" i="10" s="1"/>
  <c r="AK155" i="10"/>
  <c r="AM155" i="10" s="1"/>
  <c r="AK154" i="10"/>
  <c r="AM154" i="10" s="1"/>
  <c r="AK153" i="10"/>
  <c r="AM153" i="10" s="1"/>
  <c r="AK152" i="10"/>
  <c r="AM152" i="10" s="1"/>
  <c r="AC69" i="10"/>
  <c r="M70" i="10" s="1"/>
  <c r="M71" i="10" s="1"/>
  <c r="AD69" i="10"/>
  <c r="AE69" i="10"/>
  <c r="AF69" i="10"/>
  <c r="AG69" i="10"/>
  <c r="AH69" i="10"/>
  <c r="AI69" i="10"/>
  <c r="AC70" i="10"/>
  <c r="AD70" i="10"/>
  <c r="AE70" i="10"/>
  <c r="AF70" i="10"/>
  <c r="AG70" i="10"/>
  <c r="AH70" i="10"/>
  <c r="AI70" i="10"/>
  <c r="AC71" i="10"/>
  <c r="AD71" i="10"/>
  <c r="AE71" i="10"/>
  <c r="AF71" i="10"/>
  <c r="AG71" i="10"/>
  <c r="AH71" i="10"/>
  <c r="AI71" i="10"/>
  <c r="AC72" i="10"/>
  <c r="AD72" i="10"/>
  <c r="AE72" i="10"/>
  <c r="AF72" i="10"/>
  <c r="AG72" i="10"/>
  <c r="AH72" i="10"/>
  <c r="AI72" i="10"/>
  <c r="AC73" i="10"/>
  <c r="AD73" i="10"/>
  <c r="AE73" i="10"/>
  <c r="AF73" i="10"/>
  <c r="AG73" i="10"/>
  <c r="AH73" i="10"/>
  <c r="AI73" i="10"/>
  <c r="AC74" i="10"/>
  <c r="AD74" i="10"/>
  <c r="AE74" i="10"/>
  <c r="AF74" i="10"/>
  <c r="AG74" i="10"/>
  <c r="AH74" i="10"/>
  <c r="AI74" i="10"/>
  <c r="AC75" i="10"/>
  <c r="AD75" i="10"/>
  <c r="AE75" i="10"/>
  <c r="AF75" i="10"/>
  <c r="AG75" i="10"/>
  <c r="AH75" i="10"/>
  <c r="AI75" i="10"/>
  <c r="AC76" i="10"/>
  <c r="AD76" i="10"/>
  <c r="AE76" i="10"/>
  <c r="AF76" i="10"/>
  <c r="AG76" i="10"/>
  <c r="AH76" i="10"/>
  <c r="AI76" i="10"/>
  <c r="AC77" i="10"/>
  <c r="AD77" i="10"/>
  <c r="AE77" i="10"/>
  <c r="AF77" i="10"/>
  <c r="AG77" i="10"/>
  <c r="AH77" i="10"/>
  <c r="AI77" i="10"/>
  <c r="AC78" i="10"/>
  <c r="AD78" i="10"/>
  <c r="AE78" i="10"/>
  <c r="AF78" i="10"/>
  <c r="AG78" i="10"/>
  <c r="AH78" i="10"/>
  <c r="AI78" i="10"/>
  <c r="AC79" i="10"/>
  <c r="AD79" i="10"/>
  <c r="AE79" i="10"/>
  <c r="AF79" i="10"/>
  <c r="AG79" i="10"/>
  <c r="AH79" i="10"/>
  <c r="AI79" i="10"/>
  <c r="AC80" i="10"/>
  <c r="AD80" i="10"/>
  <c r="AE80" i="10"/>
  <c r="AF80" i="10"/>
  <c r="AG80" i="10"/>
  <c r="AH80" i="10"/>
  <c r="AI80" i="10"/>
  <c r="T69" i="10"/>
  <c r="U69" i="10"/>
  <c r="V69" i="10"/>
  <c r="N69" i="10" s="1"/>
  <c r="W69" i="10"/>
  <c r="Y69" i="10"/>
  <c r="AA69" i="10"/>
  <c r="T70" i="10"/>
  <c r="U70" i="10"/>
  <c r="V70" i="10"/>
  <c r="W70" i="10"/>
  <c r="Y70" i="10"/>
  <c r="AA70" i="10"/>
  <c r="T71" i="10"/>
  <c r="U71" i="10"/>
  <c r="V71" i="10"/>
  <c r="W71" i="10"/>
  <c r="Y71" i="10"/>
  <c r="AA71" i="10"/>
  <c r="T72" i="10"/>
  <c r="U72" i="10"/>
  <c r="V72" i="10"/>
  <c r="W72" i="10"/>
  <c r="Y72" i="10"/>
  <c r="AA72" i="10"/>
  <c r="T73" i="10"/>
  <c r="U73" i="10"/>
  <c r="V73" i="10"/>
  <c r="W73" i="10"/>
  <c r="Y73" i="10"/>
  <c r="AA73" i="10"/>
  <c r="T74" i="10"/>
  <c r="U74" i="10"/>
  <c r="V74" i="10"/>
  <c r="W74" i="10"/>
  <c r="Y74" i="10"/>
  <c r="AA74" i="10"/>
  <c r="T75" i="10"/>
  <c r="U75" i="10"/>
  <c r="V75" i="10"/>
  <c r="W75" i="10"/>
  <c r="Y75" i="10"/>
  <c r="AA75" i="10"/>
  <c r="T76" i="10"/>
  <c r="U76" i="10"/>
  <c r="V76" i="10"/>
  <c r="W76" i="10"/>
  <c r="Y76" i="10"/>
  <c r="AA76" i="10"/>
  <c r="T77" i="10"/>
  <c r="U77" i="10"/>
  <c r="V77" i="10"/>
  <c r="W77" i="10"/>
  <c r="Y77" i="10"/>
  <c r="AA77" i="10"/>
  <c r="T78" i="10"/>
  <c r="U78" i="10"/>
  <c r="V78" i="10"/>
  <c r="W78" i="10"/>
  <c r="Y78" i="10"/>
  <c r="AA78" i="10"/>
  <c r="U79" i="10"/>
  <c r="V79" i="10"/>
  <c r="W79" i="10"/>
  <c r="Y79" i="10"/>
  <c r="AA79" i="10"/>
  <c r="U80" i="10"/>
  <c r="V80" i="10"/>
  <c r="W80" i="10"/>
  <c r="Y80" i="10"/>
  <c r="Q70" i="10"/>
  <c r="Q71" i="10"/>
  <c r="Q72" i="10"/>
  <c r="Q73" i="10"/>
  <c r="Q74" i="10"/>
  <c r="Q75" i="10"/>
  <c r="Q76" i="10"/>
  <c r="Q77" i="10"/>
  <c r="Q78" i="10"/>
  <c r="Q79" i="10"/>
  <c r="Q80" i="10"/>
  <c r="Q69" i="10"/>
  <c r="AB857" i="10"/>
  <c r="O857" i="10"/>
  <c r="AB856" i="10"/>
  <c r="AB855" i="10"/>
  <c r="AB854" i="10"/>
  <c r="AB853" i="10"/>
  <c r="AB852" i="10"/>
  <c r="AB851" i="10"/>
  <c r="AB850" i="10"/>
  <c r="AB849" i="10"/>
  <c r="AB848" i="10"/>
  <c r="AB847" i="10"/>
  <c r="AB846" i="10"/>
  <c r="O846" i="10"/>
  <c r="O835" i="10"/>
  <c r="O824" i="10"/>
  <c r="AB815" i="10"/>
  <c r="O815" i="10"/>
  <c r="AB814" i="10"/>
  <c r="O804" i="10"/>
  <c r="O793" i="10"/>
  <c r="O782" i="10"/>
  <c r="N71" i="10" l="1"/>
  <c r="AN827" i="10"/>
  <c r="AN831" i="10"/>
  <c r="AN828" i="10"/>
  <c r="AN832" i="10"/>
  <c r="AN829" i="10"/>
  <c r="AN833" i="10"/>
  <c r="AN826" i="10"/>
  <c r="AN830" i="10"/>
  <c r="AN834" i="10"/>
  <c r="AN785" i="10"/>
  <c r="AN789" i="10"/>
  <c r="AN786" i="10"/>
  <c r="AN790" i="10"/>
  <c r="AN783" i="10"/>
  <c r="AN787" i="10"/>
  <c r="AN791" i="10"/>
  <c r="AN784" i="10"/>
  <c r="AN788" i="10"/>
  <c r="AN792" i="10"/>
  <c r="AN835" i="10"/>
  <c r="AN793" i="10"/>
  <c r="AC82" i="10"/>
  <c r="V83" i="10" s="1"/>
  <c r="AA82" i="10"/>
  <c r="AM628" i="10"/>
  <c r="AM334" i="10"/>
  <c r="AM544" i="10"/>
  <c r="AM166" i="10"/>
  <c r="AM838" i="10"/>
  <c r="AK586" i="10"/>
  <c r="AM208" i="10"/>
  <c r="AK208" i="10"/>
  <c r="AM250" i="10"/>
  <c r="AM488" i="10"/>
  <c r="AK502" i="10"/>
  <c r="AM656" i="10"/>
  <c r="AK670" i="10"/>
  <c r="AM698" i="10"/>
  <c r="AK712" i="10"/>
  <c r="AK124" i="10"/>
  <c r="AM418" i="10"/>
  <c r="AM460" i="10"/>
  <c r="AK292" i="10"/>
  <c r="AK460" i="10"/>
  <c r="AK628" i="10"/>
  <c r="AK796" i="10"/>
  <c r="AM362" i="10"/>
  <c r="AK376" i="10"/>
  <c r="AM796" i="10"/>
  <c r="AM292" i="10"/>
  <c r="AM572" i="10"/>
  <c r="AM754" i="10"/>
  <c r="AK250" i="10"/>
  <c r="AK418" i="10"/>
  <c r="AK754" i="10"/>
  <c r="AB859" i="10"/>
  <c r="AK544" i="10"/>
  <c r="AK166" i="10"/>
  <c r="AK334" i="10"/>
  <c r="AK838" i="10"/>
  <c r="AN824" i="10"/>
  <c r="AB817" i="10"/>
  <c r="O773" i="10"/>
  <c r="O762" i="10"/>
  <c r="O751" i="10"/>
  <c r="O740" i="10"/>
  <c r="O731" i="10"/>
  <c r="O720" i="10"/>
  <c r="O709" i="10"/>
  <c r="O698" i="10"/>
  <c r="O689" i="10"/>
  <c r="O678" i="10"/>
  <c r="O667" i="10"/>
  <c r="O656" i="10"/>
  <c r="O647" i="10"/>
  <c r="O636" i="10"/>
  <c r="O625" i="10"/>
  <c r="O614" i="10"/>
  <c r="O605" i="10"/>
  <c r="O594" i="10"/>
  <c r="O583" i="10"/>
  <c r="O572" i="10"/>
  <c r="P563" i="10"/>
  <c r="O563" i="10"/>
  <c r="P562" i="10"/>
  <c r="P561" i="10"/>
  <c r="P560" i="10"/>
  <c r="P559" i="10"/>
  <c r="P558" i="10"/>
  <c r="P557" i="10"/>
  <c r="P556" i="10"/>
  <c r="P555" i="10"/>
  <c r="P554" i="10"/>
  <c r="P553" i="10"/>
  <c r="P552" i="10"/>
  <c r="O552" i="10"/>
  <c r="P541" i="10"/>
  <c r="O541" i="10"/>
  <c r="P540" i="10"/>
  <c r="P539" i="10"/>
  <c r="P538" i="10"/>
  <c r="P537" i="10"/>
  <c r="P536" i="10"/>
  <c r="P535" i="10"/>
  <c r="P534" i="10"/>
  <c r="P533" i="10"/>
  <c r="P532" i="10"/>
  <c r="P531" i="10"/>
  <c r="P530" i="10"/>
  <c r="O530" i="10"/>
  <c r="O521" i="10"/>
  <c r="O510" i="10"/>
  <c r="O499" i="10"/>
  <c r="O488" i="10"/>
  <c r="O479" i="10"/>
  <c r="O468" i="10"/>
  <c r="O457" i="10"/>
  <c r="O446" i="10"/>
  <c r="O437" i="10"/>
  <c r="O426" i="10"/>
  <c r="O415" i="10"/>
  <c r="O404" i="10"/>
  <c r="O395" i="10"/>
  <c r="O384" i="10"/>
  <c r="O373" i="10"/>
  <c r="O362" i="10"/>
  <c r="O353" i="10"/>
  <c r="O342" i="10"/>
  <c r="O331" i="10"/>
  <c r="O320" i="10"/>
  <c r="O311" i="10"/>
  <c r="O300" i="10"/>
  <c r="O289" i="10"/>
  <c r="O278" i="10"/>
  <c r="O227" i="10"/>
  <c r="O216" i="10"/>
  <c r="O205" i="10"/>
  <c r="O194" i="10"/>
  <c r="O185" i="10"/>
  <c r="O174" i="10"/>
  <c r="O163" i="10"/>
  <c r="O152" i="10"/>
  <c r="O143" i="10"/>
  <c r="O132" i="10"/>
  <c r="O121" i="10"/>
  <c r="O110" i="10"/>
  <c r="P93" i="10"/>
  <c r="P96" i="10"/>
  <c r="P95" i="10"/>
  <c r="P94" i="10"/>
  <c r="P92" i="10"/>
  <c r="P91" i="10"/>
  <c r="P90" i="10"/>
  <c r="P89" i="10"/>
  <c r="P88" i="10"/>
  <c r="P87" i="10"/>
  <c r="O98" i="10"/>
  <c r="O87" i="10"/>
  <c r="AB763" i="10"/>
  <c r="AB764" i="10"/>
  <c r="AB765" i="10"/>
  <c r="AB766" i="10"/>
  <c r="AB767" i="10"/>
  <c r="AB768" i="10"/>
  <c r="AB769" i="10"/>
  <c r="AB770" i="10"/>
  <c r="AB771" i="10"/>
  <c r="AB772" i="10"/>
  <c r="AB773" i="10"/>
  <c r="AB762" i="10"/>
  <c r="AB721" i="10"/>
  <c r="AB722" i="10"/>
  <c r="AB723" i="10"/>
  <c r="AB724" i="10"/>
  <c r="AB725" i="10"/>
  <c r="AB726" i="10"/>
  <c r="AB727" i="10"/>
  <c r="AB728" i="10"/>
  <c r="AB729" i="10"/>
  <c r="AB730" i="10"/>
  <c r="AB731" i="10"/>
  <c r="AB720" i="10"/>
  <c r="AB679" i="10"/>
  <c r="AB680" i="10"/>
  <c r="AB681" i="10"/>
  <c r="AB682" i="10"/>
  <c r="AB683" i="10"/>
  <c r="AB684" i="10"/>
  <c r="AB685" i="10"/>
  <c r="AB686" i="10"/>
  <c r="AB687" i="10"/>
  <c r="AB688" i="10"/>
  <c r="AB689" i="10"/>
  <c r="AB678" i="10"/>
  <c r="AB637" i="10"/>
  <c r="AB638" i="10"/>
  <c r="AB639" i="10"/>
  <c r="AB640" i="10"/>
  <c r="AB641" i="10"/>
  <c r="AB642" i="10"/>
  <c r="AB643" i="10"/>
  <c r="AB644" i="10"/>
  <c r="AB645" i="10"/>
  <c r="AB646" i="10"/>
  <c r="AB647" i="10"/>
  <c r="AB636" i="10"/>
  <c r="AB595" i="10"/>
  <c r="AB596" i="10"/>
  <c r="AB597" i="10"/>
  <c r="AB598" i="10"/>
  <c r="AB599" i="10"/>
  <c r="AB600" i="10"/>
  <c r="AB601" i="10"/>
  <c r="AB602" i="10"/>
  <c r="AB603" i="10"/>
  <c r="AB604" i="10"/>
  <c r="AB605" i="10"/>
  <c r="AB594" i="10"/>
  <c r="X565" i="10"/>
  <c r="Y565" i="10"/>
  <c r="Z565" i="10"/>
  <c r="AA565" i="10"/>
  <c r="AB565" i="10"/>
  <c r="AC553" i="10"/>
  <c r="X531" i="10" s="1"/>
  <c r="AC554" i="10"/>
  <c r="X532" i="10" s="1"/>
  <c r="AC555" i="10"/>
  <c r="X533" i="10" s="1"/>
  <c r="AC556" i="10"/>
  <c r="X534" i="10" s="1"/>
  <c r="AC557" i="10"/>
  <c r="X535" i="10" s="1"/>
  <c r="AC558" i="10"/>
  <c r="X536" i="10" s="1"/>
  <c r="AC559" i="10"/>
  <c r="X537" i="10" s="1"/>
  <c r="AC560" i="10"/>
  <c r="X538" i="10" s="1"/>
  <c r="AC561" i="10"/>
  <c r="X539" i="10" s="1"/>
  <c r="AC562" i="10"/>
  <c r="X540" i="10" s="1"/>
  <c r="AC563" i="10"/>
  <c r="X541" i="10" s="1"/>
  <c r="AC552" i="10"/>
  <c r="X530" i="10" s="1"/>
  <c r="AB511" i="10"/>
  <c r="AB512" i="10"/>
  <c r="AB513" i="10"/>
  <c r="AB514" i="10"/>
  <c r="AB515" i="10"/>
  <c r="AB516" i="10"/>
  <c r="AB517" i="10"/>
  <c r="AB518" i="10"/>
  <c r="AB519" i="10"/>
  <c r="AB520" i="10"/>
  <c r="AB521" i="10"/>
  <c r="AB510" i="10"/>
  <c r="AB469" i="10"/>
  <c r="AB470" i="10"/>
  <c r="AB471" i="10"/>
  <c r="AB472" i="10"/>
  <c r="AB473" i="10"/>
  <c r="AB474" i="10"/>
  <c r="AB475" i="10"/>
  <c r="AB476" i="10"/>
  <c r="AB477" i="10"/>
  <c r="AB478" i="10"/>
  <c r="AB479" i="10"/>
  <c r="AB468" i="10"/>
  <c r="AB427" i="10"/>
  <c r="AB428" i="10"/>
  <c r="AB429" i="10"/>
  <c r="AB430" i="10"/>
  <c r="AB431" i="10"/>
  <c r="AB432" i="10"/>
  <c r="AB433" i="10"/>
  <c r="AB434" i="10"/>
  <c r="AB435" i="10"/>
  <c r="AB436" i="10"/>
  <c r="AB437" i="10"/>
  <c r="AB426" i="10"/>
  <c r="AB385" i="10"/>
  <c r="AB386" i="10"/>
  <c r="AB387" i="10"/>
  <c r="AB388" i="10"/>
  <c r="AB389" i="10"/>
  <c r="AB390" i="10"/>
  <c r="AB391" i="10"/>
  <c r="AB392" i="10"/>
  <c r="AB393" i="10"/>
  <c r="AB394" i="10"/>
  <c r="AB395" i="10"/>
  <c r="AB384" i="10"/>
  <c r="AB343" i="10"/>
  <c r="AB344" i="10"/>
  <c r="AB345" i="10"/>
  <c r="AB346" i="10"/>
  <c r="AB347" i="10"/>
  <c r="AB348" i="10"/>
  <c r="AB349" i="10"/>
  <c r="AB350" i="10"/>
  <c r="AB351" i="10"/>
  <c r="AB352" i="10"/>
  <c r="AB353" i="10"/>
  <c r="AB342" i="10"/>
  <c r="AB259" i="10"/>
  <c r="AB260" i="10"/>
  <c r="AB261" i="10"/>
  <c r="AB262" i="10"/>
  <c r="AB263" i="10"/>
  <c r="AB264" i="10"/>
  <c r="AB265" i="10"/>
  <c r="AB266" i="10"/>
  <c r="AB267" i="10"/>
  <c r="AB258" i="10"/>
  <c r="AB217" i="10"/>
  <c r="AB218" i="10"/>
  <c r="AB219" i="10"/>
  <c r="AB220" i="10"/>
  <c r="AB221" i="10"/>
  <c r="AB222" i="10"/>
  <c r="AB223" i="10"/>
  <c r="AB224" i="10"/>
  <c r="AB225" i="10"/>
  <c r="AB226" i="10"/>
  <c r="AB227" i="10"/>
  <c r="AB216" i="10"/>
  <c r="AB175" i="10"/>
  <c r="AB176" i="10"/>
  <c r="AB177" i="10"/>
  <c r="AB178" i="10"/>
  <c r="AB179" i="10"/>
  <c r="AB180" i="10"/>
  <c r="AB181" i="10"/>
  <c r="AB182" i="10"/>
  <c r="AB183" i="10"/>
  <c r="AB184" i="10"/>
  <c r="AB185" i="10"/>
  <c r="AB174" i="10"/>
  <c r="AB133" i="10"/>
  <c r="AB134" i="10"/>
  <c r="AB135" i="10"/>
  <c r="AB136" i="10"/>
  <c r="AB137" i="10"/>
  <c r="AB138" i="10"/>
  <c r="AB139" i="10"/>
  <c r="AB140" i="10"/>
  <c r="AB141" i="10"/>
  <c r="AB142" i="10"/>
  <c r="AB143" i="10"/>
  <c r="AB132" i="10"/>
  <c r="X212" i="11"/>
  <c r="X202" i="11"/>
  <c r="X203" i="11"/>
  <c r="X204" i="11"/>
  <c r="X205" i="11"/>
  <c r="X206" i="11"/>
  <c r="X207" i="11"/>
  <c r="X208" i="11"/>
  <c r="X209" i="11"/>
  <c r="X210" i="11"/>
  <c r="X211" i="11"/>
  <c r="X201" i="11"/>
  <c r="X158" i="11"/>
  <c r="T136" i="11" s="1"/>
  <c r="Q50" i="11" s="1"/>
  <c r="X159" i="11"/>
  <c r="T137" i="11" s="1"/>
  <c r="X160" i="11"/>
  <c r="T138" i="11" s="1"/>
  <c r="X161" i="11"/>
  <c r="T139" i="11" s="1"/>
  <c r="X162" i="11"/>
  <c r="T140" i="11" s="1"/>
  <c r="X163" i="11"/>
  <c r="T141" i="11" s="1"/>
  <c r="X164" i="11"/>
  <c r="T142" i="11" s="1"/>
  <c r="X165" i="11"/>
  <c r="T143" i="11" s="1"/>
  <c r="X166" i="11"/>
  <c r="T144" i="11" s="1"/>
  <c r="X167" i="11"/>
  <c r="T145" i="11" s="1"/>
  <c r="X168" i="11"/>
  <c r="T146" i="11" s="1"/>
  <c r="X114" i="11"/>
  <c r="X115" i="11"/>
  <c r="X116" i="11"/>
  <c r="X117" i="11"/>
  <c r="X118" i="11"/>
  <c r="X119" i="11"/>
  <c r="X120" i="11"/>
  <c r="X121" i="11"/>
  <c r="X122" i="11"/>
  <c r="X125" i="11"/>
  <c r="X113" i="11"/>
  <c r="O80" i="11"/>
  <c r="P80" i="11"/>
  <c r="N80" i="11"/>
  <c r="O77" i="11"/>
  <c r="P77" i="11"/>
  <c r="N77" i="11"/>
  <c r="A9" i="11"/>
  <c r="V138" i="11" l="1"/>
  <c r="Q52" i="11"/>
  <c r="V146" i="11"/>
  <c r="Q60" i="11"/>
  <c r="V145" i="11"/>
  <c r="Q59" i="11"/>
  <c r="V137" i="11"/>
  <c r="Q51" i="11"/>
  <c r="V144" i="11"/>
  <c r="Q58" i="11"/>
  <c r="V143" i="11"/>
  <c r="Q57" i="11"/>
  <c r="V142" i="11"/>
  <c r="Q56" i="11"/>
  <c r="V141" i="11"/>
  <c r="Q55" i="11"/>
  <c r="V139" i="11"/>
  <c r="Q53" i="11"/>
  <c r="V140" i="11"/>
  <c r="Q54" i="11"/>
  <c r="V136" i="11"/>
  <c r="R50" i="11" s="1"/>
  <c r="T149" i="11"/>
  <c r="X170" i="11"/>
  <c r="X126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M712" i="10"/>
  <c r="AM670" i="10"/>
  <c r="AM586" i="10"/>
  <c r="AM502" i="10"/>
  <c r="AM376" i="10"/>
  <c r="X80" i="11"/>
  <c r="X77" i="11"/>
  <c r="X80" i="10"/>
  <c r="AD98" i="10" s="1"/>
  <c r="X72" i="10"/>
  <c r="AD90" i="10" s="1"/>
  <c r="X76" i="10"/>
  <c r="X79" i="10"/>
  <c r="AD97" i="10" s="1"/>
  <c r="X75" i="10"/>
  <c r="AD93" i="10" s="1"/>
  <c r="X71" i="10"/>
  <c r="X100" i="10"/>
  <c r="AC229" i="10"/>
  <c r="AB355" i="10"/>
  <c r="AB481" i="10"/>
  <c r="AB649" i="10"/>
  <c r="X70" i="10"/>
  <c r="X78" i="10"/>
  <c r="X74" i="10"/>
  <c r="AD92" i="10" s="1"/>
  <c r="AA100" i="10"/>
  <c r="X69" i="10"/>
  <c r="X77" i="10"/>
  <c r="X73" i="10"/>
  <c r="AB313" i="10"/>
  <c r="AB397" i="10"/>
  <c r="AB145" i="10"/>
  <c r="AB187" i="10"/>
  <c r="AB271" i="10"/>
  <c r="AB439" i="10"/>
  <c r="AB523" i="10"/>
  <c r="AC565" i="10"/>
  <c r="AB607" i="10"/>
  <c r="AB691" i="10"/>
  <c r="AB94" i="10"/>
  <c r="AB90" i="10"/>
  <c r="AB775" i="10"/>
  <c r="AB98" i="10"/>
  <c r="AB97" i="10"/>
  <c r="AB93" i="10"/>
  <c r="W100" i="10"/>
  <c r="AB89" i="10"/>
  <c r="AB92" i="10"/>
  <c r="AB88" i="10"/>
  <c r="AB733" i="10"/>
  <c r="AB96" i="10"/>
  <c r="AB95" i="10"/>
  <c r="AB91" i="10"/>
  <c r="Z100" i="10"/>
  <c r="Y100" i="10"/>
  <c r="X214" i="11"/>
  <c r="K102" i="11"/>
  <c r="K91" i="11"/>
  <c r="K135" i="11" s="1"/>
  <c r="K81" i="11"/>
  <c r="K70" i="11"/>
  <c r="AD94" i="10" l="1"/>
  <c r="AD88" i="10"/>
  <c r="AD96" i="10"/>
  <c r="AD91" i="10"/>
  <c r="AD89" i="10"/>
  <c r="AD95" i="10"/>
  <c r="X143" i="11"/>
  <c r="W57" i="11" s="1"/>
  <c r="R57" i="11"/>
  <c r="X144" i="11"/>
  <c r="W58" i="11" s="1"/>
  <c r="R58" i="11"/>
  <c r="X140" i="11"/>
  <c r="W54" i="11" s="1"/>
  <c r="R54" i="11"/>
  <c r="X137" i="11"/>
  <c r="W51" i="11" s="1"/>
  <c r="R51" i="11"/>
  <c r="X139" i="11"/>
  <c r="W53" i="11" s="1"/>
  <c r="R53" i="11"/>
  <c r="X145" i="11"/>
  <c r="W59" i="11" s="1"/>
  <c r="R59" i="11"/>
  <c r="X141" i="11"/>
  <c r="W55" i="11" s="1"/>
  <c r="R55" i="11"/>
  <c r="X146" i="11"/>
  <c r="W60" i="11" s="1"/>
  <c r="R60" i="11"/>
  <c r="X142" i="11"/>
  <c r="W56" i="11" s="1"/>
  <c r="R56" i="11"/>
  <c r="X138" i="11"/>
  <c r="W52" i="11" s="1"/>
  <c r="R52" i="11"/>
  <c r="K212" i="11"/>
  <c r="X136" i="11"/>
  <c r="V149" i="11"/>
  <c r="K168" i="11"/>
  <c r="AN782" i="10"/>
  <c r="K157" i="11"/>
  <c r="K124" i="11"/>
  <c r="K113" i="11"/>
  <c r="K146" i="11"/>
  <c r="K201" i="1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X149" i="11" l="1"/>
  <c r="W50" i="11"/>
  <c r="AN825" i="10"/>
  <c r="A11" i="7" l="1"/>
  <c r="A12" i="7" s="1"/>
  <c r="A13" i="7" s="1"/>
  <c r="A14" i="7" s="1"/>
  <c r="A15" i="7" s="1"/>
  <c r="A16" i="7" s="1"/>
  <c r="A17" i="7" s="1"/>
  <c r="A18" i="7" s="1"/>
  <c r="A19" i="7" s="1"/>
  <c r="A20" i="7" l="1"/>
  <c r="A21" i="7" s="1"/>
  <c r="A22" i="7" s="1"/>
  <c r="A23" i="7" s="1"/>
  <c r="A24" i="7" l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J100" i="13" l="1"/>
  <c r="J84" i="13"/>
  <c r="J85" i="13"/>
  <c r="J86" i="13"/>
  <c r="J31" i="13"/>
  <c r="J26" i="13"/>
  <c r="J25" i="13"/>
  <c r="L85" i="13" l="1"/>
  <c r="L31" i="13"/>
  <c r="L84" i="13"/>
  <c r="L26" i="13"/>
  <c r="L25" i="13"/>
  <c r="L100" i="13"/>
  <c r="L86" i="13"/>
  <c r="C28" i="14" l="1"/>
  <c r="N15" i="13" l="1"/>
  <c r="D36" i="14"/>
  <c r="D35" i="14"/>
  <c r="E14" i="15"/>
  <c r="E35" i="14" l="1"/>
  <c r="E36" i="14"/>
  <c r="D41" i="15"/>
  <c r="E41" i="15" s="1"/>
  <c r="E13" i="15"/>
  <c r="E15" i="15" s="1"/>
  <c r="A10" i="21"/>
  <c r="A11" i="21" s="1"/>
  <c r="A12" i="21" s="1"/>
  <c r="AM118" i="10"/>
  <c r="AB87" i="10"/>
  <c r="AG82" i="10"/>
  <c r="AF82" i="10"/>
  <c r="AE82" i="10"/>
  <c r="AN751" i="10"/>
  <c r="AN750" i="10"/>
  <c r="AN749" i="10"/>
  <c r="AN748" i="10"/>
  <c r="AN747" i="10"/>
  <c r="AN745" i="10"/>
  <c r="AN744" i="10"/>
  <c r="AN743" i="10"/>
  <c r="AN742" i="10"/>
  <c r="AN741" i="10"/>
  <c r="AN709" i="10"/>
  <c r="AN708" i="10"/>
  <c r="AN707" i="10"/>
  <c r="AN706" i="10"/>
  <c r="AN705" i="10"/>
  <c r="AN703" i="10"/>
  <c r="AN702" i="10"/>
  <c r="AN701" i="10"/>
  <c r="AN700" i="10"/>
  <c r="AN699" i="10"/>
  <c r="AN667" i="10"/>
  <c r="AN666" i="10"/>
  <c r="AN665" i="10"/>
  <c r="AN664" i="10"/>
  <c r="AN663" i="10"/>
  <c r="AN662" i="10"/>
  <c r="AN661" i="10"/>
  <c r="AN660" i="10"/>
  <c r="AN659" i="10"/>
  <c r="AN658" i="10"/>
  <c r="AN657" i="10"/>
  <c r="AN656" i="10"/>
  <c r="AN625" i="10"/>
  <c r="AN624" i="10"/>
  <c r="AN623" i="10"/>
  <c r="AN622" i="10"/>
  <c r="AN621" i="10"/>
  <c r="AN619" i="10"/>
  <c r="AN618" i="10"/>
  <c r="AN617" i="10"/>
  <c r="AN616" i="10"/>
  <c r="AN615" i="10"/>
  <c r="AN583" i="10"/>
  <c r="AN582" i="10"/>
  <c r="AN581" i="10"/>
  <c r="AN580" i="10"/>
  <c r="AN579" i="10"/>
  <c r="AN577" i="10"/>
  <c r="AN576" i="10"/>
  <c r="AN575" i="10"/>
  <c r="AN574" i="10"/>
  <c r="AN573" i="10"/>
  <c r="V565" i="10"/>
  <c r="W565" i="10"/>
  <c r="U565" i="10"/>
  <c r="T565" i="10"/>
  <c r="R565" i="10"/>
  <c r="AA544" i="10"/>
  <c r="Y544" i="10"/>
  <c r="W544" i="10"/>
  <c r="V544" i="10"/>
  <c r="U544" i="10"/>
  <c r="T544" i="10"/>
  <c r="R544" i="10"/>
  <c r="Z541" i="10"/>
  <c r="AB541" i="10" s="1"/>
  <c r="AN541" i="10" s="1"/>
  <c r="Z540" i="10"/>
  <c r="AB540" i="10" s="1"/>
  <c r="AN540" i="10" s="1"/>
  <c r="Z539" i="10"/>
  <c r="AB539" i="10" s="1"/>
  <c r="AN539" i="10" s="1"/>
  <c r="Z537" i="10"/>
  <c r="AB537" i="10" s="1"/>
  <c r="AN537" i="10" s="1"/>
  <c r="Z536" i="10"/>
  <c r="AB536" i="10" s="1"/>
  <c r="AN536" i="10" s="1"/>
  <c r="Z535" i="10"/>
  <c r="AB535" i="10" s="1"/>
  <c r="AN535" i="10" s="1"/>
  <c r="Z534" i="10"/>
  <c r="AB534" i="10" s="1"/>
  <c r="AN534" i="10" s="1"/>
  <c r="Z533" i="10"/>
  <c r="AB533" i="10" s="1"/>
  <c r="AN533" i="10" s="1"/>
  <c r="Z532" i="10"/>
  <c r="AB532" i="10" s="1"/>
  <c r="AN532" i="10" s="1"/>
  <c r="Z531" i="10"/>
  <c r="AB531" i="10" s="1"/>
  <c r="AN531" i="10" s="1"/>
  <c r="AN499" i="10"/>
  <c r="AN498" i="10"/>
  <c r="AN497" i="10"/>
  <c r="AN496" i="10"/>
  <c r="AN495" i="10"/>
  <c r="AN493" i="10"/>
  <c r="AN492" i="10"/>
  <c r="AN491" i="10"/>
  <c r="AN489" i="10"/>
  <c r="AN457" i="10"/>
  <c r="AN456" i="10"/>
  <c r="AN455" i="10"/>
  <c r="AN454" i="10"/>
  <c r="AN453" i="10"/>
  <c r="AN451" i="10"/>
  <c r="AN450" i="10"/>
  <c r="AN449" i="10"/>
  <c r="AN448" i="10"/>
  <c r="AN447" i="10"/>
  <c r="AN446" i="10"/>
  <c r="AN414" i="10"/>
  <c r="AN413" i="10"/>
  <c r="AN412" i="10"/>
  <c r="AN411" i="10"/>
  <c r="AN409" i="10"/>
  <c r="AN408" i="10"/>
  <c r="AN407" i="10"/>
  <c r="AN406" i="10"/>
  <c r="AN405" i="10"/>
  <c r="AN373" i="10"/>
  <c r="AN372" i="10"/>
  <c r="AN370" i="10"/>
  <c r="AN369" i="10"/>
  <c r="AN367" i="10"/>
  <c r="AN366" i="10"/>
  <c r="AN365" i="10"/>
  <c r="AN364" i="10"/>
  <c r="AN363" i="10"/>
  <c r="AN362" i="10"/>
  <c r="AN331" i="10"/>
  <c r="AN330" i="10"/>
  <c r="AN329" i="10"/>
  <c r="AN328" i="10"/>
  <c r="AN327" i="10"/>
  <c r="AN326" i="10"/>
  <c r="AN325" i="10"/>
  <c r="AN324" i="10"/>
  <c r="AN323" i="10"/>
  <c r="AN321" i="10"/>
  <c r="AN320" i="10"/>
  <c r="AN284" i="10"/>
  <c r="AN289" i="10"/>
  <c r="AN288" i="10"/>
  <c r="AN287" i="10"/>
  <c r="AN286" i="10"/>
  <c r="AN285" i="10"/>
  <c r="AN283" i="10"/>
  <c r="E13" i="10"/>
  <c r="AN282" i="10"/>
  <c r="AN278" i="10"/>
  <c r="AN247" i="10"/>
  <c r="AN246" i="10"/>
  <c r="AN245" i="10"/>
  <c r="AN244" i="10"/>
  <c r="AN243" i="10"/>
  <c r="AN241" i="10"/>
  <c r="AN240" i="10"/>
  <c r="AN238" i="10"/>
  <c r="AN237" i="10"/>
  <c r="AN205" i="10"/>
  <c r="AN204" i="10"/>
  <c r="AN203" i="10"/>
  <c r="AN202" i="10"/>
  <c r="AN201" i="10"/>
  <c r="AN199" i="10"/>
  <c r="AN198" i="10"/>
  <c r="AN197" i="10"/>
  <c r="AN196" i="10"/>
  <c r="AN195" i="10"/>
  <c r="AN163" i="10"/>
  <c r="AN162" i="10"/>
  <c r="AN161" i="10"/>
  <c r="AN160" i="10"/>
  <c r="AN159" i="10"/>
  <c r="AN157" i="10"/>
  <c r="AN155" i="10"/>
  <c r="AN154" i="10"/>
  <c r="AN153" i="10"/>
  <c r="P81" i="11"/>
  <c r="O81" i="11"/>
  <c r="P79" i="11"/>
  <c r="O79" i="11"/>
  <c r="P78" i="11"/>
  <c r="O78" i="11"/>
  <c r="P75" i="11"/>
  <c r="O75" i="11"/>
  <c r="P74" i="11"/>
  <c r="O74" i="11"/>
  <c r="P73" i="11"/>
  <c r="O73" i="11"/>
  <c r="P72" i="11"/>
  <c r="O72" i="11"/>
  <c r="P71" i="11"/>
  <c r="O71" i="11"/>
  <c r="P70" i="11"/>
  <c r="O70" i="11"/>
  <c r="N81" i="11"/>
  <c r="N79" i="11"/>
  <c r="N78" i="11"/>
  <c r="N75" i="11"/>
  <c r="N74" i="11"/>
  <c r="N73" i="11"/>
  <c r="N72" i="11"/>
  <c r="N71" i="11"/>
  <c r="N70" i="11"/>
  <c r="L79" i="11"/>
  <c r="L78" i="11"/>
  <c r="L77" i="11"/>
  <c r="L76" i="11"/>
  <c r="L75" i="11"/>
  <c r="L74" i="11"/>
  <c r="L73" i="11"/>
  <c r="L72" i="11"/>
  <c r="L71" i="11"/>
  <c r="L70" i="11"/>
  <c r="P76" i="11"/>
  <c r="F37" i="11"/>
  <c r="D37" i="11"/>
  <c r="BA74" i="14"/>
  <c r="BC73" i="14"/>
  <c r="BC72" i="14"/>
  <c r="BC71" i="14"/>
  <c r="BC70" i="14"/>
  <c r="BC69" i="14"/>
  <c r="BC68" i="14"/>
  <c r="BC67" i="14"/>
  <c r="BC66" i="14"/>
  <c r="BC65" i="14"/>
  <c r="BC64" i="14"/>
  <c r="BC63" i="14"/>
  <c r="BC62" i="14"/>
  <c r="E17" i="14"/>
  <c r="AS63" i="14"/>
  <c r="AX72" i="14"/>
  <c r="AX71" i="14"/>
  <c r="AR70" i="14"/>
  <c r="AY64" i="14"/>
  <c r="AX63" i="14"/>
  <c r="AV66" i="14"/>
  <c r="AU62" i="14"/>
  <c r="AV73" i="14"/>
  <c r="AU70" i="14"/>
  <c r="AR69" i="14"/>
  <c r="AY73" i="14"/>
  <c r="AY72" i="14"/>
  <c r="AV72" i="14"/>
  <c r="AT72" i="14"/>
  <c r="AX68" i="14"/>
  <c r="AR68" i="14"/>
  <c r="AY66" i="14"/>
  <c r="AY65" i="14"/>
  <c r="AX65" i="14"/>
  <c r="AU65" i="14"/>
  <c r="AX64" i="14"/>
  <c r="AU64" i="14"/>
  <c r="AY63" i="14"/>
  <c r="E21" i="15"/>
  <c r="E12" i="7"/>
  <c r="G20" i="10"/>
  <c r="L98" i="13"/>
  <c r="J98" i="13"/>
  <c r="L95" i="13"/>
  <c r="J95" i="13"/>
  <c r="L94" i="13"/>
  <c r="J94" i="13"/>
  <c r="L93" i="13"/>
  <c r="J93" i="13"/>
  <c r="L90" i="13"/>
  <c r="L88" i="13"/>
  <c r="L81" i="13"/>
  <c r="J81" i="13"/>
  <c r="L80" i="13"/>
  <c r="J80" i="13"/>
  <c r="L78" i="13"/>
  <c r="J78" i="13"/>
  <c r="L77" i="13"/>
  <c r="J77" i="13"/>
  <c r="L75" i="13"/>
  <c r="J75" i="13"/>
  <c r="L74" i="13"/>
  <c r="J74" i="13"/>
  <c r="L66" i="13"/>
  <c r="L65" i="13"/>
  <c r="L63" i="13"/>
  <c r="L62" i="13"/>
  <c r="L60" i="13"/>
  <c r="L59" i="13"/>
  <c r="L58" i="13"/>
  <c r="L54" i="13"/>
  <c r="J54" i="13"/>
  <c r="L53" i="13"/>
  <c r="J53" i="13"/>
  <c r="L52" i="13"/>
  <c r="J52" i="13"/>
  <c r="L51" i="13"/>
  <c r="J51" i="13"/>
  <c r="L50" i="13"/>
  <c r="J50" i="13"/>
  <c r="L49" i="13"/>
  <c r="J49" i="13"/>
  <c r="L46" i="13"/>
  <c r="J46" i="13"/>
  <c r="L45" i="13"/>
  <c r="J45" i="13"/>
  <c r="L44" i="13"/>
  <c r="J44" i="13"/>
  <c r="L43" i="13"/>
  <c r="J43" i="13"/>
  <c r="L42" i="13"/>
  <c r="J42" i="13"/>
  <c r="L41" i="13"/>
  <c r="J41" i="13"/>
  <c r="L38" i="13"/>
  <c r="J38" i="13"/>
  <c r="L37" i="13"/>
  <c r="J37" i="13"/>
  <c r="L36" i="13"/>
  <c r="J36" i="13"/>
  <c r="L35" i="13"/>
  <c r="J35" i="13"/>
  <c r="L34" i="13"/>
  <c r="J34" i="13"/>
  <c r="L33" i="13"/>
  <c r="J33" i="13"/>
  <c r="L22" i="13"/>
  <c r="J22" i="13"/>
  <c r="L21" i="13"/>
  <c r="J21" i="13"/>
  <c r="L24" i="13"/>
  <c r="J24" i="13"/>
  <c r="L19" i="13"/>
  <c r="J19" i="13"/>
  <c r="L18" i="13"/>
  <c r="J18" i="13"/>
  <c r="L17" i="13"/>
  <c r="J17" i="13"/>
  <c r="L16" i="13"/>
  <c r="J16" i="13"/>
  <c r="L15" i="13"/>
  <c r="J15" i="13"/>
  <c r="J14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9" i="13" s="1"/>
  <c r="A120" i="13" s="1"/>
  <c r="A121" i="13" s="1"/>
  <c r="A122" i="13" s="1"/>
  <c r="A123" i="13" s="1"/>
  <c r="A124" i="13" s="1"/>
  <c r="A10" i="14"/>
  <c r="A11" i="14" s="1"/>
  <c r="A12" i="14" s="1"/>
  <c r="A13" i="14" s="1"/>
  <c r="A14" i="14" s="1"/>
  <c r="A15" i="14" s="1"/>
  <c r="A16" i="14" s="1"/>
  <c r="A17" i="14" s="1"/>
  <c r="A18" i="14" s="1"/>
  <c r="A10" i="4"/>
  <c r="A11" i="4" s="1"/>
  <c r="A12" i="4" s="1"/>
  <c r="A13" i="4" s="1"/>
  <c r="A14" i="4" s="1"/>
  <c r="A15" i="4" s="1"/>
  <c r="A16" i="4" s="1"/>
  <c r="A17" i="4" s="1"/>
  <c r="A18" i="4" s="1"/>
  <c r="A20" i="4" s="1"/>
  <c r="A22" i="4" s="1"/>
  <c r="A23" i="4" s="1"/>
  <c r="A24" i="4" s="1"/>
  <c r="A25" i="4" s="1"/>
  <c r="A28" i="4" s="1"/>
  <c r="A29" i="4" s="1"/>
  <c r="A31" i="4" s="1"/>
  <c r="A32" i="4" s="1"/>
  <c r="A34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2" i="2" s="1"/>
  <c r="A23" i="2" s="1"/>
  <c r="A24" i="2" s="1"/>
  <c r="A25" i="2" s="1"/>
  <c r="A28" i="2" s="1"/>
  <c r="A29" i="2" s="1"/>
  <c r="A31" i="2" s="1"/>
  <c r="A32" i="2" s="1"/>
  <c r="A34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9" i="15"/>
  <c r="A10" i="15" s="1"/>
  <c r="A11" i="15" s="1"/>
  <c r="A12" i="15" s="1"/>
  <c r="A13" i="15" s="1"/>
  <c r="A14" i="15" s="1"/>
  <c r="A15" i="15" s="1"/>
  <c r="F33" i="14"/>
  <c r="J33" i="14" s="1"/>
  <c r="F18" i="14"/>
  <c r="H16" i="14"/>
  <c r="E16" i="14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56" i="1"/>
  <c r="E26" i="11"/>
  <c r="G26" i="11" s="1"/>
  <c r="J26" i="11" s="1"/>
  <c r="AS62" i="14"/>
  <c r="AX62" i="14"/>
  <c r="AU69" i="14"/>
  <c r="AR62" i="14"/>
  <c r="AV62" i="14"/>
  <c r="AT68" i="14"/>
  <c r="AR72" i="14"/>
  <c r="AI82" i="10"/>
  <c r="AH82" i="10"/>
  <c r="AN698" i="10"/>
  <c r="AN488" i="10"/>
  <c r="AN236" i="10"/>
  <c r="AN194" i="10"/>
  <c r="AJ82" i="10"/>
  <c r="E28" i="10" s="1"/>
  <c r="AM110" i="10"/>
  <c r="AM112" i="10"/>
  <c r="AM114" i="10"/>
  <c r="AM121" i="10"/>
  <c r="AN368" i="10"/>
  <c r="E15" i="14"/>
  <c r="E19" i="15"/>
  <c r="AN242" i="10"/>
  <c r="AN279" i="10"/>
  <c r="AN322" i="10"/>
  <c r="AN410" i="10"/>
  <c r="AT66" i="14"/>
  <c r="AU67" i="14"/>
  <c r="AR63" i="14"/>
  <c r="AT73" i="14"/>
  <c r="AU71" i="14"/>
  <c r="AV67" i="14"/>
  <c r="AS68" i="14"/>
  <c r="AT63" i="14"/>
  <c r="AU72" i="14"/>
  <c r="AV63" i="14"/>
  <c r="AS64" i="14"/>
  <c r="AT67" i="14"/>
  <c r="AY67" i="14"/>
  <c r="AN158" i="10"/>
  <c r="AR66" i="14"/>
  <c r="AX67" i="14"/>
  <c r="AS69" i="14"/>
  <c r="AU66" i="14"/>
  <c r="AR67" i="14"/>
  <c r="AU68" i="14"/>
  <c r="AV70" i="14"/>
  <c r="AS71" i="14"/>
  <c r="AS73" i="14"/>
  <c r="AV64" i="14"/>
  <c r="AV65" i="14"/>
  <c r="AY68" i="14"/>
  <c r="AX70" i="14"/>
  <c r="AY71" i="14"/>
  <c r="AN371" i="10"/>
  <c r="AV68" i="14"/>
  <c r="AV71" i="14"/>
  <c r="AR65" i="14"/>
  <c r="AS66" i="14"/>
  <c r="AS70" i="14"/>
  <c r="AT71" i="14"/>
  <c r="AS72" i="14"/>
  <c r="V100" i="10"/>
  <c r="AN156" i="10"/>
  <c r="AN280" i="10"/>
  <c r="U100" i="10"/>
  <c r="E18" i="10" s="1"/>
  <c r="J18" i="10" l="1"/>
  <c r="M18" i="10" s="1"/>
  <c r="AB100" i="10"/>
  <c r="AD87" i="10"/>
  <c r="G37" i="11"/>
  <c r="J101" i="13"/>
  <c r="J106" i="13" s="1"/>
  <c r="C23" i="21"/>
  <c r="J13" i="10"/>
  <c r="M13" i="10" s="1"/>
  <c r="M28" i="10"/>
  <c r="J28" i="10"/>
  <c r="N62" i="11"/>
  <c r="A42" i="1"/>
  <c r="A43" i="1" s="1"/>
  <c r="A44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N14" i="13"/>
  <c r="E22" i="7"/>
  <c r="A13" i="21"/>
  <c r="A14" i="21" s="1"/>
  <c r="A15" i="21" s="1"/>
  <c r="A16" i="21" s="1"/>
  <c r="A17" i="21" s="1"/>
  <c r="X78" i="11"/>
  <c r="X72" i="11"/>
  <c r="X70" i="11"/>
  <c r="X74" i="11"/>
  <c r="X81" i="11"/>
  <c r="V62" i="11"/>
  <c r="X71" i="11"/>
  <c r="X75" i="11"/>
  <c r="X73" i="11"/>
  <c r="X79" i="11"/>
  <c r="Z80" i="10"/>
  <c r="AB76" i="10"/>
  <c r="Z76" i="10"/>
  <c r="Z79" i="10"/>
  <c r="Z74" i="10"/>
  <c r="AB70" i="10"/>
  <c r="Z70" i="10"/>
  <c r="AN112" i="10"/>
  <c r="Z71" i="10"/>
  <c r="AB78" i="10"/>
  <c r="Z78" i="10"/>
  <c r="AB73" i="10"/>
  <c r="Z73" i="10"/>
  <c r="AN121" i="10"/>
  <c r="AN118" i="10"/>
  <c r="AN110" i="10"/>
  <c r="AI85" i="10"/>
  <c r="C25" i="10" s="1"/>
  <c r="AM77" i="10"/>
  <c r="AM71" i="10"/>
  <c r="AM113" i="10"/>
  <c r="AK72" i="10"/>
  <c r="AK76" i="10"/>
  <c r="AK80" i="10"/>
  <c r="AM79" i="10"/>
  <c r="AM69" i="10"/>
  <c r="AK69" i="10"/>
  <c r="AK73" i="10"/>
  <c r="AK77" i="10"/>
  <c r="AM111" i="10"/>
  <c r="AK70" i="10"/>
  <c r="AM115" i="10"/>
  <c r="AK74" i="10"/>
  <c r="AM119" i="10"/>
  <c r="AK78" i="10"/>
  <c r="AM117" i="10"/>
  <c r="AM73" i="10"/>
  <c r="AK71" i="10"/>
  <c r="AM116" i="10"/>
  <c r="AK75" i="10"/>
  <c r="AK79" i="10"/>
  <c r="AD82" i="10"/>
  <c r="Y82" i="10"/>
  <c r="T82" i="10"/>
  <c r="C11" i="10" s="1"/>
  <c r="V82" i="10"/>
  <c r="W82" i="10"/>
  <c r="AM80" i="10"/>
  <c r="U82" i="10"/>
  <c r="C12" i="10" s="1"/>
  <c r="Q82" i="10"/>
  <c r="R100" i="10"/>
  <c r="E16" i="10" s="1"/>
  <c r="N76" i="11"/>
  <c r="R83" i="11"/>
  <c r="P83" i="11"/>
  <c r="E19" i="11" s="1"/>
  <c r="O76" i="11"/>
  <c r="M62" i="11"/>
  <c r="C9" i="11" s="1"/>
  <c r="O62" i="11"/>
  <c r="E11" i="7"/>
  <c r="A16" i="15"/>
  <c r="A17" i="15" s="1"/>
  <c r="A18" i="15" s="1"/>
  <c r="A19" i="15" s="1"/>
  <c r="A20" i="15" s="1"/>
  <c r="A21" i="15" s="1"/>
  <c r="A23" i="15" s="1"/>
  <c r="A24" i="15" s="1"/>
  <c r="A25" i="15" s="1"/>
  <c r="A26" i="15" s="1"/>
  <c r="A27" i="15" s="1"/>
  <c r="A28" i="15" s="1"/>
  <c r="A29" i="15" s="1"/>
  <c r="A19" i="14"/>
  <c r="A20" i="14" s="1"/>
  <c r="E18" i="14"/>
  <c r="E26" i="14"/>
  <c r="C30" i="14"/>
  <c r="H24" i="14"/>
  <c r="E27" i="14"/>
  <c r="BC74" i="14"/>
  <c r="H27" i="14"/>
  <c r="G30" i="14"/>
  <c r="H13" i="14"/>
  <c r="E24" i="14"/>
  <c r="E13" i="14"/>
  <c r="C18" i="14"/>
  <c r="AN494" i="10"/>
  <c r="H17" i="14"/>
  <c r="T100" i="10"/>
  <c r="E17" i="10" s="1"/>
  <c r="AN404" i="10"/>
  <c r="AN415" i="10"/>
  <c r="AN490" i="10"/>
  <c r="X544" i="10"/>
  <c r="Z530" i="10"/>
  <c r="Z538" i="10"/>
  <c r="Z77" i="10" s="1"/>
  <c r="AR64" i="14"/>
  <c r="AR74" i="14" s="1"/>
  <c r="AS65" i="14"/>
  <c r="C26" i="15"/>
  <c r="E20" i="15"/>
  <c r="E23" i="15" s="1"/>
  <c r="AN572" i="10"/>
  <c r="AN740" i="10"/>
  <c r="AB74" i="10"/>
  <c r="E10" i="14"/>
  <c r="H15" i="14"/>
  <c r="G18" i="14"/>
  <c r="AW69" i="14"/>
  <c r="AV69" i="14"/>
  <c r="AV74" i="14" s="1"/>
  <c r="AT64" i="14"/>
  <c r="AR71" i="14"/>
  <c r="AT62" i="14"/>
  <c r="AW72" i="14"/>
  <c r="AR73" i="14"/>
  <c r="H35" i="14"/>
  <c r="AX69" i="14"/>
  <c r="AT70" i="14"/>
  <c r="AY70" i="14"/>
  <c r="AU63" i="14"/>
  <c r="AS67" i="14"/>
  <c r="AY69" i="14"/>
  <c r="AT69" i="14"/>
  <c r="AY62" i="14"/>
  <c r="AY74" i="14" s="1"/>
  <c r="AX73" i="14"/>
  <c r="AX74" i="14" s="1"/>
  <c r="AW73" i="14"/>
  <c r="AU73" i="14"/>
  <c r="AT65" i="14"/>
  <c r="AZ72" i="14"/>
  <c r="BB72" i="14" s="1"/>
  <c r="BD72" i="14" s="1"/>
  <c r="AW68" i="14"/>
  <c r="P62" i="11"/>
  <c r="AW66" i="14"/>
  <c r="AZ62" i="14"/>
  <c r="Q83" i="11"/>
  <c r="E20" i="11" s="1"/>
  <c r="AX66" i="14"/>
  <c r="AW70" i="14"/>
  <c r="AN620" i="10"/>
  <c r="S82" i="10"/>
  <c r="R83" i="10" s="1"/>
  <c r="U83" i="10" s="1"/>
  <c r="W83" i="10" s="1"/>
  <c r="AL82" i="10"/>
  <c r="E27" i="10" s="1"/>
  <c r="H36" i="14"/>
  <c r="J19" i="11" l="1"/>
  <c r="J20" i="11"/>
  <c r="J17" i="10"/>
  <c r="M17" i="10" s="1"/>
  <c r="D17" i="10"/>
  <c r="J16" i="10"/>
  <c r="M16" i="10" s="1"/>
  <c r="D16" i="10"/>
  <c r="D18" i="10"/>
  <c r="X83" i="10"/>
  <c r="E12" i="10"/>
  <c r="H12" i="10"/>
  <c r="K12" i="10" s="1"/>
  <c r="D33" i="15"/>
  <c r="D31" i="15"/>
  <c r="D35" i="15"/>
  <c r="D29" i="15"/>
  <c r="H11" i="10"/>
  <c r="K11" i="10" s="1"/>
  <c r="K25" i="10"/>
  <c r="H25" i="10"/>
  <c r="L10" i="12"/>
  <c r="I17" i="12"/>
  <c r="L17" i="12" s="1"/>
  <c r="AN71" i="10"/>
  <c r="AN281" i="10"/>
  <c r="AN239" i="10"/>
  <c r="AN119" i="10"/>
  <c r="AN78" i="10" s="1"/>
  <c r="AM75" i="10"/>
  <c r="AM70" i="10"/>
  <c r="AN111" i="10"/>
  <c r="AN70" i="10" s="1"/>
  <c r="AB79" i="10"/>
  <c r="AN120" i="10"/>
  <c r="AN79" i="10" s="1"/>
  <c r="AN113" i="10"/>
  <c r="AM76" i="10"/>
  <c r="AN117" i="10"/>
  <c r="AN76" i="10" s="1"/>
  <c r="AN115" i="10"/>
  <c r="AN74" i="10" s="1"/>
  <c r="AN114" i="10"/>
  <c r="AN73" i="10" s="1"/>
  <c r="C21" i="14"/>
  <c r="C31" i="14" s="1"/>
  <c r="AN80" i="10"/>
  <c r="G21" i="14"/>
  <c r="D19" i="7"/>
  <c r="D18" i="7"/>
  <c r="D16" i="7"/>
  <c r="D22" i="7"/>
  <c r="C21" i="21"/>
  <c r="D20" i="7"/>
  <c r="D21" i="7"/>
  <c r="D17" i="7"/>
  <c r="N64" i="11"/>
  <c r="C12" i="11" s="1"/>
  <c r="D19" i="11" s="1"/>
  <c r="C10" i="10"/>
  <c r="H10" i="10" s="1"/>
  <c r="E28" i="11"/>
  <c r="G28" i="11" s="1"/>
  <c r="J28" i="11" s="1"/>
  <c r="E9" i="11"/>
  <c r="J9" i="11"/>
  <c r="X76" i="11"/>
  <c r="A18" i="21"/>
  <c r="A19" i="21" s="1"/>
  <c r="A20" i="21" s="1"/>
  <c r="A21" i="21" s="1"/>
  <c r="A22" i="21" s="1"/>
  <c r="A23" i="21" s="1"/>
  <c r="A24" i="21" s="1"/>
  <c r="A25" i="21" s="1"/>
  <c r="A26" i="21" s="1"/>
  <c r="A27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Z69" i="10"/>
  <c r="E11" i="10"/>
  <c r="J11" i="10" s="1"/>
  <c r="AB80" i="10"/>
  <c r="AB72" i="10"/>
  <c r="Z72" i="10"/>
  <c r="AM124" i="10"/>
  <c r="AB71" i="10"/>
  <c r="E25" i="10"/>
  <c r="AM74" i="10"/>
  <c r="AM72" i="10"/>
  <c r="AM78" i="10"/>
  <c r="C26" i="10"/>
  <c r="D53" i="1" s="1"/>
  <c r="AK82" i="10"/>
  <c r="N83" i="11"/>
  <c r="E18" i="11" s="1"/>
  <c r="C22" i="7"/>
  <c r="D27" i="7"/>
  <c r="A31" i="15"/>
  <c r="A32" i="15" s="1"/>
  <c r="A33" i="15" s="1"/>
  <c r="A34" i="15" s="1"/>
  <c r="A35" i="15" s="1"/>
  <c r="A37" i="15" s="1"/>
  <c r="D18" i="14"/>
  <c r="A21" i="14"/>
  <c r="A22" i="14" s="1"/>
  <c r="A23" i="14" s="1"/>
  <c r="A24" i="14" s="1"/>
  <c r="A25" i="14" s="1"/>
  <c r="A26" i="14" s="1"/>
  <c r="A27" i="14" s="1"/>
  <c r="A28" i="14" s="1"/>
  <c r="H18" i="14"/>
  <c r="E28" i="14"/>
  <c r="D28" i="14" s="1"/>
  <c r="E11" i="15"/>
  <c r="E13" i="7"/>
  <c r="C14" i="4"/>
  <c r="D23" i="15"/>
  <c r="D25" i="15" s="1"/>
  <c r="H26" i="14"/>
  <c r="H28" i="14" s="1"/>
  <c r="G28" i="14"/>
  <c r="C14" i="2"/>
  <c r="BB62" i="14"/>
  <c r="BD62" i="14" s="1"/>
  <c r="AZ71" i="14"/>
  <c r="BB71" i="14" s="1"/>
  <c r="BD71" i="14" s="1"/>
  <c r="E35" i="1"/>
  <c r="O83" i="11"/>
  <c r="E21" i="11" s="1"/>
  <c r="S83" i="11"/>
  <c r="H33" i="14"/>
  <c r="AW67" i="14"/>
  <c r="AZ68" i="14"/>
  <c r="BB68" i="14" s="1"/>
  <c r="BD68" i="14" s="1"/>
  <c r="AZ69" i="14"/>
  <c r="BB69" i="14" s="1"/>
  <c r="BD69" i="14" s="1"/>
  <c r="AW65" i="14"/>
  <c r="Z544" i="10"/>
  <c r="AB530" i="10"/>
  <c r="AN530" i="10" s="1"/>
  <c r="AZ67" i="14"/>
  <c r="BB67" i="14" s="1"/>
  <c r="BD67" i="14" s="1"/>
  <c r="AB538" i="10"/>
  <c r="AZ70" i="14"/>
  <c r="BB70" i="14" s="1"/>
  <c r="BD70" i="14" s="1"/>
  <c r="AZ66" i="14"/>
  <c r="BB66" i="14" s="1"/>
  <c r="BD66" i="14" s="1"/>
  <c r="AW63" i="14"/>
  <c r="AT74" i="14"/>
  <c r="U83" i="4"/>
  <c r="H10" i="14"/>
  <c r="AW64" i="14"/>
  <c r="AZ65" i="14"/>
  <c r="BB65" i="14" s="1"/>
  <c r="BD65" i="14" s="1"/>
  <c r="S100" i="10"/>
  <c r="E19" i="10" s="1"/>
  <c r="X82" i="10"/>
  <c r="AZ64" i="14"/>
  <c r="BB64" i="14" s="1"/>
  <c r="BD64" i="14" s="1"/>
  <c r="AZ73" i="14"/>
  <c r="BB73" i="14" s="1"/>
  <c r="BD73" i="14" s="1"/>
  <c r="AU74" i="14"/>
  <c r="AW71" i="14"/>
  <c r="AW62" i="14"/>
  <c r="AS74" i="14"/>
  <c r="AN152" i="10"/>
  <c r="J21" i="11" l="1"/>
  <c r="D21" i="11"/>
  <c r="J25" i="10"/>
  <c r="J19" i="10"/>
  <c r="M19" i="10" s="1"/>
  <c r="D19" i="10"/>
  <c r="D20" i="11"/>
  <c r="J18" i="11"/>
  <c r="D18" i="11"/>
  <c r="E14" i="7"/>
  <c r="E26" i="7" s="1"/>
  <c r="E32" i="7" s="1"/>
  <c r="D42" i="14"/>
  <c r="D44" i="14"/>
  <c r="D40" i="14"/>
  <c r="D39" i="14"/>
  <c r="H26" i="10"/>
  <c r="K26" i="10"/>
  <c r="C27" i="11"/>
  <c r="C29" i="11" s="1"/>
  <c r="C16" i="11"/>
  <c r="AB77" i="10"/>
  <c r="AN538" i="10"/>
  <c r="AN77" i="10" s="1"/>
  <c r="AN704" i="10"/>
  <c r="AN614" i="10"/>
  <c r="AN69" i="10" s="1"/>
  <c r="AN72" i="10"/>
  <c r="AN200" i="10"/>
  <c r="E20" i="10"/>
  <c r="E54" i="1" s="1"/>
  <c r="D28" i="1"/>
  <c r="G31" i="14"/>
  <c r="E26" i="10"/>
  <c r="J26" i="10" s="1"/>
  <c r="Q62" i="11"/>
  <c r="E10" i="10"/>
  <c r="E53" i="1" s="1"/>
  <c r="K10" i="10"/>
  <c r="M10" i="10" s="1"/>
  <c r="A39" i="2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J12" i="10"/>
  <c r="H20" i="10"/>
  <c r="M11" i="10"/>
  <c r="E12" i="11"/>
  <c r="J12" i="11" s="1"/>
  <c r="AB69" i="10"/>
  <c r="Z75" i="10"/>
  <c r="Z82" i="10" s="1"/>
  <c r="AM82" i="10"/>
  <c r="A38" i="15"/>
  <c r="A39" i="15" s="1"/>
  <c r="A40" i="15" s="1"/>
  <c r="A29" i="14"/>
  <c r="A30" i="14" s="1"/>
  <c r="A31" i="14" s="1"/>
  <c r="A32" i="14" s="1"/>
  <c r="A33" i="14" s="1"/>
  <c r="E20" i="14"/>
  <c r="H20" i="14"/>
  <c r="H21" i="14" s="1"/>
  <c r="AB544" i="10"/>
  <c r="AN116" i="10"/>
  <c r="AZ63" i="14"/>
  <c r="AW74" i="14"/>
  <c r="C38" i="1"/>
  <c r="C40" i="1" s="1"/>
  <c r="C43" i="1" s="1"/>
  <c r="C58" i="1" s="1"/>
  <c r="C62" i="1" s="1"/>
  <c r="E11" i="4"/>
  <c r="E12" i="4" s="1"/>
  <c r="E16" i="1" s="1"/>
  <c r="E26" i="15"/>
  <c r="D49" i="1" l="1"/>
  <c r="J10" i="10"/>
  <c r="P10" i="10"/>
  <c r="R10" i="10" s="1"/>
  <c r="S10" i="10" s="1"/>
  <c r="E41" i="2"/>
  <c r="D37" i="2"/>
  <c r="C20" i="21"/>
  <c r="H16" i="11"/>
  <c r="AN746" i="10"/>
  <c r="AN578" i="10"/>
  <c r="AN452" i="10"/>
  <c r="E23" i="10"/>
  <c r="E12" i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M26" i="10"/>
  <c r="M25" i="10"/>
  <c r="H22" i="11"/>
  <c r="AB75" i="10"/>
  <c r="AB82" i="10" s="1"/>
  <c r="T83" i="11"/>
  <c r="U83" i="11"/>
  <c r="R62" i="11"/>
  <c r="A41" i="15"/>
  <c r="E21" i="14"/>
  <c r="E47" i="14" s="1"/>
  <c r="G44" i="7"/>
  <c r="C37" i="15"/>
  <c r="D22" i="1"/>
  <c r="BB63" i="14"/>
  <c r="BD63" i="14" s="1"/>
  <c r="AZ74" i="14"/>
  <c r="BB74" i="14" s="1"/>
  <c r="BD74" i="14" s="1"/>
  <c r="E27" i="11"/>
  <c r="G27" i="11" s="1"/>
  <c r="J27" i="11" s="1"/>
  <c r="E49" i="14" l="1"/>
  <c r="E31" i="10"/>
  <c r="J48" i="10"/>
  <c r="J59" i="10" s="1"/>
  <c r="K59" i="10" s="1"/>
  <c r="E28" i="1"/>
  <c r="A47" i="14"/>
  <c r="A48" i="14" s="1"/>
  <c r="A49" i="14" s="1"/>
  <c r="A50" i="14" s="1"/>
  <c r="A51" i="14" s="1"/>
  <c r="A52" i="14" s="1"/>
  <c r="E29" i="11"/>
  <c r="G29" i="11" s="1"/>
  <c r="J29" i="11" s="1"/>
  <c r="C13" i="21"/>
  <c r="AN75" i="10"/>
  <c r="AN82" i="10" s="1"/>
  <c r="E29" i="1"/>
  <c r="E55" i="1"/>
  <c r="J36" i="14"/>
  <c r="J22" i="1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K20" i="10"/>
  <c r="N20" i="10" s="1"/>
  <c r="M12" i="10"/>
  <c r="J20" i="10"/>
  <c r="V83" i="11"/>
  <c r="W62" i="11"/>
  <c r="E48" i="10" l="1"/>
  <c r="G60" i="10"/>
  <c r="J60" i="10"/>
  <c r="J23" i="10"/>
  <c r="E30" i="1"/>
  <c r="W83" i="11"/>
  <c r="X83" i="11"/>
  <c r="E13" i="1"/>
  <c r="E22" i="11" l="1"/>
  <c r="E51" i="1" s="1"/>
  <c r="J28" i="14"/>
  <c r="J18" i="14"/>
  <c r="J31" i="10"/>
  <c r="M20" i="10"/>
  <c r="N9" i="20" l="1"/>
  <c r="N18" i="20" s="1"/>
  <c r="N24" i="20"/>
  <c r="N27" i="20" s="1"/>
  <c r="N29" i="20" s="1"/>
  <c r="C24" i="21"/>
  <c r="C14" i="21"/>
  <c r="M23" i="10"/>
  <c r="I18" i="14"/>
  <c r="I20" i="14" s="1"/>
  <c r="J20" i="14" s="1"/>
  <c r="J21" i="14" s="1"/>
  <c r="H25" i="15"/>
  <c r="P24" i="20" l="1"/>
  <c r="P27" i="20" s="1"/>
  <c r="P29" i="20" s="1"/>
  <c r="F10" i="20"/>
  <c r="P9" i="20"/>
  <c r="P18" i="20" s="1"/>
  <c r="I25" i="15"/>
  <c r="M31" i="10"/>
  <c r="R9" i="20" l="1"/>
  <c r="R18" i="20" s="1"/>
  <c r="R24" i="20"/>
  <c r="R27" i="20" s="1"/>
  <c r="R29" i="20" s="1"/>
  <c r="M32" i="10"/>
  <c r="T9" i="20" l="1"/>
  <c r="T18" i="20" s="1"/>
  <c r="T24" i="20"/>
  <c r="T27" i="20" s="1"/>
  <c r="T29" i="20" s="1"/>
  <c r="V9" i="20" l="1"/>
  <c r="V18" i="20" s="1"/>
  <c r="V24" i="20"/>
  <c r="V27" i="20" s="1"/>
  <c r="V29" i="20" s="1"/>
  <c r="H43" i="7"/>
  <c r="X9" i="20" l="1"/>
  <c r="X18" i="20" s="1"/>
  <c r="X24" i="20"/>
  <c r="X27" i="20" s="1"/>
  <c r="X29" i="20" s="1"/>
  <c r="H42" i="7"/>
  <c r="H41" i="7"/>
  <c r="H39" i="7"/>
  <c r="H40" i="7"/>
  <c r="Z9" i="20" l="1"/>
  <c r="Z18" i="20" s="1"/>
  <c r="Z24" i="20"/>
  <c r="Z27" i="20" s="1"/>
  <c r="K41" i="7"/>
  <c r="H44" i="7"/>
  <c r="AB9" i="20" l="1"/>
  <c r="AB18" i="20" s="1"/>
  <c r="AB24" i="20"/>
  <c r="AB27" i="20" s="1"/>
  <c r="H43" i="14"/>
  <c r="H41" i="14"/>
  <c r="K42" i="7"/>
  <c r="K43" i="7"/>
  <c r="K40" i="7"/>
  <c r="K39" i="7"/>
  <c r="AD9" i="20" l="1"/>
  <c r="AD18" i="20" s="1"/>
  <c r="AD24" i="20"/>
  <c r="AD27" i="20" s="1"/>
  <c r="J43" i="14"/>
  <c r="J41" i="14"/>
  <c r="K44" i="7"/>
  <c r="AF9" i="20" l="1"/>
  <c r="AF18" i="20" s="1"/>
  <c r="AF24" i="20"/>
  <c r="AF27" i="20" s="1"/>
  <c r="AF29" i="20" s="1"/>
  <c r="I45" i="14"/>
  <c r="AH9" i="20" l="1"/>
  <c r="AH24" i="20"/>
  <c r="AH27" i="20" s="1"/>
  <c r="AH29" i="20" s="1"/>
  <c r="AH18" i="20" l="1"/>
  <c r="F18" i="20" l="1"/>
  <c r="E42" i="1" s="1"/>
  <c r="N22" i="13" l="1"/>
  <c r="N34" i="13"/>
  <c r="N90" i="13"/>
  <c r="N58" i="13"/>
  <c r="N26" i="13"/>
  <c r="N93" i="13"/>
  <c r="N100" i="13"/>
  <c r="N49" i="13"/>
  <c r="N94" i="13"/>
  <c r="N24" i="13"/>
  <c r="N54" i="13"/>
  <c r="N80" i="13"/>
  <c r="N74" i="13"/>
  <c r="N16" i="13"/>
  <c r="N86" i="13"/>
  <c r="N43" i="13"/>
  <c r="N41" i="13"/>
  <c r="N25" i="13"/>
  <c r="N42" i="13"/>
  <c r="N38" i="13"/>
  <c r="N21" i="13"/>
  <c r="N36" i="13"/>
  <c r="N75" i="13"/>
  <c r="N95" i="13"/>
  <c r="N84" i="13"/>
  <c r="N78" i="13"/>
  <c r="N44" i="13"/>
  <c r="N35" i="13"/>
  <c r="N63" i="13"/>
  <c r="N60" i="13"/>
  <c r="N81" i="13"/>
  <c r="N37" i="13"/>
  <c r="N31" i="13"/>
  <c r="N66" i="13"/>
  <c r="N33" i="13"/>
  <c r="N46" i="13"/>
  <c r="N85" i="13"/>
  <c r="N50" i="13"/>
  <c r="N45" i="13"/>
  <c r="N98" i="13"/>
  <c r="N62" i="13"/>
  <c r="N52" i="13"/>
  <c r="N65" i="13"/>
  <c r="N19" i="13"/>
  <c r="N53" i="13"/>
  <c r="N77" i="13"/>
  <c r="N18" i="13"/>
  <c r="N17" i="13"/>
  <c r="N59" i="13"/>
  <c r="N51" i="13"/>
  <c r="N88" i="13"/>
  <c r="N101" i="13" l="1"/>
  <c r="L14" i="13" l="1"/>
  <c r="L101" i="13" s="1"/>
  <c r="L20" i="20" l="1"/>
  <c r="L17" i="20"/>
  <c r="N8" i="20" l="1"/>
  <c r="N17" i="20" s="1"/>
  <c r="F9" i="20" s="1"/>
  <c r="P8" i="20" l="1"/>
  <c r="P17" i="20" s="1"/>
  <c r="R8" i="20" s="1"/>
  <c r="N10" i="20"/>
  <c r="N20" i="20" s="1"/>
  <c r="P10" i="20" l="1"/>
  <c r="P20" i="20" s="1"/>
  <c r="R17" i="20"/>
  <c r="R10" i="20"/>
  <c r="R20" i="20" l="1"/>
  <c r="P22" i="20"/>
  <c r="T8" i="20"/>
  <c r="T17" i="20" s="1"/>
  <c r="V8" i="20" s="1"/>
  <c r="T10" i="20" l="1"/>
  <c r="T20" i="20" s="1"/>
  <c r="V10" i="20"/>
  <c r="V20" i="20" s="1"/>
  <c r="V17" i="20"/>
  <c r="X8" i="20" s="1"/>
  <c r="X17" i="20" l="1"/>
  <c r="X10" i="20"/>
  <c r="X20" i="20" s="1"/>
  <c r="Z8" i="20" l="1"/>
  <c r="Z17" i="20"/>
  <c r="AB8" i="20" s="1"/>
  <c r="Z10" i="20"/>
  <c r="Z20" i="20" s="1"/>
  <c r="AB10" i="20" l="1"/>
  <c r="AB20" i="20" s="1"/>
  <c r="AB17" i="20"/>
  <c r="AD8" i="20" s="1"/>
  <c r="AD17" i="20" l="1"/>
  <c r="AF8" i="20" s="1"/>
  <c r="AD10" i="20"/>
  <c r="AD20" i="20" s="1"/>
  <c r="E98" i="13"/>
  <c r="E101" i="13" l="1"/>
  <c r="AF17" i="20"/>
  <c r="AH8" i="20" s="1"/>
  <c r="AF10" i="20"/>
  <c r="AF20" i="20" s="1"/>
  <c r="AF22" i="20" s="1"/>
  <c r="C16" i="21"/>
  <c r="F15" i="20" l="1"/>
  <c r="E103" i="13"/>
  <c r="E106" i="13" s="1"/>
  <c r="F102" i="13"/>
  <c r="AH17" i="20"/>
  <c r="AH10" i="20"/>
  <c r="AH20" i="20" s="1"/>
  <c r="D38" i="1" l="1"/>
  <c r="D40" i="1" s="1"/>
  <c r="D43" i="1" s="1"/>
  <c r="O109" i="13"/>
  <c r="D56" i="1"/>
  <c r="F11" i="20"/>
  <c r="F17" i="20"/>
  <c r="E41" i="1" s="1"/>
  <c r="D58" i="1" l="1"/>
  <c r="D62" i="1" s="1"/>
  <c r="E43" i="15" l="1"/>
  <c r="E45" i="15" s="1"/>
  <c r="E23" i="1"/>
  <c r="E22" i="1" l="1"/>
  <c r="E38" i="1" l="1"/>
  <c r="E24" i="1"/>
  <c r="C10" i="21" l="1"/>
  <c r="E17" i="1" l="1"/>
  <c r="E39" i="4"/>
  <c r="E41" i="4" s="1"/>
  <c r="AH40" i="20"/>
  <c r="E39" i="1" l="1"/>
  <c r="E40" i="1" s="1"/>
  <c r="E43" i="1" s="1"/>
  <c r="E18" i="1"/>
  <c r="C11" i="21" l="1"/>
  <c r="G39" i="14" l="1"/>
  <c r="G42" i="14"/>
  <c r="G40" i="14"/>
  <c r="G44" i="14"/>
  <c r="K105" i="13"/>
  <c r="L105" i="13" s="1"/>
  <c r="N105" i="13" s="1"/>
  <c r="L102" i="13"/>
  <c r="L103" i="13" l="1"/>
  <c r="L106" i="13" s="1"/>
  <c r="N102" i="13"/>
  <c r="N103" i="13" s="1"/>
  <c r="N106" i="13" s="1"/>
  <c r="H42" i="14"/>
  <c r="I42" i="14"/>
  <c r="J42" i="14" s="1"/>
  <c r="H44" i="14"/>
  <c r="I44" i="14"/>
  <c r="J44" i="14" s="1"/>
  <c r="H39" i="14"/>
  <c r="I39" i="14"/>
  <c r="J39" i="14" s="1"/>
  <c r="I40" i="14"/>
  <c r="J40" i="14" s="1"/>
  <c r="H40" i="14"/>
  <c r="J45" i="14" l="1"/>
  <c r="J49" i="14" s="1"/>
  <c r="H45" i="14"/>
  <c r="H49" i="14" s="1"/>
  <c r="G49" i="14" s="1"/>
  <c r="F10" i="12" l="1"/>
  <c r="E10" i="12" s="1"/>
  <c r="H27" i="12"/>
  <c r="C25" i="21" l="1"/>
  <c r="F17" i="12"/>
  <c r="E46" i="1" l="1"/>
  <c r="E48" i="1" s="1"/>
  <c r="C15" i="21"/>
  <c r="E11" i="11" l="1"/>
  <c r="E49" i="1" s="1"/>
  <c r="E52" i="1" s="1"/>
  <c r="E56" i="1" s="1"/>
  <c r="E58" i="1" s="1"/>
  <c r="E62" i="1" s="1"/>
  <c r="I63" i="11" l="1"/>
  <c r="J63" i="11" s="1"/>
  <c r="E24" i="11"/>
  <c r="F39" i="11" l="1"/>
  <c r="C22" i="21"/>
  <c r="G24" i="11"/>
  <c r="E30" i="11"/>
  <c r="C26" i="21" l="1"/>
  <c r="C29" i="21" s="1"/>
  <c r="C12" i="21"/>
  <c r="D39" i="11"/>
  <c r="J24" i="11"/>
  <c r="G30" i="11"/>
  <c r="C43" i="21" l="1"/>
  <c r="C17" i="21"/>
  <c r="J30" i="11"/>
  <c r="C45" i="21" l="1"/>
  <c r="C50" i="21"/>
</calcChain>
</file>

<file path=xl/sharedStrings.xml><?xml version="1.0" encoding="utf-8"?>
<sst xmlns="http://schemas.openxmlformats.org/spreadsheetml/2006/main" count="4634" uniqueCount="1171">
  <si>
    <t>KENERGY CORP.</t>
  </si>
  <si>
    <t>(a)</t>
  </si>
  <si>
    <t>(b)</t>
  </si>
  <si>
    <t>(c)</t>
  </si>
  <si>
    <t>(d)</t>
  </si>
  <si>
    <t>(e)</t>
  </si>
  <si>
    <t>(f)</t>
  </si>
  <si>
    <t>(h)</t>
  </si>
  <si>
    <t>REVENUE</t>
  </si>
  <si>
    <t>WHOLESALE</t>
  </si>
  <si>
    <t>AVG. NO.</t>
  </si>
  <si>
    <t>KWH</t>
  </si>
  <si>
    <t>BILLED</t>
  </si>
  <si>
    <t>RATE</t>
  </si>
  <si>
    <t>CUSTOMERS</t>
  </si>
  <si>
    <t>ADJUSTMENT</t>
  </si>
  <si>
    <t>Residential - Single &amp; Three Phase</t>
  </si>
  <si>
    <t>Commercial &amp; Public Bldgs - Three</t>
  </si>
  <si>
    <t>Phase(Under 1000 KW)</t>
  </si>
  <si>
    <t xml:space="preserve">Commercial - Three-Phase </t>
  </si>
  <si>
    <t>Total direct serves</t>
  </si>
  <si>
    <t>Subtotal - all</t>
  </si>
  <si>
    <t>Misc. Revenues</t>
  </si>
  <si>
    <t>NA</t>
  </si>
  <si>
    <t>Total All</t>
  </si>
  <si>
    <t xml:space="preserve">KWH </t>
  </si>
  <si>
    <t>NORMALIZED</t>
  </si>
  <si>
    <t>Commercial and all other single phase</t>
  </si>
  <si>
    <t>(g)</t>
  </si>
  <si>
    <t>(i)</t>
  </si>
  <si>
    <t>(k)</t>
  </si>
  <si>
    <t>Base Rate</t>
  </si>
  <si>
    <t>Subtotal</t>
  </si>
  <si>
    <t>Total Non direct served - Billings</t>
  </si>
  <si>
    <t>Total Non direct served - booked</t>
  </si>
  <si>
    <t>Line</t>
  </si>
  <si>
    <t>No.</t>
  </si>
  <si>
    <t>year-end level</t>
  </si>
  <si>
    <t>at</t>
  </si>
  <si>
    <t>Present</t>
  </si>
  <si>
    <t>of customers</t>
  </si>
  <si>
    <t>Normalized</t>
  </si>
  <si>
    <t>Customer charge:</t>
  </si>
  <si>
    <t>(1)</t>
  </si>
  <si>
    <t>Number of bills per books with customer charge</t>
  </si>
  <si>
    <t>plus yard light only bills(no customer charge)</t>
  </si>
  <si>
    <t>Total bills issued per books</t>
  </si>
  <si>
    <t>Energy Charge:</t>
  </si>
  <si>
    <t>Kwh booked</t>
  </si>
  <si>
    <t>Revenue per books</t>
  </si>
  <si>
    <t>(j)</t>
  </si>
  <si>
    <t>(l)</t>
  </si>
  <si>
    <t>(m)</t>
  </si>
  <si>
    <t>Customer charge</t>
  </si>
  <si>
    <t>Demand charge per kw</t>
  </si>
  <si>
    <t>Energy charge:</t>
  </si>
  <si>
    <t>1st 200kwh per kw</t>
  </si>
  <si>
    <t>Next 200kwh per kw</t>
  </si>
  <si>
    <t>Over 400kwh per kw</t>
  </si>
  <si>
    <t>Subtotal energy:</t>
  </si>
  <si>
    <t>Primary meter discount per kw</t>
  </si>
  <si>
    <t>Power factor penalty per kw</t>
  </si>
  <si>
    <t>Adjustment for revenue difference</t>
  </si>
  <si>
    <t>Revenue per Books</t>
  </si>
  <si>
    <t xml:space="preserve">Line </t>
  </si>
  <si>
    <t xml:space="preserve">At rates in </t>
  </si>
  <si>
    <t>High load factor:</t>
  </si>
  <si>
    <t>next 200kwh per kw</t>
  </si>
  <si>
    <t>over 400kwh per kw</t>
  </si>
  <si>
    <t>Subtotal energy - high lf</t>
  </si>
  <si>
    <t>Low load factor:</t>
  </si>
  <si>
    <t>1st 150kwh per kw</t>
  </si>
  <si>
    <t>Over 150kwh per kw</t>
  </si>
  <si>
    <t>Subtotal energy - low lf</t>
  </si>
  <si>
    <t>Primary Meter discount</t>
  </si>
  <si>
    <t>DESCRIPTION</t>
  </si>
  <si>
    <t>Account</t>
  </si>
  <si>
    <t>Description</t>
  </si>
  <si>
    <t>Test Year</t>
  </si>
  <si>
    <t>Proforma</t>
  </si>
  <si>
    <t>Charges</t>
  </si>
  <si>
    <t>Revenue</t>
  </si>
  <si>
    <t>Adjustment</t>
  </si>
  <si>
    <t>Amount</t>
  </si>
  <si>
    <t>Percent</t>
  </si>
  <si>
    <t>Forfeited Discounts</t>
  </si>
  <si>
    <t>Forfeited Discounts - Class B</t>
  </si>
  <si>
    <t>Forfeited Discounts - Class C</t>
  </si>
  <si>
    <t>Subtotal - Forfeited Discounts</t>
  </si>
  <si>
    <t>Special Charges:</t>
  </si>
  <si>
    <t xml:space="preserve">Reconnect Charge - Regular  </t>
  </si>
  <si>
    <t xml:space="preserve">Reconnect Charge - After hours </t>
  </si>
  <si>
    <t xml:space="preserve">Terminate Service Charge </t>
  </si>
  <si>
    <t xml:space="preserve">Meter Reading Charge </t>
  </si>
  <si>
    <t xml:space="preserve">Meter Test Charge </t>
  </si>
  <si>
    <t>Revenue - Returned check charge</t>
  </si>
  <si>
    <t>Subtotal - Special Charges</t>
  </si>
  <si>
    <t>Revenue from Various Companies</t>
  </si>
  <si>
    <t>Subtotal  - Tower Leases</t>
  </si>
  <si>
    <t>Cable Attachment Fees - 2 Party Pole</t>
  </si>
  <si>
    <t>Cable Attachment Fees - 3 Party Pole</t>
  </si>
  <si>
    <t>Subtotal - Cable Attachment Fees</t>
  </si>
  <si>
    <t>Fiber Optic Attachment Fees:</t>
  </si>
  <si>
    <t>Revenue from Fiber Optic attachments</t>
  </si>
  <si>
    <t>Subtotal - Fiber Optic Attachment Fees</t>
  </si>
  <si>
    <t>Revenue- Rental from Personal Property</t>
  </si>
  <si>
    <t>Revenue- Sturgis Sub-Lease</t>
  </si>
  <si>
    <t>Sales Tax Compensation Fees</t>
  </si>
  <si>
    <t>TOTAL</t>
  </si>
  <si>
    <t>Total Class A</t>
  </si>
  <si>
    <t>Direct served (Class B) - base rate</t>
  </si>
  <si>
    <t>Total Class B</t>
  </si>
  <si>
    <t>Total Class C</t>
  </si>
  <si>
    <t>(exc. YDL only)</t>
  </si>
  <si>
    <t>(1001 KW and over)</t>
  </si>
  <si>
    <t>Wholesale</t>
  </si>
  <si>
    <t>Distribution</t>
  </si>
  <si>
    <t>Test year amounts</t>
  </si>
  <si>
    <t>Normalized amounts</t>
  </si>
  <si>
    <t>Proposed amounts</t>
  </si>
  <si>
    <t>Retail fee:</t>
  </si>
  <si>
    <t>Other charges and credits</t>
  </si>
  <si>
    <t>Direct served (Class A) - base rate</t>
  </si>
  <si>
    <t>TEST YEAR DATA</t>
  </si>
  <si>
    <t>column c</t>
  </si>
  <si>
    <t>Proposed</t>
  </si>
  <si>
    <t>Rate</t>
  </si>
  <si>
    <t>KWH booked</t>
  </si>
  <si>
    <t>except unwind</t>
  </si>
  <si>
    <t>factors Normalized</t>
  </si>
  <si>
    <t>adjustment to</t>
  </si>
  <si>
    <t>year end level</t>
  </si>
  <si>
    <t>number of bills per consumption analysis</t>
  </si>
  <si>
    <t>Number of bills with customer charge</t>
  </si>
  <si>
    <t>-</t>
  </si>
  <si>
    <t>Demand charge per kw per consumption</t>
  </si>
  <si>
    <t>kwh per consumption analysis:</t>
  </si>
  <si>
    <t>Monthly</t>
  </si>
  <si>
    <t xml:space="preserve">Number </t>
  </si>
  <si>
    <t>Assigned</t>
  </si>
  <si>
    <t>kwh</t>
  </si>
  <si>
    <t>billed</t>
  </si>
  <si>
    <t>kwh/light</t>
  </si>
  <si>
    <t>rate</t>
  </si>
  <si>
    <t>Private Outdoor Lighting</t>
  </si>
  <si>
    <t>Tariff sheet 15</t>
  </si>
  <si>
    <t xml:space="preserve">Standard(served overhead) </t>
  </si>
  <si>
    <t>7000 LUMEN-175W-MERCURY VAPOR</t>
  </si>
  <si>
    <t>12000 LUMEN-250W-MERCURY VAPOR</t>
  </si>
  <si>
    <t>20000 LUMEN-400W-MERCURY VAPOR</t>
  </si>
  <si>
    <t>9500 LUMEN-100W-HPS</t>
  </si>
  <si>
    <t>61000 LUMEN-400W-HPS-FLOOD LGT</t>
  </si>
  <si>
    <t>Tariff sheet 15A</t>
  </si>
  <si>
    <t>Commercial and Industrial Lighting</t>
  </si>
  <si>
    <t>Flood Lighting Fixture</t>
  </si>
  <si>
    <t>28000 LUMEN HPS-250W-FLOOD LGT</t>
  </si>
  <si>
    <t>140000 LUM-1000W-HPS-FLOOD LGT</t>
  </si>
  <si>
    <t>19500 LUMEN-250W-MH-FLOOD LGT</t>
  </si>
  <si>
    <t>32000 LUMEN-400W-MH-FLOOD LGT</t>
  </si>
  <si>
    <t>107000 LUM-1000W-MH-FLOOD LGT</t>
  </si>
  <si>
    <t>Contemporary(Shoebox)</t>
  </si>
  <si>
    <t>28000 LUMEN-250W-HPS SHOEBOX</t>
  </si>
  <si>
    <t>61000 LUMEN-400W-HPS SHOEBOX</t>
  </si>
  <si>
    <t>19500 LUMEN-250W-MH SHOEBOX</t>
  </si>
  <si>
    <t>32000 LUMENS-400W-MH SHOEBOX</t>
  </si>
  <si>
    <t>107000 LUMENS-1000W-MH SHOEBOX</t>
  </si>
  <si>
    <t>Decorative Lighting</t>
  </si>
  <si>
    <t>16600 LUM-175W-MH ACORN GLOBE</t>
  </si>
  <si>
    <t>16600 LUM-175W-MH ROUND GLOBE</t>
  </si>
  <si>
    <t>16600 LUM-175W-MH LANTERN GLOBE</t>
  </si>
  <si>
    <t>Tariff sheet 15B</t>
  </si>
  <si>
    <t>Pedestal Mounted Pole</t>
  </si>
  <si>
    <t>STEEL 25 FT PEDESTAL MT POLE</t>
  </si>
  <si>
    <t>STEEL 30 FT PEDESTAL MT POLE</t>
  </si>
  <si>
    <t>STEEL 39 FT PEDESTAL MT POLE</t>
  </si>
  <si>
    <t>WOOD 30 FT DIRECT BURIAL POLE</t>
  </si>
  <si>
    <t>ALUMINUM 28 FT DIRECT BURIAL</t>
  </si>
  <si>
    <t>FLUTED FIBERGLASS 15 FT POLE</t>
  </si>
  <si>
    <t>FLUTED ALUMINUM 14FT POLE</t>
  </si>
  <si>
    <t>Street Lighting Service</t>
  </si>
  <si>
    <t>Tariff sheet 16</t>
  </si>
  <si>
    <t>9500 LUMEN-100W-HPS STREET LGT</t>
  </si>
  <si>
    <t>27000 LUMEN-250W-HPS ST LIGHT</t>
  </si>
  <si>
    <t>Tariff sheet 16A</t>
  </si>
  <si>
    <t>Underground service with non-std. pole</t>
  </si>
  <si>
    <t>UG NON-STD POLE-GOVT &amp; DISTRICT</t>
  </si>
  <si>
    <t>Overhead service to street lighting districts</t>
  </si>
  <si>
    <t>OH FAC-STREET LIGHT DISTRICT</t>
  </si>
  <si>
    <t>Decorative Underground service</t>
  </si>
  <si>
    <t>6300 LUMEN-DECOR-70W-HPS ACORN</t>
  </si>
  <si>
    <t>6300 LUM DECOR-70W-HPS LANTERN</t>
  </si>
  <si>
    <t>12600 LUM HPS-70W-2 DECOR FIX</t>
  </si>
  <si>
    <t>Special street lighting districts</t>
  </si>
  <si>
    <t>BASKETT STREET LIGHTING</t>
  </si>
  <si>
    <t>MEADOW HILL STREET LIGHTING</t>
  </si>
  <si>
    <t>SPOTTSVILLE STREET LIGHTING</t>
  </si>
  <si>
    <t>Energy charge per kwh</t>
  </si>
  <si>
    <t>Charges related to providing backup power</t>
  </si>
  <si>
    <t>for the Cogeneration load:</t>
  </si>
  <si>
    <t>Energy generated at site - retail adder</t>
  </si>
  <si>
    <t>PROPOSED</t>
  </si>
  <si>
    <t>Wholesale charges:</t>
  </si>
  <si>
    <t>Power cost per books</t>
  </si>
  <si>
    <t>Retail adder:</t>
  </si>
  <si>
    <t>Energy charge per kwh(line 4 plus 14 col.b)</t>
  </si>
  <si>
    <t>Energy charge per kwh(line 4 col. B</t>
  </si>
  <si>
    <t>KWH Total @</t>
  </si>
  <si>
    <t>kw</t>
  </si>
  <si>
    <t>test year</t>
  </si>
  <si>
    <t>Power cost per account 555</t>
  </si>
  <si>
    <t>cost related to</t>
  </si>
  <si>
    <t>Add power</t>
  </si>
  <si>
    <t>wholesale</t>
  </si>
  <si>
    <t xml:space="preserve"> </t>
  </si>
  <si>
    <t>MONTH</t>
  </si>
  <si>
    <t>ALERIS INTERNATIONAL</t>
  </si>
  <si>
    <t xml:space="preserve">Total </t>
  </si>
  <si>
    <t>Total</t>
  </si>
  <si>
    <t>ACTUAL</t>
  </si>
  <si>
    <t>DEMAND</t>
  </si>
  <si>
    <t>ENERGY</t>
  </si>
  <si>
    <t>FUEL</t>
  </si>
  <si>
    <t>ENVIRONMENTAL</t>
  </si>
  <si>
    <t>UNWIND</t>
  </si>
  <si>
    <t>KW</t>
  </si>
  <si>
    <t>LF</t>
  </si>
  <si>
    <t>ADJ</t>
  </si>
  <si>
    <t>SURCHARGE</t>
  </si>
  <si>
    <t>SURCREDIT</t>
  </si>
  <si>
    <t>=</t>
  </si>
  <si>
    <t>Revenue per consumption analysis</t>
  </si>
  <si>
    <t>Revenue per bks</t>
  </si>
  <si>
    <t>Pwr cost per bks</t>
  </si>
  <si>
    <t>Rev. per bks</t>
  </si>
  <si>
    <t>June</t>
  </si>
  <si>
    <t>May</t>
  </si>
  <si>
    <t>April</t>
  </si>
  <si>
    <t>December</t>
  </si>
  <si>
    <t>November</t>
  </si>
  <si>
    <t>October</t>
  </si>
  <si>
    <t>September</t>
  </si>
  <si>
    <t>August</t>
  </si>
  <si>
    <t>DOMTAR PAPER</t>
  </si>
  <si>
    <t>Customer</t>
  </si>
  <si>
    <t>CONTRACT</t>
  </si>
  <si>
    <t>POWER FACTOR</t>
  </si>
  <si>
    <t>factors</t>
  </si>
  <si>
    <t>charge</t>
  </si>
  <si>
    <t>MINIMUM</t>
  </si>
  <si>
    <t>FACTORS</t>
  </si>
  <si>
    <t>DOLLARS</t>
  </si>
  <si>
    <t>TOTAL COST</t>
  </si>
  <si>
    <t>MARKUP</t>
  </si>
  <si>
    <t>Dollars</t>
  </si>
  <si>
    <t>MRSM</t>
  </si>
  <si>
    <t>METERED</t>
  </si>
  <si>
    <t>KIMBERLY CLARK</t>
  </si>
  <si>
    <t>includes</t>
  </si>
  <si>
    <t>backup kwh</t>
  </si>
  <si>
    <t>Other kwh</t>
  </si>
  <si>
    <t>ACCURIDE</t>
  </si>
  <si>
    <t xml:space="preserve">CONTRACT </t>
  </si>
  <si>
    <t>ALCOA CASTINGS</t>
  </si>
  <si>
    <t>Energy</t>
  </si>
  <si>
    <t>DOTIKI</t>
  </si>
  <si>
    <t>sum</t>
  </si>
  <si>
    <t>special charges</t>
  </si>
  <si>
    <t>power</t>
  </si>
  <si>
    <t>factor</t>
  </si>
  <si>
    <t>of</t>
  </si>
  <si>
    <t>Out of period adjustments</t>
  </si>
  <si>
    <t>charges</t>
  </si>
  <si>
    <t>*.003</t>
  </si>
  <si>
    <t xml:space="preserve">divided by </t>
  </si>
  <si>
    <t>$100 =</t>
  </si>
  <si>
    <t>capital</t>
  </si>
  <si>
    <t>Capital</t>
  </si>
  <si>
    <t>operating</t>
  </si>
  <si>
    <t>Maintenance</t>
  </si>
  <si>
    <t>customer acct</t>
  </si>
  <si>
    <t>A&amp;G</t>
  </si>
  <si>
    <t>allocate coop use to expense areas:</t>
  </si>
  <si>
    <t>line 16 col.e</t>
  </si>
  <si>
    <t>line 16 col. H minus</t>
  </si>
  <si>
    <t>line 16 col. k minus</t>
  </si>
  <si>
    <t>line 16 col.i</t>
  </si>
  <si>
    <t>(n)</t>
  </si>
  <si>
    <t>(o)</t>
  </si>
  <si>
    <t>Sales</t>
  </si>
  <si>
    <t>Depreciation</t>
  </si>
  <si>
    <t>UNBILLED REVENUES</t>
  </si>
  <si>
    <t>AMOUNT</t>
  </si>
  <si>
    <t>Kenergy Corp.</t>
  </si>
  <si>
    <t>Adjusted Income Statement</t>
  </si>
  <si>
    <t>ending</t>
  </si>
  <si>
    <t>Item</t>
  </si>
  <si>
    <t>Operating Revenue:</t>
  </si>
  <si>
    <t>Direct Served(exc.smelters) - Base Rate</t>
  </si>
  <si>
    <t>Direct Served(exc.smelters) - Other charges</t>
  </si>
  <si>
    <t>Smelters - Base rate</t>
  </si>
  <si>
    <t>Other Revenue</t>
  </si>
  <si>
    <t>Total Operating Revenue</t>
  </si>
  <si>
    <t>Operating Expenses:</t>
  </si>
  <si>
    <t>Purchased Power:</t>
  </si>
  <si>
    <t>Non-Direct Served - Base Rate</t>
  </si>
  <si>
    <t>Total Purchased Power</t>
  </si>
  <si>
    <t>Distribution - Operation</t>
  </si>
  <si>
    <t>Distribution - Maintenance</t>
  </si>
  <si>
    <t>Consumer Accounts</t>
  </si>
  <si>
    <t>Customer Service and Informational</t>
  </si>
  <si>
    <t>Administrative and General</t>
  </si>
  <si>
    <t>Tax Expense - Other</t>
  </si>
  <si>
    <t>Interest on Long Term Debt</t>
  </si>
  <si>
    <t>Interest on Customer Deposits and other</t>
  </si>
  <si>
    <t>Other Deductions</t>
  </si>
  <si>
    <t>Total O &amp; M and Fixed</t>
  </si>
  <si>
    <t>Total Cost of Electric Service</t>
  </si>
  <si>
    <t>Operating Margins</t>
  </si>
  <si>
    <t>Non-Operating Margins - Interest</t>
  </si>
  <si>
    <t>Non-Operating Margins - Other</t>
  </si>
  <si>
    <t>Non-Cash Capital Credits</t>
  </si>
  <si>
    <t>Total Margins</t>
  </si>
  <si>
    <t>Revenue-  Unnecessary trip by servicetech reg</t>
  </si>
  <si>
    <t>Revenue-  Unnecessary trip by servicetech after</t>
  </si>
  <si>
    <t>Cable Attachment Fees - 2 Party Anchor</t>
  </si>
  <si>
    <t>Cable Attachment Fees - 3 Party Anchor</t>
  </si>
  <si>
    <t>account number</t>
  </si>
  <si>
    <t>24000 LUMEN-400W MH</t>
  </si>
  <si>
    <t>9000 LUMEN-100W MH</t>
  </si>
  <si>
    <t>9000 LUMEN-100W METAL HALIDE (MH)</t>
  </si>
  <si>
    <t>24000 LUMEN-400W METAL HALIDE (MH)</t>
  </si>
  <si>
    <t>5200 LUMEN-60W-LED NEMA HEAD</t>
  </si>
  <si>
    <t>20000/27000 LUMEN-200/250W- HPS</t>
  </si>
  <si>
    <t>9500 LUMEN-108W-LED MID OUTPUT</t>
  </si>
  <si>
    <t>11000 LUMEN-135W-LED HIGH OUTPUT</t>
  </si>
  <si>
    <t>18500 LUMEN 192W-LED FLOOD</t>
  </si>
  <si>
    <t>2900 LUM - LED ACORN GL 14 FT POLE</t>
  </si>
  <si>
    <t>9000 LUM-100W-MH ACORN GLOBE</t>
  </si>
  <si>
    <t>9000 LUM-100W-MH ROUND GLOBE</t>
  </si>
  <si>
    <t>9500 LUM - HPS ACORN GL 14 FT POLE</t>
  </si>
  <si>
    <t>140000 LUMENS-1000W-HPS SHOEBOX</t>
  </si>
  <si>
    <t>9500 LUM-100W-HPS ACORN GLOBE</t>
  </si>
  <si>
    <t>July</t>
  </si>
  <si>
    <t>NON-FAC</t>
  </si>
  <si>
    <t>PPA</t>
  </si>
  <si>
    <t>MRSM/RER</t>
  </si>
  <si>
    <t>Revenue- S/C To CHG S/L Bulb To LED</t>
  </si>
  <si>
    <t>MISC Service Revenue-Class C</t>
  </si>
  <si>
    <t>Charge</t>
  </si>
  <si>
    <t>KWH Booked</t>
  </si>
  <si>
    <t>Wholesale Adjustment Factors</t>
  </si>
  <si>
    <t>Fuel Adjustment</t>
  </si>
  <si>
    <t>Environmental Surcharge</t>
  </si>
  <si>
    <t>Unwind Surcredit</t>
  </si>
  <si>
    <t>Non-FAC PPA</t>
  </si>
  <si>
    <t>Member Rate Stability Mechanism</t>
  </si>
  <si>
    <t>Rural Economic Reserve</t>
  </si>
  <si>
    <t>Total KW per Books</t>
  </si>
  <si>
    <t>Total KW</t>
  </si>
  <si>
    <t>Total KWH</t>
  </si>
  <si>
    <t>Power factor penalty per KW</t>
  </si>
  <si>
    <t>Total Revenue Per Consumption Analysis</t>
  </si>
  <si>
    <t>Total Revenue per Consumption Analysis</t>
  </si>
  <si>
    <t>Special facilities charges</t>
  </si>
  <si>
    <t>Total WAF's</t>
  </si>
  <si>
    <t>RER</t>
  </si>
  <si>
    <t>Trial balance account numbers:</t>
  </si>
  <si>
    <t>NON-SMELTER</t>
  </si>
  <si>
    <t>RER BUS.</t>
  </si>
  <si>
    <t>RER BASE</t>
  </si>
  <si>
    <t>MRSM BASE</t>
  </si>
  <si>
    <t>MRSM LG</t>
  </si>
  <si>
    <t>MRSM LG IND</t>
  </si>
  <si>
    <t>RATE CR</t>
  </si>
  <si>
    <t>RATE CREDIT</t>
  </si>
  <si>
    <t>IND ADJ</t>
  </si>
  <si>
    <t>BASE RATE CR</t>
  </si>
  <si>
    <t>SEBREE KMMC</t>
  </si>
  <si>
    <t>SEBREE STEAMPORT</t>
  </si>
  <si>
    <t>Demand</t>
  </si>
  <si>
    <t>Transmission</t>
  </si>
  <si>
    <t>Imbalance</t>
  </si>
  <si>
    <t>Spec.</t>
  </si>
  <si>
    <t>Delivery Point</t>
  </si>
  <si>
    <t>Retail</t>
  </si>
  <si>
    <t>Metered</t>
  </si>
  <si>
    <t>Facilities</t>
  </si>
  <si>
    <t xml:space="preserve">Spec. </t>
  </si>
  <si>
    <t>Delivery</t>
  </si>
  <si>
    <t>Point</t>
  </si>
  <si>
    <t>HOPKINS CO COAL</t>
  </si>
  <si>
    <t>Adjustment For Rounding</t>
  </si>
  <si>
    <t>Direct Served(exc.smelters) - sum of WAF's</t>
  </si>
  <si>
    <t>Non-Direct Served - Sum of WAF's</t>
  </si>
  <si>
    <t>(1) per trial balance account numbers:</t>
  </si>
  <si>
    <t>Adder on special delivery point charges</t>
  </si>
  <si>
    <t>All other (Class C) - base rate</t>
  </si>
  <si>
    <t>kWh</t>
  </si>
  <si>
    <t>Unbilled Impact-Base Rate</t>
  </si>
  <si>
    <t>Special transmission charges</t>
  </si>
  <si>
    <t>Purchased Power from Big Rivers Electric-Direct Serves Class B</t>
  </si>
  <si>
    <t>Month</t>
  </si>
  <si>
    <t>row</t>
  </si>
  <si>
    <t>month</t>
  </si>
  <si>
    <t>Purchased power from Big Rivers Electric - Direct Serves class C</t>
  </si>
  <si>
    <t>Sum of WAF's</t>
  </si>
  <si>
    <t>Adjustments</t>
  </si>
  <si>
    <t>Facilities Charge</t>
  </si>
  <si>
    <t>EDR Credit</t>
  </si>
  <si>
    <t>EDR kW</t>
  </si>
  <si>
    <t>Unbilled Wholesale Adjustment Factors</t>
  </si>
  <si>
    <t>Facilities charge @ 1.15% * $ of invest.</t>
  </si>
  <si>
    <t>Remote Reconnect Charge</t>
  </si>
  <si>
    <t>Remote Turn on Service Charge</t>
  </si>
  <si>
    <t xml:space="preserve">Remote Terminate Service Charge </t>
  </si>
  <si>
    <t>Test Period</t>
  </si>
  <si>
    <t>Billed</t>
  </si>
  <si>
    <t>kWh/light</t>
  </si>
  <si>
    <t>Feb</t>
  </si>
  <si>
    <t>Aug</t>
  </si>
  <si>
    <t>Oct</t>
  </si>
  <si>
    <t>Nov</t>
  </si>
  <si>
    <t>Dec</t>
  </si>
  <si>
    <t>Novermber</t>
  </si>
  <si>
    <t>Apr</t>
  </si>
  <si>
    <t>Not available for New Installations after December 1, 2012:</t>
  </si>
  <si>
    <t>Not available for New Installations after November 2014:</t>
  </si>
  <si>
    <t>Available for New Installations after November 2014:</t>
  </si>
  <si>
    <t>Not Available for New Installations after April 1 , 2011:</t>
  </si>
  <si>
    <t>Not Available for New Installations after January 1, 2017:</t>
  </si>
  <si>
    <t>Tariff sheet 16B</t>
  </si>
  <si>
    <t xml:space="preserve"> Unmetered Lighting</t>
  </si>
  <si>
    <t>adjustments</t>
  </si>
  <si>
    <t>base</t>
  </si>
  <si>
    <t>fac</t>
  </si>
  <si>
    <t>es</t>
  </si>
  <si>
    <t>mrsm</t>
  </si>
  <si>
    <t>ppa</t>
  </si>
  <si>
    <t>BRC</t>
  </si>
  <si>
    <t>Base rate unbilled beginning of month</t>
  </si>
  <si>
    <t>base rate billed during month</t>
  </si>
  <si>
    <t>WAF billed during month</t>
  </si>
  <si>
    <t>base rate booked during month</t>
  </si>
  <si>
    <t>WAF unbilled beginning of month</t>
  </si>
  <si>
    <t>Total unbilled beginning of month</t>
  </si>
  <si>
    <t>WAF rate booked during month</t>
  </si>
  <si>
    <t>Base unbilled end of month</t>
  </si>
  <si>
    <t>WAF unbilled end of month</t>
  </si>
  <si>
    <t xml:space="preserve">Total unbilled end of month (input)  </t>
  </si>
  <si>
    <t>Formula using above totals</t>
  </si>
  <si>
    <t>Base Rate Unbilled End of Test Period</t>
  </si>
  <si>
    <t>WAF Unbilled End of Test Period</t>
  </si>
  <si>
    <t>Base Rate Unbilled Beginning of Test Period</t>
  </si>
  <si>
    <t>WAF Unbilled Beginning of Test Period</t>
  </si>
  <si>
    <t>Unbilled revenue/kwh End of Test Period</t>
  </si>
  <si>
    <t>Unbilled revenue/kwh Beginning of Test Period</t>
  </si>
  <si>
    <t>Total booked during month(input)</t>
  </si>
  <si>
    <t>total</t>
  </si>
  <si>
    <t>sept</t>
  </si>
  <si>
    <t>oct</t>
  </si>
  <si>
    <t>nov</t>
  </si>
  <si>
    <t>dec</t>
  </si>
  <si>
    <t>adj base</t>
  </si>
  <si>
    <t>adj factors</t>
  </si>
  <si>
    <t>kwh base</t>
  </si>
  <si>
    <t>kwh adj</t>
  </si>
  <si>
    <t>Original billing base charge</t>
  </si>
  <si>
    <t>Original billing factors</t>
  </si>
  <si>
    <t>Adjustments base charge</t>
  </si>
  <si>
    <t>Adjustments factors</t>
  </si>
  <si>
    <t>CENTURY - HAWESVILLE</t>
  </si>
  <si>
    <t>assessment</t>
  </si>
  <si>
    <t>subtotal</t>
  </si>
  <si>
    <t>JAN 2019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</si>
  <si>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</si>
  <si>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</si>
  <si>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</si>
  <si>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</si>
  <si>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</si>
  <si>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</si>
  <si>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</si>
  <si>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</si>
  <si>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</si>
  <si>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</si>
  <si>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</si>
  <si>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PSC assessment</t>
  </si>
  <si>
    <t xml:space="preserve"> x 12 months x 2</t>
  </si>
  <si>
    <t>Kenergy administriative costs</t>
  </si>
  <si>
    <t>accrual vs</t>
  </si>
  <si>
    <t>Billed or</t>
  </si>
  <si>
    <t>including</t>
  </si>
  <si>
    <t>backup</t>
  </si>
  <si>
    <t>Firm at</t>
  </si>
  <si>
    <t>including backup</t>
  </si>
  <si>
    <t>Back up</t>
  </si>
  <si>
    <t>self gemeration</t>
  </si>
  <si>
    <t xml:space="preserve">All other </t>
  </si>
  <si>
    <t>verification</t>
  </si>
  <si>
    <t>Firm power</t>
  </si>
  <si>
    <t>back up power</t>
  </si>
  <si>
    <t>retail fee</t>
  </si>
  <si>
    <t>monthlky</t>
  </si>
  <si>
    <t>energy kwh</t>
  </si>
  <si>
    <t xml:space="preserve">charges </t>
  </si>
  <si>
    <t>cost</t>
  </si>
  <si>
    <t>consumed at</t>
  </si>
  <si>
    <t>customer</t>
  </si>
  <si>
    <t>plant</t>
  </si>
  <si>
    <t>kwh self generation</t>
  </si>
  <si>
    <t>firm kwh from BREC</t>
  </si>
  <si>
    <t>back up kwh purchased</t>
  </si>
  <si>
    <t xml:space="preserve">Demand charge firm kw </t>
  </si>
  <si>
    <t>Energy charge per firm kwh</t>
  </si>
  <si>
    <r>
      <t xml:space="preserve">AMG ALUMINUM, </t>
    </r>
    <r>
      <rPr>
        <sz val="10"/>
        <rFont val="Arial"/>
        <family val="2"/>
      </rPr>
      <t>FORMERLY KBI ALLOY</t>
    </r>
  </si>
  <si>
    <t>Hartshorne Mining</t>
  </si>
  <si>
    <t>Pennyrile Energy</t>
  </si>
  <si>
    <t>Pre Coat</t>
  </si>
  <si>
    <t>billed or</t>
  </si>
  <si>
    <t xml:space="preserve">billed or </t>
  </si>
  <si>
    <t>Southwire</t>
  </si>
  <si>
    <t>TYSON FOODS</t>
  </si>
  <si>
    <t>UNNAMED</t>
  </si>
  <si>
    <t>jan</t>
  </si>
  <si>
    <t>feb</t>
  </si>
  <si>
    <t>mar</t>
  </si>
  <si>
    <t>june</t>
  </si>
  <si>
    <t>aug</t>
  </si>
  <si>
    <t>g/l</t>
  </si>
  <si>
    <t>type</t>
  </si>
  <si>
    <t>acct</t>
  </si>
  <si>
    <t>name</t>
  </si>
  <si>
    <t>invoice</t>
  </si>
  <si>
    <t>1 party</t>
  </si>
  <si>
    <t>@</t>
  </si>
  <si>
    <t>2 party</t>
  </si>
  <si>
    <t>3 party</t>
  </si>
  <si>
    <t>rural</t>
  </si>
  <si>
    <t>urban</t>
  </si>
  <si>
    <t>count</t>
  </si>
  <si>
    <t>dollars</t>
  </si>
  <si>
    <t>CATV</t>
  </si>
  <si>
    <t>Time Warner</t>
  </si>
  <si>
    <t>Inside Connect</t>
  </si>
  <si>
    <t>Zito</t>
  </si>
  <si>
    <t>Mediacom SE</t>
  </si>
  <si>
    <t>Phone</t>
  </si>
  <si>
    <t>Windstream KY E</t>
  </si>
  <si>
    <t>TDS Lewisport</t>
  </si>
  <si>
    <t>TDS Salem</t>
  </si>
  <si>
    <t>Fiber</t>
  </si>
  <si>
    <t>City of Henderson</t>
  </si>
  <si>
    <t>Comcast of the South</t>
  </si>
  <si>
    <t>MuniNet Fiber</t>
  </si>
  <si>
    <t>OMU</t>
  </si>
  <si>
    <t>Windstream Communications</t>
  </si>
  <si>
    <t>Crown Castle</t>
  </si>
  <si>
    <t>Hancock Co Board of Education</t>
  </si>
  <si>
    <t>Cablevision and Other Attachment Fees:</t>
  </si>
  <si>
    <t>Phone Attachment Fees - 2 Party Pole</t>
  </si>
  <si>
    <t>Phone Attachment Fees - 3 Party Pole</t>
  </si>
  <si>
    <t>Subtotal - Phone Attachment Fees</t>
  </si>
  <si>
    <t>Revenue Tower Leases::</t>
  </si>
  <si>
    <t>Fiber Attachment Fees - 1 Party Pole</t>
  </si>
  <si>
    <t>Fiber Attachment Fees - 2 Party Pole</t>
  </si>
  <si>
    <t>Fiber Attachment Fees - 3 Party Pole</t>
  </si>
  <si>
    <t>Subtotal - Fiber Attachment Fees:</t>
  </si>
  <si>
    <t>Total Cablevision and Other Attachament Fees:</t>
  </si>
  <si>
    <t>Revenue from AT&amp;T:</t>
  </si>
  <si>
    <t>AT&amp;T</t>
  </si>
  <si>
    <t>Kenergy on</t>
  </si>
  <si>
    <t>AT&amp; T on</t>
  </si>
  <si>
    <t>Kenergy</t>
  </si>
  <si>
    <t>Net due</t>
  </si>
  <si>
    <t>35ft and shorter</t>
  </si>
  <si>
    <t>40 ft.and taller</t>
  </si>
  <si>
    <t>THREE-PHASE NON-DEDICATED OVER 1,000 KW CONSUMPTION ANALYSIS   2019 TEST YEAR</t>
  </si>
  <si>
    <t xml:space="preserve">NON-DEDICATED SYSTEM POWER COST  </t>
  </si>
  <si>
    <t>MEMBER</t>
  </si>
  <si>
    <t xml:space="preserve">RENEWABLE </t>
  </si>
  <si>
    <t>RURAL</t>
  </si>
  <si>
    <t xml:space="preserve">RESOURCE </t>
  </si>
  <si>
    <t>REBATE</t>
  </si>
  <si>
    <t>STABILITY</t>
  </si>
  <si>
    <t>ECONOMIC</t>
  </si>
  <si>
    <t>MECHANISM</t>
  </si>
  <si>
    <t>RESERVE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</si>
  <si>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</si>
  <si>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</si>
  <si>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</si>
  <si>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</si>
  <si>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</si>
  <si>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</si>
  <si>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</si>
  <si>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</si>
  <si>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</si>
  <si>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</si>
  <si>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</si>
  <si>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increase (decrease) in Base Rate booked</t>
  </si>
  <si>
    <t>increase (decrease) in WAF Rate booked</t>
  </si>
  <si>
    <t>increase (decrease) in KWH booked</t>
  </si>
  <si>
    <t>(1) agrees to exhibit 10, page 1, line 36 columns c and d.</t>
  </si>
  <si>
    <t>No. of billings</t>
  </si>
  <si>
    <t>Includes 6% Tax</t>
  </si>
  <si>
    <t xml:space="preserve">PRIVATE AND OUTDOOR LIGHTING CONSUMPTION ANALYSIS </t>
  </si>
  <si>
    <t xml:space="preserve">SUMMARY OF REVENUE - TEST YEAR </t>
  </si>
  <si>
    <t xml:space="preserve">RESIDENTIAL CONSUMPTION ANALYSIS   </t>
  </si>
  <si>
    <t xml:space="preserve">ALL NON-RESIDENTIAL SINGLE PHASE CONSUMPTION ANALYSIS   </t>
  </si>
  <si>
    <t xml:space="preserve">THREE-PHASE NON-DEDICATED UNDER 1,000 KW CONSUMPTION ANALYSIS   </t>
  </si>
  <si>
    <t>includes adjustments</t>
  </si>
  <si>
    <t>per unbilled workpapers</t>
  </si>
  <si>
    <t>Waf booked per power bills</t>
  </si>
  <si>
    <t>WAF booked per unbilled workpapers</t>
  </si>
  <si>
    <t>WAF billed during month(input)</t>
  </si>
  <si>
    <t>Total billed during month(inpuy)</t>
  </si>
  <si>
    <t>WAF rate booked during month(input)</t>
  </si>
  <si>
    <t>difference</t>
  </si>
  <si>
    <t>Number of bills per consumption analysis -2023</t>
  </si>
  <si>
    <t>Number of bills per consumption analysis - prior yrs</t>
  </si>
  <si>
    <t>Kwh sales per consumption analysis -2023</t>
  </si>
  <si>
    <t>Environmental Surcharge -2023</t>
  </si>
  <si>
    <t>Member Rate Stability Mechanism -2023</t>
  </si>
  <si>
    <t>Non-FAC PPA -2023</t>
  </si>
  <si>
    <t>Fuel Adjustment - prior yrs</t>
  </si>
  <si>
    <t>Environmental Surcharge -prior yrs</t>
  </si>
  <si>
    <t>Member Rate Stability Mechanism -prior years</t>
  </si>
  <si>
    <t>Non-FAC PPA - prior yrs</t>
  </si>
  <si>
    <t>Kwh sales per consumption analysis - 2023</t>
  </si>
  <si>
    <t>Kwh sales per consumption analysis - prior yrs</t>
  </si>
  <si>
    <t>Fuel Adjustment - 2023</t>
  </si>
  <si>
    <t>Member Rate Stability Mechanism - -2023</t>
  </si>
  <si>
    <t>Fuel Adjustment -  prior yrs</t>
  </si>
  <si>
    <t>Environmental Surcharge - prior yrs</t>
  </si>
  <si>
    <t>Member Rate Stability Mechanism -  prior yrs</t>
  </si>
  <si>
    <t>Non-FAC PPA - prior yers</t>
  </si>
  <si>
    <t>per g/l</t>
  </si>
  <si>
    <t>FAC coop usage</t>
  </si>
  <si>
    <t>ES coop usage</t>
  </si>
  <si>
    <t>Non-Fac PPA</t>
  </si>
  <si>
    <t>MRSM coop usage</t>
  </si>
  <si>
    <t xml:space="preserve">coop usage </t>
  </si>
  <si>
    <t>Net metering adjustment 2020-Jan 2023</t>
  </si>
  <si>
    <t>Net metering adjustment 2020-Jan 2023(1)</t>
  </si>
  <si>
    <t>(1)The 3-P account is slightly lower than the first block rate.  This account had 1 month with some kWh in the second block rate.  Since it is just one account I checked it out by month and it is correct.</t>
  </si>
  <si>
    <t>Net metering adjustment 2020-Jan 2023 (1)</t>
  </si>
  <si>
    <t>(1)The residential rate is a little lower than the current base rate because we had a rate increase in June of 2021.  I don’t have the kWh or dollar adjustment broken down by month, but it seems very reasonable to me.</t>
  </si>
  <si>
    <t>Net Metering adj.</t>
  </si>
  <si>
    <t>??</t>
  </si>
  <si>
    <t>adj to waf booked</t>
  </si>
  <si>
    <t xml:space="preserve">Turn on Service Charge(seasonal) </t>
  </si>
  <si>
    <t>Commonwealth of KY</t>
  </si>
  <si>
    <t>OpenFiber Kentucky</t>
  </si>
  <si>
    <t>on 12/31/2022</t>
  </si>
  <si>
    <t>revenue booked in 2023</t>
  </si>
  <si>
    <t>adj. from 2022</t>
  </si>
  <si>
    <t>CASE NO. 2023xxxxx</t>
  </si>
  <si>
    <t>jul</t>
  </si>
  <si>
    <t>may</t>
  </si>
  <si>
    <t>april</t>
  </si>
  <si>
    <t>Fuel Adjustment 2023</t>
  </si>
  <si>
    <t>AS OF FEB 2023</t>
  </si>
  <si>
    <t>Div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</si>
  <si>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</si>
  <si>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</si>
  <si>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</si>
  <si>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</si>
  <si>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</si>
  <si>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</si>
  <si>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</si>
  <si>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</si>
  <si>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</si>
  <si>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</si>
  <si>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</si>
  <si>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</si>
  <si>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Line:</t>
  </si>
  <si>
    <t xml:space="preserve"> 1. Operating Revenue and Patronage Capital</t>
  </si>
  <si>
    <t>440.1</t>
  </si>
  <si>
    <t>REVENUE-RESIDENTIAL(EXCLUD SEASONAL</t>
  </si>
  <si>
    <t>440.2</t>
  </si>
  <si>
    <t>REVENUE-RESIDENTIAL-SEASONAL</t>
  </si>
  <si>
    <t>442.1</t>
  </si>
  <si>
    <t>REVENUE-COMMERCIAL-SINGLE PHASE</t>
  </si>
  <si>
    <t>442.101</t>
  </si>
  <si>
    <t>REV-COMMERCIAL-3PHASE-UNDER 1000KW</t>
  </si>
  <si>
    <t>442.2</t>
  </si>
  <si>
    <t>REV-COMMERCIAL-3PHASE(OVER 1000KW)3</t>
  </si>
  <si>
    <t>442.211</t>
  </si>
  <si>
    <t>REVENUE-COMM-COMMONWEALTH ROLLED PRODUCT</t>
  </si>
  <si>
    <t>442.214</t>
  </si>
  <si>
    <t>REVENUE-CENTURY SEBREE-BREC</t>
  </si>
  <si>
    <t>442.215</t>
  </si>
  <si>
    <t>REVENUE-CENTURY SEBREE-EDF</t>
  </si>
  <si>
    <t>442.216</t>
  </si>
  <si>
    <t>REVENUE-CENTURY SEBREE-KENERGY</t>
  </si>
  <si>
    <t>442.22</t>
  </si>
  <si>
    <t>REVENUE-INDUSTRIAL-DOMTAR</t>
  </si>
  <si>
    <t>442.23</t>
  </si>
  <si>
    <t>REVENUE-CENTURY HAWESVILLE-BREC</t>
  </si>
  <si>
    <t>442.231</t>
  </si>
  <si>
    <t>REVENUE-CENTURY HAWESVILLE-EDF</t>
  </si>
  <si>
    <t>442.232</t>
  </si>
  <si>
    <t>REVENUE-CENTURY HAWESVILLE-KENERGY</t>
  </si>
  <si>
    <t>442.28</t>
  </si>
  <si>
    <t>REVENUE-COMM- PRECOAT METALS</t>
  </si>
  <si>
    <t>442.29</t>
  </si>
  <si>
    <t>REVENUE-INDUSTRIAL-KIMBERLY CLARK</t>
  </si>
  <si>
    <t>442.355</t>
  </si>
  <si>
    <t>REVENUE-KY LAND RESOURCES-DOCK</t>
  </si>
  <si>
    <t>442.356</t>
  </si>
  <si>
    <t>REVENUE-KY LAND RESOURCES-EQUALITY</t>
  </si>
  <si>
    <t>442.357</t>
  </si>
  <si>
    <t>REVENUE-KY LAND RESOURCES-LEWIS CREEK</t>
  </si>
  <si>
    <t>442.358</t>
  </si>
  <si>
    <t>REVENUE-KY LAND RESOURCES-MIDWAY</t>
  </si>
  <si>
    <t>442.801</t>
  </si>
  <si>
    <t>REVENUE-ACCURIDE</t>
  </si>
  <si>
    <t>442.805</t>
  </si>
  <si>
    <t>REVENUE-HOPKINS CO COAL</t>
  </si>
  <si>
    <t>442.806</t>
  </si>
  <si>
    <t>REVENUE-DOTIKI #3</t>
  </si>
  <si>
    <t>442.807</t>
  </si>
  <si>
    <t>REVENUE-TYSON</t>
  </si>
  <si>
    <t>442.808</t>
  </si>
  <si>
    <t>REVENUE-AMG ALUMINUM</t>
  </si>
  <si>
    <t>442.812</t>
  </si>
  <si>
    <t>REVENUE-SOUTHWIRE</t>
  </si>
  <si>
    <t>442.814</t>
  </si>
  <si>
    <t>REVENUE-AZTECA (VALLEY GRAIN)</t>
  </si>
  <si>
    <t>444.0</t>
  </si>
  <si>
    <t>REVENUE-PUBLIC STREET&amp;HWY LIGHTS  5</t>
  </si>
  <si>
    <t>445.0</t>
  </si>
  <si>
    <t>REVENUE-PUBLIC AUTHORITIES-SINGLE P</t>
  </si>
  <si>
    <t>445.1</t>
  </si>
  <si>
    <t>REVENUE-PUBLIC AUTHORITIES-3PHASE</t>
  </si>
  <si>
    <t>450.0</t>
  </si>
  <si>
    <t>REVENUE-FORFEITED DISCOUNTS</t>
  </si>
  <si>
    <t>451.0</t>
  </si>
  <si>
    <t>REVENUE-TURN-ON CHARGE</t>
  </si>
  <si>
    <t>451.1</t>
  </si>
  <si>
    <t>REVENUE-RECONNECT CHARGE</t>
  </si>
  <si>
    <t>451.2</t>
  </si>
  <si>
    <t>REVENUE-TERMINATION OR FIELD CONNEC</t>
  </si>
  <si>
    <t>451.4</t>
  </si>
  <si>
    <t>REVENUE-METER TEST CHARGE</t>
  </si>
  <si>
    <t>451.6</t>
  </si>
  <si>
    <t>REVENUE-UNNECESSARY TRIP BY S/MAN</t>
  </si>
  <si>
    <t>451.7</t>
  </si>
  <si>
    <t>REVENUE-S/C TO CHG S/L BULB TO LED</t>
  </si>
  <si>
    <t>454.0</t>
  </si>
  <si>
    <t>REVENUE-RENT FROM BELL SOUTH ATTACH</t>
  </si>
  <si>
    <t>454.1</t>
  </si>
  <si>
    <t>REVENUE-RENTAL FROM TOWER LEASES</t>
  </si>
  <si>
    <t>454.11</t>
  </si>
  <si>
    <t>REVENUE-RENT-CABLE CO &amp; OTHER TELEP</t>
  </si>
  <si>
    <t>456.0</t>
  </si>
  <si>
    <t>KY SALES TAX RETURN COMPENSATION</t>
  </si>
  <si>
    <t>Total  1. Operating Revenue and Patronage Capital:</t>
  </si>
  <si>
    <t xml:space="preserve"> 3. Cost of Purchased Power</t>
  </si>
  <si>
    <t>555.0</t>
  </si>
  <si>
    <t>PURCHASED POWER RURAL</t>
  </si>
  <si>
    <t>555.1</t>
  </si>
  <si>
    <t>PURCHASED POWER-MEMBER GENERATED KWH</t>
  </si>
  <si>
    <t>555.101</t>
  </si>
  <si>
    <t>PURCHASED POWER-ACCURIDE</t>
  </si>
  <si>
    <t>555.105</t>
  </si>
  <si>
    <t>PURCHASED POWER-HOPKINS CO COAL</t>
  </si>
  <si>
    <t>555.106</t>
  </si>
  <si>
    <t>PURCHASED POWER-DOTIKI #3</t>
  </si>
  <si>
    <t>555.107</t>
  </si>
  <si>
    <t>PURCHASED POWER-TYSON</t>
  </si>
  <si>
    <t>555.108</t>
  </si>
  <si>
    <t>PURCHASED POWER-AMG ALLOYS</t>
  </si>
  <si>
    <t>555.112</t>
  </si>
  <si>
    <t>PURCHASED POWER-SOUTHWIRE</t>
  </si>
  <si>
    <t>555.114</t>
  </si>
  <si>
    <t>PURCHASED POWER-AZTECA (VALLEY GRAIN)</t>
  </si>
  <si>
    <t>555.12</t>
  </si>
  <si>
    <t>PURCHASED POWER-COMMONWEALTH ROLLED PROD</t>
  </si>
  <si>
    <t>555.3</t>
  </si>
  <si>
    <t>PURCHASED POWER-DOMTAR</t>
  </si>
  <si>
    <t>555.355</t>
  </si>
  <si>
    <t>PURCH POWER-KY LAND RESOURCES-DOCK</t>
  </si>
  <si>
    <t>555.356</t>
  </si>
  <si>
    <t>PURCH POWER-KY LAND RESOURCES-EQUALITY</t>
  </si>
  <si>
    <t>555.357</t>
  </si>
  <si>
    <t>PURCH POWER-KY LAND RESOURCES-LEWIS CREE</t>
  </si>
  <si>
    <t>555.358</t>
  </si>
  <si>
    <t>PURCH POWER-KY LAND RESOURCES-MIDWAY</t>
  </si>
  <si>
    <t>555.4</t>
  </si>
  <si>
    <t>PURCHASED POWER-CENTURY HAWESVILLE-BREC</t>
  </si>
  <si>
    <t>555.401</t>
  </si>
  <si>
    <t>PURCHASED POWER-CENTURY HAWESVILLE-EDF</t>
  </si>
  <si>
    <t>555.6</t>
  </si>
  <si>
    <t>PURCHASED POWER-CENTURY SEBREE-BREC</t>
  </si>
  <si>
    <t>555.601</t>
  </si>
  <si>
    <t>PURCHASED POWER-CENTURY SEBREE-EDF</t>
  </si>
  <si>
    <t>555.9</t>
  </si>
  <si>
    <t>PURCHASED POWER- PRECOAT METALS</t>
  </si>
  <si>
    <t>555.95</t>
  </si>
  <si>
    <t>PURCHASED POWER-KIMBERLY CLARK</t>
  </si>
  <si>
    <t>Total  3. Cost of Purchased Power:</t>
  </si>
  <si>
    <t>on 12/31/2021</t>
  </si>
  <si>
    <t>adj. from 2021</t>
  </si>
  <si>
    <t>revenue booked in 2022</t>
  </si>
  <si>
    <t>per month 2022</t>
  </si>
  <si>
    <t>per month 2023</t>
  </si>
  <si>
    <t>Adjust for</t>
  </si>
  <si>
    <t>Lagged</t>
  </si>
  <si>
    <t>1 mo</t>
  </si>
  <si>
    <t>PSC</t>
  </si>
  <si>
    <t>Markup</t>
  </si>
  <si>
    <t xml:space="preserve">internal &amp; </t>
  </si>
  <si>
    <t>variance</t>
  </si>
  <si>
    <t>direct cost</t>
  </si>
  <si>
    <t xml:space="preserve">                             CENTURY - SEBREE  </t>
  </si>
  <si>
    <t xml:space="preserve"> 6. Distribution Expense - Operation</t>
  </si>
  <si>
    <t>582.0</t>
  </si>
  <si>
    <t>DISTRIBUTION-EXP-OPS STATION EXP</t>
  </si>
  <si>
    <t>582.2</t>
  </si>
  <si>
    <t>DIST EXP OPR - MICROWAVE SYSTEM</t>
  </si>
  <si>
    <t>582.4</t>
  </si>
  <si>
    <t>DIST EXP-OPS FIBER</t>
  </si>
  <si>
    <t>583.0</t>
  </si>
  <si>
    <t>DISTRIBUTION-EXP-OPS OVERHEAD LINE</t>
  </si>
  <si>
    <t>584.0</t>
  </si>
  <si>
    <t>DISTRIBUTION-EXP-OPS-UNDERGROUND</t>
  </si>
  <si>
    <t>586.0</t>
  </si>
  <si>
    <t>DISTRIBUTION-EXP-OPS METERS</t>
  </si>
  <si>
    <t>587.0</t>
  </si>
  <si>
    <t>DIST EXP-OPS CONSUMER INSTALLATION</t>
  </si>
  <si>
    <t>588.0</t>
  </si>
  <si>
    <t>DIST EXP-OPS MISCELLANEOUS DIST</t>
  </si>
  <si>
    <t>588.2</t>
  </si>
  <si>
    <t>DIST EXP-OPS-STORM-PHONES/DISPATCH</t>
  </si>
  <si>
    <t>Total  6. Distribution Expense - Operation:</t>
  </si>
  <si>
    <t xml:space="preserve"> 7. Distribution Expense - Maintenance</t>
  </si>
  <si>
    <t>592.0</t>
  </si>
  <si>
    <t>DIST EXP-MAINT-STATION EQUIPMENT</t>
  </si>
  <si>
    <t>592.1</t>
  </si>
  <si>
    <t>DIST EXP-MAINT-SUPERVISORY CONTROL</t>
  </si>
  <si>
    <t>592.2</t>
  </si>
  <si>
    <t>DIST EXP MAINT-MICROWAVE SYSTEM</t>
  </si>
  <si>
    <t>592.25</t>
  </si>
  <si>
    <t>DIST EXPENSE-STATION EQUIP-CLASS C</t>
  </si>
  <si>
    <t>593.0</t>
  </si>
  <si>
    <t>DIST EXP-MAIN-OVERHEAD LINES</t>
  </si>
  <si>
    <t>593.2</t>
  </si>
  <si>
    <t>DIST EXP-MAIN-STORM DAMAGE</t>
  </si>
  <si>
    <t>593.25</t>
  </si>
  <si>
    <t>DIST EXPENSE-OVERHEAD LINE-CLASS C</t>
  </si>
  <si>
    <t>593.3</t>
  </si>
  <si>
    <t>MAINTENANCE OF OVERHEAD LINES-ROW</t>
  </si>
  <si>
    <t>593.8</t>
  </si>
  <si>
    <t>DIST EXP-MAINTENANCE-ACCIDENT BILLINGS</t>
  </si>
  <si>
    <t>594.0</t>
  </si>
  <si>
    <t>DIST EXP-MAIN-UNDERGROUND LINES</t>
  </si>
  <si>
    <t>595.0</t>
  </si>
  <si>
    <t>DIST EXP-MAIN-LINE TRANSFORMERS</t>
  </si>
  <si>
    <t>596.0</t>
  </si>
  <si>
    <t>DIST EXP-MAIN-ST LIGHTS-SIGNALS</t>
  </si>
  <si>
    <t>597.0</t>
  </si>
  <si>
    <t>DIST EXP-MAIN-METERS</t>
  </si>
  <si>
    <t>598.0</t>
  </si>
  <si>
    <t>DIST EXP-MISC DISTRIBUTION PLT</t>
  </si>
  <si>
    <t>Total  7. Distribution Expense - Maintenance:</t>
  </si>
  <si>
    <t xml:space="preserve"> 8. Customer Accounts Expense</t>
  </si>
  <si>
    <t>903.0</t>
  </si>
  <si>
    <t>CONSUMER ACC EXP-OPS RECORD-COLLECT</t>
  </si>
  <si>
    <t>903.221</t>
  </si>
  <si>
    <t>BILLING-CLASS A H'VILLE SMELTER</t>
  </si>
  <si>
    <t>903.222</t>
  </si>
  <si>
    <t>BILINGS-CLASS A SEBREE SMELTER</t>
  </si>
  <si>
    <t>903.23</t>
  </si>
  <si>
    <t>BILLING-CLASS B</t>
  </si>
  <si>
    <t>903.24</t>
  </si>
  <si>
    <t>BILLING-CLASS C</t>
  </si>
  <si>
    <t>904.0</t>
  </si>
  <si>
    <t>CONSUMER ACC EXP-OPS UNCOLLECT-ACCT</t>
  </si>
  <si>
    <t>904.24</t>
  </si>
  <si>
    <t>BAD DEBT-CLASS C</t>
  </si>
  <si>
    <t>Total  8. Customer Accounts Expense:</t>
  </si>
  <si>
    <t xml:space="preserve"> 9. Customer Service and Informational Expense</t>
  </si>
  <si>
    <t>908.0</t>
  </si>
  <si>
    <t>CUSTOMER ASSISTANCE EXPENSE</t>
  </si>
  <si>
    <t>908.221</t>
  </si>
  <si>
    <t>CUSTOMER ASSISTANCE-CENTURY H'VILLE</t>
  </si>
  <si>
    <t>908.222</t>
  </si>
  <si>
    <t>CUSTOMER ASSISTANCE-CENTURY SEBREE</t>
  </si>
  <si>
    <t>908.23</t>
  </si>
  <si>
    <t>CUSTOMER ASSISTANCE-CLASS B</t>
  </si>
  <si>
    <t>908.24</t>
  </si>
  <si>
    <t>CUSTOMER ASSISTANCE-CLASS C</t>
  </si>
  <si>
    <t>Total  9. Customer Service and Informational Expense:</t>
  </si>
  <si>
    <t>11. Administrative and General Expense</t>
  </si>
  <si>
    <t>920.0</t>
  </si>
  <si>
    <t>ADM-GEN EXP-OPS-EXECUTIVE SALARY</t>
  </si>
  <si>
    <t>920.1</t>
  </si>
  <si>
    <t>ADM-GEN EXPENSE-BROADBAND</t>
  </si>
  <si>
    <t>920.2</t>
  </si>
  <si>
    <t>ADM-GEN EXPENSE-OPS-GEN OFF SALARY</t>
  </si>
  <si>
    <t>920.22</t>
  </si>
  <si>
    <t>DIRECT MANAGEMENT LABOR-CLASS A</t>
  </si>
  <si>
    <t>920.222</t>
  </si>
  <si>
    <t>ALLOC GEN MGMT CLASS A-H'VILLE SMEL</t>
  </si>
  <si>
    <t>920.223</t>
  </si>
  <si>
    <t>ALLOC GEN MGMT-CLASS A SEBREE SMEL</t>
  </si>
  <si>
    <t>920.23</t>
  </si>
  <si>
    <t>DIRECT MANAGEMENT LABOR-CLASS B</t>
  </si>
  <si>
    <t>920.231</t>
  </si>
  <si>
    <t>ALLOCATED GEN MANAGEMENT-CLASS B</t>
  </si>
  <si>
    <t>920.24</t>
  </si>
  <si>
    <t>DIRECT MANAGEMENT LABOR-CLASS C</t>
  </si>
  <si>
    <t>920.241</t>
  </si>
  <si>
    <t>ALLOCATED GEN MANAGEMENT-CLASS C</t>
  </si>
  <si>
    <t>920.25</t>
  </si>
  <si>
    <t>DIRECT MGMT LABOR-HAWESVILLE SMELTE</t>
  </si>
  <si>
    <t>920.26</t>
  </si>
  <si>
    <t>DIRECT MGMT LABOR-SEBREE SMELTER</t>
  </si>
  <si>
    <t>921.0</t>
  </si>
  <si>
    <t>ADM-GEN EXPENSE</t>
  </si>
  <si>
    <t>921.221</t>
  </si>
  <si>
    <t>OFFICE SUPPLIES CLASS A-H'VILLE SM</t>
  </si>
  <si>
    <t>921.222</t>
  </si>
  <si>
    <t>OFFICE SUPPLIES-CLASS A-SEBREE SMEL</t>
  </si>
  <si>
    <t>921.23</t>
  </si>
  <si>
    <t>OFFICE EQUIP/SUPPLIES  CLASS B</t>
  </si>
  <si>
    <t>921.24</t>
  </si>
  <si>
    <t>OFFICE EQUIP/SUPPLIES  CLASS C</t>
  </si>
  <si>
    <t>923.0</t>
  </si>
  <si>
    <t>OUTSIDE SERVICES - GENERAL</t>
  </si>
  <si>
    <t>923.221</t>
  </si>
  <si>
    <t>OUTSIDE SERVS-CLASS A H'VILLE SMELT</t>
  </si>
  <si>
    <t>923.222</t>
  </si>
  <si>
    <t>OUTSIDE SERVS-CLASS A-SEBREE SMELTE</t>
  </si>
  <si>
    <t>923.23</t>
  </si>
  <si>
    <t>DIRECT OUTSIDE SERVICES   CLASS  B</t>
  </si>
  <si>
    <t>923.24</t>
  </si>
  <si>
    <t>DIRECT OUTSIDE SERVICES  CLASS C</t>
  </si>
  <si>
    <t>923.4</t>
  </si>
  <si>
    <t>OUTSIDE SERVICES-BROADBAND</t>
  </si>
  <si>
    <t>927.0</t>
  </si>
  <si>
    <t>FRANCHISES-ANNUAL</t>
  </si>
  <si>
    <t>928.0</t>
  </si>
  <si>
    <t>REGULATORY COMM. EXPENSE</t>
  </si>
  <si>
    <t>930.1</t>
  </si>
  <si>
    <t>GENERAL ADVERTISING EXPENSES</t>
  </si>
  <si>
    <t>930.2</t>
  </si>
  <si>
    <t>MISC GENERAL EXPENSES</t>
  </si>
  <si>
    <t>930.21</t>
  </si>
  <si>
    <t>DIRECTORS FEES &amp; EXPENSES</t>
  </si>
  <si>
    <t>930.22</t>
  </si>
  <si>
    <t>ADVERTISING GENERAL-CLASS A</t>
  </si>
  <si>
    <t>930.222</t>
  </si>
  <si>
    <t>OTHER A&amp;G-CLASS A H'VILLE SMELTER</t>
  </si>
  <si>
    <t>930.223</t>
  </si>
  <si>
    <t>OTHER A&amp;G-CLASS A SEBREE SMELTER</t>
  </si>
  <si>
    <t>930.231</t>
  </si>
  <si>
    <t>OTHER  A &amp; G    CLASS B</t>
  </si>
  <si>
    <t>930.241</t>
  </si>
  <si>
    <t>OTHER   A &amp; G   CLASS C</t>
  </si>
  <si>
    <t>935.0</t>
  </si>
  <si>
    <t>MAINT OF GENERAL PLANT</t>
  </si>
  <si>
    <t>935.221</t>
  </si>
  <si>
    <t>BLDGS/GROUNDS CLASS A-H'VILLE SMELT</t>
  </si>
  <si>
    <t>935.222</t>
  </si>
  <si>
    <t>BLDGS/GROUNDS CLASS A-SEBREE SMELTE</t>
  </si>
  <si>
    <t>935.23</t>
  </si>
  <si>
    <t>BUILDINGS/GROUNDS  CLASS B</t>
  </si>
  <si>
    <t>935.24</t>
  </si>
  <si>
    <t>BUILDING/GROUNDS   CLASS C</t>
  </si>
  <si>
    <t>Total 11. Administrative and General Expense:</t>
  </si>
  <si>
    <t>12. Total Operation &amp; Maintenance Expense (2 thru 11)</t>
  </si>
  <si>
    <t>13. Depreciation &amp; Amortization Expense</t>
  </si>
  <si>
    <t>403.25</t>
  </si>
  <si>
    <t>DEPRE-DIST PLANT-CLASS C</t>
  </si>
  <si>
    <t>403.6</t>
  </si>
  <si>
    <t>DEPRECIATION EXP-DISTRIBUTION PLANT</t>
  </si>
  <si>
    <t>403.7</t>
  </si>
  <si>
    <t>DEPRECIATION EXP-GENERAL PLANT</t>
  </si>
  <si>
    <t>407.0</t>
  </si>
  <si>
    <t>AMORTIZATION OF REGULATORY ASSET-AMI</t>
  </si>
  <si>
    <t>Total 13. Depreciation &amp; Amortization Expense:</t>
  </si>
  <si>
    <t>15. Tax Expense - Other</t>
  </si>
  <si>
    <t>408.71</t>
  </si>
  <si>
    <t>REGULATORY ASSESSMENT TAX</t>
  </si>
  <si>
    <t>408.721</t>
  </si>
  <si>
    <t>REG ASSESSMENT TAX-H'VILLE SMELTER</t>
  </si>
  <si>
    <t>408.722</t>
  </si>
  <si>
    <t>REG ASSESSMENT TAX-SEBREE SMELTER</t>
  </si>
  <si>
    <t>408.73</t>
  </si>
  <si>
    <t>REGULATORY ASSESSMENT TAX-CLASS B</t>
  </si>
  <si>
    <t>408.74</t>
  </si>
  <si>
    <t>REGULATORY ASSESSMENT TAX-CLASS C</t>
  </si>
  <si>
    <t>409.1</t>
  </si>
  <si>
    <t>INCOME TAX EXPENSE</t>
  </si>
  <si>
    <t>Total 15. Tax Expense - Other:</t>
  </si>
  <si>
    <t>16. Interest on Long-Term Debt</t>
  </si>
  <si>
    <t>427.1</t>
  </si>
  <si>
    <t>INTEREST ON REA CONSTRUCTION LOAN</t>
  </si>
  <si>
    <t>427.125</t>
  </si>
  <si>
    <t>INTEREST RUS-CLASS C</t>
  </si>
  <si>
    <t>427.2</t>
  </si>
  <si>
    <t>INTEREST -LONG TERM DEBT-CFC</t>
  </si>
  <si>
    <t>427.21</t>
  </si>
  <si>
    <t>INTEREST ON COBANK LOANS</t>
  </si>
  <si>
    <t>427.22</t>
  </si>
  <si>
    <t>INTEREST-FEDERAL FINANCING BANK</t>
  </si>
  <si>
    <t>Total 16. Interest on Long-Term Debt:</t>
  </si>
  <si>
    <t>18. Interest Expense - Other</t>
  </si>
  <si>
    <t>431.0</t>
  </si>
  <si>
    <t>INTEREST EXP - CONSUMER DEPOSITS</t>
  </si>
  <si>
    <t>431.01</t>
  </si>
  <si>
    <t>INTEREST EXPENSE-RATE REFUND</t>
  </si>
  <si>
    <t>431.25</t>
  </si>
  <si>
    <t>INTEREST EXPENSE-AMG ALUMINUM</t>
  </si>
  <si>
    <t>431.436</t>
  </si>
  <si>
    <t>INTEREST EXPENSE-KY LAND RESOURCES-DOCK</t>
  </si>
  <si>
    <t>431.437</t>
  </si>
  <si>
    <t>INTEREST EXPENSE-KY LAND RES-EQUALITY</t>
  </si>
  <si>
    <t>431.438</t>
  </si>
  <si>
    <t>INTEREST EXPENSE-KY LAND RES-LEWIS CREEK</t>
  </si>
  <si>
    <t>431.439</t>
  </si>
  <si>
    <t>INTEREST EXPENSE-KY LAND RES-MIDWAY</t>
  </si>
  <si>
    <t>431.44</t>
  </si>
  <si>
    <t>INTEREST EXPENSE-PRECOAT METAL DEPOSIT</t>
  </si>
  <si>
    <t>431.48</t>
  </si>
  <si>
    <t>INTEREST EXPENSE-VALLEY GRAIN</t>
  </si>
  <si>
    <t>431.55</t>
  </si>
  <si>
    <t>INTEREST EXPENSE-ACCURIDE DEPOSIT</t>
  </si>
  <si>
    <t>431.6</t>
  </si>
  <si>
    <t>INTEREST EXPENSE-HOPKINS CO COAL</t>
  </si>
  <si>
    <t>431.65</t>
  </si>
  <si>
    <t>INTEREST EXPENSE-DOTIKI</t>
  </si>
  <si>
    <t>431.71</t>
  </si>
  <si>
    <t>INTEREST EXP-WEST KY RIVER LOADOUT-DOCK</t>
  </si>
  <si>
    <t>431.72</t>
  </si>
  <si>
    <t>INTEREST EXP-WEST KY RESOURCES-EQUALITY</t>
  </si>
  <si>
    <t>431.73</t>
  </si>
  <si>
    <t>INTEREST EXP-WEST KY RESOURCES-LEWIS CRE</t>
  </si>
  <si>
    <t>431.74</t>
  </si>
  <si>
    <t>INTEREST EXP-WEST KY RAIL LOADOUT-MIDWAY</t>
  </si>
  <si>
    <t>Total 18. Interest Expense - Other:</t>
  </si>
  <si>
    <t>19. Other Deductions</t>
  </si>
  <si>
    <t>426.1</t>
  </si>
  <si>
    <t>OTHER INCOME DEDUCTIONS-DONATIONS</t>
  </si>
  <si>
    <t>426.3</t>
  </si>
  <si>
    <t>PENALTIES</t>
  </si>
  <si>
    <t>426.4</t>
  </si>
  <si>
    <t>MISC INC DED-EXP FOR CIVIC POL ACT</t>
  </si>
  <si>
    <t>Total 19. Other Deductions:</t>
  </si>
  <si>
    <t>20. Total Cost of Electric Service (12 thru 19)</t>
  </si>
  <si>
    <t>21. Patronage Capital &amp; Operating Margins (1 minus 20)</t>
  </si>
  <si>
    <t>22. Non Operating Margins - Interest</t>
  </si>
  <si>
    <t>419.0</t>
  </si>
  <si>
    <t>INTEREST-DIVIDEND INCOME</t>
  </si>
  <si>
    <t>Total 22. Non Operating Margins - Interest:</t>
  </si>
  <si>
    <t>25. Non Operating Margins - Other</t>
  </si>
  <si>
    <t>417.002</t>
  </si>
  <si>
    <t>REVENUE-LOCAL/LONG DISTANCE</t>
  </si>
  <si>
    <t>417.05</t>
  </si>
  <si>
    <t>REVENUE-FIBER BROADBAND REVENUE SHARE</t>
  </si>
  <si>
    <t>417.102</t>
  </si>
  <si>
    <t>EXPENSES-LOCAL/LONG DISTANCE</t>
  </si>
  <si>
    <t>417.107</t>
  </si>
  <si>
    <t>EXPENSES-WIRELESS ISP</t>
  </si>
  <si>
    <t>417.151</t>
  </si>
  <si>
    <t>OPERATION EXPENSE-FIBER</t>
  </si>
  <si>
    <t>417.152</t>
  </si>
  <si>
    <t>MAINTENANCE EXPENSE-FIBER</t>
  </si>
  <si>
    <t>417.156</t>
  </si>
  <si>
    <t>ADMIN &amp; GENERAL EXPENSE-FIBER</t>
  </si>
  <si>
    <t>417.157</t>
  </si>
  <si>
    <t>OUTSIDE SERVICES-FIBER</t>
  </si>
  <si>
    <t>417.158</t>
  </si>
  <si>
    <t>DIRECTOR FEES &amp; EXPENSES-FIBER</t>
  </si>
  <si>
    <t>421.0</t>
  </si>
  <si>
    <t>MISC NON-OPERATING INC-DEDUCTIONS</t>
  </si>
  <si>
    <t>421.1</t>
  </si>
  <si>
    <t>GAIN ON DISPOSITION OF PROPERTY</t>
  </si>
  <si>
    <t>421.2</t>
  </si>
  <si>
    <t>LOSS ON DISPOSITION OF PROPERTY</t>
  </si>
  <si>
    <t>Total 25. Non Operating Margins - Other:</t>
  </si>
  <si>
    <t>27. Other Capital Credits and Patronage Dividends</t>
  </si>
  <si>
    <t>424.0</t>
  </si>
  <si>
    <t>OTHER CAPITAL CR ALLOCATIONS</t>
  </si>
  <si>
    <t>Total 27. Other Capital Credits and Patronage Dividends:</t>
  </si>
  <si>
    <t>29. Patronage Capital or Margins (21 thru 28)</t>
  </si>
  <si>
    <t xml:space="preserve">2023-XXXXX RATE APPLICATION </t>
  </si>
  <si>
    <t>Twelve months ending February 28, 2023</t>
  </si>
  <si>
    <t>Mar 2022</t>
  </si>
  <si>
    <t xml:space="preserve">includes </t>
  </si>
  <si>
    <t>March 2022</t>
  </si>
  <si>
    <t>Jan 2023</t>
  </si>
  <si>
    <t>Feb 2023</t>
  </si>
  <si>
    <t>Backup charges</t>
  </si>
  <si>
    <t>EDR</t>
  </si>
  <si>
    <t>Cogen</t>
  </si>
  <si>
    <t>BREC</t>
  </si>
  <si>
    <t>CoGen</t>
  </si>
  <si>
    <t>KW at</t>
  </si>
  <si>
    <t>in demand</t>
  </si>
  <si>
    <t>Credit</t>
  </si>
  <si>
    <t>Admin</t>
  </si>
  <si>
    <t>Fee</t>
  </si>
  <si>
    <t>includes Cogen</t>
  </si>
  <si>
    <t>credit</t>
  </si>
  <si>
    <t>backup charges</t>
  </si>
  <si>
    <t>demand credits</t>
  </si>
  <si>
    <t>domtar</t>
  </si>
  <si>
    <t>KC</t>
  </si>
  <si>
    <t>aleris</t>
  </si>
  <si>
    <t>Cogen credit(less adm fee)</t>
  </si>
  <si>
    <t>Total energy consumed at site</t>
  </si>
  <si>
    <t>CLASS C DIRECT SERVED CUSTOMERS  CONSUMPTION ANALYSIS  FEBRUARY 28, 2023 TEST YEAR</t>
  </si>
  <si>
    <t>CLASS B DIRECT SERVED CUSTOMERS  CONSUMPTION ANALYSIS FEBRUARY 28 2023 TEST YEAR</t>
  </si>
  <si>
    <t>CLASS A DIRECT SERVED CUSTOMERS  CONSUMPTION ANALYSIS FEBRUARY  2023 TEST YEAR</t>
  </si>
  <si>
    <t>Twelve Months ending February 28, 2023</t>
  </si>
  <si>
    <t>KY RESOURCES - Dock</t>
  </si>
  <si>
    <t>KY Resources - Equality</t>
  </si>
  <si>
    <t>KY Resources - Lewis Creek</t>
  </si>
  <si>
    <t>KY RESOURCES - Midway</t>
  </si>
  <si>
    <t>AZTECA(VALLEY GRAIN)</t>
  </si>
  <si>
    <t>Jan 23</t>
  </si>
  <si>
    <t>Feb 23</t>
  </si>
  <si>
    <t>March 22</t>
  </si>
  <si>
    <t xml:space="preserve">          per trial balance</t>
  </si>
  <si>
    <t>NON-DEDICATED DELIVERY POINTS POWER COST ANALYSIS  FEBRUARY 28, 2023 TEST YEAR</t>
  </si>
  <si>
    <t>Test year ending February 28, 2023</t>
  </si>
  <si>
    <t>MARCH 22</t>
  </si>
  <si>
    <t>JANUARY 23</t>
  </si>
  <si>
    <t>Jun</t>
  </si>
  <si>
    <t>Jul</t>
  </si>
  <si>
    <t>Sep</t>
  </si>
  <si>
    <t>Grand Total</t>
  </si>
  <si>
    <t>Mar 22</t>
  </si>
  <si>
    <t>Coop usage</t>
  </si>
  <si>
    <t>Account number</t>
  </si>
  <si>
    <t>RURAL SYSTEM POWER COST-CO-GEN</t>
  </si>
  <si>
    <t>per trial balance</t>
  </si>
  <si>
    <t>account 555</t>
  </si>
  <si>
    <t>account.555.100</t>
  </si>
  <si>
    <t>Rounding</t>
  </si>
  <si>
    <t>Cash capital credits from lenders Test year</t>
  </si>
  <si>
    <t>ES</t>
  </si>
  <si>
    <t>Gross</t>
  </si>
  <si>
    <t>coop use</t>
  </si>
  <si>
    <t>Less Office Use:  base rates</t>
  </si>
  <si>
    <t xml:space="preserve">                               Sum of WAF's</t>
  </si>
  <si>
    <t>Cost allocated for Kenergy's usage: Base rates</t>
  </si>
  <si>
    <t>COOP USE</t>
  </si>
  <si>
    <t>JAN</t>
  </si>
  <si>
    <t xml:space="preserve">                 248,666 </t>
  </si>
  <si>
    <t xml:space="preserve">                 272,444 </t>
  </si>
  <si>
    <t xml:space="preserve">                 183,399 </t>
  </si>
  <si>
    <t xml:space="preserve">                 181,884 </t>
  </si>
  <si>
    <t xml:space="preserve">                 150,426 </t>
  </si>
  <si>
    <t xml:space="preserve">                 177,738 </t>
  </si>
  <si>
    <t xml:space="preserve">                 189,167 </t>
  </si>
  <si>
    <t xml:space="preserve">                 188,543 </t>
  </si>
  <si>
    <t>SEPT</t>
  </si>
  <si>
    <t xml:space="preserve">                 177,053 </t>
  </si>
  <si>
    <t xml:space="preserve">OCT </t>
  </si>
  <si>
    <t xml:space="preserve">                 147,657 </t>
  </si>
  <si>
    <t xml:space="preserve">                 174,761 </t>
  </si>
  <si>
    <t xml:space="preserve">                 204,507 </t>
  </si>
  <si>
    <t xml:space="preserve">             2,296,245 </t>
  </si>
  <si>
    <t>CASE NO. 2023-00276</t>
  </si>
  <si>
    <t>ATTORNEY GENERAL'S FIRST INFORMATION REQUEST ITEMS 39-42</t>
  </si>
  <si>
    <t>2023-00276 RATE APPLICATION</t>
  </si>
  <si>
    <t>2023-00276</t>
  </si>
  <si>
    <t>MISCELLANEOUS REVENUES ADJUSTMENT  TEST YEAR</t>
  </si>
  <si>
    <t>agrees with revenue above except for $3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</si>
</sst>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"/>
    <numFmt numFmtId="168" formatCode="0.000000"/>
    <numFmt numFmtId="169" formatCode="&quot;$&quot;#,##0.000000_);[Red]\(&quot;$&quot;#,##0.000000\)"/>
    <numFmt numFmtId="170" formatCode="_(&quot;$&quot;* #,##0.000000_);_(&quot;$&quot;* \(#,##0.000000\);_(&quot;$&quot;* &quot;-&quot;??_);_(@_)"/>
    <numFmt numFmtId="171" formatCode="#,##0.000000"/>
    <numFmt numFmtId="172" formatCode="_(&quot;$&quot;* #,##0.00000_);_(&quot;$&quot;* \(#,##0.00000\);_(&quot;$&quot;* &quot;-&quot;??_);_(@_)"/>
    <numFmt numFmtId="173" formatCode="_(&quot;$&quot;* #,##0.0000_);_(&quot;$&quot;* \(#,##0.0000\);_(&quot;$&quot;* &quot;-&quot;??_);_(@_)"/>
    <numFmt numFmtId="174" formatCode="_(&quot;$&quot;* #,##0.000_);_(&quot;$&quot;* \(#,##0.000\);_(&quot;$&quot;* &quot;-&quot;??_);_(@_)"/>
    <numFmt numFmtId="175" formatCode="mmmm\ d\,\ yyyy"/>
    <numFmt numFmtId="176" formatCode="&quot;$&quot;#,##0.00"/>
    <numFmt numFmtId="177" formatCode="[$-409]mmm\-yy;@"/>
    <numFmt numFmtId="178" formatCode="0.0%"/>
    <numFmt numFmtId="179" formatCode="_(* #,##0.000000_);_(* \(#,##0.000000\);_(* &quot;-&quot;??_);_(@_)"/>
    <numFmt numFmtId="180" formatCode="_(&quot;$&quot;* #,##0.0000000_);_(&quot;$&quot;* \(#,##0.0000000\);_(&quot;$&quot;* &quot;-&quot;??_);_(@_)"/>
    <numFmt numFmtId="181" formatCode="0.0000000"/>
    <numFmt numFmtId="182" formatCode="_(* #,##0.000_);_(* \(#,##0.000\);_(* &quot;-&quot;??_);_(@_)"/>
    <numFmt numFmtId="183" formatCode="_(* #,##0.0000_);_(* \(#,##0.0000\);_(* &quot;-&quot;??_);_(@_)"/>
    <numFmt numFmtId="184" formatCode="&quot;$&quot;#,##0.000_);[Red]\(&quot;$&quot;#,##0.000\)"/>
    <numFmt numFmtId="185" formatCode="&quot;$&quot;#,##0.0000_);[Red]\(&quot;$&quot;#,##0.0000\)"/>
    <numFmt numFmtId="186" formatCode="[$-409]mmmm\-yy;@"/>
    <numFmt numFmtId="187" formatCode="#,##0.0000000"/>
    <numFmt numFmtId="188" formatCode="#,##0.0000"/>
    <numFmt numFmtId="189" formatCode="&quot;$&quot;#,##0.0000_);\(&quot;$&quot;#,##0.0000\)"/>
    <numFmt numFmtId="190" formatCode="_(&quot;$&quot;* #,##0.000000000_);_(&quot;$&quot;* \(#,##0.000000000\);_(&quot;$&quot;* &quot;-&quot;??_);_(@_)"/>
    <numFmt numFmtId="191" formatCode="#,##0.00000000_);\(#,##0.00000000\)"/>
    <numFmt numFmtId="192" formatCode="0.00000000_);\(0.00000000\)"/>
    <numFmt numFmtId="193" formatCode="_(* #,##0.00_);_(* \(#,##0.00\);_(* &quot;-&quot;???_);_(@_)"/>
    <numFmt numFmtId="194" formatCode="_(* #,##0_);_(* \(#,##0\);_(* &quot;-&quot;???_);_(@_)"/>
    <numFmt numFmtId="195" formatCode="_(* #,##0.0000000_);_(* \(#,##0.0000000\);_(* &quot;-&quot;??_);_(@_)"/>
    <numFmt numFmtId="196" formatCode="_(&quot;$&quot;* #,##0.00000000_);_(&quot;$&quot;* \(#,##0.00000000\);_(&quot;$&quot;* &quot;-&quot;??_);_(@_)"/>
    <numFmt numFmtId="197" formatCode="#,##0.0000000000_);\(#,##0.0000000000\)"/>
    <numFmt numFmtId="198" formatCode="0.000%"/>
    <numFmt numFmtId="199" formatCode="&quot;$&quot;#,##0.0000000_);\(&quot;$&quot;#,##0.0000000\)"/>
    <numFmt numFmtId="200" formatCode="&quot;$&quot;#,##0.00000000_);\(&quot;$&quot;#,##0.00000000\)"/>
    <numFmt numFmtId="201" formatCode="0.0000"/>
    <numFmt numFmtId="202" formatCode="_(&quot;$&quot;* #,##0.00_);_(&quot;$&quot;* \(#,##0.00\);_(&quot;$&quot;* &quot;-&quot;??????_);_(@_)"/>
    <numFmt numFmtId="203" formatCode="0;\-0;0"/>
    <numFmt numFmtId="204" formatCode="#,##0.00;\-#,##0.00;0.00"/>
    <numFmt numFmtId="205" formatCode="_(* #,##0.00000_);_(* \(#,##0.00000\);_(* &quot;-&quot;??_);_(@_)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 val="double"/>
      <sz val="10"/>
      <name val="Arial"/>
      <family val="2"/>
    </font>
    <font>
      <sz val="12"/>
      <color indexed="8"/>
      <name val="SWISS"/>
    </font>
    <font>
      <sz val="12"/>
      <color indexed="8"/>
      <name val="Arial"/>
      <family val="2"/>
    </font>
    <font>
      <b/>
      <sz val="12"/>
      <name val="Helv"/>
    </font>
    <font>
      <sz val="11"/>
      <name val="Calibri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u val="singleAccounting"/>
      <sz val="12"/>
      <name val="Arial"/>
      <family val="2"/>
    </font>
    <font>
      <b/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4"/>
      <name val="Arial"/>
      <family val="2"/>
    </font>
    <font>
      <sz val="12"/>
      <name val="SWISS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name val="Calibri"/>
      <family val="2"/>
      <scheme val="minor"/>
    </font>
    <font>
      <sz val="10"/>
      <color rgb="FF0070C0"/>
      <name val="Arial"/>
      <family val="2"/>
    </font>
    <font>
      <sz val="12"/>
      <color indexed="12"/>
      <name val="Helv"/>
    </font>
    <font>
      <b/>
      <sz val="12"/>
      <color indexed="8"/>
      <name val="SWISS"/>
    </font>
    <font>
      <b/>
      <sz val="14"/>
      <name val="Arial"/>
      <family val="2"/>
    </font>
    <font>
      <strike/>
      <sz val="10"/>
      <name val="Arial"/>
      <family val="2"/>
    </font>
    <font>
      <sz val="11"/>
      <color rgb="FFFF0000"/>
      <name val="Arial"/>
      <family val="2"/>
    </font>
    <font>
      <sz val="10"/>
      <color theme="6"/>
      <name val="Arial"/>
      <family val="2"/>
    </font>
    <font>
      <sz val="11"/>
      <color theme="6"/>
      <name val="Arial"/>
      <family val="2"/>
    </font>
    <font>
      <sz val="10"/>
      <color theme="5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sz val="12"/>
      <color rgb="FFFF0000"/>
      <name val="Helv"/>
    </font>
    <font>
      <b/>
      <sz val="14"/>
      <name val="Helv"/>
    </font>
    <font>
      <sz val="16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Gigi"/>
      <family val="5"/>
    </font>
    <font>
      <b/>
      <strike/>
      <sz val="12"/>
      <name val="Cambria"/>
      <family val="1"/>
    </font>
    <font>
      <strike/>
      <sz val="10"/>
      <name val="Cambria"/>
      <family val="1"/>
    </font>
    <font>
      <b/>
      <strike/>
      <sz val="12"/>
      <name val="Helv"/>
    </font>
    <font>
      <sz val="10"/>
      <name val="Times New Roman"/>
      <family val="1"/>
    </font>
    <font>
      <sz val="12"/>
      <color rgb="FF000000"/>
      <name val="SWISS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0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" fontId="29" fillId="0" borderId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12" applyNumberFormat="0" applyAlignment="0" applyProtection="0"/>
    <xf numFmtId="0" fontId="38" fillId="6" borderId="13" applyNumberFormat="0" applyAlignment="0" applyProtection="0"/>
    <xf numFmtId="0" fontId="39" fillId="6" borderId="12" applyNumberFormat="0" applyAlignment="0" applyProtection="0"/>
    <xf numFmtId="0" fontId="40" fillId="0" borderId="14" applyNumberFormat="0" applyFill="0" applyAlignment="0" applyProtection="0"/>
    <xf numFmtId="0" fontId="41" fillId="7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5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8" borderId="16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8" borderId="16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99">
    <xf numFmtId="0" fontId="0" fillId="0" borderId="0" xfId="0"/>
    <xf numFmtId="0" fontId="9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" fontId="11" fillId="0" borderId="0" xfId="0" applyNumberFormat="1" applyFont="1"/>
    <xf numFmtId="165" fontId="11" fillId="0" borderId="0" xfId="1" applyNumberFormat="1" applyFont="1"/>
    <xf numFmtId="165" fontId="11" fillId="0" borderId="1" xfId="1" applyNumberFormat="1" applyFont="1" applyBorder="1"/>
    <xf numFmtId="165" fontId="11" fillId="0" borderId="0" xfId="1" applyNumberFormat="1" applyFont="1" applyBorder="1"/>
    <xf numFmtId="5" fontId="11" fillId="0" borderId="0" xfId="1" applyNumberFormat="1" applyFont="1" applyBorder="1"/>
    <xf numFmtId="5" fontId="11" fillId="0" borderId="0" xfId="1" applyNumberFormat="1" applyFont="1"/>
    <xf numFmtId="5" fontId="11" fillId="0" borderId="0" xfId="0" applyNumberFormat="1" applyFont="1"/>
    <xf numFmtId="165" fontId="11" fillId="0" borderId="1" xfId="1" applyNumberFormat="1" applyFont="1" applyBorder="1" applyAlignment="1">
      <alignment horizontal="right"/>
    </xf>
    <xf numFmtId="165" fontId="11" fillId="0" borderId="4" xfId="1" applyNumberFormat="1" applyFont="1" applyBorder="1"/>
    <xf numFmtId="0" fontId="12" fillId="0" borderId="0" xfId="0" applyFont="1"/>
    <xf numFmtId="0" fontId="9" fillId="0" borderId="0" xfId="0" applyFont="1" applyAlignment="1">
      <alignment horizontal="centerContinuous" vertical="justify"/>
    </xf>
    <xf numFmtId="166" fontId="11" fillId="0" borderId="0" xfId="2" applyNumberFormat="1" applyFont="1"/>
    <xf numFmtId="5" fontId="11" fillId="0" borderId="5" xfId="1" applyNumberFormat="1" applyFont="1" applyBorder="1"/>
    <xf numFmtId="166" fontId="11" fillId="0" borderId="5" xfId="2" applyNumberFormat="1" applyFont="1" applyBorder="1"/>
    <xf numFmtId="165" fontId="11" fillId="0" borderId="5" xfId="1" applyNumberFormat="1" applyFont="1" applyBorder="1"/>
    <xf numFmtId="165" fontId="13" fillId="0" borderId="1" xfId="1" applyNumberFormat="1" applyFont="1" applyBorder="1"/>
    <xf numFmtId="165" fontId="11" fillId="0" borderId="5" xfId="0" applyNumberFormat="1" applyFont="1" applyBorder="1"/>
    <xf numFmtId="0" fontId="9" fillId="0" borderId="1" xfId="0" applyFont="1" applyBorder="1"/>
    <xf numFmtId="3" fontId="0" fillId="0" borderId="0" xfId="0" applyNumberFormat="1"/>
    <xf numFmtId="165" fontId="0" fillId="0" borderId="0" xfId="0" applyNumberFormat="1"/>
    <xf numFmtId="6" fontId="0" fillId="0" borderId="0" xfId="0" applyNumberFormat="1"/>
    <xf numFmtId="170" fontId="0" fillId="0" borderId="0" xfId="0" applyNumberFormat="1"/>
    <xf numFmtId="166" fontId="0" fillId="0" borderId="0" xfId="0" applyNumberFormat="1"/>
    <xf numFmtId="44" fontId="0" fillId="0" borderId="0" xfId="0" applyNumberFormat="1"/>
    <xf numFmtId="172" fontId="0" fillId="0" borderId="0" xfId="0" applyNumberFormat="1"/>
    <xf numFmtId="173" fontId="0" fillId="0" borderId="0" xfId="0" applyNumberFormat="1"/>
    <xf numFmtId="168" fontId="0" fillId="0" borderId="0" xfId="0" applyNumberFormat="1"/>
    <xf numFmtId="2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Continuous"/>
    </xf>
    <xf numFmtId="164" fontId="0" fillId="0" borderId="0" xfId="0" applyNumberFormat="1"/>
    <xf numFmtId="10" fontId="0" fillId="0" borderId="0" xfId="0" applyNumberFormat="1"/>
    <xf numFmtId="176" fontId="0" fillId="0" borderId="0" xfId="0" applyNumberFormat="1"/>
    <xf numFmtId="165" fontId="9" fillId="0" borderId="0" xfId="0" applyNumberFormat="1" applyFont="1"/>
    <xf numFmtId="178" fontId="11" fillId="0" borderId="0" xfId="3" applyNumberFormat="1" applyFont="1"/>
    <xf numFmtId="166" fontId="0" fillId="0" borderId="1" xfId="2" applyNumberFormat="1" applyFont="1" applyBorder="1"/>
    <xf numFmtId="166" fontId="0" fillId="0" borderId="0" xfId="2" applyNumberFormat="1" applyFont="1" applyBorder="1"/>
    <xf numFmtId="166" fontId="0" fillId="0" borderId="0" xfId="2" applyNumberFormat="1" applyFont="1"/>
    <xf numFmtId="165" fontId="0" fillId="0" borderId="0" xfId="1" applyNumberFormat="1" applyFont="1" applyBorder="1"/>
    <xf numFmtId="165" fontId="0" fillId="0" borderId="0" xfId="1" applyNumberFormat="1" applyFont="1"/>
    <xf numFmtId="170" fontId="0" fillId="0" borderId="0" xfId="2" applyNumberFormat="1" applyFont="1"/>
    <xf numFmtId="179" fontId="0" fillId="0" borderId="0" xfId="0" applyNumberFormat="1"/>
    <xf numFmtId="165" fontId="0" fillId="0" borderId="1" xfId="0" applyNumberFormat="1" applyBorder="1"/>
    <xf numFmtId="165" fontId="0" fillId="0" borderId="1" xfId="1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quotePrefix="1" applyFont="1" applyAlignment="1">
      <alignment horizontal="center"/>
    </xf>
    <xf numFmtId="166" fontId="0" fillId="0" borderId="0" xfId="0" applyNumberFormat="1" applyAlignment="1">
      <alignment horizontal="center"/>
    </xf>
    <xf numFmtId="166" fontId="14" fillId="0" borderId="0" xfId="0" applyNumberFormat="1" applyFont="1"/>
    <xf numFmtId="166" fontId="14" fillId="0" borderId="0" xfId="2" applyNumberFormat="1" applyFont="1"/>
    <xf numFmtId="166" fontId="0" fillId="0" borderId="6" xfId="0" applyNumberFormat="1" applyBorder="1"/>
    <xf numFmtId="37" fontId="0" fillId="0" borderId="0" xfId="0" applyNumberFormat="1"/>
    <xf numFmtId="172" fontId="0" fillId="0" borderId="0" xfId="2" applyNumberFormat="1" applyFont="1"/>
    <xf numFmtId="44" fontId="0" fillId="0" borderId="0" xfId="2" applyFont="1"/>
    <xf numFmtId="0" fontId="0" fillId="0" borderId="0" xfId="0" quotePrefix="1"/>
    <xf numFmtId="166" fontId="9" fillId="0" borderId="0" xfId="0" applyNumberFormat="1" applyFont="1"/>
    <xf numFmtId="0" fontId="9" fillId="0" borderId="0" xfId="0" quotePrefix="1" applyFont="1"/>
    <xf numFmtId="0" fontId="15" fillId="0" borderId="0" xfId="0" applyFont="1" applyAlignment="1">
      <alignment horizontal="justify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0" xfId="0" applyNumberFormat="1" applyFont="1"/>
    <xf numFmtId="165" fontId="16" fillId="0" borderId="0" xfId="1" applyNumberFormat="1" applyFont="1"/>
    <xf numFmtId="44" fontId="16" fillId="0" borderId="0" xfId="2" applyFont="1"/>
    <xf numFmtId="166" fontId="16" fillId="0" borderId="0" xfId="2" applyNumberFormat="1" applyFont="1"/>
    <xf numFmtId="165" fontId="16" fillId="0" borderId="0" xfId="1" applyNumberFormat="1" applyFont="1" applyBorder="1"/>
    <xf numFmtId="0" fontId="16" fillId="0" borderId="3" xfId="0" applyFont="1" applyBorder="1"/>
    <xf numFmtId="3" fontId="16" fillId="0" borderId="3" xfId="0" applyNumberFormat="1" applyFont="1" applyBorder="1"/>
    <xf numFmtId="3" fontId="16" fillId="0" borderId="0" xfId="0" applyNumberFormat="1" applyFont="1"/>
    <xf numFmtId="166" fontId="16" fillId="0" borderId="0" xfId="2" applyNumberFormat="1" applyFont="1" applyBorder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Continuous"/>
    </xf>
    <xf numFmtId="185" fontId="0" fillId="0" borderId="0" xfId="0" applyNumberFormat="1"/>
    <xf numFmtId="166" fontId="11" fillId="0" borderId="1" xfId="1" applyNumberFormat="1" applyFont="1" applyBorder="1"/>
    <xf numFmtId="0" fontId="12" fillId="0" borderId="0" xfId="0" applyFont="1" applyAlignment="1">
      <alignment horizontal="center"/>
    </xf>
    <xf numFmtId="10" fontId="0" fillId="0" borderId="0" xfId="3" applyNumberFormat="1" applyFont="1"/>
    <xf numFmtId="164" fontId="17" fillId="0" borderId="0" xfId="0" applyNumberFormat="1" applyFont="1"/>
    <xf numFmtId="10" fontId="17" fillId="0" borderId="0" xfId="3" applyNumberFormat="1" applyFont="1"/>
    <xf numFmtId="166" fontId="11" fillId="0" borderId="1" xfId="2" applyNumberFormat="1" applyFont="1" applyBorder="1"/>
    <xf numFmtId="0" fontId="0" fillId="0" borderId="1" xfId="0" applyBorder="1" applyAlignment="1">
      <alignment horizontal="center"/>
    </xf>
    <xf numFmtId="16" fontId="0" fillId="0" borderId="0" xfId="0" applyNumberFormat="1"/>
    <xf numFmtId="44" fontId="27" fillId="0" borderId="0" xfId="2" applyFont="1"/>
    <xf numFmtId="180" fontId="0" fillId="0" borderId="0" xfId="0" applyNumberFormat="1"/>
    <xf numFmtId="4" fontId="0" fillId="0" borderId="0" xfId="0" applyNumberFormat="1" applyProtection="1">
      <protection locked="0"/>
    </xf>
    <xf numFmtId="4" fontId="18" fillId="0" borderId="0" xfId="0" applyNumberFormat="1" applyFont="1" applyAlignment="1">
      <alignment horizontal="centerContinuous"/>
    </xf>
    <xf numFmtId="39" fontId="18" fillId="0" borderId="0" xfId="0" applyNumberFormat="1" applyFont="1" applyAlignment="1">
      <alignment horizontal="centerContinuous"/>
    </xf>
    <xf numFmtId="3" fontId="18" fillId="0" borderId="0" xfId="0" applyNumberFormat="1" applyFont="1"/>
    <xf numFmtId="176" fontId="18" fillId="0" borderId="0" xfId="0" applyNumberFormat="1" applyFont="1"/>
    <xf numFmtId="4" fontId="18" fillId="0" borderId="0" xfId="0" applyNumberFormat="1" applyFont="1"/>
    <xf numFmtId="7" fontId="18" fillId="0" borderId="0" xfId="0" applyNumberFormat="1" applyFont="1"/>
    <xf numFmtId="39" fontId="18" fillId="0" borderId="0" xfId="0" applyNumberFormat="1" applyFont="1"/>
    <xf numFmtId="7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39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fill"/>
    </xf>
    <xf numFmtId="7" fontId="18" fillId="0" borderId="0" xfId="0" applyNumberFormat="1" applyFont="1" applyAlignment="1">
      <alignment horizontal="fill"/>
    </xf>
    <xf numFmtId="39" fontId="18" fillId="0" borderId="0" xfId="0" applyNumberFormat="1" applyFont="1" applyAlignment="1">
      <alignment horizontal="fill"/>
    </xf>
    <xf numFmtId="4" fontId="18" fillId="0" borderId="0" xfId="0" applyNumberFormat="1" applyFont="1" applyProtection="1">
      <protection locked="0"/>
    </xf>
    <xf numFmtId="10" fontId="18" fillId="0" borderId="0" xfId="0" applyNumberFormat="1" applyFont="1"/>
    <xf numFmtId="3" fontId="18" fillId="0" borderId="0" xfId="0" applyNumberFormat="1" applyFont="1" applyAlignment="1">
      <alignment horizontal="fill"/>
    </xf>
    <xf numFmtId="10" fontId="18" fillId="0" borderId="0" xfId="0" applyNumberFormat="1" applyFont="1" applyAlignment="1">
      <alignment horizontal="fill"/>
    </xf>
    <xf numFmtId="4" fontId="0" fillId="0" borderId="0" xfId="0" applyNumberFormat="1"/>
    <xf numFmtId="7" fontId="0" fillId="0" borderId="0" xfId="0" applyNumberFormat="1"/>
    <xf numFmtId="39" fontId="0" fillId="0" borderId="0" xfId="0" applyNumberFormat="1" applyProtection="1">
      <protection locked="0"/>
    </xf>
    <xf numFmtId="39" fontId="18" fillId="0" borderId="0" xfId="0" applyNumberFormat="1" applyFont="1" applyAlignment="1">
      <alignment horizontal="right"/>
    </xf>
    <xf numFmtId="39" fontId="0" fillId="0" borderId="0" xfId="0" applyNumberFormat="1"/>
    <xf numFmtId="176" fontId="0" fillId="0" borderId="0" xfId="0" applyNumberFormat="1" applyProtection="1">
      <protection locked="0"/>
    </xf>
    <xf numFmtId="43" fontId="0" fillId="0" borderId="0" xfId="1" applyFont="1"/>
    <xf numFmtId="43" fontId="0" fillId="0" borderId="1" xfId="1" applyFont="1" applyBorder="1"/>
    <xf numFmtId="43" fontId="0" fillId="0" borderId="6" xfId="1" applyFont="1" applyBorder="1"/>
    <xf numFmtId="44" fontId="0" fillId="0" borderId="6" xfId="2" applyFont="1" applyBorder="1"/>
    <xf numFmtId="0" fontId="20" fillId="0" borderId="0" xfId="0" applyFont="1" applyAlignment="1">
      <alignment horizontal="centerContinuous"/>
    </xf>
    <xf numFmtId="0" fontId="0" fillId="0" borderId="0" xfId="0" applyAlignment="1">
      <alignment horizontal="fill"/>
    </xf>
    <xf numFmtId="165" fontId="0" fillId="0" borderId="0" xfId="1" applyNumberFormat="1" applyFont="1" applyProtection="1"/>
    <xf numFmtId="37" fontId="0" fillId="0" borderId="0" xfId="0" applyNumberFormat="1" applyAlignment="1">
      <alignment horizontal="fill"/>
    </xf>
    <xf numFmtId="7" fontId="0" fillId="0" borderId="0" xfId="0" applyNumberFormat="1" applyAlignment="1">
      <alignment horizontal="fill"/>
    </xf>
    <xf numFmtId="37" fontId="0" fillId="0" borderId="0" xfId="0" applyNumberFormat="1" applyAlignment="1">
      <alignment horizontal="center"/>
    </xf>
    <xf numFmtId="43" fontId="0" fillId="0" borderId="0" xfId="1" applyFont="1" applyProtection="1"/>
    <xf numFmtId="39" fontId="0" fillId="0" borderId="0" xfId="0" applyNumberFormat="1" applyAlignment="1">
      <alignment horizontal="center"/>
    </xf>
    <xf numFmtId="43" fontId="0" fillId="0" borderId="6" xfId="1" applyFont="1" applyBorder="1" applyProtection="1"/>
    <xf numFmtId="0" fontId="13" fillId="0" borderId="0" xfId="0" applyFont="1" applyAlignment="1">
      <alignment horizontal="center"/>
    </xf>
    <xf numFmtId="5" fontId="0" fillId="0" borderId="0" xfId="0" applyNumberFormat="1"/>
    <xf numFmtId="0" fontId="13" fillId="0" borderId="0" xfId="0" applyFont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8" fontId="16" fillId="0" borderId="0" xfId="2" applyNumberFormat="1" applyFont="1"/>
    <xf numFmtId="0" fontId="0" fillId="0" borderId="0" xfId="0" applyAlignment="1">
      <alignment horizontal="right"/>
    </xf>
    <xf numFmtId="188" fontId="18" fillId="0" borderId="0" xfId="0" applyNumberFormat="1" applyFont="1"/>
    <xf numFmtId="5" fontId="9" fillId="0" borderId="0" xfId="0" applyNumberFormat="1" applyFont="1"/>
    <xf numFmtId="15" fontId="0" fillId="0" borderId="0" xfId="0" applyNumberFormat="1"/>
    <xf numFmtId="0" fontId="13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1" fontId="13" fillId="0" borderId="0" xfId="0" applyNumberFormat="1" applyFont="1"/>
    <xf numFmtId="165" fontId="13" fillId="0" borderId="0" xfId="0" applyNumberFormat="1" applyFont="1"/>
    <xf numFmtId="166" fontId="13" fillId="0" borderId="0" xfId="0" applyNumberFormat="1" applyFont="1"/>
    <xf numFmtId="10" fontId="13" fillId="0" borderId="0" xfId="3" applyNumberFormat="1" applyFont="1"/>
    <xf numFmtId="165" fontId="25" fillId="0" borderId="0" xfId="0" applyNumberFormat="1" applyFont="1"/>
    <xf numFmtId="166" fontId="25" fillId="0" borderId="0" xfId="0" applyNumberFormat="1" applyFont="1"/>
    <xf numFmtId="10" fontId="25" fillId="0" borderId="0" xfId="3" applyNumberFormat="1" applyFont="1"/>
    <xf numFmtId="166" fontId="12" fillId="0" borderId="0" xfId="2" applyNumberFormat="1" applyFont="1"/>
    <xf numFmtId="166" fontId="26" fillId="0" borderId="0" xfId="2" applyNumberFormat="1" applyFont="1"/>
    <xf numFmtId="166" fontId="12" fillId="0" borderId="0" xfId="0" applyNumberFormat="1" applyFont="1"/>
    <xf numFmtId="0" fontId="28" fillId="0" borderId="0" xfId="0" applyFont="1"/>
    <xf numFmtId="44" fontId="2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186" fontId="0" fillId="0" borderId="0" xfId="0" applyNumberFormat="1"/>
    <xf numFmtId="165" fontId="8" fillId="0" borderId="0" xfId="1" applyNumberFormat="1" applyFont="1"/>
    <xf numFmtId="165" fontId="8" fillId="0" borderId="1" xfId="1" applyNumberFormat="1" applyFont="1" applyBorder="1"/>
    <xf numFmtId="0" fontId="8" fillId="0" borderId="0" xfId="0" quotePrefix="1" applyFont="1" applyAlignment="1">
      <alignment horizontal="center"/>
    </xf>
    <xf numFmtId="166" fontId="8" fillId="0" borderId="0" xfId="0" applyNumberFormat="1" applyFont="1"/>
    <xf numFmtId="44" fontId="8" fillId="0" borderId="0" xfId="2" applyFont="1"/>
    <xf numFmtId="44" fontId="8" fillId="0" borderId="0" xfId="0" applyNumberFormat="1" applyFont="1"/>
    <xf numFmtId="43" fontId="8" fillId="0" borderId="0" xfId="0" applyNumberFormat="1" applyFont="1"/>
    <xf numFmtId="4" fontId="0" fillId="0" borderId="0" xfId="1" applyNumberFormat="1" applyFont="1"/>
    <xf numFmtId="0" fontId="8" fillId="0" borderId="0" xfId="0" applyFont="1" applyAlignment="1">
      <alignment horizontal="centerContinuous"/>
    </xf>
    <xf numFmtId="166" fontId="8" fillId="0" borderId="1" xfId="0" applyNumberFormat="1" applyFont="1" applyBorder="1"/>
    <xf numFmtId="169" fontId="8" fillId="0" borderId="0" xfId="0" applyNumberFormat="1" applyFont="1"/>
    <xf numFmtId="0" fontId="8" fillId="0" borderId="0" xfId="0" quotePrefix="1" applyFont="1"/>
    <xf numFmtId="0" fontId="8" fillId="0" borderId="0" xfId="0" applyFont="1" applyAlignment="1">
      <alignment horizontal="left" indent="1"/>
    </xf>
    <xf numFmtId="166" fontId="8" fillId="0" borderId="0" xfId="2" applyNumberFormat="1" applyFont="1"/>
    <xf numFmtId="166" fontId="8" fillId="0" borderId="1" xfId="2" applyNumberFormat="1" applyFont="1" applyBorder="1"/>
    <xf numFmtId="187" fontId="28" fillId="0" borderId="0" xfId="0" applyNumberFormat="1" applyFont="1"/>
    <xf numFmtId="165" fontId="8" fillId="0" borderId="0" xfId="0" quotePrefix="1" applyNumberFormat="1" applyFont="1" applyAlignment="1">
      <alignment horizontal="center"/>
    </xf>
    <xf numFmtId="187" fontId="8" fillId="0" borderId="0" xfId="0" applyNumberFormat="1" applyFont="1"/>
    <xf numFmtId="166" fontId="11" fillId="0" borderId="7" xfId="2" applyNumberFormat="1" applyFont="1" applyBorder="1"/>
    <xf numFmtId="166" fontId="8" fillId="0" borderId="0" xfId="0" applyNumberFormat="1" applyFont="1" applyAlignment="1">
      <alignment horizontal="center"/>
    </xf>
    <xf numFmtId="17" fontId="8" fillId="0" borderId="1" xfId="0" applyNumberFormat="1" applyFont="1" applyBorder="1" applyAlignment="1">
      <alignment horizontal="center"/>
    </xf>
    <xf numFmtId="166" fontId="8" fillId="0" borderId="0" xfId="0" quotePrefix="1" applyNumberFormat="1" applyFont="1" applyAlignment="1">
      <alignment horizontal="center"/>
    </xf>
    <xf numFmtId="167" fontId="8" fillId="0" borderId="0" xfId="0" applyNumberFormat="1" applyFont="1"/>
    <xf numFmtId="193" fontId="0" fillId="0" borderId="0" xfId="0" applyNumberFormat="1"/>
    <xf numFmtId="194" fontId="0" fillId="0" borderId="0" xfId="0" applyNumberFormat="1"/>
    <xf numFmtId="0" fontId="8" fillId="0" borderId="1" xfId="0" applyFont="1" applyBorder="1" applyAlignment="1">
      <alignment horizontal="center"/>
    </xf>
    <xf numFmtId="43" fontId="47" fillId="0" borderId="0" xfId="1" applyFont="1" applyBorder="1"/>
    <xf numFmtId="0" fontId="47" fillId="0" borderId="0" xfId="94"/>
    <xf numFmtId="43" fontId="47" fillId="0" borderId="0" xfId="1" applyFont="1"/>
    <xf numFmtId="0" fontId="47" fillId="0" borderId="0" xfId="94" applyAlignment="1">
      <alignment horizontal="center"/>
    </xf>
    <xf numFmtId="37" fontId="47" fillId="0" borderId="0" xfId="94" applyNumberFormat="1" applyAlignment="1">
      <alignment horizontal="center"/>
    </xf>
    <xf numFmtId="37" fontId="0" fillId="0" borderId="6" xfId="0" applyNumberFormat="1" applyBorder="1"/>
    <xf numFmtId="43" fontId="0" fillId="0" borderId="6" xfId="0" applyNumberFormat="1" applyBorder="1"/>
    <xf numFmtId="0" fontId="0" fillId="33" borderId="0" xfId="0" applyFill="1" applyAlignment="1">
      <alignment horizontal="center"/>
    </xf>
    <xf numFmtId="0" fontId="8" fillId="33" borderId="0" xfId="0" applyFont="1" applyFill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fill"/>
    </xf>
    <xf numFmtId="37" fontId="0" fillId="33" borderId="0" xfId="0" applyNumberFormat="1" applyFill="1"/>
    <xf numFmtId="39" fontId="0" fillId="33" borderId="0" xfId="0" applyNumberFormat="1" applyFill="1"/>
    <xf numFmtId="7" fontId="0" fillId="33" borderId="0" xfId="0" applyNumberFormat="1" applyFill="1"/>
    <xf numFmtId="7" fontId="0" fillId="33" borderId="0" xfId="0" applyNumberFormat="1" applyFill="1" applyAlignment="1">
      <alignment horizontal="fill"/>
    </xf>
    <xf numFmtId="43" fontId="0" fillId="33" borderId="0" xfId="1" applyFont="1" applyFill="1"/>
    <xf numFmtId="37" fontId="47" fillId="0" borderId="0" xfId="94" applyNumberFormat="1"/>
    <xf numFmtId="7" fontId="47" fillId="0" borderId="0" xfId="94" applyNumberFormat="1"/>
    <xf numFmtId="43" fontId="47" fillId="0" borderId="0" xfId="1" applyFont="1" applyFill="1"/>
    <xf numFmtId="0" fontId="9" fillId="0" borderId="0" xfId="0" applyFont="1" applyAlignment="1">
      <alignment horizontal="center" vertical="justify"/>
    </xf>
    <xf numFmtId="166" fontId="8" fillId="0" borderId="0" xfId="0" quotePrefix="1" applyNumberFormat="1" applyFont="1"/>
    <xf numFmtId="0" fontId="8" fillId="0" borderId="0" xfId="0" quotePrefix="1" applyFont="1" applyAlignment="1">
      <alignment horizontal="left"/>
    </xf>
    <xf numFmtId="0" fontId="23" fillId="0" borderId="0" xfId="0" applyFont="1" applyAlignment="1">
      <alignment horizontal="center"/>
    </xf>
    <xf numFmtId="196" fontId="0" fillId="0" borderId="0" xfId="2" applyNumberFormat="1" applyFont="1"/>
    <xf numFmtId="165" fontId="14" fillId="0" borderId="0" xfId="0" applyNumberFormat="1" applyFont="1"/>
    <xf numFmtId="197" fontId="0" fillId="0" borderId="0" xfId="0" applyNumberFormat="1"/>
    <xf numFmtId="44" fontId="26" fillId="0" borderId="0" xfId="2" applyFont="1"/>
    <xf numFmtId="0" fontId="14" fillId="0" borderId="0" xfId="0" applyFont="1"/>
    <xf numFmtId="198" fontId="0" fillId="0" borderId="0" xfId="3" applyNumberFormat="1" applyFont="1"/>
    <xf numFmtId="44" fontId="28" fillId="0" borderId="0" xfId="2" applyFont="1"/>
    <xf numFmtId="178" fontId="28" fillId="0" borderId="0" xfId="3" applyNumberFormat="1" applyFont="1"/>
    <xf numFmtId="43" fontId="11" fillId="0" borderId="0" xfId="1" applyFont="1"/>
    <xf numFmtId="165" fontId="8" fillId="0" borderId="0" xfId="0" applyNumberFormat="1" applyFont="1"/>
    <xf numFmtId="0" fontId="8" fillId="0" borderId="0" xfId="0" applyFont="1" applyAlignment="1">
      <alignment horizontal="left"/>
    </xf>
    <xf numFmtId="8" fontId="8" fillId="0" borderId="4" xfId="0" applyNumberFormat="1" applyFont="1" applyBorder="1"/>
    <xf numFmtId="3" fontId="8" fillId="0" borderId="0" xfId="0" applyNumberFormat="1" applyFont="1"/>
    <xf numFmtId="165" fontId="8" fillId="0" borderId="1" xfId="0" applyNumberFormat="1" applyFont="1" applyBorder="1"/>
    <xf numFmtId="8" fontId="8" fillId="0" borderId="0" xfId="0" applyNumberFormat="1" applyFont="1"/>
    <xf numFmtId="3" fontId="8" fillId="0" borderId="4" xfId="0" applyNumberFormat="1" applyFont="1" applyBorder="1"/>
    <xf numFmtId="6" fontId="8" fillId="0" borderId="0" xfId="0" applyNumberFormat="1" applyFont="1"/>
    <xf numFmtId="170" fontId="8" fillId="0" borderId="4" xfId="0" applyNumberFormat="1" applyFont="1" applyBorder="1"/>
    <xf numFmtId="170" fontId="8" fillId="0" borderId="0" xfId="0" applyNumberFormat="1" applyFont="1"/>
    <xf numFmtId="3" fontId="8" fillId="0" borderId="6" xfId="0" applyNumberFormat="1" applyFont="1" applyBorder="1"/>
    <xf numFmtId="168" fontId="8" fillId="0" borderId="0" xfId="0" applyNumberFormat="1" applyFont="1"/>
    <xf numFmtId="191" fontId="8" fillId="0" borderId="0" xfId="0" applyNumberFormat="1" applyFont="1"/>
    <xf numFmtId="191" fontId="8" fillId="0" borderId="1" xfId="0" applyNumberFormat="1" applyFont="1" applyBorder="1"/>
    <xf numFmtId="166" fontId="8" fillId="0" borderId="0" xfId="2" applyNumberFormat="1" applyFont="1" applyBorder="1"/>
    <xf numFmtId="166" fontId="8" fillId="0" borderId="6" xfId="0" applyNumberFormat="1" applyFont="1" applyBorder="1"/>
    <xf numFmtId="10" fontId="8" fillId="0" borderId="0" xfId="3" applyNumberFormat="1" applyFont="1"/>
    <xf numFmtId="172" fontId="8" fillId="0" borderId="0" xfId="2" applyNumberFormat="1" applyFont="1"/>
    <xf numFmtId="186" fontId="8" fillId="0" borderId="0" xfId="0" applyNumberFormat="1" applyFont="1"/>
    <xf numFmtId="37" fontId="8" fillId="0" borderId="0" xfId="0" applyNumberFormat="1" applyFont="1"/>
    <xf numFmtId="166" fontId="8" fillId="0" borderId="6" xfId="2" applyNumberFormat="1" applyFont="1" applyBorder="1"/>
    <xf numFmtId="171" fontId="8" fillId="0" borderId="0" xfId="0" applyNumberFormat="1" applyFont="1"/>
    <xf numFmtId="165" fontId="8" fillId="0" borderId="4" xfId="0" applyNumberFormat="1" applyFont="1" applyBorder="1"/>
    <xf numFmtId="172" fontId="8" fillId="0" borderId="0" xfId="0" applyNumberFormat="1" applyFont="1"/>
    <xf numFmtId="165" fontId="8" fillId="0" borderId="6" xfId="0" applyNumberFormat="1" applyFont="1" applyBorder="1"/>
    <xf numFmtId="166" fontId="8" fillId="0" borderId="5" xfId="0" applyNumberFormat="1" applyFont="1" applyBorder="1"/>
    <xf numFmtId="170" fontId="8" fillId="0" borderId="1" xfId="0" applyNumberFormat="1" applyFont="1" applyBorder="1"/>
    <xf numFmtId="166" fontId="8" fillId="0" borderId="7" xfId="0" applyNumberFormat="1" applyFont="1" applyBorder="1"/>
    <xf numFmtId="165" fontId="8" fillId="0" borderId="7" xfId="0" applyNumberFormat="1" applyFont="1" applyBorder="1"/>
    <xf numFmtId="192" fontId="8" fillId="0" borderId="0" xfId="0" applyNumberFormat="1" applyFont="1"/>
    <xf numFmtId="181" fontId="8" fillId="0" borderId="0" xfId="0" applyNumberFormat="1" applyFont="1"/>
    <xf numFmtId="39" fontId="8" fillId="0" borderId="0" xfId="0" applyNumberFormat="1" applyFont="1"/>
    <xf numFmtId="2" fontId="8" fillId="0" borderId="0" xfId="0" applyNumberFormat="1" applyFont="1"/>
    <xf numFmtId="166" fontId="8" fillId="0" borderId="4" xfId="0" applyNumberFormat="1" applyFont="1" applyBorder="1"/>
    <xf numFmtId="1" fontId="8" fillId="0" borderId="0" xfId="0" applyNumberFormat="1" applyFont="1"/>
    <xf numFmtId="165" fontId="8" fillId="0" borderId="0" xfId="1" applyNumberFormat="1" applyFont="1" applyBorder="1"/>
    <xf numFmtId="7" fontId="8" fillId="0" borderId="0" xfId="0" applyNumberFormat="1" applyFont="1"/>
    <xf numFmtId="9" fontId="8" fillId="0" borderId="0" xfId="0" applyNumberFormat="1" applyFont="1"/>
    <xf numFmtId="3" fontId="8" fillId="0" borderId="0" xfId="0" applyNumberFormat="1" applyFont="1" applyAlignment="1">
      <alignment horizontal="center"/>
    </xf>
    <xf numFmtId="170" fontId="8" fillId="0" borderId="0" xfId="2" applyNumberFormat="1" applyFont="1"/>
    <xf numFmtId="174" fontId="8" fillId="0" borderId="0" xfId="0" applyNumberFormat="1" applyFont="1"/>
    <xf numFmtId="173" fontId="8" fillId="0" borderId="0" xfId="0" applyNumberFormat="1" applyFont="1"/>
    <xf numFmtId="179" fontId="8" fillId="0" borderId="0" xfId="0" applyNumberFormat="1" applyFont="1"/>
    <xf numFmtId="183" fontId="8" fillId="0" borderId="0" xfId="0" applyNumberFormat="1" applyFont="1"/>
    <xf numFmtId="43" fontId="8" fillId="0" borderId="0" xfId="1" applyFont="1" applyBorder="1"/>
    <xf numFmtId="184" fontId="8" fillId="0" borderId="0" xfId="0" applyNumberFormat="1" applyFont="1"/>
    <xf numFmtId="198" fontId="8" fillId="0" borderId="0" xfId="3" applyNumberFormat="1" applyFont="1"/>
    <xf numFmtId="44" fontId="8" fillId="0" borderId="0" xfId="2" applyFont="1" applyBorder="1"/>
    <xf numFmtId="167" fontId="48" fillId="0" borderId="0" xfId="95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1" xfId="0" applyNumberFormat="1" applyFont="1" applyBorder="1"/>
    <xf numFmtId="164" fontId="8" fillId="0" borderId="5" xfId="0" applyNumberFormat="1" applyFont="1" applyBorder="1"/>
    <xf numFmtId="176" fontId="8" fillId="0" borderId="0" xfId="0" quotePrefix="1" applyNumberFormat="1" applyFont="1" applyAlignment="1">
      <alignment horizontal="right"/>
    </xf>
    <xf numFmtId="164" fontId="8" fillId="0" borderId="0" xfId="0" quotePrefix="1" applyNumberFormat="1" applyFont="1"/>
    <xf numFmtId="0" fontId="8" fillId="0" borderId="0" xfId="3" applyNumberFormat="1" applyFont="1"/>
    <xf numFmtId="176" fontId="8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4" fontId="8" fillId="0" borderId="0" xfId="2" applyNumberFormat="1" applyFont="1"/>
    <xf numFmtId="0" fontId="8" fillId="0" borderId="1" xfId="0" applyFont="1" applyBorder="1" applyAlignment="1">
      <alignment horizontal="centerContinuous"/>
    </xf>
    <xf numFmtId="165" fontId="8" fillId="0" borderId="4" xfId="1" applyNumberFormat="1" applyFont="1" applyBorder="1"/>
    <xf numFmtId="165" fontId="8" fillId="0" borderId="8" xfId="1" applyNumberFormat="1" applyFont="1" applyBorder="1"/>
    <xf numFmtId="195" fontId="8" fillId="0" borderId="0" xfId="1" applyNumberFormat="1" applyFont="1"/>
    <xf numFmtId="10" fontId="8" fillId="0" borderId="6" xfId="0" applyNumberFormat="1" applyFont="1" applyBorder="1"/>
    <xf numFmtId="166" fontId="11" fillId="0" borderId="2" xfId="2" applyNumberFormat="1" applyFont="1" applyBorder="1"/>
    <xf numFmtId="166" fontId="11" fillId="0" borderId="4" xfId="2" applyNumberFormat="1" applyFont="1" applyBorder="1"/>
    <xf numFmtId="165" fontId="13" fillId="0" borderId="0" xfId="1" applyNumberFormat="1" applyFont="1" applyBorder="1"/>
    <xf numFmtId="0" fontId="11" fillId="0" borderId="5" xfId="0" applyFont="1" applyBorder="1" applyAlignment="1">
      <alignment horizontal="center"/>
    </xf>
    <xf numFmtId="165" fontId="0" fillId="0" borderId="4" xfId="0" applyNumberFormat="1" applyBorder="1"/>
    <xf numFmtId="0" fontId="47" fillId="0" borderId="0" xfId="0" quotePrefix="1" applyFont="1" applyAlignment="1">
      <alignment horizontal="center"/>
    </xf>
    <xf numFmtId="4" fontId="18" fillId="0" borderId="0" xfId="0" quotePrefix="1" applyNumberFormat="1" applyFont="1" applyAlignment="1">
      <alignment horizontal="center"/>
    </xf>
    <xf numFmtId="165" fontId="0" fillId="0" borderId="4" xfId="1" applyNumberFormat="1" applyFont="1" applyBorder="1"/>
    <xf numFmtId="43" fontId="0" fillId="0" borderId="4" xfId="1" applyFont="1" applyBorder="1"/>
    <xf numFmtId="0" fontId="11" fillId="0" borderId="0" xfId="0" applyFont="1" applyAlignment="1">
      <alignment horizontal="right"/>
    </xf>
    <xf numFmtId="0" fontId="11" fillId="0" borderId="7" xfId="0" applyFont="1" applyBorder="1"/>
    <xf numFmtId="37" fontId="11" fillId="0" borderId="0" xfId="0" applyNumberFormat="1" applyFont="1"/>
    <xf numFmtId="37" fontId="11" fillId="0" borderId="5" xfId="0" applyNumberFormat="1" applyFont="1" applyBorder="1"/>
    <xf numFmtId="37" fontId="11" fillId="0" borderId="1" xfId="0" applyNumberFormat="1" applyFont="1" applyBorder="1"/>
    <xf numFmtId="37" fontId="11" fillId="0" borderId="7" xfId="0" applyNumberFormat="1" applyFont="1" applyBorder="1"/>
    <xf numFmtId="37" fontId="11" fillId="0" borderId="4" xfId="0" applyNumberFormat="1" applyFont="1" applyBorder="1"/>
    <xf numFmtId="0" fontId="11" fillId="0" borderId="0" xfId="0" quotePrefix="1" applyFont="1" applyAlignment="1">
      <alignment horizontal="center"/>
    </xf>
    <xf numFmtId="0" fontId="11" fillId="0" borderId="0" xfId="0" quotePrefix="1" applyFont="1"/>
    <xf numFmtId="165" fontId="49" fillId="0" borderId="0" xfId="1" applyNumberFormat="1" applyFont="1"/>
    <xf numFmtId="4" fontId="49" fillId="0" borderId="0" xfId="0" applyNumberFormat="1" applyFont="1"/>
    <xf numFmtId="4" fontId="49" fillId="0" borderId="1" xfId="0" applyNumberFormat="1" applyFont="1" applyBorder="1"/>
    <xf numFmtId="8" fontId="49" fillId="0" borderId="0" xfId="0" applyNumberFormat="1" applyFont="1"/>
    <xf numFmtId="44" fontId="49" fillId="0" borderId="0" xfId="0" applyNumberFormat="1" applyFont="1"/>
    <xf numFmtId="169" fontId="49" fillId="0" borderId="0" xfId="0" applyNumberFormat="1" applyFont="1"/>
    <xf numFmtId="185" fontId="49" fillId="0" borderId="0" xfId="0" applyNumberFormat="1" applyFont="1"/>
    <xf numFmtId="3" fontId="49" fillId="0" borderId="0" xfId="0" applyNumberFormat="1" applyFont="1"/>
    <xf numFmtId="189" fontId="0" fillId="0" borderId="0" xfId="0" applyNumberFormat="1"/>
    <xf numFmtId="44" fontId="8" fillId="0" borderId="1" xfId="2" applyFont="1" applyBorder="1"/>
    <xf numFmtId="199" fontId="0" fillId="0" borderId="0" xfId="0" applyNumberFormat="1"/>
    <xf numFmtId="200" fontId="0" fillId="0" borderId="0" xfId="0" applyNumberFormat="1"/>
    <xf numFmtId="43" fontId="0" fillId="34" borderId="0" xfId="0" applyNumberFormat="1" applyFill="1"/>
    <xf numFmtId="43" fontId="15" fillId="0" borderId="0" xfId="1" applyFont="1" applyBorder="1" applyAlignment="1">
      <alignment horizontal="center"/>
    </xf>
    <xf numFmtId="43" fontId="15" fillId="0" borderId="0" xfId="1" applyFont="1"/>
    <xf numFmtId="165" fontId="15" fillId="0" borderId="0" xfId="1" applyNumberFormat="1" applyFont="1" applyBorder="1" applyAlignment="1">
      <alignment horizontal="center"/>
    </xf>
    <xf numFmtId="165" fontId="15" fillId="0" borderId="0" xfId="1" applyNumberFormat="1" applyFont="1"/>
    <xf numFmtId="182" fontId="8" fillId="0" borderId="0" xfId="0" applyNumberFormat="1" applyFont="1"/>
    <xf numFmtId="182" fontId="15" fillId="0" borderId="0" xfId="0" applyNumberFormat="1" applyFont="1"/>
    <xf numFmtId="43" fontId="15" fillId="0" borderId="0" xfId="0" applyNumberFormat="1" applyFont="1"/>
    <xf numFmtId="165" fontId="15" fillId="0" borderId="0" xfId="0" applyNumberFormat="1" applyFont="1"/>
    <xf numFmtId="43" fontId="16" fillId="35" borderId="0" xfId="1" applyFont="1" applyFill="1"/>
    <xf numFmtId="165" fontId="16" fillId="35" borderId="0" xfId="1" applyNumberFormat="1" applyFont="1" applyFill="1"/>
    <xf numFmtId="43" fontId="15" fillId="35" borderId="0" xfId="1" applyFont="1" applyFill="1" applyAlignment="1">
      <alignment horizontal="center"/>
    </xf>
    <xf numFmtId="165" fontId="15" fillId="35" borderId="0" xfId="1" applyNumberFormat="1" applyFont="1" applyFill="1" applyAlignment="1">
      <alignment horizontal="center"/>
    </xf>
    <xf numFmtId="43" fontId="15" fillId="35" borderId="0" xfId="1" applyFont="1" applyFill="1"/>
    <xf numFmtId="165" fontId="15" fillId="35" borderId="0" xfId="1" applyNumberFormat="1" applyFont="1" applyFill="1"/>
    <xf numFmtId="43" fontId="15" fillId="35" borderId="0" xfId="1" applyFont="1" applyFill="1" applyBorder="1" applyAlignment="1">
      <alignment horizontal="center"/>
    </xf>
    <xf numFmtId="165" fontId="15" fillId="35" borderId="0" xfId="1" applyNumberFormat="1" applyFont="1" applyFill="1" applyBorder="1" applyAlignment="1">
      <alignment horizontal="center"/>
    </xf>
    <xf numFmtId="44" fontId="16" fillId="0" borderId="0" xfId="0" applyNumberFormat="1" applyFont="1"/>
    <xf numFmtId="17" fontId="8" fillId="0" borderId="0" xfId="0" applyNumberFormat="1" applyFont="1"/>
    <xf numFmtId="165" fontId="28" fillId="0" borderId="0" xfId="1" applyNumberFormat="1" applyFont="1"/>
    <xf numFmtId="15" fontId="0" fillId="0" borderId="0" xfId="0" applyNumberFormat="1" applyAlignment="1">
      <alignment horizontal="centerContinuous"/>
    </xf>
    <xf numFmtId="166" fontId="0" fillId="0" borderId="20" xfId="0" applyNumberFormat="1" applyBorder="1"/>
    <xf numFmtId="0" fontId="0" fillId="0" borderId="21" xfId="0" applyBorder="1"/>
    <xf numFmtId="0" fontId="0" fillId="34" borderId="0" xfId="0" applyFill="1"/>
    <xf numFmtId="166" fontId="0" fillId="36" borderId="0" xfId="2" applyNumberFormat="1" applyFont="1" applyFill="1"/>
    <xf numFmtId="0" fontId="0" fillId="34" borderId="0" xfId="0" applyFill="1" applyAlignment="1">
      <alignment horizontal="right"/>
    </xf>
    <xf numFmtId="166" fontId="48" fillId="0" borderId="0" xfId="78" applyNumberFormat="1" applyFont="1"/>
    <xf numFmtId="2" fontId="0" fillId="0" borderId="0" xfId="2" applyNumberFormat="1" applyFont="1"/>
    <xf numFmtId="1" fontId="0" fillId="0" borderId="0" xfId="0" applyNumberFormat="1"/>
    <xf numFmtId="0" fontId="0" fillId="34" borderId="0" xfId="0" applyFill="1" applyAlignment="1">
      <alignment horizontal="center"/>
    </xf>
    <xf numFmtId="0" fontId="0" fillId="0" borderId="0" xfId="0" quotePrefix="1" applyAlignment="1">
      <alignment horizontal="center"/>
    </xf>
    <xf numFmtId="7" fontId="50" fillId="0" borderId="0" xfId="0" applyNumberFormat="1" applyFont="1" applyProtection="1">
      <protection locked="0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 applyAlignment="1">
      <alignment horizontal="center"/>
    </xf>
    <xf numFmtId="43" fontId="0" fillId="0" borderId="0" xfId="1" applyFont="1" applyFill="1" applyProtection="1"/>
    <xf numFmtId="43" fontId="0" fillId="0" borderId="0" xfId="1" applyFont="1" applyFill="1"/>
    <xf numFmtId="17" fontId="0" fillId="0" borderId="0" xfId="0" applyNumberFormat="1"/>
    <xf numFmtId="177" fontId="0" fillId="0" borderId="0" xfId="0" applyNumberFormat="1"/>
    <xf numFmtId="166" fontId="48" fillId="0" borderId="0" xfId="2" applyNumberFormat="1" applyFont="1"/>
    <xf numFmtId="43" fontId="8" fillId="0" borderId="0" xfId="1" applyFont="1" applyFill="1" applyAlignment="1">
      <alignment horizontal="center"/>
    </xf>
    <xf numFmtId="0" fontId="44" fillId="0" borderId="0" xfId="0" applyFont="1" applyAlignment="1">
      <alignment horizontal="center"/>
    </xf>
    <xf numFmtId="0" fontId="44" fillId="0" borderId="1" xfId="0" applyFont="1" applyBorder="1" applyAlignment="1">
      <alignment horizontal="center"/>
    </xf>
    <xf numFmtId="165" fontId="0" fillId="0" borderId="0" xfId="1" applyNumberFormat="1" applyFont="1" applyFill="1"/>
    <xf numFmtId="165" fontId="44" fillId="0" borderId="0" xfId="1" applyNumberFormat="1" applyFont="1"/>
    <xf numFmtId="196" fontId="8" fillId="0" borderId="0" xfId="2" applyNumberFormat="1" applyFont="1"/>
    <xf numFmtId="0" fontId="51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9" fontId="0" fillId="0" borderId="0" xfId="0" applyNumberFormat="1" applyAlignment="1" applyProtection="1">
      <alignment horizontal="center"/>
      <protection locked="0"/>
    </xf>
    <xf numFmtId="0" fontId="18" fillId="0" borderId="0" xfId="0" applyFont="1" applyAlignment="1">
      <alignment horizontal="fill"/>
    </xf>
    <xf numFmtId="3" fontId="18" fillId="0" borderId="0" xfId="0" applyNumberFormat="1" applyFont="1" applyProtection="1">
      <protection locked="0"/>
    </xf>
    <xf numFmtId="176" fontId="18" fillId="0" borderId="0" xfId="0" applyNumberFormat="1" applyFont="1" applyProtection="1">
      <protection locked="0"/>
    </xf>
    <xf numFmtId="7" fontId="18" fillId="0" borderId="0" xfId="0" applyNumberFormat="1" applyFont="1" applyProtection="1">
      <protection locked="0"/>
    </xf>
    <xf numFmtId="39" fontId="18" fillId="0" borderId="0" xfId="0" applyNumberFormat="1" applyFont="1" applyProtection="1">
      <protection locked="0"/>
    </xf>
    <xf numFmtId="180" fontId="0" fillId="0" borderId="0" xfId="2" applyNumberFormat="1" applyFont="1"/>
    <xf numFmtId="170" fontId="8" fillId="0" borderId="0" xfId="2" applyNumberFormat="1" applyFont="1" applyBorder="1"/>
    <xf numFmtId="190" fontId="8" fillId="0" borderId="0" xfId="2" applyNumberFormat="1" applyFont="1"/>
    <xf numFmtId="190" fontId="8" fillId="0" borderId="0" xfId="2" applyNumberFormat="1" applyFont="1" applyBorder="1"/>
    <xf numFmtId="182" fontId="16" fillId="0" borderId="0" xfId="1" applyNumberFormat="1" applyFont="1"/>
    <xf numFmtId="173" fontId="0" fillId="0" borderId="0" xfId="2" applyNumberFormat="1" applyFont="1"/>
    <xf numFmtId="196" fontId="8" fillId="0" borderId="0" xfId="0" applyNumberFormat="1" applyFont="1"/>
    <xf numFmtId="174" fontId="8" fillId="0" borderId="0" xfId="2" applyNumberFormat="1" applyFont="1"/>
    <xf numFmtId="0" fontId="8" fillId="0" borderId="0" xfId="75"/>
    <xf numFmtId="0" fontId="28" fillId="0" borderId="0" xfId="75" applyFont="1"/>
    <xf numFmtId="165" fontId="8" fillId="0" borderId="0" xfId="1" applyNumberFormat="1" applyFont="1" applyAlignment="1">
      <alignment horizontal="center"/>
    </xf>
    <xf numFmtId="201" fontId="0" fillId="0" borderId="0" xfId="0" applyNumberFormat="1"/>
    <xf numFmtId="166" fontId="8" fillId="0" borderId="0" xfId="3" applyNumberFormat="1" applyFont="1"/>
    <xf numFmtId="44" fontId="8" fillId="0" borderId="5" xfId="0" applyNumberFormat="1" applyFont="1" applyBorder="1"/>
    <xf numFmtId="17" fontId="9" fillId="0" borderId="0" xfId="0" applyNumberFormat="1" applyFont="1"/>
    <xf numFmtId="202" fontId="8" fillId="0" borderId="0" xfId="0" applyNumberFormat="1" applyFont="1"/>
    <xf numFmtId="0" fontId="21" fillId="0" borderId="0" xfId="0" applyFont="1" applyAlignment="1">
      <alignment vertical="center"/>
    </xf>
    <xf numFmtId="0" fontId="21" fillId="0" borderId="0" xfId="0" quotePrefix="1" applyFont="1" applyAlignment="1">
      <alignment vertical="center"/>
    </xf>
    <xf numFmtId="167" fontId="0" fillId="0" borderId="0" xfId="0" applyNumberFormat="1"/>
    <xf numFmtId="176" fontId="8" fillId="0" borderId="5" xfId="0" applyNumberFormat="1" applyFont="1" applyBorder="1"/>
    <xf numFmtId="0" fontId="48" fillId="0" borderId="0" xfId="0" applyFont="1"/>
    <xf numFmtId="14" fontId="0" fillId="0" borderId="0" xfId="0" applyNumberFormat="1"/>
    <xf numFmtId="16" fontId="9" fillId="0" borderId="0" xfId="0" applyNumberFormat="1" applyFont="1"/>
    <xf numFmtId="16" fontId="8" fillId="0" borderId="0" xfId="0" applyNumberFormat="1" applyFont="1"/>
    <xf numFmtId="1" fontId="9" fillId="0" borderId="0" xfId="0" applyNumberFormat="1" applyFont="1"/>
    <xf numFmtId="183" fontId="11" fillId="0" borderId="0" xfId="1" applyNumberFormat="1" applyFont="1"/>
    <xf numFmtId="44" fontId="11" fillId="0" borderId="0" xfId="2" applyFont="1"/>
    <xf numFmtId="165" fontId="54" fillId="35" borderId="0" xfId="1" applyNumberFormat="1" applyFont="1" applyFill="1"/>
    <xf numFmtId="165" fontId="22" fillId="0" borderId="0" xfId="0" applyNumberFormat="1" applyFont="1"/>
    <xf numFmtId="165" fontId="56" fillId="35" borderId="0" xfId="1" applyNumberFormat="1" applyFont="1" applyFill="1"/>
    <xf numFmtId="165" fontId="16" fillId="35" borderId="0" xfId="1" applyNumberFormat="1" applyFont="1" applyFill="1" applyAlignment="1">
      <alignment horizontal="center"/>
    </xf>
    <xf numFmtId="0" fontId="8" fillId="35" borderId="0" xfId="0" applyFont="1" applyFill="1" applyAlignment="1">
      <alignment horizontal="center"/>
    </xf>
    <xf numFmtId="0" fontId="55" fillId="35" borderId="0" xfId="0" applyFont="1" applyFill="1" applyAlignment="1">
      <alignment horizontal="center"/>
    </xf>
    <xf numFmtId="0" fontId="57" fillId="35" borderId="0" xfId="0" applyFont="1" applyFill="1" applyAlignment="1">
      <alignment horizontal="center"/>
    </xf>
    <xf numFmtId="165" fontId="54" fillId="0" borderId="0" xfId="1" applyNumberFormat="1" applyFont="1"/>
    <xf numFmtId="0" fontId="0" fillId="0" borderId="0" xfId="0" applyProtection="1">
      <protection locked="0"/>
    </xf>
    <xf numFmtId="204" fontId="58" fillId="0" borderId="0" xfId="0" applyNumberFormat="1" applyFont="1" applyAlignment="1">
      <alignment horizontal="right" vertical="top"/>
    </xf>
    <xf numFmtId="44" fontId="0" fillId="0" borderId="0" xfId="2" applyFont="1" applyFill="1"/>
    <xf numFmtId="44" fontId="0" fillId="0" borderId="0" xfId="2" applyFont="1" applyBorder="1"/>
    <xf numFmtId="44" fontId="44" fillId="0" borderId="0" xfId="2" applyFont="1"/>
    <xf numFmtId="165" fontId="11" fillId="35" borderId="5" xfId="1" applyNumberFormat="1" applyFont="1" applyFill="1" applyBorder="1"/>
    <xf numFmtId="204" fontId="59" fillId="0" borderId="0" xfId="0" applyNumberFormat="1" applyFont="1" applyAlignment="1">
      <alignment horizontal="right" vertical="top"/>
    </xf>
    <xf numFmtId="204" fontId="0" fillId="0" borderId="0" xfId="0" applyNumberFormat="1"/>
    <xf numFmtId="49" fontId="8" fillId="0" borderId="0" xfId="0" applyNumberFormat="1" applyFont="1" applyAlignment="1">
      <alignment horizontal="right" vertical="top"/>
    </xf>
    <xf numFmtId="43" fontId="0" fillId="0" borderId="0" xfId="1" applyFont="1" applyAlignment="1" applyProtection="1">
      <alignment horizontal="fill"/>
    </xf>
    <xf numFmtId="43" fontId="0" fillId="37" borderId="0" xfId="1" applyFont="1" applyFill="1"/>
    <xf numFmtId="43" fontId="60" fillId="0" borderId="0" xfId="0" applyNumberFormat="1" applyFont="1"/>
    <xf numFmtId="0" fontId="52" fillId="34" borderId="0" xfId="0" applyFont="1" applyFill="1"/>
    <xf numFmtId="0" fontId="61" fillId="0" borderId="0" xfId="0" applyFont="1" applyAlignment="1">
      <alignment horizontal="centerContinuous"/>
    </xf>
    <xf numFmtId="49" fontId="62" fillId="0" borderId="22" xfId="0" applyNumberFormat="1" applyFont="1" applyBorder="1" applyAlignment="1">
      <alignment horizontal="center" vertical="top"/>
    </xf>
    <xf numFmtId="49" fontId="63" fillId="0" borderId="1" xfId="0" applyNumberFormat="1" applyFont="1" applyBorder="1" applyAlignment="1">
      <alignment horizontal="right" vertical="top"/>
    </xf>
    <xf numFmtId="49" fontId="63" fillId="0" borderId="1" xfId="0" applyNumberFormat="1" applyFont="1" applyBorder="1" applyAlignment="1">
      <alignment horizontal="left" vertical="top"/>
    </xf>
    <xf numFmtId="49" fontId="64" fillId="0" borderId="1" xfId="0" applyNumberFormat="1" applyFont="1" applyBorder="1" applyAlignment="1">
      <alignment horizontal="right" vertical="top"/>
    </xf>
    <xf numFmtId="49" fontId="64" fillId="0" borderId="0" xfId="0" applyNumberFormat="1" applyFont="1" applyAlignment="1">
      <alignment horizontal="left" vertical="top"/>
    </xf>
    <xf numFmtId="49" fontId="65" fillId="0" borderId="0" xfId="0" applyNumberFormat="1" applyFont="1" applyAlignment="1">
      <alignment horizontal="left" vertical="top"/>
    </xf>
    <xf numFmtId="203" fontId="65" fillId="0" borderId="0" xfId="0" applyNumberFormat="1" applyFont="1" applyAlignment="1">
      <alignment horizontal="right" vertical="top"/>
    </xf>
    <xf numFmtId="204" fontId="65" fillId="0" borderId="0" xfId="0" applyNumberFormat="1" applyFont="1" applyAlignment="1">
      <alignment horizontal="right" vertical="top"/>
    </xf>
    <xf numFmtId="49" fontId="64" fillId="0" borderId="0" xfId="0" applyNumberFormat="1" applyFont="1" applyAlignment="1">
      <alignment horizontal="right" vertical="top"/>
    </xf>
    <xf numFmtId="204" fontId="65" fillId="0" borderId="7" xfId="0" applyNumberFormat="1" applyFont="1" applyBorder="1" applyAlignment="1">
      <alignment horizontal="right" vertical="top"/>
    </xf>
    <xf numFmtId="204" fontId="59" fillId="0" borderId="1" xfId="0" applyNumberFormat="1" applyFont="1" applyBorder="1" applyAlignment="1">
      <alignment horizontal="right" vertical="top"/>
    </xf>
    <xf numFmtId="204" fontId="0" fillId="0" borderId="6" xfId="0" applyNumberFormat="1" applyBorder="1"/>
    <xf numFmtId="43" fontId="0" fillId="0" borderId="0" xfId="1" applyFont="1" applyFill="1" applyBorder="1"/>
    <xf numFmtId="17" fontId="8" fillId="0" borderId="0" xfId="0" quotePrefix="1" applyNumberFormat="1" applyFont="1"/>
    <xf numFmtId="43" fontId="66" fillId="0" borderId="0" xfId="1" applyFont="1"/>
    <xf numFmtId="43" fontId="16" fillId="0" borderId="6" xfId="1" applyFont="1" applyBorder="1"/>
    <xf numFmtId="165" fontId="16" fillId="0" borderId="0" xfId="1" applyNumberFormat="1" applyFont="1" applyProtection="1"/>
    <xf numFmtId="37" fontId="16" fillId="0" borderId="0" xfId="0" applyNumberFormat="1" applyFont="1"/>
    <xf numFmtId="7" fontId="16" fillId="0" borderId="0" xfId="0" applyNumberFormat="1" applyFont="1"/>
    <xf numFmtId="43" fontId="16" fillId="0" borderId="0" xfId="0" applyNumberFormat="1" applyFont="1"/>
    <xf numFmtId="0" fontId="0" fillId="35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205" fontId="0" fillId="0" borderId="0" xfId="0" applyNumberFormat="1"/>
    <xf numFmtId="49" fontId="65" fillId="35" borderId="0" xfId="0" applyNumberFormat="1" applyFont="1" applyFill="1" applyAlignment="1">
      <alignment horizontal="left" vertical="top"/>
    </xf>
    <xf numFmtId="0" fontId="0" fillId="35" borderId="0" xfId="0" applyFill="1"/>
    <xf numFmtId="0" fontId="48" fillId="35" borderId="0" xfId="95" applyFont="1" applyFill="1"/>
    <xf numFmtId="0" fontId="8" fillId="35" borderId="0" xfId="0" applyFont="1" applyFill="1"/>
    <xf numFmtId="0" fontId="67" fillId="0" borderId="0" xfId="0" applyFont="1" applyAlignment="1">
      <alignment horizontal="centerContinuous"/>
    </xf>
    <xf numFmtId="0" fontId="68" fillId="0" borderId="0" xfId="0" applyFont="1" applyAlignment="1">
      <alignment horizontal="centerContinuous"/>
    </xf>
    <xf numFmtId="43" fontId="0" fillId="0" borderId="23" xfId="1" applyFont="1" applyFill="1" applyBorder="1"/>
    <xf numFmtId="0" fontId="53" fillId="0" borderId="0" xfId="0" applyFont="1" applyAlignment="1">
      <alignment horizontal="centerContinuous"/>
    </xf>
    <xf numFmtId="0" fontId="69" fillId="0" borderId="0" xfId="0" applyFont="1" applyAlignment="1">
      <alignment horizontal="centerContinuous"/>
    </xf>
    <xf numFmtId="37" fontId="0" fillId="35" borderId="0" xfId="0" applyNumberFormat="1" applyFill="1"/>
    <xf numFmtId="16" fontId="8" fillId="0" borderId="0" xfId="0" quotePrefix="1" applyNumberFormat="1" applyFont="1"/>
    <xf numFmtId="43" fontId="18" fillId="0" borderId="0" xfId="1" applyFont="1" applyAlignment="1" applyProtection="1">
      <protection locked="0"/>
    </xf>
    <xf numFmtId="0" fontId="18" fillId="0" borderId="0" xfId="0" applyFont="1" applyProtection="1">
      <protection locked="0"/>
    </xf>
    <xf numFmtId="0" fontId="18" fillId="0" borderId="0" xfId="0" quotePrefix="1" applyFont="1"/>
    <xf numFmtId="44" fontId="19" fillId="0" borderId="0" xfId="2" applyFont="1"/>
    <xf numFmtId="44" fontId="11" fillId="0" borderId="0" xfId="2" applyFont="1" applyProtection="1">
      <protection locked="0"/>
    </xf>
    <xf numFmtId="4" fontId="19" fillId="0" borderId="0" xfId="0" applyNumberFormat="1" applyFont="1"/>
    <xf numFmtId="4" fontId="8" fillId="0" borderId="0" xfId="0" applyNumberFormat="1" applyFont="1" applyProtection="1">
      <protection locked="0"/>
    </xf>
    <xf numFmtId="4" fontId="11" fillId="0" borderId="0" xfId="0" applyNumberFormat="1" applyFont="1" applyProtection="1">
      <protection locked="0"/>
    </xf>
    <xf numFmtId="4" fontId="19" fillId="0" borderId="0" xfId="0" quotePrefix="1" applyNumberFormat="1" applyFont="1"/>
    <xf numFmtId="4" fontId="11" fillId="0" borderId="0" xfId="0" quotePrefix="1" applyNumberFormat="1" applyFont="1" applyProtection="1">
      <protection locked="0"/>
    </xf>
    <xf numFmtId="44" fontId="19" fillId="0" borderId="1" xfId="2" applyFont="1" applyBorder="1"/>
    <xf numFmtId="44" fontId="11" fillId="0" borderId="1" xfId="2" applyFont="1" applyBorder="1" applyProtection="1">
      <protection locked="0"/>
    </xf>
    <xf numFmtId="44" fontId="11" fillId="0" borderId="1" xfId="2" applyFont="1" applyBorder="1"/>
    <xf numFmtId="4" fontId="11" fillId="0" borderId="6" xfId="0" applyNumberFormat="1" applyFont="1" applyBorder="1" applyProtection="1">
      <protection locked="0"/>
    </xf>
    <xf numFmtId="165" fontId="19" fillId="0" borderId="1" xfId="1" applyNumberFormat="1" applyFont="1" applyBorder="1"/>
    <xf numFmtId="9" fontId="0" fillId="0" borderId="0" xfId="3" applyFont="1" applyProtection="1">
      <protection locked="0"/>
    </xf>
    <xf numFmtId="10" fontId="0" fillId="0" borderId="0" xfId="3" applyNumberFormat="1" applyFont="1" applyProtection="1">
      <protection locked="0"/>
    </xf>
    <xf numFmtId="0" fontId="51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7" fontId="18" fillId="0" borderId="0" xfId="0" applyNumberFormat="1" applyFont="1" applyAlignment="1">
      <alignment horizontal="centerContinuous"/>
    </xf>
    <xf numFmtId="43" fontId="18" fillId="0" borderId="0" xfId="1" applyFont="1" applyAlignment="1"/>
    <xf numFmtId="176" fontId="18" fillId="0" borderId="0" xfId="0" applyNumberFormat="1" applyFont="1" applyAlignment="1">
      <alignment horizontal="centerContinuous"/>
    </xf>
    <xf numFmtId="176" fontId="11" fillId="0" borderId="0" xfId="0" applyNumberFormat="1" applyFont="1"/>
    <xf numFmtId="176" fontId="18" fillId="0" borderId="1" xfId="0" applyNumberFormat="1" applyFont="1" applyBorder="1"/>
    <xf numFmtId="0" fontId="70" fillId="0" borderId="0" xfId="0" applyFont="1"/>
    <xf numFmtId="0" fontId="71" fillId="0" borderId="0" xfId="0" applyFont="1" applyAlignment="1">
      <alignment vertical="center"/>
    </xf>
    <xf numFmtId="4" fontId="71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9" fillId="0" borderId="3" xfId="0" applyFont="1" applyBorder="1" applyAlignment="1">
      <alignment vertical="center"/>
    </xf>
    <xf numFmtId="4" fontId="29" fillId="0" borderId="3" xfId="0" applyNumberFormat="1" applyFont="1" applyBorder="1" applyAlignment="1">
      <alignment horizontal="right" vertical="center"/>
    </xf>
    <xf numFmtId="165" fontId="11" fillId="0" borderId="0" xfId="1" applyNumberFormat="1" applyFont="1" applyProtection="1">
      <protection locked="0"/>
    </xf>
    <xf numFmtId="165" fontId="11" fillId="0" borderId="0" xfId="1" applyNumberFormat="1" applyFont="1" applyFill="1" applyBorder="1" applyProtection="1">
      <protection locked="0"/>
    </xf>
    <xf numFmtId="165" fontId="71" fillId="0" borderId="0" xfId="1" applyNumberFormat="1" applyFont="1" applyAlignment="1">
      <alignment vertical="center"/>
    </xf>
    <xf numFmtId="165" fontId="29" fillId="0" borderId="0" xfId="1" applyNumberFormat="1" applyFont="1" applyAlignment="1">
      <alignment vertical="center"/>
    </xf>
    <xf numFmtId="195" fontId="0" fillId="0" borderId="0" xfId="0" applyNumberFormat="1"/>
    <xf numFmtId="180" fontId="8" fillId="0" borderId="0" xfId="0" applyNumberFormat="1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49" fontId="58" fillId="0" borderId="0" xfId="0" applyNumberFormat="1" applyFont="1" applyAlignment="1">
      <alignment horizontal="left" vertical="top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175" fontId="12" fillId="0" borderId="0" xfId="0" applyNumberFormat="1" applyFont="1" applyAlignment="1">
      <alignment horizontal="center"/>
    </xf>
  </cellXfs>
  <cellStyles count="110">
    <cellStyle name="20% - Accent1" xfId="31" builtinId="30" customBuiltin="1"/>
    <cellStyle name="20% - Accent1 2" xfId="63" xr:uid="{00000000-0005-0000-0000-000001000000}"/>
    <cellStyle name="20% - Accent1 3" xfId="80" xr:uid="{00000000-0005-0000-0000-000002000000}"/>
    <cellStyle name="20% - Accent1 4" xfId="98" xr:uid="{00000000-0005-0000-0000-000003000000}"/>
    <cellStyle name="20% - Accent2" xfId="35" builtinId="34" customBuiltin="1"/>
    <cellStyle name="20% - Accent2 2" xfId="65" xr:uid="{00000000-0005-0000-0000-000005000000}"/>
    <cellStyle name="20% - Accent2 3" xfId="82" xr:uid="{00000000-0005-0000-0000-000006000000}"/>
    <cellStyle name="20% - Accent2 4" xfId="100" xr:uid="{00000000-0005-0000-0000-000007000000}"/>
    <cellStyle name="20% - Accent3" xfId="39" builtinId="38" customBuiltin="1"/>
    <cellStyle name="20% - Accent3 2" xfId="67" xr:uid="{00000000-0005-0000-0000-000009000000}"/>
    <cellStyle name="20% - Accent3 3" xfId="84" xr:uid="{00000000-0005-0000-0000-00000A000000}"/>
    <cellStyle name="20% - Accent3 4" xfId="102" xr:uid="{00000000-0005-0000-0000-00000B000000}"/>
    <cellStyle name="20% - Accent4" xfId="43" builtinId="42" customBuiltin="1"/>
    <cellStyle name="20% - Accent4 2" xfId="69" xr:uid="{00000000-0005-0000-0000-00000D000000}"/>
    <cellStyle name="20% - Accent4 3" xfId="86" xr:uid="{00000000-0005-0000-0000-00000E000000}"/>
    <cellStyle name="20% - Accent4 4" xfId="104" xr:uid="{00000000-0005-0000-0000-00000F000000}"/>
    <cellStyle name="20% - Accent5" xfId="47" builtinId="46" customBuiltin="1"/>
    <cellStyle name="20% - Accent5 2" xfId="71" xr:uid="{00000000-0005-0000-0000-000011000000}"/>
    <cellStyle name="20% - Accent5 3" xfId="88" xr:uid="{00000000-0005-0000-0000-000012000000}"/>
    <cellStyle name="20% - Accent5 4" xfId="106" xr:uid="{00000000-0005-0000-0000-000013000000}"/>
    <cellStyle name="20% - Accent6" xfId="51" builtinId="50" customBuiltin="1"/>
    <cellStyle name="20% - Accent6 2" xfId="73" xr:uid="{00000000-0005-0000-0000-000015000000}"/>
    <cellStyle name="20% - Accent6 3" xfId="90" xr:uid="{00000000-0005-0000-0000-000016000000}"/>
    <cellStyle name="20% - Accent6 4" xfId="108" xr:uid="{00000000-0005-0000-0000-000017000000}"/>
    <cellStyle name="40% - Accent1" xfId="32" builtinId="31" customBuiltin="1"/>
    <cellStyle name="40% - Accent1 2" xfId="64" xr:uid="{00000000-0005-0000-0000-000019000000}"/>
    <cellStyle name="40% - Accent1 3" xfId="81" xr:uid="{00000000-0005-0000-0000-00001A000000}"/>
    <cellStyle name="40% - Accent1 4" xfId="99" xr:uid="{00000000-0005-0000-0000-00001B000000}"/>
    <cellStyle name="40% - Accent2" xfId="36" builtinId="35" customBuiltin="1"/>
    <cellStyle name="40% - Accent2 2" xfId="66" xr:uid="{00000000-0005-0000-0000-00001D000000}"/>
    <cellStyle name="40% - Accent2 3" xfId="83" xr:uid="{00000000-0005-0000-0000-00001E000000}"/>
    <cellStyle name="40% - Accent2 4" xfId="101" xr:uid="{00000000-0005-0000-0000-00001F000000}"/>
    <cellStyle name="40% - Accent3" xfId="40" builtinId="39" customBuiltin="1"/>
    <cellStyle name="40% - Accent3 2" xfId="68" xr:uid="{00000000-0005-0000-0000-000021000000}"/>
    <cellStyle name="40% - Accent3 3" xfId="85" xr:uid="{00000000-0005-0000-0000-000022000000}"/>
    <cellStyle name="40% - Accent3 4" xfId="103" xr:uid="{00000000-0005-0000-0000-000023000000}"/>
    <cellStyle name="40% - Accent4" xfId="44" builtinId="43" customBuiltin="1"/>
    <cellStyle name="40% - Accent4 2" xfId="70" xr:uid="{00000000-0005-0000-0000-000025000000}"/>
    <cellStyle name="40% - Accent4 3" xfId="87" xr:uid="{00000000-0005-0000-0000-000026000000}"/>
    <cellStyle name="40% - Accent4 4" xfId="105" xr:uid="{00000000-0005-0000-0000-000027000000}"/>
    <cellStyle name="40% - Accent5" xfId="48" builtinId="47" customBuiltin="1"/>
    <cellStyle name="40% - Accent5 2" xfId="72" xr:uid="{00000000-0005-0000-0000-000029000000}"/>
    <cellStyle name="40% - Accent5 3" xfId="89" xr:uid="{00000000-0005-0000-0000-00002A000000}"/>
    <cellStyle name="40% - Accent5 4" xfId="107" xr:uid="{00000000-0005-0000-0000-00002B000000}"/>
    <cellStyle name="40% - Accent6" xfId="52" builtinId="51" customBuiltin="1"/>
    <cellStyle name="40% - Accent6 2" xfId="74" xr:uid="{00000000-0005-0000-0000-00002D000000}"/>
    <cellStyle name="40% - Accent6 3" xfId="91" xr:uid="{00000000-0005-0000-0000-00002E000000}"/>
    <cellStyle name="40% - Accent6 4" xfId="109" xr:uid="{00000000-0005-0000-0000-00002F000000}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Comma 2" xfId="5" xr:uid="{00000000-0005-0000-0000-000040000000}"/>
    <cellStyle name="Comma 3" xfId="9" xr:uid="{00000000-0005-0000-0000-000041000000}"/>
    <cellStyle name="Comma 4" xfId="11" xr:uid="{00000000-0005-0000-0000-000042000000}"/>
    <cellStyle name="Comma 5" xfId="55" xr:uid="{00000000-0005-0000-0000-000043000000}"/>
    <cellStyle name="Comma 6" xfId="59" xr:uid="{00000000-0005-0000-0000-000044000000}"/>
    <cellStyle name="Currency" xfId="2" builtinId="4"/>
    <cellStyle name="Currency 2" xfId="6" xr:uid="{00000000-0005-0000-0000-000046000000}"/>
    <cellStyle name="Currency 2 2" xfId="76" xr:uid="{00000000-0005-0000-0000-000047000000}"/>
    <cellStyle name="Currency 2 3" xfId="93" xr:uid="{00000000-0005-0000-0000-000048000000}"/>
    <cellStyle name="Currency 3" xfId="13" xr:uid="{00000000-0005-0000-0000-000049000000}"/>
    <cellStyle name="Currency 4" xfId="56" xr:uid="{00000000-0005-0000-0000-00004A000000}"/>
    <cellStyle name="Currency 5" xfId="61" xr:uid="{00000000-0005-0000-0000-00004B000000}"/>
    <cellStyle name="Currency 6" xfId="78" xr:uid="{00000000-0005-0000-0000-00004C000000}"/>
    <cellStyle name="Currency 7" xfId="96" xr:uid="{00000000-0005-0000-0000-00004D000000}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94" xr:uid="{00000000-0005-0000-0000-000058000000}"/>
    <cellStyle name="Normal 11" xfId="95" xr:uid="{00000000-0005-0000-0000-000059000000}"/>
    <cellStyle name="Normal 2" xfId="4" xr:uid="{00000000-0005-0000-0000-00005A000000}"/>
    <cellStyle name="Normal 2 2" xfId="75" xr:uid="{00000000-0005-0000-0000-00005B000000}"/>
    <cellStyle name="Normal 2 3" xfId="92" xr:uid="{00000000-0005-0000-0000-00005C000000}"/>
    <cellStyle name="Normal 3" xfId="8" xr:uid="{00000000-0005-0000-0000-00005D000000}"/>
    <cellStyle name="Normal 4" xfId="10" xr:uid="{00000000-0005-0000-0000-00005E000000}"/>
    <cellStyle name="Normal 5" xfId="12" xr:uid="{00000000-0005-0000-0000-00005F000000}"/>
    <cellStyle name="Normal 6" xfId="54" xr:uid="{00000000-0005-0000-0000-000060000000}"/>
    <cellStyle name="Normal 7" xfId="58" xr:uid="{00000000-0005-0000-0000-000061000000}"/>
    <cellStyle name="Normal 8" xfId="60" xr:uid="{00000000-0005-0000-0000-000062000000}"/>
    <cellStyle name="Normal 9" xfId="77" xr:uid="{00000000-0005-0000-0000-000063000000}"/>
    <cellStyle name="Note 2" xfId="57" xr:uid="{00000000-0005-0000-0000-000064000000}"/>
    <cellStyle name="Note 3" xfId="62" xr:uid="{00000000-0005-0000-0000-000065000000}"/>
    <cellStyle name="Note 4" xfId="79" xr:uid="{00000000-0005-0000-0000-000066000000}"/>
    <cellStyle name="Note 5" xfId="97" xr:uid="{00000000-0005-0000-0000-000067000000}"/>
    <cellStyle name="Output" xfId="23" builtinId="21" customBuiltin="1"/>
    <cellStyle name="Percent" xfId="3" builtinId="5"/>
    <cellStyle name="Percent 2" xfId="7" xr:uid="{00000000-0005-0000-0000-00006A000000}"/>
    <cellStyle name="Title" xfId="14" builtinId="15" customBuiltin="1"/>
    <cellStyle name="Total" xfId="29" builtinId="25" customBuiltin="1"/>
    <cellStyle name="Warning Text" xfId="2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Travis\Rate%20Applications\2023%20rate%20application\Consumption%20analysis\Direct%202023%20feb.xlsx" TargetMode="External"/><Relationship Id="rId1" Type="http://schemas.openxmlformats.org/officeDocument/2006/relationships/externalLinkPath" Target="/Travis/Rate%20Applications/2023%20rate%20application/Consumption%20analysis-Kenergy%20work%20papers/Direct%202023%20fe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Travis\Rate%20Applications\2023%20rate%20application\Consumption%20analysis\Direct%202022.xlsx" TargetMode="External"/><Relationship Id="rId1" Type="http://schemas.openxmlformats.org/officeDocument/2006/relationships/externalLinkPath" Target="/Travis/Rate%20Applications/2023%20rate%20application/Consumption%20analysis-Kenergy%20work%20papers/Direc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uride"/>
      <sheetName val="AMG"/>
      <sheetName val="Azteca"/>
      <sheetName val="Century - Hawesville"/>
      <sheetName val="Century - Sebree"/>
      <sheetName val="C'wealth Rolled"/>
      <sheetName val="Domtar"/>
      <sheetName val="Dotiki"/>
      <sheetName val="Hopkins"/>
      <sheetName val="KC"/>
      <sheetName val="KY Res - Dock"/>
      <sheetName val="KY Res - Equality"/>
      <sheetName val="KY Res - Lewis Crk"/>
      <sheetName val="KY Res - Midway"/>
      <sheetName val="Precoat"/>
      <sheetName val="Southwire"/>
      <sheetName val="Tyson"/>
      <sheetName val="TOTAL"/>
      <sheetName val="spare 3"/>
      <sheetName val="spare 4"/>
      <sheetName val="spare 5"/>
      <sheetName val="Aleris"/>
      <sheetName val="Hartshorne"/>
      <sheetName val="Pennyrile"/>
      <sheetName val="Rough Creek"/>
      <sheetName val="Sebree Steamport"/>
      <sheetName val="Sebree KMMC"/>
      <sheetName val="Alcoa"/>
    </sheetNames>
    <sheetDataSet>
      <sheetData sheetId="0">
        <row r="56">
          <cell r="W5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uride"/>
      <sheetName val="AMG"/>
      <sheetName val="Azteca"/>
      <sheetName val="Century - Hawesville"/>
      <sheetName val="Century - Sebree"/>
      <sheetName val="C'wealth Rolled"/>
      <sheetName val="Domtar"/>
      <sheetName val="Dotiki"/>
      <sheetName val="Hopkins"/>
      <sheetName val="KC"/>
      <sheetName val="KY Res - Dock"/>
      <sheetName val="KY Res - Equality"/>
      <sheetName val="KY Res - Lewis Crk"/>
      <sheetName val="KY Res - Midway"/>
      <sheetName val="Precoat"/>
      <sheetName val="Southwire"/>
      <sheetName val="Tyson"/>
      <sheetName val="TOTAL"/>
      <sheetName val="spare 3"/>
      <sheetName val="spare 4"/>
      <sheetName val="spare 5"/>
      <sheetName val="Aleris"/>
      <sheetName val="Hartshorne"/>
      <sheetName val="Pennyrile"/>
      <sheetName val="Rough Creek"/>
      <sheetName val="Sebree Steamport"/>
      <sheetName val="Sebree KMMC"/>
      <sheetName val="Alc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A9" t="str">
            <v>MAR</v>
          </cell>
        </row>
        <row r="10">
          <cell r="A10" t="str">
            <v>APR</v>
          </cell>
        </row>
        <row r="11">
          <cell r="A11" t="str">
            <v>MAY</v>
          </cell>
        </row>
        <row r="12">
          <cell r="A12" t="str">
            <v>JUN</v>
          </cell>
        </row>
        <row r="13">
          <cell r="A13" t="str">
            <v>JUL</v>
          </cell>
        </row>
        <row r="14">
          <cell r="A14" t="str">
            <v>AUG</v>
          </cell>
        </row>
        <row r="15">
          <cell r="A15" t="str">
            <v>SEP</v>
          </cell>
        </row>
        <row r="16">
          <cell r="A16" t="str">
            <v>OCT</v>
          </cell>
        </row>
        <row r="17">
          <cell r="A17" t="str">
            <v>NOV</v>
          </cell>
        </row>
        <row r="18">
          <cell r="A18" t="str">
            <v>DEC</v>
          </cell>
        </row>
      </sheetData>
      <sheetData sheetId="12"/>
      <sheetData sheetId="13"/>
      <sheetData sheetId="14"/>
      <sheetData sheetId="15"/>
      <sheetData sheetId="16">
        <row r="9">
          <cell r="A9" t="str">
            <v>MAR</v>
          </cell>
        </row>
        <row r="10">
          <cell r="A10" t="str">
            <v>APR</v>
          </cell>
        </row>
        <row r="11">
          <cell r="A11" t="str">
            <v>MAY</v>
          </cell>
        </row>
        <row r="12">
          <cell r="A12" t="str">
            <v>JUN</v>
          </cell>
        </row>
        <row r="13">
          <cell r="A13" t="str">
            <v>JUL</v>
          </cell>
        </row>
        <row r="14">
          <cell r="A14" t="str">
            <v>AUG</v>
          </cell>
        </row>
        <row r="15">
          <cell r="A15" t="str">
            <v>SEP</v>
          </cell>
        </row>
        <row r="16">
          <cell r="A16" t="str">
            <v>OCT</v>
          </cell>
        </row>
        <row r="17">
          <cell r="A17" t="str">
            <v>NOV</v>
          </cell>
        </row>
        <row r="18">
          <cell r="A18" t="str">
            <v>DEC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20"/>
  <sheetViews>
    <sheetView showGridLines="0" tabSelected="1" view="pageLayout" topLeftCell="A76" zoomScaleNormal="84" zoomScaleSheetLayoutView="75" workbookViewId="0">
      <selection activeCell="G60" sqref="G60"/>
    </sheetView>
  </sheetViews>
  <sheetFormatPr defaultColWidth="9.140625" defaultRowHeight="12.75"/>
  <cols>
    <col min="1" max="1" width="9.140625" style="1" customWidth="1"/>
    <col min="2" max="2" width="38.7109375" style="1" customWidth="1"/>
    <col min="3" max="3" width="16" style="1" customWidth="1"/>
    <col min="4" max="4" width="21.42578125" style="1" bestFit="1" customWidth="1"/>
    <col min="5" max="5" width="23" style="1" bestFit="1" customWidth="1"/>
    <col min="6" max="6" width="21.5703125" style="1" bestFit="1" customWidth="1"/>
    <col min="7" max="7" width="19.7109375" style="1" bestFit="1" customWidth="1"/>
    <col min="8" max="8" width="19" style="1" bestFit="1" customWidth="1"/>
    <col min="9" max="9" width="18.5703125" style="1" customWidth="1"/>
    <col min="10" max="10" width="15.7109375" style="1" bestFit="1" customWidth="1"/>
    <col min="11" max="11" width="12.5703125" style="1" customWidth="1"/>
    <col min="12" max="12" width="15.5703125" style="1" bestFit="1" customWidth="1"/>
    <col min="13" max="13" width="18.28515625" style="1" bestFit="1" customWidth="1"/>
    <col min="14" max="15" width="17.140625" style="1" customWidth="1"/>
    <col min="16" max="16" width="15.7109375" style="1" customWidth="1"/>
    <col min="17" max="17" width="14.42578125" style="1" bestFit="1" customWidth="1"/>
    <col min="18" max="18" width="9.140625" style="1"/>
    <col min="19" max="19" width="12.42578125" style="1" bestFit="1" customWidth="1"/>
    <col min="20" max="20" width="11.7109375" style="1" bestFit="1" customWidth="1"/>
    <col min="21" max="21" width="9.140625" style="1"/>
    <col min="22" max="22" width="11.85546875" style="1" bestFit="1" customWidth="1"/>
    <col min="23" max="23" width="10.85546875" style="1" bestFit="1" customWidth="1"/>
    <col min="24" max="24" width="10" style="1" bestFit="1" customWidth="1"/>
    <col min="25" max="25" width="9.140625" style="1"/>
    <col min="26" max="26" width="10" style="1" bestFit="1" customWidth="1"/>
    <col min="27" max="27" width="9.140625" style="1"/>
    <col min="28" max="28" width="10.28515625" style="1" bestFit="1" customWidth="1"/>
    <col min="29" max="29" width="9.140625" style="1"/>
    <col min="30" max="30" width="10.28515625" style="1" bestFit="1" customWidth="1"/>
    <col min="31" max="16384" width="9.140625" style="1"/>
  </cols>
  <sheetData>
    <row r="1" spans="1:38" ht="15" customHeight="1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"/>
      <c r="M1" s="4"/>
      <c r="N1" s="203"/>
      <c r="O1" s="203"/>
      <c r="P1" s="17"/>
      <c r="Q1" s="17"/>
      <c r="R1" s="17"/>
    </row>
    <row r="2" spans="1:38" ht="15" customHeight="1">
      <c r="A2" s="487" t="s">
        <v>1165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"/>
      <c r="M2" s="4"/>
      <c r="N2" s="17"/>
      <c r="O2" s="17"/>
      <c r="P2" s="17"/>
      <c r="Q2" s="17"/>
      <c r="R2" s="17"/>
    </row>
    <row r="3" spans="1:38" ht="15" customHeight="1">
      <c r="A3" s="487" t="s">
        <v>604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"/>
      <c r="M3" s="4"/>
      <c r="N3" s="17"/>
      <c r="O3" s="17"/>
      <c r="P3" s="17"/>
      <c r="Q3" s="17"/>
      <c r="R3" s="17"/>
    </row>
    <row r="4" spans="1:38" ht="15" customHeight="1">
      <c r="A4" s="52" t="s">
        <v>35</v>
      </c>
      <c r="B4" s="3"/>
      <c r="C4" s="3"/>
      <c r="D4" s="3"/>
      <c r="E4" s="3"/>
      <c r="F4" s="4"/>
      <c r="G4" s="5"/>
      <c r="H4" s="5"/>
      <c r="I4" s="5"/>
    </row>
    <row r="5" spans="1:38" ht="15">
      <c r="A5" s="52" t="s">
        <v>36</v>
      </c>
      <c r="B5" s="4" t="s">
        <v>1</v>
      </c>
      <c r="C5" s="4" t="s">
        <v>2</v>
      </c>
      <c r="D5" s="4" t="s">
        <v>3</v>
      </c>
      <c r="E5" s="4" t="s">
        <v>4</v>
      </c>
      <c r="F5"/>
      <c r="G5"/>
      <c r="H5"/>
      <c r="I5"/>
      <c r="J5"/>
      <c r="K5"/>
      <c r="L5" s="4"/>
      <c r="M5" s="4"/>
    </row>
    <row r="6" spans="1:38" ht="15">
      <c r="A6" s="4">
        <v>1</v>
      </c>
      <c r="B6" s="5"/>
      <c r="C6" s="5"/>
      <c r="D6" s="5"/>
      <c r="E6" s="5"/>
      <c r="F6"/>
      <c r="G6"/>
      <c r="H6"/>
      <c r="I6"/>
      <c r="J6"/>
      <c r="K6"/>
      <c r="L6"/>
      <c r="M6"/>
      <c r="N6"/>
      <c r="O6"/>
    </row>
    <row r="7" spans="1:38" ht="15">
      <c r="A7" s="4">
        <f>A6+1</f>
        <v>2</v>
      </c>
      <c r="B7" s="5"/>
      <c r="C7" s="4" t="s">
        <v>10</v>
      </c>
      <c r="D7" s="5"/>
      <c r="F7"/>
      <c r="G7"/>
      <c r="H7"/>
      <c r="I7"/>
      <c r="J7"/>
      <c r="K7"/>
      <c r="L7"/>
      <c r="M7"/>
      <c r="N7"/>
      <c r="O7"/>
    </row>
    <row r="8" spans="1:38" ht="15">
      <c r="A8" s="4">
        <f t="shared" ref="A8:A62" si="0">A7+1</f>
        <v>3</v>
      </c>
      <c r="B8" s="5"/>
      <c r="C8" s="2" t="s">
        <v>14</v>
      </c>
      <c r="D8" s="4" t="s">
        <v>11</v>
      </c>
      <c r="E8" s="4" t="s">
        <v>8</v>
      </c>
      <c r="F8"/>
      <c r="G8"/>
      <c r="H8"/>
      <c r="I8"/>
      <c r="J8"/>
      <c r="K8"/>
      <c r="L8" s="4"/>
      <c r="M8" s="4"/>
      <c r="N8" s="4"/>
      <c r="O8" s="4"/>
      <c r="P8" s="4"/>
    </row>
    <row r="9" spans="1:38" ht="15">
      <c r="A9" s="4">
        <f t="shared" si="0"/>
        <v>4</v>
      </c>
      <c r="B9" s="2" t="s">
        <v>13</v>
      </c>
      <c r="C9" s="286" t="s">
        <v>113</v>
      </c>
      <c r="D9" s="2" t="s">
        <v>12</v>
      </c>
      <c r="E9" s="2" t="s">
        <v>12</v>
      </c>
      <c r="F9"/>
      <c r="G9"/>
      <c r="H9"/>
      <c r="I9"/>
      <c r="J9"/>
      <c r="K9"/>
      <c r="L9" s="4"/>
      <c r="M9" s="4"/>
      <c r="N9" s="4"/>
      <c r="O9" s="4"/>
      <c r="P9" s="4"/>
    </row>
    <row r="10" spans="1:38" ht="15">
      <c r="A10" s="4">
        <f t="shared" si="0"/>
        <v>5</v>
      </c>
      <c r="B10" s="7" t="s">
        <v>16</v>
      </c>
      <c r="C10" s="5"/>
      <c r="D10" s="5"/>
      <c r="E10" s="6"/>
      <c r="F10"/>
      <c r="G10"/>
      <c r="H10"/>
      <c r="I10"/>
      <c r="J10"/>
      <c r="K10"/>
      <c r="L10" s="155"/>
      <c r="M10"/>
      <c r="N10" s="155"/>
      <c r="O10" s="155"/>
      <c r="P10" s="390"/>
      <c r="R10" s="390"/>
      <c r="T10" s="389"/>
      <c r="V10" s="389"/>
      <c r="X10" s="389"/>
      <c r="Z10" s="389"/>
      <c r="AB10" s="389"/>
      <c r="AD10" s="389"/>
      <c r="AF10" s="389"/>
      <c r="AH10" s="389"/>
      <c r="AJ10" s="389"/>
      <c r="AL10" s="389"/>
    </row>
    <row r="11" spans="1:38" ht="15">
      <c r="A11" s="4">
        <f t="shared" si="0"/>
        <v>6</v>
      </c>
      <c r="B11" s="5" t="s">
        <v>31</v>
      </c>
      <c r="C11" s="8">
        <f>Res!C12/1</f>
        <v>564059</v>
      </c>
      <c r="D11" s="8">
        <f>Res!C22</f>
        <v>678749459</v>
      </c>
      <c r="E11" s="18">
        <f>Res!E10+Res!E11+Res!E22+Res!E40+Res!E16+Res!E15</f>
        <v>83260936.261486992</v>
      </c>
      <c r="F11"/>
      <c r="G11"/>
      <c r="H11"/>
      <c r="I11"/>
      <c r="J11"/>
      <c r="K11"/>
      <c r="L11" s="392"/>
      <c r="M11" s="393"/>
      <c r="N11"/>
      <c r="O11"/>
      <c r="S11" s="216"/>
      <c r="T11" s="40"/>
      <c r="V11" s="391"/>
      <c r="W11" s="391"/>
    </row>
    <row r="12" spans="1:38" ht="15">
      <c r="A12" s="4">
        <f t="shared" si="0"/>
        <v>7</v>
      </c>
      <c r="B12" s="5" t="s">
        <v>350</v>
      </c>
      <c r="C12" s="8"/>
      <c r="D12"/>
      <c r="E12" s="83">
        <f>Res!E37</f>
        <v>15433433.300000001</v>
      </c>
      <c r="F12"/>
      <c r="G12"/>
      <c r="H12"/>
      <c r="I12"/>
      <c r="J12"/>
      <c r="K12"/>
      <c r="L12" s="392"/>
      <c r="M12" s="393"/>
      <c r="N12"/>
      <c r="O12"/>
      <c r="U12" s="155"/>
      <c r="V12" s="391"/>
      <c r="W12" s="391"/>
      <c r="X12" s="155"/>
    </row>
    <row r="13" spans="1:38" ht="15.75" thickBot="1">
      <c r="A13" s="4">
        <f t="shared" si="0"/>
        <v>8</v>
      </c>
      <c r="B13" s="7" t="s">
        <v>32</v>
      </c>
      <c r="C13" s="8"/>
      <c r="D13"/>
      <c r="E13" s="283">
        <f>SUM(E11:E12)</f>
        <v>98694369.561486989</v>
      </c>
      <c r="F13"/>
      <c r="G13"/>
      <c r="H13"/>
      <c r="I13"/>
      <c r="J13"/>
      <c r="K13"/>
      <c r="L13" s="41"/>
      <c r="M13" s="41"/>
      <c r="N13"/>
      <c r="O13"/>
      <c r="V13" s="391"/>
      <c r="W13" s="391"/>
    </row>
    <row r="14" spans="1:38" ht="15">
      <c r="A14" s="4">
        <f t="shared" si="0"/>
        <v>9</v>
      </c>
      <c r="B14" s="7"/>
      <c r="C14" s="8"/>
      <c r="D14" s="10"/>
      <c r="E14" s="11"/>
      <c r="F14"/>
      <c r="G14"/>
      <c r="H14"/>
      <c r="I14"/>
      <c r="J14"/>
      <c r="K14"/>
      <c r="L14" s="5"/>
      <c r="M14" s="5"/>
      <c r="N14"/>
      <c r="O14"/>
      <c r="V14" s="391"/>
      <c r="W14" s="391"/>
    </row>
    <row r="15" spans="1:38" ht="15">
      <c r="A15" s="4">
        <f t="shared" si="0"/>
        <v>10</v>
      </c>
      <c r="B15" s="7" t="s">
        <v>27</v>
      </c>
      <c r="C15" s="8"/>
      <c r="D15" s="10"/>
      <c r="E15" s="11"/>
      <c r="F15"/>
      <c r="G15"/>
      <c r="H15"/>
      <c r="I15"/>
      <c r="J15"/>
      <c r="K15"/>
      <c r="L15" s="5"/>
      <c r="M15" s="5"/>
      <c r="N15"/>
      <c r="O15"/>
      <c r="V15" s="391"/>
      <c r="W15" s="391"/>
    </row>
    <row r="16" spans="1:38" ht="15">
      <c r="A16" s="4">
        <f t="shared" si="0"/>
        <v>11</v>
      </c>
      <c r="B16" s="5" t="s">
        <v>31</v>
      </c>
      <c r="C16" s="8">
        <f>Comm1p!C12/1</f>
        <v>125923</v>
      </c>
      <c r="D16" s="8">
        <f>Comm1p!C22</f>
        <v>119304695</v>
      </c>
      <c r="E16" s="18">
        <f>Comm1p!E12+Comm1p!E22+Comm1p!E40+Comm1p!E16</f>
        <v>14802130.493079999</v>
      </c>
      <c r="F16"/>
      <c r="G16"/>
      <c r="H16"/>
      <c r="I16"/>
      <c r="J16"/>
      <c r="K16"/>
      <c r="L16" s="8"/>
      <c r="M16" s="393"/>
      <c r="N16"/>
      <c r="O16"/>
      <c r="S16" s="216"/>
      <c r="T16" s="40"/>
      <c r="V16" s="391"/>
      <c r="W16" s="391"/>
    </row>
    <row r="17" spans="1:35" ht="15">
      <c r="A17" s="4">
        <f t="shared" si="0"/>
        <v>12</v>
      </c>
      <c r="B17" s="5" t="s">
        <v>350</v>
      </c>
      <c r="C17" s="8"/>
      <c r="D17"/>
      <c r="E17" s="83">
        <f>Comm1p!E37</f>
        <v>2729302.2890000003</v>
      </c>
      <c r="F17"/>
      <c r="G17"/>
      <c r="H17"/>
      <c r="I17"/>
      <c r="J17"/>
      <c r="K17"/>
      <c r="L17" s="392"/>
      <c r="M17" s="393"/>
      <c r="N17"/>
      <c r="O17"/>
      <c r="U17" s="155"/>
      <c r="V17" s="391"/>
      <c r="W17" s="391"/>
      <c r="X17" s="155"/>
    </row>
    <row r="18" spans="1:35" ht="15.75" thickBot="1">
      <c r="A18" s="4">
        <f t="shared" si="0"/>
        <v>13</v>
      </c>
      <c r="B18" s="7" t="s">
        <v>32</v>
      </c>
      <c r="C18" s="8"/>
      <c r="D18"/>
      <c r="E18" s="283">
        <f>SUM(E16:E17)</f>
        <v>17531432.782079998</v>
      </c>
      <c r="F18"/>
      <c r="G18"/>
      <c r="H18"/>
      <c r="I18"/>
      <c r="J18"/>
      <c r="K18"/>
      <c r="L18" s="41"/>
      <c r="M18" s="41"/>
      <c r="N18"/>
      <c r="O18"/>
      <c r="V18" s="391"/>
      <c r="W18" s="391"/>
    </row>
    <row r="19" spans="1:35" ht="15">
      <c r="A19" s="4">
        <f t="shared" si="0"/>
        <v>14</v>
      </c>
      <c r="B19" s="7"/>
      <c r="C19" s="8"/>
      <c r="D19" s="8"/>
      <c r="E19" s="12"/>
      <c r="F19"/>
      <c r="G19"/>
      <c r="H19"/>
      <c r="I19"/>
      <c r="J19"/>
      <c r="K19"/>
      <c r="L19" s="5"/>
      <c r="M19" s="5"/>
      <c r="N19"/>
      <c r="O19"/>
      <c r="V19" s="391"/>
      <c r="W19" s="391"/>
    </row>
    <row r="20" spans="1:35" ht="15">
      <c r="A20" s="4">
        <f t="shared" si="0"/>
        <v>15</v>
      </c>
      <c r="B20" s="7" t="s">
        <v>17</v>
      </c>
      <c r="C20" s="8"/>
      <c r="D20" s="8"/>
      <c r="E20" s="12"/>
      <c r="F20"/>
      <c r="G20"/>
      <c r="H20"/>
      <c r="I20"/>
      <c r="J20"/>
      <c r="K20"/>
      <c r="L20" s="5"/>
      <c r="M20" s="5"/>
      <c r="N20"/>
      <c r="O20"/>
      <c r="V20" s="391"/>
      <c r="W20" s="391"/>
    </row>
    <row r="21" spans="1:35" ht="15">
      <c r="A21" s="4">
        <f t="shared" si="0"/>
        <v>16</v>
      </c>
      <c r="B21" s="7" t="s">
        <v>18</v>
      </c>
      <c r="C21" s="5"/>
      <c r="D21" s="8"/>
      <c r="E21" s="13"/>
      <c r="F21"/>
      <c r="G21"/>
      <c r="H21"/>
      <c r="I21"/>
      <c r="J21"/>
      <c r="K21"/>
      <c r="L21" s="5"/>
      <c r="M21" s="5"/>
      <c r="N21"/>
      <c r="O21"/>
      <c r="V21" s="391"/>
      <c r="W21" s="391"/>
    </row>
    <row r="22" spans="1:35" ht="15">
      <c r="A22" s="4">
        <f t="shared" si="0"/>
        <v>17</v>
      </c>
      <c r="B22" s="5" t="s">
        <v>31</v>
      </c>
      <c r="C22" s="8">
        <f>Comm3p!C11/1</f>
        <v>15149</v>
      </c>
      <c r="D22" s="8">
        <f>Comm3p!C26</f>
        <v>174976235</v>
      </c>
      <c r="E22" s="18">
        <f>Comm3p!E45-Comm3p!E37</f>
        <v>18231636.014456</v>
      </c>
      <c r="F22"/>
      <c r="G22"/>
      <c r="H22"/>
      <c r="I22"/>
      <c r="J22"/>
      <c r="K22"/>
      <c r="L22" s="8"/>
      <c r="M22" s="393"/>
      <c r="N22"/>
      <c r="O22"/>
      <c r="S22" s="216"/>
      <c r="T22" s="40"/>
      <c r="V22" s="391"/>
      <c r="W22" s="391"/>
    </row>
    <row r="23" spans="1:35" ht="15">
      <c r="A23" s="4">
        <f t="shared" si="0"/>
        <v>18</v>
      </c>
      <c r="B23" s="5" t="s">
        <v>350</v>
      </c>
      <c r="C23" s="8"/>
      <c r="D23"/>
      <c r="E23" s="83">
        <f>Comm3p!E37</f>
        <v>4044811.5599999996</v>
      </c>
      <c r="F23"/>
      <c r="G23"/>
      <c r="H23"/>
      <c r="I23"/>
      <c r="J23"/>
      <c r="K23"/>
      <c r="L23" s="392"/>
      <c r="M23" s="393"/>
      <c r="N23"/>
      <c r="O23"/>
      <c r="U23" s="155"/>
      <c r="V23" s="391"/>
      <c r="W23" s="391"/>
      <c r="X23" s="155"/>
      <c r="AI23" s="155"/>
    </row>
    <row r="24" spans="1:35" ht="15.75" thickBot="1">
      <c r="A24" s="4">
        <f t="shared" si="0"/>
        <v>19</v>
      </c>
      <c r="B24" s="7" t="s">
        <v>32</v>
      </c>
      <c r="C24" s="8"/>
      <c r="D24"/>
      <c r="E24" s="283">
        <f>SUM(E22:E23)</f>
        <v>22276447.574455999</v>
      </c>
      <c r="F24"/>
      <c r="G24"/>
      <c r="H24"/>
      <c r="I24"/>
      <c r="J24"/>
      <c r="K24"/>
      <c r="L24" s="41"/>
      <c r="M24" s="41"/>
      <c r="N24"/>
      <c r="O24"/>
      <c r="V24" s="391"/>
      <c r="W24" s="391"/>
    </row>
    <row r="25" spans="1:35" ht="15">
      <c r="A25" s="4">
        <f t="shared" si="0"/>
        <v>20</v>
      </c>
      <c r="B25" s="7"/>
      <c r="C25" s="8"/>
      <c r="D25" s="8"/>
      <c r="E25" s="12"/>
      <c r="F25"/>
      <c r="G25"/>
      <c r="H25"/>
      <c r="I25"/>
      <c r="J25"/>
      <c r="K25"/>
      <c r="L25" s="5"/>
      <c r="M25" s="5"/>
      <c r="N25"/>
      <c r="O25"/>
      <c r="V25" s="391"/>
      <c r="W25" s="391"/>
    </row>
    <row r="26" spans="1:35" ht="15">
      <c r="A26" s="4">
        <f t="shared" si="0"/>
        <v>21</v>
      </c>
      <c r="B26" s="5" t="s">
        <v>19</v>
      </c>
      <c r="C26" s="8"/>
      <c r="D26" s="8"/>
      <c r="E26" s="12"/>
      <c r="F26"/>
      <c r="G26"/>
      <c r="H26"/>
      <c r="I26"/>
      <c r="J26"/>
      <c r="K26"/>
      <c r="L26" s="5"/>
      <c r="M26" s="5"/>
      <c r="N26"/>
      <c r="O26"/>
      <c r="V26" s="391"/>
      <c r="W26" s="391"/>
    </row>
    <row r="27" spans="1:35" ht="15">
      <c r="A27" s="4">
        <f t="shared" si="0"/>
        <v>22</v>
      </c>
      <c r="B27" s="5" t="s">
        <v>114</v>
      </c>
      <c r="C27" s="8"/>
      <c r="D27" s="8"/>
      <c r="E27" s="12"/>
      <c r="F27"/>
      <c r="G27"/>
      <c r="H27"/>
      <c r="I27"/>
      <c r="J27"/>
      <c r="K27"/>
      <c r="L27" s="5"/>
      <c r="M27" s="5"/>
      <c r="N27"/>
      <c r="O27"/>
      <c r="V27" s="391"/>
      <c r="W27" s="391"/>
    </row>
    <row r="28" spans="1:35" ht="15">
      <c r="A28" s="4">
        <f t="shared" si="0"/>
        <v>23</v>
      </c>
      <c r="B28" s="5" t="s">
        <v>31</v>
      </c>
      <c r="C28" s="8">
        <f>Comm1000!C10/1</f>
        <v>132</v>
      </c>
      <c r="D28" s="8">
        <f>Comm1000!C31</f>
        <v>87711720</v>
      </c>
      <c r="E28" s="18">
        <f>Comm1000!E49-Comm1000!E45</f>
        <v>7019949.4457600024</v>
      </c>
      <c r="F28"/>
      <c r="G28"/>
      <c r="H28"/>
      <c r="I28"/>
      <c r="J28"/>
      <c r="K28"/>
      <c r="L28" s="8"/>
      <c r="M28" s="393"/>
      <c r="N28"/>
      <c r="O28"/>
      <c r="S28" s="216"/>
      <c r="T28" s="40"/>
      <c r="V28" s="391"/>
      <c r="W28" s="391"/>
    </row>
    <row r="29" spans="1:35" ht="15">
      <c r="A29" s="4">
        <f t="shared" si="0"/>
        <v>24</v>
      </c>
      <c r="B29" s="5" t="s">
        <v>350</v>
      </c>
      <c r="C29" s="8"/>
      <c r="D29"/>
      <c r="E29" s="83">
        <f>Comm1000!E45</f>
        <v>2035398.92</v>
      </c>
      <c r="F29"/>
      <c r="G29"/>
      <c r="H29"/>
      <c r="I29"/>
      <c r="J29"/>
      <c r="K29"/>
      <c r="L29" s="392"/>
      <c r="M29" s="393"/>
      <c r="N29"/>
      <c r="O29"/>
      <c r="U29" s="155"/>
      <c r="V29" s="391"/>
      <c r="X29" s="155"/>
    </row>
    <row r="30" spans="1:35" ht="15.75" thickBot="1">
      <c r="A30" s="4">
        <f t="shared" si="0"/>
        <v>25</v>
      </c>
      <c r="B30" s="7" t="s">
        <v>32</v>
      </c>
      <c r="C30" s="8"/>
      <c r="D30"/>
      <c r="E30" s="283">
        <f>SUM(E28:E29)</f>
        <v>9055348.3657600023</v>
      </c>
      <c r="F30"/>
      <c r="G30"/>
      <c r="H30"/>
      <c r="I30"/>
      <c r="J30"/>
      <c r="K30"/>
      <c r="L30" s="41"/>
      <c r="M30" s="41"/>
      <c r="N30"/>
      <c r="O30"/>
    </row>
    <row r="31" spans="1:35" ht="15">
      <c r="A31" s="4">
        <f t="shared" si="0"/>
        <v>26</v>
      </c>
      <c r="B31" s="5"/>
      <c r="C31" s="8"/>
      <c r="D31" s="10"/>
      <c r="E31" s="11"/>
      <c r="F31"/>
      <c r="G31"/>
      <c r="H31"/>
      <c r="I31"/>
      <c r="J31"/>
      <c r="K31"/>
      <c r="L31" s="5"/>
      <c r="M31" s="5"/>
      <c r="N31"/>
      <c r="O31"/>
    </row>
    <row r="32" spans="1:35" ht="15">
      <c r="A32" s="4">
        <f t="shared" si="0"/>
        <v>27</v>
      </c>
      <c r="B32" s="5" t="s">
        <v>431</v>
      </c>
      <c r="C32" s="10">
        <f>Res!C13+Comm1p!C13+C69</f>
        <v>2593</v>
      </c>
      <c r="D32" s="10"/>
      <c r="E32" s="11"/>
      <c r="F32"/>
      <c r="G32"/>
      <c r="H32"/>
      <c r="I32"/>
      <c r="J32"/>
      <c r="K32"/>
      <c r="L32" s="5"/>
      <c r="M32" s="5"/>
      <c r="N32"/>
      <c r="O32"/>
    </row>
    <row r="33" spans="1:39" ht="15">
      <c r="A33" s="4">
        <f t="shared" si="0"/>
        <v>28</v>
      </c>
      <c r="B33" s="5" t="s">
        <v>31</v>
      </c>
      <c r="C33" s="10"/>
      <c r="D33" s="10">
        <f>lights!E111</f>
        <v>8253325</v>
      </c>
      <c r="E33" s="18">
        <f>lights!G111+lights!G120</f>
        <v>2177619</v>
      </c>
      <c r="F33"/>
      <c r="G33"/>
      <c r="H33"/>
      <c r="I33"/>
      <c r="J33"/>
      <c r="K33"/>
      <c r="L33" s="8"/>
      <c r="M33" s="393"/>
      <c r="N33"/>
      <c r="O33"/>
    </row>
    <row r="34" spans="1:39" ht="15">
      <c r="A34" s="4">
        <f t="shared" si="0"/>
        <v>29</v>
      </c>
      <c r="B34" s="5" t="s">
        <v>350</v>
      </c>
      <c r="C34" s="10"/>
      <c r="D34"/>
      <c r="E34" s="83">
        <f>lights!G118</f>
        <v>193305.18999999997</v>
      </c>
      <c r="F34"/>
      <c r="G34"/>
      <c r="H34"/>
      <c r="I34"/>
      <c r="J34"/>
      <c r="K34"/>
      <c r="L34" s="392"/>
      <c r="M34" s="393"/>
      <c r="N34"/>
      <c r="O34"/>
    </row>
    <row r="35" spans="1:39" ht="15.75" thickBot="1">
      <c r="A35" s="4">
        <f t="shared" si="0"/>
        <v>30</v>
      </c>
      <c r="B35" s="7" t="s">
        <v>32</v>
      </c>
      <c r="C35" s="10"/>
      <c r="D35" s="10"/>
      <c r="E35" s="283">
        <f>SUM(E33:E34)</f>
        <v>2370924.19</v>
      </c>
      <c r="F35"/>
      <c r="G35"/>
      <c r="H35"/>
      <c r="I35"/>
      <c r="J35"/>
      <c r="K35"/>
      <c r="L35" s="41"/>
      <c r="M35" s="41"/>
      <c r="N35"/>
      <c r="O35"/>
    </row>
    <row r="36" spans="1:39" ht="15">
      <c r="A36" s="4">
        <f t="shared" si="0"/>
        <v>31</v>
      </c>
      <c r="B36" s="5"/>
      <c r="C36" s="10"/>
      <c r="D36" s="10"/>
      <c r="E36" s="11"/>
      <c r="F36"/>
      <c r="G36"/>
      <c r="H36"/>
      <c r="I36"/>
      <c r="J36"/>
      <c r="K36"/>
      <c r="L36" s="5"/>
      <c r="M36" s="5"/>
      <c r="N36"/>
      <c r="O36"/>
    </row>
    <row r="37" spans="1:39" ht="15">
      <c r="A37" s="4">
        <f t="shared" si="0"/>
        <v>32</v>
      </c>
      <c r="B37" s="5" t="s">
        <v>33</v>
      </c>
      <c r="C37" s="10"/>
      <c r="D37" s="10"/>
      <c r="E37" s="11"/>
      <c r="F37"/>
      <c r="G37"/>
      <c r="H37"/>
      <c r="I37"/>
      <c r="J37"/>
      <c r="K37"/>
      <c r="L37" s="5"/>
      <c r="M37" s="5"/>
      <c r="N37"/>
      <c r="O37"/>
    </row>
    <row r="38" spans="1:39" ht="15">
      <c r="A38" s="4">
        <f t="shared" si="0"/>
        <v>33</v>
      </c>
      <c r="B38" s="5" t="s">
        <v>31</v>
      </c>
      <c r="C38" s="8">
        <f>SUM(C11:C33)</f>
        <v>707856</v>
      </c>
      <c r="D38" s="8">
        <f>SUM(D11:D33)</f>
        <v>1068995434</v>
      </c>
      <c r="E38" s="18">
        <f>+E11+E16+E22+E28+E33</f>
        <v>125492271.214783</v>
      </c>
      <c r="F38"/>
      <c r="G38"/>
      <c r="H38"/>
      <c r="I38"/>
      <c r="J38"/>
      <c r="K38"/>
      <c r="L38" s="41"/>
      <c r="M38" s="41"/>
      <c r="N38"/>
      <c r="O38"/>
    </row>
    <row r="39" spans="1:39" ht="15">
      <c r="A39" s="4">
        <f t="shared" si="0"/>
        <v>34</v>
      </c>
      <c r="B39" s="5" t="s">
        <v>350</v>
      </c>
      <c r="C39" s="24"/>
      <c r="D39" s="24"/>
      <c r="E39" s="83">
        <f>+E12+E17+E23+E29+E34</f>
        <v>24436251.259</v>
      </c>
      <c r="F39"/>
      <c r="G39"/>
      <c r="H39"/>
      <c r="I39"/>
      <c r="J39"/>
      <c r="K39"/>
      <c r="L39" s="41"/>
      <c r="M39" s="41"/>
      <c r="N39"/>
      <c r="O39"/>
    </row>
    <row r="40" spans="1:39" ht="15">
      <c r="A40" s="4">
        <f t="shared" si="0"/>
        <v>35</v>
      </c>
      <c r="B40" s="7" t="s">
        <v>32</v>
      </c>
      <c r="C40" s="10">
        <f t="shared" ref="C40:E40" si="1">SUM(C38:C39)</f>
        <v>707856</v>
      </c>
      <c r="D40" s="10">
        <f t="shared" si="1"/>
        <v>1068995434</v>
      </c>
      <c r="E40" s="176">
        <f t="shared" si="1"/>
        <v>149928522.47378299</v>
      </c>
      <c r="F40"/>
      <c r="G40"/>
      <c r="H40"/>
      <c r="I40"/>
      <c r="J40"/>
      <c r="K40"/>
      <c r="L40" s="41"/>
      <c r="M40" s="41"/>
      <c r="N40"/>
      <c r="O40"/>
    </row>
    <row r="41" spans="1:39" ht="15">
      <c r="A41" s="4">
        <f t="shared" si="0"/>
        <v>36</v>
      </c>
      <c r="B41" s="5" t="s">
        <v>398</v>
      </c>
      <c r="C41" s="8"/>
      <c r="D41" s="10">
        <f>unbilled!H19</f>
        <v>-10592692</v>
      </c>
      <c r="E41" s="18">
        <f>unbilled!F17</f>
        <v>-1118135.1300000027</v>
      </c>
      <c r="F41"/>
      <c r="G41"/>
      <c r="H41"/>
      <c r="I41"/>
      <c r="J41"/>
      <c r="K41"/>
      <c r="L41" s="8"/>
      <c r="M41" s="393"/>
      <c r="N41"/>
      <c r="O41"/>
      <c r="AH41" s="155"/>
    </row>
    <row r="42" spans="1:39" ht="15">
      <c r="A42" s="4">
        <f t="shared" si="0"/>
        <v>37</v>
      </c>
      <c r="B42" s="5" t="s">
        <v>410</v>
      </c>
      <c r="C42" s="8"/>
      <c r="D42" s="9"/>
      <c r="E42" s="83">
        <f>unbilled!F18</f>
        <v>182829.93999999948</v>
      </c>
      <c r="F42"/>
      <c r="G42"/>
      <c r="H42"/>
      <c r="I42"/>
      <c r="J42"/>
      <c r="K42"/>
      <c r="L42" s="392"/>
      <c r="M42" s="393"/>
      <c r="N42"/>
      <c r="O42"/>
    </row>
    <row r="43" spans="1:39" ht="15">
      <c r="A43" s="4">
        <f t="shared" si="0"/>
        <v>38</v>
      </c>
      <c r="B43" s="5" t="s">
        <v>34</v>
      </c>
      <c r="C43" s="21">
        <f t="shared" ref="C43:D43" si="2">SUM(C40:C41)</f>
        <v>707856</v>
      </c>
      <c r="D43" s="407">
        <f t="shared" si="2"/>
        <v>1058402742</v>
      </c>
      <c r="E43" s="20">
        <f>SUM(E40:E42)</f>
        <v>148993217.28378299</v>
      </c>
      <c r="F43"/>
      <c r="G43"/>
      <c r="H43"/>
      <c r="I43"/>
      <c r="J43"/>
      <c r="K43"/>
      <c r="L43" s="41"/>
      <c r="M43" s="41"/>
      <c r="N43" s="155"/>
      <c r="O43" s="155"/>
      <c r="P43" s="390"/>
      <c r="R43" s="390"/>
      <c r="T43" s="389"/>
      <c r="V43" s="389"/>
      <c r="X43" s="389"/>
      <c r="Z43" s="389"/>
      <c r="AB43" s="389"/>
      <c r="AD43" s="389"/>
      <c r="AF43" s="389"/>
      <c r="AH43" s="389"/>
      <c r="AJ43" s="389"/>
      <c r="AL43" s="389"/>
    </row>
    <row r="44" spans="1:39" ht="15">
      <c r="A44" s="4">
        <f t="shared" si="0"/>
        <v>39</v>
      </c>
      <c r="F44"/>
      <c r="G44"/>
      <c r="H44"/>
      <c r="I44"/>
      <c r="J44"/>
      <c r="K44"/>
      <c r="L44" s="5"/>
      <c r="M44" s="5"/>
      <c r="N44"/>
      <c r="O44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</row>
    <row r="45" spans="1:39" ht="15">
      <c r="A45" s="4"/>
      <c r="F45"/>
      <c r="G45"/>
      <c r="H45"/>
      <c r="I45"/>
      <c r="J45"/>
      <c r="K45"/>
      <c r="L45" s="5"/>
      <c r="M45" s="5"/>
      <c r="N45"/>
      <c r="O45"/>
    </row>
    <row r="46" spans="1:39" ht="15">
      <c r="A46" s="4">
        <f>A44+1</f>
        <v>40</v>
      </c>
      <c r="B46" s="5" t="s">
        <v>122</v>
      </c>
      <c r="C46" s="8">
        <v>2</v>
      </c>
      <c r="D46" s="8">
        <f>'dir A'!D10</f>
        <v>4488051663</v>
      </c>
      <c r="E46" s="18">
        <f>'dir A'!F17</f>
        <v>366193248.08483499</v>
      </c>
      <c r="F46"/>
      <c r="G46"/>
      <c r="H46"/>
      <c r="I46"/>
      <c r="J46"/>
      <c r="K46"/>
      <c r="L46" s="41"/>
      <c r="M46" s="393"/>
      <c r="N46"/>
      <c r="O46"/>
    </row>
    <row r="47" spans="1:39" ht="15">
      <c r="A47" s="4">
        <f t="shared" si="0"/>
        <v>41</v>
      </c>
      <c r="B47" s="5" t="s">
        <v>121</v>
      </c>
      <c r="C47" s="8"/>
      <c r="D47" s="381"/>
      <c r="E47" s="9"/>
      <c r="F47"/>
      <c r="G47"/>
      <c r="H47"/>
      <c r="I47"/>
      <c r="J47"/>
      <c r="K47"/>
      <c r="L47" s="41"/>
      <c r="M47" s="41"/>
      <c r="N47"/>
      <c r="O47"/>
    </row>
    <row r="48" spans="1:39" ht="15">
      <c r="A48" s="4">
        <f>A47+1</f>
        <v>42</v>
      </c>
      <c r="B48" s="5" t="s">
        <v>109</v>
      </c>
      <c r="C48" s="8"/>
      <c r="D48" s="10"/>
      <c r="E48" s="20">
        <f>SUM(E46:E47)</f>
        <v>366193248.08483499</v>
      </c>
      <c r="F48"/>
      <c r="G48"/>
      <c r="H48"/>
      <c r="I48"/>
      <c r="J48"/>
      <c r="K48"/>
      <c r="L48" s="41"/>
      <c r="M48" s="41"/>
      <c r="N48"/>
      <c r="O48"/>
    </row>
    <row r="49" spans="1:13" ht="15">
      <c r="A49" s="4">
        <f t="shared" si="0"/>
        <v>43</v>
      </c>
      <c r="B49" s="5" t="s">
        <v>110</v>
      </c>
      <c r="C49" s="8">
        <v>3</v>
      </c>
      <c r="D49" s="10">
        <f>'dir B'!C16</f>
        <v>621756103</v>
      </c>
      <c r="E49" s="18">
        <f>'dir B'!E9+'dir B'!E10+'dir B'!E11+'dir B'!E12+'dir B'!E26+'dir B'!E27+'dir B'!E28</f>
        <v>33603907.230470002</v>
      </c>
      <c r="F49"/>
      <c r="G49"/>
      <c r="H49"/>
      <c r="I49"/>
      <c r="J49"/>
      <c r="K49"/>
      <c r="L49" s="41"/>
      <c r="M49" s="41"/>
    </row>
    <row r="50" spans="1:13" ht="15">
      <c r="A50" s="4">
        <f t="shared" si="0"/>
        <v>44</v>
      </c>
      <c r="B50" s="5" t="s">
        <v>121</v>
      </c>
      <c r="C50" s="8"/>
      <c r="D50" s="10"/>
      <c r="E50" s="18">
        <f>'dir B'!E15</f>
        <v>6948842.4800000004</v>
      </c>
      <c r="F50"/>
      <c r="G50"/>
      <c r="H50"/>
      <c r="I50"/>
      <c r="J50"/>
      <c r="K50"/>
      <c r="L50" s="41"/>
      <c r="M50" s="41"/>
    </row>
    <row r="51" spans="1:13" ht="15">
      <c r="A51" s="4">
        <f t="shared" si="0"/>
        <v>45</v>
      </c>
      <c r="B51" s="5" t="s">
        <v>350</v>
      </c>
      <c r="C51" s="8"/>
      <c r="D51" s="10"/>
      <c r="E51" s="18">
        <f>'dir B'!E22</f>
        <v>13212862.359999998</v>
      </c>
      <c r="F51"/>
      <c r="G51"/>
      <c r="H51"/>
      <c r="I51"/>
      <c r="J51"/>
      <c r="K51"/>
      <c r="L51" s="41"/>
      <c r="M51" s="41"/>
    </row>
    <row r="52" spans="1:13" ht="15">
      <c r="A52" s="4">
        <f t="shared" si="0"/>
        <v>46</v>
      </c>
      <c r="B52" s="5" t="s">
        <v>111</v>
      </c>
      <c r="C52" s="8"/>
      <c r="D52" s="10"/>
      <c r="E52" s="20">
        <f>SUM(E49:E51)</f>
        <v>53765612.070470005</v>
      </c>
      <c r="F52"/>
      <c r="G52"/>
      <c r="H52"/>
      <c r="I52"/>
      <c r="J52"/>
      <c r="K52"/>
      <c r="L52" s="41"/>
      <c r="M52" s="41"/>
    </row>
    <row r="53" spans="1:13" ht="15">
      <c r="A53" s="4">
        <f t="shared" si="0"/>
        <v>47</v>
      </c>
      <c r="B53" s="5" t="s">
        <v>396</v>
      </c>
      <c r="C53" s="8">
        <v>12</v>
      </c>
      <c r="D53" s="10">
        <f>'dir C'!C26</f>
        <v>197930590</v>
      </c>
      <c r="E53" s="18">
        <f>'dir C'!E10+'dir C'!E11+'dir C'!E12+'dir C'!E13+'dir C'!E25+'dir C'!E26+'dir C'!E28</f>
        <v>12915866.554499999</v>
      </c>
      <c r="F53"/>
      <c r="G53"/>
      <c r="H53"/>
      <c r="I53"/>
      <c r="J53"/>
      <c r="K53"/>
      <c r="L53" s="41"/>
      <c r="M53" s="41"/>
    </row>
    <row r="54" spans="1:13" ht="15.75">
      <c r="A54" s="4">
        <f t="shared" si="0"/>
        <v>48</v>
      </c>
      <c r="B54" s="5" t="s">
        <v>350</v>
      </c>
      <c r="C54" s="285"/>
      <c r="D54" s="285"/>
      <c r="E54" s="18">
        <f>'dir C'!E20</f>
        <v>4634592.67</v>
      </c>
      <c r="F54"/>
      <c r="G54"/>
      <c r="H54"/>
      <c r="I54"/>
      <c r="J54"/>
      <c r="K54"/>
      <c r="L54" s="41"/>
      <c r="M54" s="41"/>
    </row>
    <row r="55" spans="1:13" ht="15.75">
      <c r="A55" s="4">
        <f t="shared" si="0"/>
        <v>49</v>
      </c>
      <c r="B55" s="5" t="s">
        <v>112</v>
      </c>
      <c r="C55" s="22"/>
      <c r="D55" s="22"/>
      <c r="E55" s="20">
        <f>E53+E54</f>
        <v>17550459.2245</v>
      </c>
      <c r="F55"/>
      <c r="G55"/>
      <c r="H55"/>
      <c r="I55"/>
      <c r="J55"/>
      <c r="K55"/>
      <c r="L55" s="41"/>
      <c r="M55" s="41"/>
    </row>
    <row r="56" spans="1:13" ht="15">
      <c r="A56" s="4">
        <f t="shared" si="0"/>
        <v>50</v>
      </c>
      <c r="B56" s="5" t="s">
        <v>20</v>
      </c>
      <c r="C56" s="21">
        <f>SUM(C46:C54)</f>
        <v>17</v>
      </c>
      <c r="D56" s="21">
        <f>SUM(D45:D54)</f>
        <v>5307738356</v>
      </c>
      <c r="E56" s="20">
        <f>E48+E52+E55</f>
        <v>437509319.37980503</v>
      </c>
      <c r="F56"/>
      <c r="G56"/>
      <c r="H56"/>
      <c r="I56"/>
      <c r="J56"/>
      <c r="K56"/>
      <c r="L56" s="41"/>
      <c r="M56" s="41"/>
    </row>
    <row r="57" spans="1:13" ht="15">
      <c r="A57" s="4">
        <f t="shared" si="0"/>
        <v>51</v>
      </c>
      <c r="B57" s="5"/>
      <c r="C57" s="21"/>
      <c r="D57" s="21"/>
      <c r="E57" s="19"/>
      <c r="F57"/>
      <c r="G57"/>
      <c r="H57"/>
      <c r="I57"/>
      <c r="J57"/>
      <c r="K57"/>
      <c r="L57" s="5"/>
      <c r="M57" s="5"/>
    </row>
    <row r="58" spans="1:13" ht="15">
      <c r="A58" s="4">
        <f t="shared" si="0"/>
        <v>52</v>
      </c>
      <c r="B58" s="5" t="s">
        <v>21</v>
      </c>
      <c r="C58" s="23">
        <f t="shared" ref="C58:E58" si="3">SUM(C43+C56)</f>
        <v>707873</v>
      </c>
      <c r="D58" s="23">
        <f t="shared" si="3"/>
        <v>6366141098</v>
      </c>
      <c r="E58" s="20">
        <f t="shared" si="3"/>
        <v>586502536.66358805</v>
      </c>
      <c r="F58"/>
      <c r="G58"/>
      <c r="H58"/>
      <c r="I58"/>
      <c r="J58"/>
      <c r="K58"/>
      <c r="L58" s="41"/>
      <c r="M58" s="41"/>
    </row>
    <row r="59" spans="1:13" ht="15">
      <c r="A59" s="4">
        <f t="shared" si="0"/>
        <v>53</v>
      </c>
      <c r="B59" s="5"/>
      <c r="C59" s="5"/>
      <c r="D59" s="5"/>
      <c r="E59" s="13"/>
      <c r="F59"/>
      <c r="G59"/>
      <c r="H59"/>
      <c r="I59"/>
      <c r="J59"/>
      <c r="K59"/>
      <c r="L59" s="5"/>
      <c r="M59" s="5"/>
    </row>
    <row r="60" spans="1:13" ht="15">
      <c r="A60" s="4">
        <f t="shared" si="0"/>
        <v>54</v>
      </c>
      <c r="B60" s="5" t="s">
        <v>22</v>
      </c>
      <c r="C60" s="14" t="s">
        <v>23</v>
      </c>
      <c r="D60" s="14" t="s">
        <v>23</v>
      </c>
      <c r="E60" s="88">
        <f>Miscrev!J64</f>
        <v>1881578.9420625921</v>
      </c>
      <c r="F60"/>
      <c r="G60"/>
      <c r="H60"/>
      <c r="I60"/>
      <c r="J60"/>
      <c r="K60"/>
      <c r="L60" s="41"/>
      <c r="M60" s="41"/>
    </row>
    <row r="61" spans="1:13" ht="15">
      <c r="A61" s="4">
        <f t="shared" si="0"/>
        <v>55</v>
      </c>
      <c r="C61" s="8"/>
      <c r="D61" s="8"/>
      <c r="E61" s="11"/>
      <c r="F61"/>
      <c r="G61"/>
      <c r="H61"/>
      <c r="I61"/>
      <c r="J61"/>
      <c r="K61"/>
      <c r="L61" s="5"/>
      <c r="M61" s="5"/>
    </row>
    <row r="62" spans="1:13" ht="15.75" thickBot="1">
      <c r="A62" s="4">
        <f t="shared" si="0"/>
        <v>56</v>
      </c>
      <c r="B62" s="5" t="s">
        <v>24</v>
      </c>
      <c r="C62" s="15">
        <f t="shared" ref="C62:E62" si="4">SUM(C58:C61)</f>
        <v>707873</v>
      </c>
      <c r="D62" s="15">
        <f t="shared" si="4"/>
        <v>6366141098</v>
      </c>
      <c r="E62" s="284">
        <f t="shared" si="4"/>
        <v>588384115.60565066</v>
      </c>
      <c r="F62"/>
      <c r="G62"/>
      <c r="H62"/>
      <c r="I62"/>
      <c r="J62"/>
      <c r="K62"/>
      <c r="L62" s="41"/>
      <c r="M62" s="41"/>
    </row>
    <row r="63" spans="1:13" ht="15.75" thickTop="1">
      <c r="A63" s="5"/>
      <c r="B63" s="5"/>
      <c r="C63" s="5"/>
      <c r="E63" s="6">
        <f>revpergl!U44</f>
        <v>588384114.85000002</v>
      </c>
      <c r="F63"/>
      <c r="G63"/>
      <c r="H63"/>
      <c r="I63"/>
      <c r="J63"/>
      <c r="K63"/>
    </row>
    <row r="64" spans="1:13" ht="15">
      <c r="A64"/>
      <c r="B64"/>
      <c r="C64"/>
      <c r="D64"/>
      <c r="E64" s="5" t="s">
        <v>1124</v>
      </c>
      <c r="F64"/>
      <c r="G64"/>
      <c r="H64"/>
      <c r="I64"/>
      <c r="J64"/>
      <c r="K64"/>
    </row>
    <row r="65" spans="1:15">
      <c r="A65"/>
      <c r="B65"/>
      <c r="C65"/>
      <c r="D65"/>
      <c r="E65"/>
      <c r="F65"/>
      <c r="G65"/>
      <c r="H65"/>
      <c r="I65"/>
      <c r="J65"/>
      <c r="K65"/>
    </row>
    <row r="66" spans="1:15">
      <c r="A66"/>
      <c r="B66"/>
      <c r="C66"/>
      <c r="D66"/>
      <c r="E66"/>
      <c r="F66"/>
      <c r="G66"/>
      <c r="H66"/>
      <c r="I66"/>
      <c r="J66"/>
      <c r="K66"/>
    </row>
    <row r="67" spans="1:15">
      <c r="A67"/>
      <c r="B67"/>
      <c r="C67"/>
      <c r="D67"/>
      <c r="E67"/>
      <c r="F67"/>
      <c r="G67"/>
      <c r="H67"/>
      <c r="I67"/>
      <c r="J67"/>
      <c r="K67"/>
    </row>
    <row r="68" spans="1:15">
      <c r="A68"/>
      <c r="B68"/>
      <c r="C68"/>
      <c r="D68"/>
      <c r="E68"/>
      <c r="F68"/>
      <c r="G68"/>
      <c r="H68"/>
      <c r="I68"/>
      <c r="J68"/>
      <c r="K68"/>
    </row>
    <row r="69" spans="1:15">
      <c r="A69"/>
      <c r="B69"/>
      <c r="C69"/>
      <c r="D69"/>
      <c r="E69"/>
      <c r="F69"/>
      <c r="G69"/>
      <c r="H69"/>
      <c r="I69"/>
      <c r="J69"/>
      <c r="K69"/>
    </row>
    <row r="70" spans="1:15">
      <c r="A70"/>
      <c r="B70"/>
      <c r="C70"/>
      <c r="D70"/>
      <c r="E70"/>
      <c r="F70"/>
      <c r="G70"/>
      <c r="H70"/>
      <c r="I70"/>
      <c r="J70"/>
      <c r="K70"/>
      <c r="N70" s="138"/>
      <c r="O70" s="138"/>
    </row>
    <row r="71" spans="1:15">
      <c r="A71"/>
      <c r="B71"/>
      <c r="C71"/>
      <c r="D71"/>
      <c r="E71"/>
      <c r="F71"/>
      <c r="G71"/>
      <c r="H71"/>
      <c r="I71"/>
      <c r="J71"/>
      <c r="K71"/>
    </row>
    <row r="72" spans="1:15">
      <c r="A72"/>
      <c r="B72"/>
      <c r="C72"/>
      <c r="D72"/>
      <c r="E72"/>
      <c r="F72"/>
      <c r="G72"/>
      <c r="H72"/>
      <c r="I72"/>
      <c r="J72"/>
      <c r="K72"/>
    </row>
    <row r="73" spans="1:15">
      <c r="A73"/>
      <c r="B73"/>
      <c r="C73"/>
      <c r="D73"/>
      <c r="E73"/>
      <c r="F73"/>
      <c r="G73"/>
      <c r="H73"/>
      <c r="I73"/>
      <c r="J73"/>
      <c r="K73"/>
    </row>
    <row r="74" spans="1:15">
      <c r="A74"/>
      <c r="B74"/>
      <c r="C74"/>
      <c r="D74"/>
      <c r="E74"/>
      <c r="F74"/>
      <c r="G74"/>
      <c r="H74"/>
      <c r="I74"/>
      <c r="J74"/>
      <c r="K74"/>
    </row>
    <row r="75" spans="1:15">
      <c r="A75"/>
      <c r="B75"/>
      <c r="C75"/>
      <c r="D75"/>
      <c r="E75"/>
      <c r="F75"/>
      <c r="G75"/>
      <c r="H75"/>
      <c r="I75"/>
      <c r="J75"/>
      <c r="K75"/>
    </row>
    <row r="76" spans="1:15">
      <c r="A76"/>
      <c r="B76"/>
      <c r="C76"/>
      <c r="D76"/>
      <c r="E76"/>
      <c r="F76"/>
      <c r="G76"/>
      <c r="H76"/>
      <c r="I76"/>
      <c r="J76"/>
      <c r="K76"/>
    </row>
    <row r="77" spans="1:15">
      <c r="A77"/>
      <c r="B77"/>
      <c r="C77"/>
      <c r="D77"/>
      <c r="E77"/>
      <c r="F77"/>
      <c r="G77"/>
      <c r="H77"/>
      <c r="I77"/>
      <c r="J77"/>
      <c r="K77"/>
    </row>
    <row r="78" spans="1:15">
      <c r="A78"/>
      <c r="E78"/>
      <c r="F78"/>
      <c r="G78"/>
      <c r="H78"/>
      <c r="I78"/>
      <c r="J78"/>
      <c r="K78"/>
    </row>
    <row r="79" spans="1:15">
      <c r="A79"/>
      <c r="B79"/>
      <c r="C79"/>
      <c r="D79"/>
      <c r="E79"/>
      <c r="F79"/>
      <c r="G79"/>
      <c r="H79"/>
      <c r="I79"/>
      <c r="J79"/>
      <c r="K79"/>
    </row>
    <row r="80" spans="1:15" ht="24" customHeight="1">
      <c r="A80"/>
      <c r="B80"/>
      <c r="C80"/>
      <c r="D80"/>
      <c r="E80"/>
      <c r="F80"/>
      <c r="G80"/>
      <c r="H80"/>
      <c r="I80"/>
      <c r="J80"/>
      <c r="K80"/>
    </row>
    <row r="81" spans="1:13" ht="24" customHeight="1">
      <c r="A81"/>
      <c r="B81"/>
      <c r="C81"/>
      <c r="D81"/>
      <c r="E81"/>
      <c r="F81"/>
      <c r="G81"/>
      <c r="H81"/>
      <c r="I81"/>
      <c r="J81"/>
      <c r="K81"/>
    </row>
    <row r="82" spans="1:13" ht="24" customHeight="1">
      <c r="A82"/>
      <c r="B82"/>
      <c r="C82"/>
      <c r="D82"/>
      <c r="E82"/>
      <c r="F82"/>
      <c r="G82"/>
      <c r="H82"/>
      <c r="I82"/>
      <c r="J82"/>
      <c r="K82"/>
      <c r="L82" s="62"/>
      <c r="M82" s="62"/>
    </row>
    <row r="83" spans="1:13" ht="24" customHeight="1">
      <c r="A83"/>
      <c r="B83"/>
      <c r="C83"/>
      <c r="D83"/>
      <c r="E83"/>
      <c r="F83"/>
      <c r="G83"/>
      <c r="H83"/>
      <c r="I83"/>
      <c r="J83"/>
      <c r="K83"/>
    </row>
    <row r="84" spans="1:13" ht="24" customHeight="1">
      <c r="A84"/>
      <c r="B84"/>
      <c r="C84"/>
      <c r="D84"/>
      <c r="E84"/>
      <c r="F84"/>
      <c r="G84"/>
      <c r="H84"/>
      <c r="I84"/>
      <c r="J84"/>
      <c r="K84"/>
    </row>
    <row r="85" spans="1:13" ht="24" customHeight="1">
      <c r="A85"/>
      <c r="B85"/>
      <c r="C85"/>
      <c r="D85"/>
      <c r="E85"/>
      <c r="F85"/>
      <c r="G85"/>
      <c r="H85"/>
      <c r="I85"/>
      <c r="J85"/>
      <c r="K85"/>
    </row>
    <row r="86" spans="1:13" ht="24" customHeight="1">
      <c r="A86"/>
      <c r="B86"/>
      <c r="C86"/>
      <c r="D86"/>
      <c r="E86"/>
      <c r="F86"/>
      <c r="G86"/>
      <c r="H86"/>
      <c r="I86"/>
      <c r="J86"/>
      <c r="K86"/>
    </row>
    <row r="87" spans="1:13" ht="24" customHeight="1">
      <c r="A87"/>
      <c r="B87"/>
      <c r="C87"/>
      <c r="D87"/>
      <c r="E87"/>
      <c r="F87"/>
      <c r="G87"/>
      <c r="H87"/>
      <c r="I87"/>
      <c r="J87"/>
      <c r="K87"/>
    </row>
    <row r="88" spans="1:13" ht="24" customHeight="1">
      <c r="A88"/>
      <c r="B88"/>
      <c r="C88"/>
      <c r="D88"/>
      <c r="E88"/>
      <c r="F88"/>
      <c r="G88"/>
      <c r="H88"/>
      <c r="I88"/>
      <c r="J88"/>
      <c r="K88"/>
    </row>
    <row r="89" spans="1:13" ht="24" customHeight="1">
      <c r="A89"/>
      <c r="B89"/>
      <c r="C89"/>
      <c r="D89"/>
      <c r="E89"/>
      <c r="F89"/>
      <c r="G89"/>
      <c r="H89"/>
      <c r="I89"/>
      <c r="J89"/>
      <c r="K89"/>
    </row>
    <row r="90" spans="1:13" ht="24" customHeight="1">
      <c r="A90"/>
      <c r="B90"/>
      <c r="C90"/>
      <c r="D90"/>
      <c r="E90"/>
      <c r="F90"/>
      <c r="G90"/>
      <c r="H90"/>
      <c r="I90"/>
      <c r="J90"/>
      <c r="K90"/>
    </row>
    <row r="91" spans="1:13" ht="24" customHeight="1">
      <c r="A91"/>
      <c r="B91"/>
      <c r="C91"/>
      <c r="D91"/>
      <c r="E91"/>
      <c r="F91"/>
      <c r="G91"/>
      <c r="H91"/>
      <c r="I91"/>
      <c r="J91"/>
      <c r="K91"/>
    </row>
    <row r="92" spans="1:13" ht="24" customHeight="1">
      <c r="A92"/>
      <c r="B92"/>
      <c r="C92"/>
      <c r="D92"/>
      <c r="E92"/>
      <c r="F92"/>
      <c r="G92"/>
      <c r="H92"/>
      <c r="I92"/>
      <c r="J92"/>
    </row>
    <row r="93" spans="1:13" ht="19.149999999999999" customHeight="1">
      <c r="A93"/>
      <c r="B93"/>
      <c r="C93"/>
      <c r="D93"/>
      <c r="E93"/>
      <c r="F93"/>
      <c r="G93"/>
      <c r="H93"/>
      <c r="I93"/>
      <c r="J93"/>
    </row>
    <row r="94" spans="1:13">
      <c r="A94"/>
      <c r="B94"/>
      <c r="C94"/>
      <c r="D94"/>
      <c r="E94"/>
      <c r="F94"/>
      <c r="G94"/>
      <c r="H94"/>
      <c r="I94"/>
      <c r="J94"/>
    </row>
    <row r="95" spans="1:13">
      <c r="A95"/>
      <c r="B95"/>
      <c r="C95"/>
      <c r="D95"/>
      <c r="E95"/>
      <c r="F95"/>
      <c r="G95"/>
      <c r="H95"/>
      <c r="I95"/>
      <c r="J95"/>
    </row>
    <row r="96" spans="1:13">
      <c r="A96"/>
      <c r="B96"/>
      <c r="C96"/>
      <c r="D96"/>
      <c r="E96"/>
      <c r="F96"/>
      <c r="G96"/>
      <c r="H96"/>
      <c r="I96"/>
      <c r="J96"/>
    </row>
    <row r="97" spans="1:10">
      <c r="A97"/>
      <c r="B97"/>
      <c r="C97"/>
      <c r="D97"/>
      <c r="E97"/>
      <c r="F97"/>
      <c r="G97"/>
      <c r="H97"/>
      <c r="I97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/>
      <c r="B99"/>
      <c r="C99"/>
      <c r="D99"/>
      <c r="E99"/>
      <c r="F99"/>
      <c r="G99"/>
      <c r="H99"/>
      <c r="I99"/>
      <c r="J99"/>
    </row>
    <row r="100" spans="1:10">
      <c r="A100"/>
      <c r="B100"/>
      <c r="C100"/>
      <c r="D100"/>
      <c r="E100"/>
      <c r="F100"/>
      <c r="G100"/>
      <c r="H100"/>
      <c r="I100"/>
      <c r="J100"/>
    </row>
    <row r="101" spans="1:10" ht="15.75">
      <c r="A101" s="130"/>
      <c r="B101" s="130"/>
      <c r="C101" s="130"/>
      <c r="D101" s="130"/>
      <c r="E101" s="130"/>
      <c r="F101"/>
      <c r="G101"/>
      <c r="H101"/>
      <c r="I101"/>
      <c r="J101"/>
    </row>
    <row r="102" spans="1:10" ht="15.75">
      <c r="A102" s="132"/>
      <c r="B102" s="132"/>
      <c r="C102" s="130"/>
      <c r="D102" s="130"/>
      <c r="F102"/>
      <c r="G102"/>
      <c r="H102"/>
      <c r="I102"/>
      <c r="J102"/>
    </row>
    <row r="103" spans="1:10" ht="15.75">
      <c r="A103" s="130"/>
      <c r="B103" s="132"/>
      <c r="C103" s="130"/>
      <c r="D103" s="130"/>
      <c r="E103" s="130"/>
      <c r="F103"/>
      <c r="G103"/>
      <c r="H103"/>
      <c r="I103"/>
      <c r="J103"/>
    </row>
    <row r="104" spans="1:10" ht="15.75">
      <c r="A104" s="141"/>
      <c r="B104" s="133"/>
      <c r="C104" s="133"/>
      <c r="D104" s="133"/>
      <c r="E104" s="133"/>
      <c r="F104"/>
      <c r="G104"/>
      <c r="H104"/>
      <c r="I104"/>
      <c r="J104"/>
    </row>
    <row r="105" spans="1:10" ht="15.75">
      <c r="A105" s="132"/>
      <c r="B105" s="130"/>
      <c r="C105" s="130"/>
      <c r="D105" s="142"/>
      <c r="E105" s="130"/>
      <c r="F105"/>
      <c r="G105"/>
      <c r="H105"/>
      <c r="I105"/>
      <c r="J105"/>
    </row>
    <row r="106" spans="1:10" ht="15.75">
      <c r="A106" s="132"/>
      <c r="B106" s="132"/>
      <c r="C106" s="132"/>
      <c r="D106" s="132"/>
      <c r="E106" s="132"/>
      <c r="F106"/>
      <c r="G106"/>
      <c r="H106"/>
      <c r="I106"/>
      <c r="J106"/>
    </row>
    <row r="107" spans="1:10" ht="25.15" customHeight="1">
      <c r="A107" s="130"/>
      <c r="B107" s="143"/>
      <c r="C107" s="144"/>
      <c r="D107" s="144"/>
      <c r="E107" s="145"/>
      <c r="F107"/>
      <c r="G107"/>
      <c r="H107"/>
      <c r="I107"/>
      <c r="J107"/>
    </row>
    <row r="108" spans="1:10" ht="25.15" customHeight="1">
      <c r="A108" s="130"/>
      <c r="B108" s="143"/>
      <c r="C108" s="144"/>
      <c r="D108" s="144"/>
      <c r="E108" s="145"/>
      <c r="F108"/>
      <c r="G108"/>
      <c r="H108"/>
      <c r="I108"/>
      <c r="J108"/>
    </row>
    <row r="109" spans="1:10" ht="25.15" customHeight="1">
      <c r="A109" s="130"/>
      <c r="B109" s="143"/>
      <c r="C109" s="144"/>
      <c r="D109" s="144"/>
      <c r="E109" s="145"/>
      <c r="F109" s="145"/>
      <c r="G109" s="146"/>
    </row>
    <row r="110" spans="1:10" ht="25.15" customHeight="1">
      <c r="A110" s="130"/>
      <c r="B110" s="132"/>
      <c r="C110" s="144"/>
      <c r="D110" s="144"/>
      <c r="E110" s="145"/>
      <c r="F110" s="145"/>
      <c r="G110" s="146"/>
    </row>
    <row r="111" spans="1:10" ht="25.15" customHeight="1">
      <c r="A111" s="130"/>
      <c r="B111" s="132"/>
      <c r="C111" s="144"/>
      <c r="D111" s="144"/>
      <c r="E111" s="145"/>
      <c r="F111" s="145"/>
      <c r="G111" s="146"/>
    </row>
    <row r="112" spans="1:10" ht="25.15" customHeight="1">
      <c r="A112" s="130"/>
      <c r="B112" s="132"/>
      <c r="C112" s="147"/>
      <c r="D112" s="147"/>
      <c r="E112" s="148"/>
      <c r="F112" s="148"/>
      <c r="G112" s="146"/>
    </row>
    <row r="113" spans="1:7" ht="25.15" customHeight="1">
      <c r="A113" s="130"/>
      <c r="B113" s="132"/>
      <c r="C113" s="144"/>
      <c r="D113" s="144"/>
      <c r="E113" s="145"/>
      <c r="F113" s="145"/>
      <c r="G113" s="146"/>
    </row>
    <row r="114" spans="1:7" ht="25.15" customHeight="1">
      <c r="A114" s="130"/>
      <c r="B114" s="132"/>
      <c r="C114" s="144"/>
      <c r="D114" s="144"/>
      <c r="E114" s="145"/>
      <c r="F114" s="145"/>
      <c r="G114" s="146"/>
    </row>
    <row r="115" spans="1:7" ht="25.15" customHeight="1">
      <c r="A115" s="130"/>
      <c r="B115" s="132"/>
      <c r="C115" s="144"/>
      <c r="D115" s="144"/>
      <c r="E115" s="145"/>
      <c r="F115" s="145"/>
      <c r="G115" s="146"/>
    </row>
    <row r="116" spans="1:7" ht="25.15" customHeight="1">
      <c r="A116" s="130"/>
      <c r="B116" s="132"/>
      <c r="C116" s="147"/>
      <c r="D116" s="147"/>
      <c r="E116" s="148"/>
      <c r="F116" s="148"/>
      <c r="G116" s="149"/>
    </row>
    <row r="117" spans="1:7" ht="25.15" customHeight="1">
      <c r="A117" s="130"/>
      <c r="B117" s="132"/>
      <c r="C117" s="144"/>
      <c r="D117" s="144"/>
      <c r="E117" s="145"/>
      <c r="F117" s="145"/>
      <c r="G117" s="146"/>
    </row>
    <row r="118" spans="1:7" ht="25.15" customHeight="1">
      <c r="A118" s="130"/>
      <c r="B118" s="132"/>
      <c r="C118" s="144"/>
      <c r="D118" s="144"/>
      <c r="E118" s="145"/>
      <c r="F118" s="145"/>
      <c r="G118" s="146"/>
    </row>
    <row r="119" spans="1:7" ht="25.15" customHeight="1">
      <c r="A119" s="130"/>
      <c r="B119" s="132"/>
      <c r="C119" s="132"/>
      <c r="D119" s="132"/>
      <c r="E119" s="148"/>
      <c r="F119" s="148"/>
      <c r="G119" s="149"/>
    </row>
    <row r="120" spans="1:7" ht="25.15" customHeight="1">
      <c r="A120" s="130"/>
      <c r="B120" s="132"/>
      <c r="C120" s="144"/>
      <c r="D120" s="144"/>
      <c r="E120" s="145"/>
      <c r="F120" s="145"/>
      <c r="G120" s="146"/>
    </row>
  </sheetData>
  <mergeCells count="3">
    <mergeCell ref="A1:K1"/>
    <mergeCell ref="A2:K2"/>
    <mergeCell ref="A3:K3"/>
  </mergeCells>
  <phoneticPr fontId="10" type="noConversion"/>
  <pageMargins left="0.25" right="0.25" top="0.75" bottom="0.75" header="0.3" footer="0.3"/>
  <pageSetup scale="80" fitToHeight="0" orientation="landscape" r:id="rId1"/>
  <headerFooter alignWithMargins="0"/>
  <rowBreaks count="1" manualBreakCount="1">
    <brk id="45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860"/>
  <sheetViews>
    <sheetView workbookViewId="0">
      <selection activeCell="A3" sqref="A3:M3"/>
    </sheetView>
  </sheetViews>
  <sheetFormatPr defaultRowHeight="12.75"/>
  <cols>
    <col min="1" max="1" width="6.42578125" customWidth="1"/>
    <col min="2" max="2" width="34.28515625" bestFit="1" customWidth="1"/>
    <col min="3" max="3" width="12.42578125" bestFit="1" customWidth="1"/>
    <col min="4" max="4" width="12.28515625" bestFit="1" customWidth="1"/>
    <col min="5" max="5" width="15" bestFit="1" customWidth="1"/>
    <col min="6" max="6" width="1.7109375" customWidth="1"/>
    <col min="7" max="8" width="12.42578125" customWidth="1"/>
    <col min="9" max="9" width="15" bestFit="1" customWidth="1"/>
    <col min="10" max="10" width="17.28515625" customWidth="1"/>
    <col min="11" max="11" width="12.5703125" customWidth="1"/>
    <col min="12" max="13" width="15.140625" bestFit="1" customWidth="1"/>
    <col min="14" max="14" width="12.28515625" bestFit="1" customWidth="1"/>
    <col min="15" max="15" width="11.42578125" bestFit="1" customWidth="1"/>
    <col min="16" max="16" width="12.7109375" customWidth="1"/>
    <col min="17" max="17" width="10.42578125" bestFit="1" customWidth="1"/>
    <col min="18" max="18" width="13.28515625" bestFit="1" customWidth="1"/>
    <col min="19" max="19" width="13.28515625" customWidth="1"/>
    <col min="20" max="20" width="12.85546875" customWidth="1"/>
    <col min="21" max="21" width="14.140625" bestFit="1" customWidth="1"/>
    <col min="22" max="23" width="14.85546875" bestFit="1" customWidth="1"/>
    <col min="24" max="24" width="14.85546875" customWidth="1"/>
    <col min="25" max="25" width="16.28515625" bestFit="1" customWidth="1"/>
    <col min="26" max="26" width="14.28515625" bestFit="1" customWidth="1"/>
    <col min="27" max="27" width="14.85546875" bestFit="1" customWidth="1"/>
    <col min="28" max="28" width="14.28515625" customWidth="1"/>
    <col min="29" max="29" width="13.5703125" customWidth="1"/>
    <col min="30" max="30" width="10.85546875" bestFit="1" customWidth="1"/>
    <col min="31" max="32" width="10.7109375" bestFit="1" customWidth="1"/>
    <col min="33" max="34" width="9" bestFit="1" customWidth="1"/>
    <col min="35" max="35" width="10.42578125" bestFit="1" customWidth="1"/>
    <col min="36" max="36" width="11.7109375" bestFit="1" customWidth="1"/>
    <col min="37" max="37" width="21.42578125" bestFit="1" customWidth="1"/>
    <col min="38" max="38" width="11.7109375" customWidth="1"/>
    <col min="39" max="39" width="12.85546875" bestFit="1" customWidth="1"/>
    <col min="40" max="40" width="10.7109375" bestFit="1" customWidth="1"/>
    <col min="41" max="41" width="9.7109375" bestFit="1" customWidth="1"/>
    <col min="42" max="43" width="10.7109375" bestFit="1" customWidth="1"/>
  </cols>
  <sheetData>
    <row r="1" spans="1:19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</row>
    <row r="2" spans="1:19">
      <c r="A2" s="497" t="s">
        <v>1165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155"/>
      <c r="O2" s="155"/>
      <c r="P2" s="155"/>
    </row>
    <row r="3" spans="1:19">
      <c r="A3" s="497" t="s">
        <v>1112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1"/>
      <c r="O3" s="1"/>
      <c r="P3" s="1"/>
    </row>
    <row r="4" spans="1:19">
      <c r="A4" s="156"/>
      <c r="B4" s="177" t="s">
        <v>1</v>
      </c>
      <c r="C4" s="177" t="s">
        <v>2</v>
      </c>
      <c r="D4" s="177" t="s">
        <v>3</v>
      </c>
      <c r="E4" s="177" t="s">
        <v>4</v>
      </c>
      <c r="F4" s="177"/>
      <c r="G4" s="177" t="s">
        <v>5</v>
      </c>
      <c r="H4" s="177" t="s">
        <v>6</v>
      </c>
      <c r="I4" s="177" t="s">
        <v>28</v>
      </c>
      <c r="J4" s="177" t="s">
        <v>7</v>
      </c>
      <c r="K4" s="177" t="s">
        <v>29</v>
      </c>
      <c r="L4" s="177" t="s">
        <v>50</v>
      </c>
      <c r="M4" s="177" t="s">
        <v>30</v>
      </c>
    </row>
    <row r="5" spans="1:19">
      <c r="A5" s="155"/>
      <c r="B5" s="155"/>
      <c r="C5" s="155"/>
      <c r="D5" s="155"/>
      <c r="E5" s="155"/>
      <c r="F5" s="155"/>
      <c r="G5" s="155"/>
      <c r="H5" s="156"/>
      <c r="I5" s="155"/>
      <c r="J5" s="155"/>
      <c r="K5" s="155"/>
      <c r="L5" s="155"/>
      <c r="M5" s="155"/>
    </row>
    <row r="6" spans="1:19">
      <c r="A6" s="177" t="s">
        <v>64</v>
      </c>
      <c r="B6" s="155"/>
      <c r="C6" s="155"/>
      <c r="D6" s="155"/>
      <c r="E6" s="155"/>
      <c r="F6" s="155"/>
      <c r="G6" s="155"/>
      <c r="H6" s="177"/>
      <c r="I6" s="155"/>
      <c r="J6" s="155"/>
      <c r="K6" s="155"/>
      <c r="L6" s="155"/>
      <c r="M6" s="155"/>
    </row>
    <row r="7" spans="1:19">
      <c r="A7" s="177" t="s">
        <v>36</v>
      </c>
      <c r="B7" s="161"/>
      <c r="C7" s="155"/>
      <c r="D7" s="155"/>
      <c r="E7" s="161"/>
      <c r="F7" s="161"/>
      <c r="G7" s="156"/>
      <c r="H7" s="177"/>
      <c r="I7" s="155"/>
      <c r="J7" s="155"/>
      <c r="K7" s="155"/>
      <c r="L7" s="155"/>
      <c r="M7" s="155"/>
    </row>
    <row r="8" spans="1:19">
      <c r="A8" s="161"/>
      <c r="B8" s="161"/>
      <c r="C8" s="494" t="s">
        <v>123</v>
      </c>
      <c r="D8" s="495"/>
      <c r="E8" s="496"/>
      <c r="F8" s="183"/>
      <c r="G8" s="494" t="s">
        <v>26</v>
      </c>
      <c r="H8" s="495"/>
      <c r="I8" s="495"/>
      <c r="J8" s="496"/>
      <c r="K8" s="494" t="s">
        <v>200</v>
      </c>
      <c r="L8" s="495"/>
      <c r="M8" s="496"/>
    </row>
    <row r="9" spans="1:19">
      <c r="A9" s="156">
        <v>1</v>
      </c>
      <c r="B9" s="155" t="s">
        <v>201</v>
      </c>
      <c r="C9" s="155"/>
      <c r="D9" s="155"/>
      <c r="E9" s="155"/>
      <c r="F9" s="155"/>
      <c r="G9" s="179"/>
      <c r="H9" s="179"/>
      <c r="I9" s="155"/>
      <c r="J9" s="155"/>
      <c r="K9" s="155"/>
      <c r="L9" s="155"/>
      <c r="M9" s="155"/>
    </row>
    <row r="10" spans="1:19">
      <c r="A10" s="156">
        <f>A9+1</f>
        <v>2</v>
      </c>
      <c r="B10" s="155" t="s">
        <v>54</v>
      </c>
      <c r="C10" s="216">
        <f>S82</f>
        <v>423762</v>
      </c>
      <c r="D10" s="256">
        <v>10.715</v>
      </c>
      <c r="E10" s="161">
        <f>C10*D10</f>
        <v>4540609.83</v>
      </c>
      <c r="F10" s="161"/>
      <c r="G10" s="251"/>
      <c r="H10" s="251">
        <f t="shared" ref="H10:J11" si="0">C10</f>
        <v>423762</v>
      </c>
      <c r="I10" s="374">
        <f t="shared" si="0"/>
        <v>10.715</v>
      </c>
      <c r="J10" s="161">
        <f t="shared" si="0"/>
        <v>4540609.83</v>
      </c>
      <c r="K10" s="158">
        <f t="shared" ref="K10:K12" si="1">H10</f>
        <v>423762</v>
      </c>
      <c r="L10" s="374">
        <f>I10</f>
        <v>10.715</v>
      </c>
      <c r="M10" s="171">
        <f>L10*K10</f>
        <v>4540609.83</v>
      </c>
      <c r="P10" s="29">
        <f>E10</f>
        <v>4540609.83</v>
      </c>
      <c r="Q10">
        <v>4548120</v>
      </c>
      <c r="R10" s="29">
        <f>P10-Q10</f>
        <v>-7510.1699999999255</v>
      </c>
      <c r="S10" s="30">
        <f>R10/10.715</f>
        <v>-700.90247316844852</v>
      </c>
    </row>
    <row r="11" spans="1:19">
      <c r="A11" s="156">
        <f t="shared" ref="A11:A59" si="2">A10+1</f>
        <v>3</v>
      </c>
      <c r="B11" s="155" t="s">
        <v>61</v>
      </c>
      <c r="C11" s="158">
        <f>T82</f>
        <v>583</v>
      </c>
      <c r="D11" s="256">
        <v>10.715</v>
      </c>
      <c r="E11" s="161">
        <f>C11*D11</f>
        <v>6246.8450000000003</v>
      </c>
      <c r="F11" s="161"/>
      <c r="G11" s="161"/>
      <c r="H11" s="251">
        <f t="shared" si="0"/>
        <v>583</v>
      </c>
      <c r="I11" s="374">
        <f t="shared" si="0"/>
        <v>10.715</v>
      </c>
      <c r="J11" s="161">
        <f t="shared" si="0"/>
        <v>6246.8450000000003</v>
      </c>
      <c r="K11" s="158">
        <f t="shared" si="1"/>
        <v>583</v>
      </c>
      <c r="L11" s="374">
        <f>I11</f>
        <v>10.715</v>
      </c>
      <c r="M11" s="171">
        <f>L11*K11</f>
        <v>6246.8450000000003</v>
      </c>
    </row>
    <row r="12" spans="1:19">
      <c r="A12" s="156">
        <f t="shared" si="2"/>
        <v>4</v>
      </c>
      <c r="B12" s="155" t="s">
        <v>196</v>
      </c>
      <c r="C12" s="158">
        <f>U82</f>
        <v>197930590</v>
      </c>
      <c r="D12" s="246">
        <v>3.805E-2</v>
      </c>
      <c r="E12" s="161">
        <f>C12*D12</f>
        <v>7531258.9495000001</v>
      </c>
      <c r="F12" s="161"/>
      <c r="G12" s="251"/>
      <c r="H12" s="251">
        <f>C12</f>
        <v>197930590</v>
      </c>
      <c r="I12" s="233">
        <f>D12</f>
        <v>3.805E-2</v>
      </c>
      <c r="J12" s="161">
        <f>I12*H12</f>
        <v>7531258.9495000001</v>
      </c>
      <c r="K12" s="158">
        <f t="shared" si="1"/>
        <v>197930590</v>
      </c>
      <c r="L12" s="233">
        <f>I12</f>
        <v>3.805E-2</v>
      </c>
      <c r="M12" s="171">
        <f>L12*K12</f>
        <v>7531258.9495000001</v>
      </c>
    </row>
    <row r="13" spans="1:19">
      <c r="A13" s="156">
        <f t="shared" si="2"/>
        <v>5</v>
      </c>
      <c r="B13" s="155" t="s">
        <v>399</v>
      </c>
      <c r="C13" s="155"/>
      <c r="D13" s="239"/>
      <c r="E13" s="230">
        <f>AC82</f>
        <v>7510.44</v>
      </c>
      <c r="F13" s="230"/>
      <c r="G13" s="230"/>
      <c r="H13" s="230"/>
      <c r="I13" s="161"/>
      <c r="J13" s="161">
        <f>E13</f>
        <v>7510.44</v>
      </c>
      <c r="K13" s="158"/>
      <c r="L13" s="239"/>
      <c r="M13" s="161">
        <f>J13</f>
        <v>7510.44</v>
      </c>
    </row>
    <row r="14" spans="1:19">
      <c r="A14" s="156">
        <f t="shared" si="2"/>
        <v>6</v>
      </c>
      <c r="B14" s="155"/>
      <c r="C14" s="155"/>
      <c r="D14" s="239"/>
      <c r="E14" s="230"/>
      <c r="F14" s="230"/>
      <c r="G14" s="230"/>
      <c r="H14" s="230"/>
      <c r="I14" s="155"/>
      <c r="J14" s="161"/>
      <c r="K14" s="158"/>
      <c r="L14" s="239"/>
      <c r="M14" s="161"/>
    </row>
    <row r="15" spans="1:19">
      <c r="A15" s="156">
        <f t="shared" si="2"/>
        <v>7</v>
      </c>
      <c r="B15" s="16" t="s">
        <v>350</v>
      </c>
      <c r="C15" s="155"/>
      <c r="D15" s="239"/>
      <c r="E15" s="230"/>
      <c r="F15" s="230"/>
      <c r="G15" s="230"/>
      <c r="H15" s="230"/>
      <c r="I15" s="155"/>
      <c r="J15" s="161"/>
      <c r="K15" s="158"/>
      <c r="L15" s="239"/>
      <c r="M15" s="161"/>
    </row>
    <row r="16" spans="1:19">
      <c r="A16" s="156">
        <f t="shared" si="2"/>
        <v>8</v>
      </c>
      <c r="B16" s="170" t="s">
        <v>351</v>
      </c>
      <c r="C16" s="155"/>
      <c r="D16" s="486">
        <f>E16/C12</f>
        <v>1.9341049102112005E-2</v>
      </c>
      <c r="E16" s="230">
        <f>R100</f>
        <v>3828185.26</v>
      </c>
      <c r="F16" s="230"/>
      <c r="G16" s="230"/>
      <c r="H16" s="230"/>
      <c r="I16" s="225"/>
      <c r="J16" s="161">
        <f>E16</f>
        <v>3828185.26</v>
      </c>
      <c r="K16" s="158"/>
      <c r="L16" s="239"/>
      <c r="M16" s="161">
        <f>J16</f>
        <v>3828185.26</v>
      </c>
    </row>
    <row r="17" spans="1:14">
      <c r="A17" s="156">
        <f t="shared" si="2"/>
        <v>9</v>
      </c>
      <c r="B17" s="170" t="s">
        <v>352</v>
      </c>
      <c r="C17" s="155"/>
      <c r="D17" s="486">
        <f>E17/C12</f>
        <v>4.2794924220657359E-3</v>
      </c>
      <c r="E17" s="230">
        <f>T100</f>
        <v>847042.46000000008</v>
      </c>
      <c r="F17" s="230"/>
      <c r="G17" s="230"/>
      <c r="H17" s="230"/>
      <c r="I17" s="225"/>
      <c r="J17" s="161">
        <f>E17</f>
        <v>847042.46000000008</v>
      </c>
      <c r="K17" s="158"/>
      <c r="L17" s="239"/>
      <c r="M17" s="161">
        <f>J17</f>
        <v>847042.46000000008</v>
      </c>
    </row>
    <row r="18" spans="1:14">
      <c r="A18" s="156">
        <f t="shared" si="2"/>
        <v>10</v>
      </c>
      <c r="B18" s="170" t="s">
        <v>254</v>
      </c>
      <c r="C18" s="155"/>
      <c r="D18" s="486">
        <f>E18/C12</f>
        <v>-4.4311823149721322E-3</v>
      </c>
      <c r="E18" s="230">
        <f>U100</f>
        <v>-877066.52999999991</v>
      </c>
      <c r="F18" s="230"/>
      <c r="G18" s="230"/>
      <c r="H18" s="230"/>
      <c r="I18" s="225"/>
      <c r="J18" s="161">
        <f>E18</f>
        <v>-877066.52999999991</v>
      </c>
      <c r="K18" s="158"/>
      <c r="L18" s="239"/>
      <c r="M18" s="161">
        <f>J18</f>
        <v>-877066.52999999991</v>
      </c>
    </row>
    <row r="19" spans="1:14">
      <c r="A19" s="156">
        <f t="shared" si="2"/>
        <v>11</v>
      </c>
      <c r="B19" s="170" t="s">
        <v>354</v>
      </c>
      <c r="C19" s="155"/>
      <c r="D19" s="486">
        <f>E19/C12</f>
        <v>4.2258828208413873E-3</v>
      </c>
      <c r="E19" s="172">
        <f>S100</f>
        <v>836431.4800000001</v>
      </c>
      <c r="F19" s="230"/>
      <c r="G19" s="230"/>
      <c r="H19" s="230"/>
      <c r="I19" s="225"/>
      <c r="J19" s="167">
        <f>E19</f>
        <v>836431.4800000001</v>
      </c>
      <c r="K19" s="158"/>
      <c r="L19" s="239"/>
      <c r="M19" s="167">
        <f>J19</f>
        <v>836431.4800000001</v>
      </c>
    </row>
    <row r="20" spans="1:14">
      <c r="A20" s="156">
        <f t="shared" si="2"/>
        <v>12</v>
      </c>
      <c r="B20" s="155" t="s">
        <v>364</v>
      </c>
      <c r="C20" s="216"/>
      <c r="D20" s="227"/>
      <c r="E20" s="161">
        <f>SUM(E16:E19)</f>
        <v>4634592.67</v>
      </c>
      <c r="F20" s="161"/>
      <c r="G20" s="158">
        <f>G12</f>
        <v>0</v>
      </c>
      <c r="H20" s="158">
        <f>H12</f>
        <v>197930590</v>
      </c>
      <c r="I20" s="225"/>
      <c r="J20" s="161">
        <f>SUM(J16:J19)</f>
        <v>4634592.67</v>
      </c>
      <c r="K20" s="158">
        <f>K12</f>
        <v>197930590</v>
      </c>
      <c r="L20" s="255"/>
      <c r="M20" s="161">
        <f>SUM(M16:M19)</f>
        <v>4634592.67</v>
      </c>
      <c r="N20" s="26">
        <f>K20</f>
        <v>197930590</v>
      </c>
    </row>
    <row r="21" spans="1:14">
      <c r="A21" s="156">
        <f t="shared" si="2"/>
        <v>13</v>
      </c>
      <c r="B21" s="155"/>
      <c r="C21" s="216"/>
      <c r="D21" s="227"/>
      <c r="E21" s="161"/>
      <c r="F21" s="161"/>
      <c r="G21" s="158"/>
      <c r="H21" s="158"/>
      <c r="I21" s="216"/>
      <c r="J21" s="161"/>
      <c r="K21" s="158"/>
      <c r="L21" s="255"/>
      <c r="M21" s="171"/>
    </row>
    <row r="22" spans="1:14">
      <c r="A22" s="156">
        <f t="shared" si="2"/>
        <v>14</v>
      </c>
      <c r="B22" s="155" t="s">
        <v>391</v>
      </c>
      <c r="C22" s="216"/>
      <c r="D22" s="227"/>
      <c r="E22" s="167">
        <v>0</v>
      </c>
      <c r="F22" s="161"/>
      <c r="G22" s="158"/>
      <c r="H22" s="158"/>
      <c r="I22" s="216"/>
      <c r="J22" s="167">
        <f>E22</f>
        <v>0</v>
      </c>
      <c r="K22" s="158"/>
      <c r="L22" s="255"/>
      <c r="M22" s="172">
        <f>E22</f>
        <v>0</v>
      </c>
    </row>
    <row r="23" spans="1:14">
      <c r="A23" s="156">
        <f t="shared" si="2"/>
        <v>15</v>
      </c>
      <c r="B23" s="155" t="s">
        <v>202</v>
      </c>
      <c r="C23" s="155"/>
      <c r="D23" s="155"/>
      <c r="E23" s="161">
        <f>SUM(E10:E13)+E20+E22</f>
        <v>16720218.734499998</v>
      </c>
      <c r="F23" s="204" t="s">
        <v>43</v>
      </c>
      <c r="G23" s="161"/>
      <c r="H23" s="161"/>
      <c r="I23" s="160"/>
      <c r="J23" s="161">
        <f>SUM(J10:J13)+J20+J22</f>
        <v>16720218.734499998</v>
      </c>
      <c r="K23" s="161"/>
      <c r="L23" s="155"/>
      <c r="M23" s="161">
        <f>SUM(M10:M13)+M20+M22</f>
        <v>16720218.734499998</v>
      </c>
    </row>
    <row r="24" spans="1:14">
      <c r="A24" s="156">
        <f t="shared" si="2"/>
        <v>16</v>
      </c>
      <c r="B24" s="155" t="s">
        <v>203</v>
      </c>
      <c r="C24" s="155"/>
      <c r="D24" s="155"/>
      <c r="E24" s="161"/>
      <c r="F24" s="161"/>
      <c r="G24" s="161"/>
      <c r="H24" s="161"/>
      <c r="I24" s="155"/>
      <c r="J24" s="161"/>
      <c r="K24" s="161"/>
      <c r="L24" s="155"/>
      <c r="M24" s="161"/>
    </row>
    <row r="25" spans="1:14">
      <c r="A25" s="156">
        <f t="shared" si="2"/>
        <v>17</v>
      </c>
      <c r="B25" s="155" t="s">
        <v>42</v>
      </c>
      <c r="C25" s="164">
        <f>AI85</f>
        <v>144</v>
      </c>
      <c r="D25" s="161">
        <v>100</v>
      </c>
      <c r="E25" s="161">
        <f>C25*D25</f>
        <v>14400</v>
      </c>
      <c r="F25" s="161"/>
      <c r="G25" s="251"/>
      <c r="H25" s="260">
        <f t="shared" ref="H25:J26" si="3">C25</f>
        <v>144</v>
      </c>
      <c r="I25" s="164">
        <f t="shared" si="3"/>
        <v>100</v>
      </c>
      <c r="J25" s="161">
        <f t="shared" si="3"/>
        <v>14400</v>
      </c>
      <c r="K25" s="158">
        <f>C25</f>
        <v>144</v>
      </c>
      <c r="L25" s="161">
        <f>D25</f>
        <v>100</v>
      </c>
      <c r="M25" s="171">
        <f>L25*K25</f>
        <v>14400</v>
      </c>
    </row>
    <row r="26" spans="1:14">
      <c r="A26" s="156">
        <f t="shared" si="2"/>
        <v>18</v>
      </c>
      <c r="B26" s="155" t="s">
        <v>205</v>
      </c>
      <c r="C26" s="216">
        <f>C12</f>
        <v>197930590</v>
      </c>
      <c r="D26" s="256">
        <v>3.0000000000000001E-3</v>
      </c>
      <c r="E26" s="161">
        <f>C26*D26</f>
        <v>593791.77</v>
      </c>
      <c r="F26" s="161"/>
      <c r="G26" s="251"/>
      <c r="H26" s="251">
        <f t="shared" si="3"/>
        <v>197930590</v>
      </c>
      <c r="I26" s="259">
        <f t="shared" si="3"/>
        <v>3.0000000000000001E-3</v>
      </c>
      <c r="J26" s="161">
        <f t="shared" si="3"/>
        <v>593791.77</v>
      </c>
      <c r="K26" s="158">
        <f>C26</f>
        <v>197930590</v>
      </c>
      <c r="L26" s="261">
        <f>D26</f>
        <v>3.0000000000000001E-3</v>
      </c>
      <c r="M26" s="171">
        <f>L26*K26</f>
        <v>593791.77</v>
      </c>
    </row>
    <row r="27" spans="1:14">
      <c r="A27" s="156">
        <f t="shared" si="2"/>
        <v>19</v>
      </c>
      <c r="B27" s="155" t="s">
        <v>395</v>
      </c>
      <c r="C27" s="216"/>
      <c r="D27" s="256"/>
      <c r="E27" s="161">
        <f>AL82</f>
        <v>0</v>
      </c>
      <c r="F27" s="161"/>
      <c r="G27" s="251"/>
      <c r="H27" s="251"/>
      <c r="I27" s="216"/>
      <c r="J27" s="161"/>
      <c r="K27" s="251"/>
      <c r="L27" s="162">
        <f>D27</f>
        <v>0</v>
      </c>
      <c r="M27" s="230">
        <f>L27*K27</f>
        <v>0</v>
      </c>
    </row>
    <row r="28" spans="1:14">
      <c r="A28" s="156">
        <f t="shared" si="2"/>
        <v>20</v>
      </c>
      <c r="B28" s="155" t="s">
        <v>411</v>
      </c>
      <c r="C28" s="158"/>
      <c r="D28" s="262">
        <v>1.15E-2</v>
      </c>
      <c r="E28" s="230">
        <f>AJ82</f>
        <v>222048.72</v>
      </c>
      <c r="F28" s="230"/>
      <c r="G28" s="230"/>
      <c r="H28" s="230"/>
      <c r="I28" s="262">
        <f>D28</f>
        <v>1.15E-2</v>
      </c>
      <c r="J28" s="161">
        <f>E28</f>
        <v>222048.72</v>
      </c>
      <c r="K28" s="158"/>
      <c r="L28" s="262">
        <f>D28</f>
        <v>1.15E-2</v>
      </c>
      <c r="M28" s="230">
        <f>E28</f>
        <v>222048.72</v>
      </c>
    </row>
    <row r="29" spans="1:14">
      <c r="A29" s="156">
        <f t="shared" si="2"/>
        <v>21</v>
      </c>
      <c r="B29" s="155" t="s">
        <v>270</v>
      </c>
      <c r="C29" s="155"/>
      <c r="D29" s="155"/>
      <c r="E29" s="230"/>
      <c r="F29" s="230"/>
      <c r="G29" s="230"/>
      <c r="H29" s="230"/>
      <c r="I29" s="162"/>
      <c r="J29" s="263"/>
      <c r="K29" s="263"/>
      <c r="L29" s="162"/>
      <c r="M29" s="263"/>
    </row>
    <row r="30" spans="1:14">
      <c r="A30" s="156">
        <f t="shared" si="2"/>
        <v>22</v>
      </c>
      <c r="B30" s="155" t="s">
        <v>391</v>
      </c>
      <c r="C30" s="155"/>
      <c r="D30" s="155"/>
      <c r="E30" s="172">
        <v>0</v>
      </c>
      <c r="F30" s="230"/>
      <c r="G30" s="230"/>
      <c r="H30" s="230"/>
      <c r="I30" s="162"/>
      <c r="J30" s="172">
        <f>E30</f>
        <v>0</v>
      </c>
      <c r="K30" s="263"/>
      <c r="L30" s="162"/>
      <c r="M30" s="172">
        <f>J30</f>
        <v>0</v>
      </c>
    </row>
    <row r="31" spans="1:14" ht="13.5" thickBot="1">
      <c r="A31" s="156">
        <f t="shared" si="2"/>
        <v>23</v>
      </c>
      <c r="B31" s="155" t="s">
        <v>49</v>
      </c>
      <c r="C31" s="155"/>
      <c r="D31" s="155"/>
      <c r="E31" s="249">
        <f>SUM(E23:E30)</f>
        <v>17550459.224499997</v>
      </c>
      <c r="F31" s="204" t="s">
        <v>43</v>
      </c>
      <c r="G31" s="161"/>
      <c r="H31" s="161"/>
      <c r="I31" s="155"/>
      <c r="J31" s="249">
        <f>SUM(J23:J30)</f>
        <v>17550459.224499997</v>
      </c>
      <c r="K31" s="161"/>
      <c r="L31" s="155"/>
      <c r="M31" s="249">
        <f>SUM(M23:M30)</f>
        <v>17550459.224499997</v>
      </c>
    </row>
    <row r="32" spans="1:14" ht="13.5" thickTop="1">
      <c r="A32" s="156">
        <f t="shared" si="2"/>
        <v>24</v>
      </c>
      <c r="B32" s="155"/>
      <c r="C32" s="155"/>
      <c r="D32" s="155"/>
      <c r="E32" s="161"/>
      <c r="F32" s="161"/>
      <c r="G32" s="161"/>
      <c r="H32" s="161"/>
      <c r="I32" s="155"/>
      <c r="J32" s="161"/>
      <c r="K32" s="155"/>
      <c r="L32" s="155"/>
      <c r="M32" s="161">
        <f>M31-J31</f>
        <v>0</v>
      </c>
    </row>
    <row r="33" spans="1:20">
      <c r="A33" s="156">
        <f t="shared" si="2"/>
        <v>25</v>
      </c>
      <c r="B33" s="169" t="s">
        <v>394</v>
      </c>
      <c r="C33" s="155"/>
      <c r="D33" s="155"/>
      <c r="E33" s="161"/>
      <c r="F33" s="161"/>
      <c r="G33" s="161"/>
      <c r="H33" s="161"/>
      <c r="I33" s="155"/>
      <c r="J33" s="161"/>
      <c r="K33" s="155"/>
      <c r="L33" s="155"/>
      <c r="M33" s="161"/>
      <c r="P33" s="29"/>
    </row>
    <row r="34" spans="1:20">
      <c r="A34" s="156">
        <f t="shared" si="2"/>
        <v>26</v>
      </c>
      <c r="B34" s="169"/>
      <c r="C34" s="155"/>
      <c r="D34" s="155"/>
      <c r="E34" s="155" t="s">
        <v>233</v>
      </c>
      <c r="F34" s="155"/>
      <c r="G34" s="155"/>
      <c r="H34" s="155"/>
      <c r="I34" s="155"/>
      <c r="J34" s="155" t="s">
        <v>232</v>
      </c>
      <c r="K34" s="155"/>
      <c r="L34" s="155"/>
      <c r="M34" s="155"/>
    </row>
    <row r="35" spans="1:20">
      <c r="A35" s="156">
        <f t="shared" si="2"/>
        <v>27</v>
      </c>
      <c r="B35" s="421" t="s">
        <v>702</v>
      </c>
      <c r="C35" s="439"/>
      <c r="D35" s="421" t="s">
        <v>701</v>
      </c>
      <c r="E35" s="60">
        <f>revpergl!U17</f>
        <v>1814498.39</v>
      </c>
      <c r="I35" s="421" t="s">
        <v>795</v>
      </c>
      <c r="J35" s="60">
        <f>revpergl!U65</f>
        <v>1749625.89</v>
      </c>
      <c r="K35" s="155"/>
      <c r="O35" s="421"/>
      <c r="P35" s="421"/>
      <c r="Q35" s="421"/>
      <c r="R35" s="421"/>
      <c r="S35" s="421"/>
      <c r="T35" s="421"/>
    </row>
    <row r="36" spans="1:20">
      <c r="A36" s="156">
        <f t="shared" si="2"/>
        <v>28</v>
      </c>
      <c r="B36" s="421" t="s">
        <v>706</v>
      </c>
      <c r="C36" s="439"/>
      <c r="D36" s="421" t="s">
        <v>705</v>
      </c>
      <c r="E36" s="60">
        <f>revpergl!U19</f>
        <v>438390.88</v>
      </c>
      <c r="I36" s="421" t="s">
        <v>779</v>
      </c>
      <c r="J36" s="162">
        <f>revpergl!U57</f>
        <v>432869.39</v>
      </c>
      <c r="K36" s="163"/>
      <c r="O36" s="421"/>
      <c r="P36" s="421"/>
      <c r="Q36" s="421"/>
      <c r="R36" s="421"/>
      <c r="S36" s="421"/>
      <c r="T36" s="421"/>
    </row>
    <row r="37" spans="1:20">
      <c r="A37" s="156">
        <f t="shared" si="2"/>
        <v>29</v>
      </c>
      <c r="B37" s="421" t="s">
        <v>708</v>
      </c>
      <c r="C37" s="439"/>
      <c r="D37" s="421" t="s">
        <v>707</v>
      </c>
      <c r="E37" s="60">
        <f>revpergl!U20</f>
        <v>32525.73</v>
      </c>
      <c r="I37" s="421" t="s">
        <v>781</v>
      </c>
      <c r="J37" s="162">
        <f>revpergl!U58</f>
        <v>30828.54</v>
      </c>
      <c r="K37" s="163"/>
      <c r="O37" s="421"/>
      <c r="P37" s="421"/>
      <c r="Q37" s="421"/>
      <c r="R37" s="421"/>
      <c r="S37" s="421"/>
      <c r="T37" s="421"/>
    </row>
    <row r="38" spans="1:20">
      <c r="A38" s="156">
        <f t="shared" si="2"/>
        <v>30</v>
      </c>
      <c r="B38" s="421" t="s">
        <v>710</v>
      </c>
      <c r="C38" s="439"/>
      <c r="D38" s="421" t="s">
        <v>709</v>
      </c>
      <c r="E38" s="60">
        <f>revpergl!U21</f>
        <v>40594.080000000002</v>
      </c>
      <c r="I38" s="421" t="s">
        <v>783</v>
      </c>
      <c r="J38" s="162">
        <f>revpergl!U59</f>
        <v>38716.74</v>
      </c>
      <c r="K38" s="163"/>
      <c r="O38" s="421"/>
      <c r="P38" s="421"/>
      <c r="Q38" s="421"/>
      <c r="R38" s="421"/>
      <c r="S38" s="421"/>
      <c r="T38" s="421"/>
    </row>
    <row r="39" spans="1:20">
      <c r="A39" s="156">
        <f t="shared" si="2"/>
        <v>31</v>
      </c>
      <c r="B39" s="421" t="s">
        <v>712</v>
      </c>
      <c r="C39" s="439"/>
      <c r="D39" s="421" t="s">
        <v>711</v>
      </c>
      <c r="E39" s="60">
        <f>revpergl!U22</f>
        <v>249493.94</v>
      </c>
      <c r="I39" s="421" t="s">
        <v>785</v>
      </c>
      <c r="J39" s="162">
        <f>revpergl!U60</f>
        <v>241945.46</v>
      </c>
      <c r="K39" s="163"/>
      <c r="O39" s="421"/>
      <c r="P39" s="421"/>
      <c r="Q39" s="421"/>
      <c r="R39" s="421"/>
      <c r="S39" s="421"/>
      <c r="T39" s="421"/>
    </row>
    <row r="40" spans="1:20">
      <c r="A40" s="156">
        <f t="shared" si="2"/>
        <v>32</v>
      </c>
      <c r="B40" s="421" t="s">
        <v>714</v>
      </c>
      <c r="C40" s="439"/>
      <c r="D40" s="421" t="s">
        <v>713</v>
      </c>
      <c r="E40" s="60">
        <f>revpergl!U23</f>
        <v>2297060.86</v>
      </c>
      <c r="I40" s="421" t="s">
        <v>761</v>
      </c>
      <c r="J40" s="162">
        <f>revpergl!U48</f>
        <v>2192338.81</v>
      </c>
      <c r="K40" s="163"/>
      <c r="O40" s="421"/>
      <c r="P40" s="421"/>
      <c r="Q40" s="421"/>
      <c r="R40" s="421"/>
      <c r="S40" s="421"/>
      <c r="T40" s="421"/>
    </row>
    <row r="41" spans="1:20">
      <c r="A41" s="156">
        <f t="shared" si="2"/>
        <v>33</v>
      </c>
      <c r="B41" s="421" t="s">
        <v>716</v>
      </c>
      <c r="C41" s="439"/>
      <c r="D41" s="421" t="s">
        <v>715</v>
      </c>
      <c r="E41" s="60">
        <f>revpergl!U24</f>
        <v>29726.81</v>
      </c>
      <c r="I41" s="421" t="s">
        <v>763</v>
      </c>
      <c r="J41" s="162">
        <f>revpergl!U49</f>
        <v>27809.360000000001</v>
      </c>
      <c r="K41" s="163"/>
      <c r="O41" s="421"/>
      <c r="P41" s="421"/>
      <c r="Q41" s="421"/>
      <c r="R41" s="421"/>
      <c r="S41" s="421"/>
      <c r="T41" s="421"/>
    </row>
    <row r="42" spans="1:20">
      <c r="A42" s="156">
        <f t="shared" si="2"/>
        <v>34</v>
      </c>
      <c r="B42" s="421" t="s">
        <v>718</v>
      </c>
      <c r="C42" s="439"/>
      <c r="D42" s="421" t="s">
        <v>717</v>
      </c>
      <c r="E42" s="60">
        <f>revpergl!U25</f>
        <v>43835.61</v>
      </c>
      <c r="I42" s="421" t="s">
        <v>765</v>
      </c>
      <c r="J42" s="162">
        <f>revpergl!U50</f>
        <v>41289.22</v>
      </c>
      <c r="K42" s="163"/>
      <c r="N42" s="421"/>
      <c r="O42" s="421"/>
      <c r="P42" s="421"/>
      <c r="Q42" s="421"/>
      <c r="R42" s="421"/>
      <c r="S42" s="421"/>
      <c r="T42" s="421"/>
    </row>
    <row r="43" spans="1:20">
      <c r="A43" s="156">
        <f t="shared" si="2"/>
        <v>35</v>
      </c>
      <c r="B43" s="421" t="s">
        <v>720</v>
      </c>
      <c r="C43" s="439"/>
      <c r="D43" s="421" t="s">
        <v>719</v>
      </c>
      <c r="E43" s="60">
        <f>revpergl!U26</f>
        <v>6420126.9199999999</v>
      </c>
      <c r="I43" s="421" t="s">
        <v>767</v>
      </c>
      <c r="J43" s="162">
        <f>revpergl!U51</f>
        <v>6033034.0599999996</v>
      </c>
      <c r="K43" s="163"/>
      <c r="N43" s="421"/>
      <c r="O43" s="421"/>
      <c r="P43" s="421"/>
      <c r="Q43" s="421"/>
      <c r="R43" s="421"/>
      <c r="S43" s="421"/>
      <c r="T43" s="421"/>
    </row>
    <row r="44" spans="1:20">
      <c r="A44" s="156">
        <f t="shared" si="2"/>
        <v>36</v>
      </c>
      <c r="B44" s="421" t="s">
        <v>722</v>
      </c>
      <c r="C44" s="439"/>
      <c r="D44" s="421" t="s">
        <v>721</v>
      </c>
      <c r="E44" s="60">
        <f>revpergl!U27</f>
        <v>624212.36</v>
      </c>
      <c r="I44" s="421" t="s">
        <v>769</v>
      </c>
      <c r="J44" s="162">
        <f>revpergl!U52</f>
        <v>604251.05000000005</v>
      </c>
      <c r="K44" s="163"/>
      <c r="O44" s="421"/>
      <c r="P44" s="421"/>
      <c r="Q44" s="421"/>
      <c r="R44" s="421"/>
      <c r="S44" s="421"/>
      <c r="T44" s="421"/>
    </row>
    <row r="45" spans="1:20">
      <c r="A45" s="156">
        <f t="shared" si="2"/>
        <v>37</v>
      </c>
      <c r="B45" s="421" t="s">
        <v>724</v>
      </c>
      <c r="C45" s="439"/>
      <c r="D45" s="421" t="s">
        <v>723</v>
      </c>
      <c r="E45" s="60">
        <f>revpergl!U28</f>
        <v>4494053.82</v>
      </c>
      <c r="I45" s="421" t="s">
        <v>771</v>
      </c>
      <c r="J45" s="162">
        <f>revpergl!U53</f>
        <v>4320471.09</v>
      </c>
      <c r="K45" s="163"/>
      <c r="O45" s="421"/>
      <c r="P45" s="421"/>
      <c r="Q45" s="421"/>
      <c r="R45" s="421"/>
      <c r="S45" s="421"/>
      <c r="T45" s="421"/>
    </row>
    <row r="46" spans="1:20">
      <c r="A46" s="156">
        <f t="shared" si="2"/>
        <v>38</v>
      </c>
      <c r="B46" s="421" t="s">
        <v>726</v>
      </c>
      <c r="C46" s="440"/>
      <c r="D46" s="421" t="s">
        <v>725</v>
      </c>
      <c r="E46" s="60">
        <f>revpergl!U29</f>
        <v>1065939.83</v>
      </c>
      <c r="I46" s="421" t="s">
        <v>773</v>
      </c>
      <c r="J46" s="162">
        <f>revpergl!U54</f>
        <v>1007038.9</v>
      </c>
      <c r="K46" s="163"/>
      <c r="O46" s="421"/>
      <c r="P46" s="421"/>
      <c r="Q46" s="421"/>
      <c r="R46" s="421"/>
      <c r="S46" s="421"/>
      <c r="T46" s="421"/>
    </row>
    <row r="47" spans="1:20">
      <c r="A47" s="156">
        <f t="shared" si="2"/>
        <v>39</v>
      </c>
      <c r="C47" s="440"/>
      <c r="E47" s="60">
        <f>SUM(E35:E46)</f>
        <v>17550459.229999997</v>
      </c>
      <c r="I47" s="171"/>
      <c r="J47" s="60">
        <f>SUM(J35:J46)</f>
        <v>16720218.51</v>
      </c>
      <c r="K47" s="163">
        <f>E47-J47</f>
        <v>830240.71999999695</v>
      </c>
      <c r="O47" s="421"/>
      <c r="P47" s="421"/>
      <c r="Q47" s="421"/>
      <c r="R47" s="421"/>
      <c r="S47" s="421"/>
      <c r="T47" s="421"/>
    </row>
    <row r="48" spans="1:20" ht="15">
      <c r="A48" s="156">
        <f t="shared" si="2"/>
        <v>40</v>
      </c>
      <c r="C48" s="441"/>
      <c r="D48" s="155"/>
      <c r="E48" s="163">
        <f>E31-E47</f>
        <v>-5.4999999701976776E-3</v>
      </c>
      <c r="F48" s="264"/>
      <c r="G48" s="351"/>
      <c r="H48" s="171"/>
      <c r="I48" s="171"/>
      <c r="J48" s="171">
        <f>E23-J47</f>
        <v>0.22449999861419201</v>
      </c>
      <c r="K48" s="163"/>
      <c r="N48" s="421"/>
      <c r="O48" s="421"/>
      <c r="P48" s="421"/>
      <c r="Q48" s="421"/>
      <c r="R48" s="421"/>
      <c r="S48" s="421"/>
      <c r="T48" s="421"/>
    </row>
    <row r="49" spans="1:38" ht="15">
      <c r="A49" s="156">
        <f t="shared" si="2"/>
        <v>41</v>
      </c>
      <c r="B49" s="205"/>
      <c r="C49" s="441"/>
      <c r="D49" s="155"/>
      <c r="E49" s="155"/>
      <c r="F49" s="264"/>
      <c r="G49" s="351"/>
      <c r="H49" s="171"/>
      <c r="I49" s="171"/>
      <c r="J49" s="171"/>
      <c r="K49" s="163"/>
      <c r="N49" s="421"/>
      <c r="O49" s="421"/>
      <c r="P49" s="421"/>
      <c r="Q49" s="421"/>
      <c r="R49" s="421"/>
      <c r="S49" s="421"/>
      <c r="T49" s="421"/>
    </row>
    <row r="50" spans="1:38" ht="15">
      <c r="A50" s="156">
        <f t="shared" si="2"/>
        <v>42</v>
      </c>
      <c r="B50" s="205"/>
      <c r="C50" s="441"/>
      <c r="D50" s="155"/>
      <c r="E50" s="155"/>
      <c r="F50" s="264"/>
      <c r="G50" s="351"/>
      <c r="H50" s="171"/>
      <c r="I50" s="171"/>
      <c r="J50" s="171"/>
      <c r="K50" s="163"/>
      <c r="N50" s="421"/>
      <c r="O50" s="421"/>
      <c r="P50" s="421"/>
      <c r="Q50" s="421"/>
      <c r="R50" s="421"/>
      <c r="S50" s="421"/>
      <c r="T50" s="421"/>
    </row>
    <row r="51" spans="1:38" ht="15">
      <c r="A51" s="156">
        <f t="shared" si="2"/>
        <v>43</v>
      </c>
      <c r="B51" s="205"/>
      <c r="C51" s="441"/>
      <c r="D51" s="155"/>
      <c r="E51" s="155"/>
      <c r="F51" s="264"/>
      <c r="G51" s="351"/>
      <c r="H51" s="171"/>
      <c r="I51" s="171"/>
      <c r="J51" s="171"/>
      <c r="K51" s="163"/>
      <c r="N51" s="421"/>
      <c r="O51" s="421"/>
      <c r="P51" s="421"/>
      <c r="Q51" s="421"/>
      <c r="R51" s="421"/>
      <c r="S51" s="421"/>
      <c r="T51" s="421"/>
    </row>
    <row r="52" spans="1:38" ht="15">
      <c r="A52" s="156">
        <f t="shared" si="2"/>
        <v>44</v>
      </c>
      <c r="B52" s="205"/>
      <c r="C52" s="441"/>
      <c r="D52" s="155"/>
      <c r="E52" s="155"/>
      <c r="F52" s="264"/>
      <c r="G52" s="351"/>
      <c r="H52" s="171"/>
      <c r="I52" s="171"/>
      <c r="J52" s="171"/>
      <c r="K52" s="163"/>
      <c r="O52" s="421"/>
      <c r="P52" s="421"/>
      <c r="Q52" s="421"/>
      <c r="R52" s="421"/>
      <c r="S52" s="421"/>
      <c r="T52" s="421"/>
    </row>
    <row r="53" spans="1:38" ht="15">
      <c r="A53" s="156">
        <f t="shared" si="2"/>
        <v>45</v>
      </c>
      <c r="B53" s="205"/>
      <c r="C53" s="441"/>
      <c r="D53" s="155"/>
      <c r="E53" s="155"/>
      <c r="F53" s="264"/>
      <c r="G53" s="351"/>
      <c r="H53" s="171"/>
      <c r="I53" s="171"/>
      <c r="J53" s="171"/>
      <c r="K53" s="163"/>
      <c r="N53" s="421"/>
      <c r="O53" s="421"/>
      <c r="P53" s="421"/>
      <c r="Q53" s="421"/>
      <c r="R53" s="421"/>
      <c r="S53" s="421"/>
      <c r="T53" s="421"/>
    </row>
    <row r="54" spans="1:38" ht="15">
      <c r="A54" s="156">
        <f t="shared" si="2"/>
        <v>46</v>
      </c>
      <c r="B54" s="155"/>
      <c r="C54" s="441"/>
      <c r="D54" s="155"/>
      <c r="E54" s="155"/>
      <c r="F54" s="264"/>
      <c r="G54" s="351"/>
      <c r="H54" s="171"/>
      <c r="I54" s="171"/>
      <c r="J54" s="171"/>
      <c r="K54" s="163"/>
    </row>
    <row r="55" spans="1:38" ht="15">
      <c r="A55" s="156">
        <f t="shared" si="2"/>
        <v>47</v>
      </c>
      <c r="B55" s="155"/>
      <c r="C55" s="441"/>
      <c r="D55" s="155"/>
      <c r="E55" s="155"/>
      <c r="F55" s="264"/>
      <c r="G55" s="351"/>
      <c r="H55" s="171"/>
      <c r="I55" s="171"/>
      <c r="J55" s="171"/>
      <c r="K55" s="163"/>
    </row>
    <row r="56" spans="1:38" ht="15">
      <c r="A56" s="156">
        <f t="shared" si="2"/>
        <v>48</v>
      </c>
      <c r="B56" s="155"/>
      <c r="C56" s="441"/>
      <c r="D56" s="155"/>
      <c r="E56" s="155"/>
      <c r="F56" s="264"/>
      <c r="G56" s="351"/>
      <c r="H56" s="171"/>
      <c r="I56" s="171"/>
      <c r="J56" s="171"/>
      <c r="K56" s="163"/>
    </row>
    <row r="57" spans="1:38" ht="15">
      <c r="A57" s="156">
        <f t="shared" si="2"/>
        <v>49</v>
      </c>
      <c r="B57" s="155"/>
      <c r="C57" s="441"/>
      <c r="D57" s="155"/>
      <c r="E57" s="155"/>
      <c r="F57" s="264"/>
      <c r="G57" s="351"/>
      <c r="H57" s="171"/>
      <c r="I57" s="171"/>
      <c r="J57" s="171"/>
      <c r="K57" s="163"/>
    </row>
    <row r="58" spans="1:38" ht="15">
      <c r="A58" s="156">
        <f t="shared" si="2"/>
        <v>50</v>
      </c>
      <c r="B58" s="155"/>
      <c r="C58" s="441"/>
      <c r="D58" s="155"/>
      <c r="E58" s="155"/>
      <c r="F58" s="264"/>
      <c r="G58" s="351"/>
      <c r="H58" s="171"/>
      <c r="I58" s="171"/>
      <c r="J58" s="171"/>
      <c r="K58" s="163"/>
    </row>
    <row r="59" spans="1:38" ht="13.5" thickBot="1">
      <c r="A59" s="156">
        <f t="shared" si="2"/>
        <v>51</v>
      </c>
      <c r="B59" s="155"/>
      <c r="C59" s="442"/>
      <c r="D59" s="155"/>
      <c r="E59" s="155"/>
      <c r="F59" s="155"/>
      <c r="G59" s="236">
        <f>SUM(G36:G58)</f>
        <v>0</v>
      </c>
      <c r="H59" s="171"/>
      <c r="I59" s="171"/>
      <c r="J59" s="236">
        <f>SUM(J36:J58)</f>
        <v>31690811.354500003</v>
      </c>
      <c r="K59" s="161">
        <f>G59-J59</f>
        <v>-31690811.354500003</v>
      </c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38" ht="13.5" thickTop="1">
      <c r="A60" s="155"/>
      <c r="B60" s="155"/>
      <c r="C60" s="442"/>
      <c r="D60" s="155"/>
      <c r="E60" s="155"/>
      <c r="F60" s="155"/>
      <c r="G60" s="171">
        <f>G59-E31</f>
        <v>-17550459.224499997</v>
      </c>
      <c r="H60" s="171"/>
      <c r="I60" s="171"/>
      <c r="J60" s="171">
        <f>J59-E23</f>
        <v>14970592.620000005</v>
      </c>
      <c r="K60" s="155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38">
      <c r="C61" s="440"/>
      <c r="O61" s="81" t="s">
        <v>404</v>
      </c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38">
      <c r="C62" s="440"/>
      <c r="O62" s="81" t="s">
        <v>1115</v>
      </c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38">
      <c r="C63" s="440"/>
      <c r="O63" s="160" t="s">
        <v>1</v>
      </c>
      <c r="P63" s="160" t="s">
        <v>2</v>
      </c>
      <c r="Q63" s="160" t="s">
        <v>3</v>
      </c>
      <c r="R63" s="160" t="s">
        <v>4</v>
      </c>
      <c r="S63" s="160"/>
      <c r="T63" s="160" t="s">
        <v>5</v>
      </c>
      <c r="U63" s="160" t="s">
        <v>6</v>
      </c>
      <c r="V63" s="160" t="s">
        <v>28</v>
      </c>
      <c r="W63" s="160" t="s">
        <v>7</v>
      </c>
      <c r="X63" s="160" t="s">
        <v>29</v>
      </c>
      <c r="Y63" s="160" t="s">
        <v>50</v>
      </c>
      <c r="Z63" s="160" t="s">
        <v>30</v>
      </c>
      <c r="AC63" s="52"/>
      <c r="AD63" s="52"/>
      <c r="AE63" s="156" t="s">
        <v>382</v>
      </c>
      <c r="AF63" s="52"/>
      <c r="AG63" s="52"/>
      <c r="AH63" s="52"/>
      <c r="AI63" s="52"/>
      <c r="AJ63" s="52"/>
      <c r="AK63" s="52"/>
      <c r="AL63" s="52"/>
    </row>
    <row r="64" spans="1:38">
      <c r="C64" s="440"/>
      <c r="H64">
        <v>160230.37037037039</v>
      </c>
      <c r="I64">
        <f>+H64*$D$32</f>
        <v>0</v>
      </c>
      <c r="T64" s="52" t="s">
        <v>267</v>
      </c>
      <c r="V64" s="52" t="s">
        <v>257</v>
      </c>
      <c r="W64" s="52" t="s">
        <v>257</v>
      </c>
      <c r="X64" s="52" t="s">
        <v>265</v>
      </c>
      <c r="Y64" s="52" t="s">
        <v>267</v>
      </c>
      <c r="AD64" s="52"/>
      <c r="AE64" s="156" t="s">
        <v>383</v>
      </c>
      <c r="AF64" s="52"/>
      <c r="AG64" s="52"/>
      <c r="AI64" s="52"/>
      <c r="AJ64" s="52"/>
      <c r="AK64" s="52"/>
      <c r="AL64" s="156" t="s">
        <v>387</v>
      </c>
    </row>
    <row r="65" spans="3:40">
      <c r="C65" s="440"/>
      <c r="Q65" s="52" t="s">
        <v>261</v>
      </c>
      <c r="R65" s="52" t="s">
        <v>255</v>
      </c>
      <c r="S65" s="52" t="s">
        <v>141</v>
      </c>
      <c r="T65" s="52" t="s">
        <v>268</v>
      </c>
      <c r="V65" s="52" t="s">
        <v>266</v>
      </c>
      <c r="W65" s="52" t="s">
        <v>266</v>
      </c>
      <c r="X65" s="52" t="s">
        <v>269</v>
      </c>
      <c r="Y65" s="52" t="s">
        <v>268</v>
      </c>
      <c r="AC65" s="156" t="s">
        <v>379</v>
      </c>
      <c r="AD65" s="52" t="s">
        <v>263</v>
      </c>
      <c r="AE65" s="156" t="s">
        <v>348</v>
      </c>
      <c r="AF65" s="156" t="s">
        <v>115</v>
      </c>
      <c r="AG65" s="156" t="s">
        <v>384</v>
      </c>
      <c r="AH65" s="156" t="s">
        <v>385</v>
      </c>
      <c r="AI65" s="156" t="s">
        <v>243</v>
      </c>
      <c r="AJ65" s="156" t="s">
        <v>386</v>
      </c>
      <c r="AK65" s="52" t="s">
        <v>140</v>
      </c>
      <c r="AL65" s="156" t="s">
        <v>388</v>
      </c>
    </row>
    <row r="66" spans="3:40">
      <c r="H66">
        <v>208216.80900401811</v>
      </c>
      <c r="I66">
        <f>+H66*$D$32</f>
        <v>0</v>
      </c>
      <c r="O66" s="156" t="s">
        <v>402</v>
      </c>
      <c r="P66" s="156" t="s">
        <v>403</v>
      </c>
      <c r="Q66" s="52" t="s">
        <v>248</v>
      </c>
      <c r="R66" s="52" t="s">
        <v>224</v>
      </c>
      <c r="S66" s="52" t="s">
        <v>224</v>
      </c>
      <c r="T66" s="52" t="s">
        <v>224</v>
      </c>
      <c r="U66" s="52" t="s">
        <v>11</v>
      </c>
      <c r="V66" s="52" t="s">
        <v>219</v>
      </c>
      <c r="W66" s="52" t="s">
        <v>220</v>
      </c>
      <c r="X66" s="156" t="s">
        <v>246</v>
      </c>
      <c r="Y66" s="52" t="s">
        <v>250</v>
      </c>
      <c r="Z66" s="52" t="s">
        <v>251</v>
      </c>
      <c r="AA66" s="126" t="s">
        <v>8</v>
      </c>
      <c r="AB66" s="52" t="s">
        <v>252</v>
      </c>
      <c r="AC66" s="156" t="s">
        <v>380</v>
      </c>
      <c r="AD66" s="156" t="s">
        <v>381</v>
      </c>
      <c r="AE66" s="156" t="s">
        <v>379</v>
      </c>
      <c r="AF66" s="156" t="s">
        <v>263</v>
      </c>
      <c r="AG66" s="156" t="s">
        <v>263</v>
      </c>
      <c r="AH66" s="52" t="s">
        <v>207</v>
      </c>
      <c r="AI66" s="156" t="s">
        <v>348</v>
      </c>
      <c r="AJ66" s="156" t="s">
        <v>80</v>
      </c>
      <c r="AK66" s="52" t="s">
        <v>272</v>
      </c>
      <c r="AL66" s="156" t="s">
        <v>389</v>
      </c>
      <c r="AM66" s="52" t="s">
        <v>217</v>
      </c>
    </row>
    <row r="67" spans="3:40">
      <c r="H67">
        <v>812181.40073532262</v>
      </c>
      <c r="I67">
        <f>+H67*$D$32</f>
        <v>0</v>
      </c>
      <c r="O67" s="122" t="s">
        <v>134</v>
      </c>
      <c r="P67" s="122" t="s">
        <v>134</v>
      </c>
      <c r="Q67" s="122"/>
      <c r="S67" s="122" t="s">
        <v>134</v>
      </c>
      <c r="T67" s="122" t="s">
        <v>134</v>
      </c>
      <c r="U67" s="122" t="s">
        <v>134</v>
      </c>
      <c r="V67" s="122" t="s">
        <v>134</v>
      </c>
      <c r="W67" s="122" t="s">
        <v>134</v>
      </c>
      <c r="X67" s="122" t="s">
        <v>134</v>
      </c>
      <c r="Y67" s="122" t="s">
        <v>134</v>
      </c>
      <c r="Z67" s="122" t="s">
        <v>134</v>
      </c>
      <c r="AA67" s="122" t="s">
        <v>134</v>
      </c>
      <c r="AB67" s="122" t="s">
        <v>134</v>
      </c>
    </row>
    <row r="69" spans="3:40">
      <c r="K69" s="26">
        <f>S69</f>
        <v>33924</v>
      </c>
      <c r="L69">
        <v>10.715</v>
      </c>
      <c r="M69" s="35">
        <f>K69*L69</f>
        <v>363495.66</v>
      </c>
      <c r="N69" s="35">
        <f>V69-M69</f>
        <v>325.5800000000163</v>
      </c>
      <c r="O69" s="52">
        <v>1</v>
      </c>
      <c r="P69" s="169" t="s">
        <v>1123</v>
      </c>
      <c r="Q69" s="46">
        <f>Q110+Q152+Q194+Q236+Q278+Q320+Q362+Q404+Q446+Q488+Q530+Q572+Q614+Q656+Q698+Q740+Q782+Q824</f>
        <v>24161</v>
      </c>
      <c r="R69" s="46">
        <f>R110+R152+R194+R236+R278+R320+R362+R404+R446+R488+R530+R572+R614+R656+R698+R740+R782+R824</f>
        <v>31416</v>
      </c>
      <c r="S69" s="46">
        <f>S110+S194+S236+S278+S320+S362+S446+S488+S614+S740+S782+S824</f>
        <v>33924</v>
      </c>
      <c r="T69" s="46">
        <f t="shared" ref="T69:AB69" si="4">T110+T152+T194+T236+T278+T320+T362+T404+T446+T488+T530+T572+T614+T656+T698+T740+T782+T824</f>
        <v>20</v>
      </c>
      <c r="U69" s="46">
        <f t="shared" si="4"/>
        <v>15887456</v>
      </c>
      <c r="V69" s="46">
        <f t="shared" si="4"/>
        <v>363821.24</v>
      </c>
      <c r="W69" s="46">
        <f t="shared" si="4"/>
        <v>604517.70000000007</v>
      </c>
      <c r="X69" s="46">
        <f t="shared" si="4"/>
        <v>330148.80000000005</v>
      </c>
      <c r="Y69" s="46">
        <f t="shared" si="4"/>
        <v>214.3</v>
      </c>
      <c r="Z69" s="46">
        <f t="shared" si="4"/>
        <v>1298702.04</v>
      </c>
      <c r="AA69" s="117">
        <f t="shared" si="4"/>
        <v>1366068.47</v>
      </c>
      <c r="AB69" s="117">
        <f t="shared" si="4"/>
        <v>67366.42999999992</v>
      </c>
      <c r="AC69" s="117">
        <f t="shared" ref="AC69:AN69" si="5">AC110+AC152+AC194+AC236+AC278+AC320+AC362+AC404+AC446+AC488+AC530+AC572+AC614+AC656+AC698+AC740+AC782+AC824</f>
        <v>325.59000000000003</v>
      </c>
      <c r="AD69" s="117">
        <f t="shared" si="5"/>
        <v>0</v>
      </c>
      <c r="AE69" s="117">
        <f t="shared" si="5"/>
        <v>0</v>
      </c>
      <c r="AF69" s="117">
        <f t="shared" si="5"/>
        <v>0</v>
      </c>
      <c r="AG69" s="117">
        <f t="shared" si="5"/>
        <v>0</v>
      </c>
      <c r="AH69" s="117">
        <f t="shared" si="5"/>
        <v>0</v>
      </c>
      <c r="AI69" s="117">
        <f t="shared" si="5"/>
        <v>1200</v>
      </c>
      <c r="AJ69" s="117">
        <f t="shared" si="5"/>
        <v>18504.060000000001</v>
      </c>
      <c r="AK69" s="117">
        <f t="shared" si="5"/>
        <v>47662.363999999994</v>
      </c>
      <c r="AL69" s="117">
        <f>AL110+AL152+AL194+AL236+AL278+AL320+AL362+AL404+AL446+AL488+AL530+AL572+AL614+AL656+AL698+AL740+AL824</f>
        <v>0</v>
      </c>
      <c r="AM69" s="117">
        <f t="shared" si="5"/>
        <v>67366.423999999999</v>
      </c>
      <c r="AN69">
        <f t="shared" si="5"/>
        <v>-5.9999999209878752E-3</v>
      </c>
    </row>
    <row r="70" spans="3:40">
      <c r="M70" s="35">
        <f>AC69</f>
        <v>325.59000000000003</v>
      </c>
      <c r="O70" s="52">
        <v>2</v>
      </c>
      <c r="P70" s="155" t="s">
        <v>236</v>
      </c>
      <c r="Q70" s="46">
        <f t="shared" ref="Q70:AB70" si="6">Q111+Q153+Q195+Q237+Q279+Q321+Q363+Q405+Q447+Q489+Q531+Q573+Q615+Q657+Q699+Q741+Q783+Q825</f>
        <v>24161</v>
      </c>
      <c r="R70" s="46">
        <f t="shared" ref="R70" si="7">R111+R153+R195+R237+R279+R321+R363+R405+R447+R489+R531+R573+R615+R657+R699+R741+R783+R825</f>
        <v>31157</v>
      </c>
      <c r="S70" s="46">
        <f t="shared" ref="S70:S80" si="8">S111+S195+S237+S279+S321+S363+S447+S489+S615+S741+S783+S825</f>
        <v>33809</v>
      </c>
      <c r="T70" s="46">
        <f t="shared" si="6"/>
        <v>26</v>
      </c>
      <c r="U70" s="46">
        <f t="shared" si="6"/>
        <v>15031083</v>
      </c>
      <c r="V70" s="46">
        <f t="shared" si="6"/>
        <v>362653.86</v>
      </c>
      <c r="W70" s="46">
        <f t="shared" si="6"/>
        <v>571932.71000000008</v>
      </c>
      <c r="X70" s="46">
        <f t="shared" si="6"/>
        <v>266966.65999999997</v>
      </c>
      <c r="Y70" s="46">
        <f t="shared" si="6"/>
        <v>278.58999999999997</v>
      </c>
      <c r="Z70" s="46">
        <f t="shared" si="6"/>
        <v>1201831.82</v>
      </c>
      <c r="AA70" s="117">
        <f t="shared" si="6"/>
        <v>1266629.1200000001</v>
      </c>
      <c r="AB70" s="117">
        <f t="shared" si="6"/>
        <v>64797.300000000017</v>
      </c>
      <c r="AC70" s="117">
        <f t="shared" ref="AC70:AN70" si="9">AC111+AC153+AC195+AC237+AC279+AC321+AC363+AC405+AC447+AC489+AC531+AC573+AC615+AC657+AC699+AC741+AC783+AC825</f>
        <v>390.42</v>
      </c>
      <c r="AD70" s="117">
        <f t="shared" si="9"/>
        <v>0</v>
      </c>
      <c r="AE70" s="117">
        <f t="shared" si="9"/>
        <v>0</v>
      </c>
      <c r="AF70" s="117">
        <f t="shared" si="9"/>
        <v>0</v>
      </c>
      <c r="AG70" s="117">
        <f t="shared" si="9"/>
        <v>0</v>
      </c>
      <c r="AH70" s="117">
        <f t="shared" si="9"/>
        <v>0</v>
      </c>
      <c r="AI70" s="117">
        <f t="shared" si="9"/>
        <v>1200</v>
      </c>
      <c r="AJ70" s="117">
        <f t="shared" si="9"/>
        <v>18504.060000000001</v>
      </c>
      <c r="AK70" s="117">
        <f t="shared" si="9"/>
        <v>45093.249000000003</v>
      </c>
      <c r="AL70" s="117">
        <f t="shared" ref="AL70:AL80" si="10">AL111+AL153+AL195+AL237+AL279+AL321+AL363+AL405+AL447+AL489+AL531+AL573+AL615+AL657+AL699+AL741+AL825</f>
        <v>0</v>
      </c>
      <c r="AM70" s="117">
        <f t="shared" si="9"/>
        <v>64797.309000000001</v>
      </c>
      <c r="AN70">
        <f t="shared" si="9"/>
        <v>8.9999999938186193E-3</v>
      </c>
    </row>
    <row r="71" spans="3:40">
      <c r="M71" s="35">
        <f>M69+M70</f>
        <v>363821.25</v>
      </c>
      <c r="N71" s="35">
        <f>V69-M71</f>
        <v>-1.0000000009313226E-2</v>
      </c>
      <c r="O71" s="52">
        <v>3</v>
      </c>
      <c r="P71" s="155" t="s">
        <v>235</v>
      </c>
      <c r="Q71" s="46">
        <f t="shared" ref="Q71:AB71" si="11">Q112+Q154+Q196+Q238+Q280+Q322+Q364+Q406+Q448+Q490+Q532+Q574+Q616+Q658+Q700+Q742+Q784+Q826</f>
        <v>24161</v>
      </c>
      <c r="R71" s="46">
        <f t="shared" ref="R71" si="12">R112+R154+R196+R238+R280+R322+R364+R406+R448+R490+R532+R574+R616+R658+R700+R742+R784+R826</f>
        <v>32709</v>
      </c>
      <c r="S71" s="46">
        <f t="shared" si="8"/>
        <v>35204</v>
      </c>
      <c r="T71" s="46">
        <f t="shared" si="11"/>
        <v>32</v>
      </c>
      <c r="U71" s="46">
        <f t="shared" si="11"/>
        <v>16290674</v>
      </c>
      <c r="V71" s="46">
        <f t="shared" si="11"/>
        <v>377616.29</v>
      </c>
      <c r="W71" s="46">
        <f t="shared" si="11"/>
        <v>619860.14</v>
      </c>
      <c r="X71" s="46">
        <f t="shared" si="11"/>
        <v>310338.79000000004</v>
      </c>
      <c r="Y71" s="46">
        <f t="shared" si="11"/>
        <v>342.88</v>
      </c>
      <c r="Z71" s="46">
        <f t="shared" si="11"/>
        <v>1308158.0999999999</v>
      </c>
      <c r="AA71" s="117">
        <f t="shared" si="11"/>
        <v>1376734.18</v>
      </c>
      <c r="AB71" s="117">
        <f t="shared" si="11"/>
        <v>68576.079999999958</v>
      </c>
      <c r="AC71" s="117">
        <f t="shared" ref="AC71:AN71" si="13">AC112+AC154+AC196+AC238+AC280+AC322+AC364+AC406+AC448+AC490+AC532+AC574+AC616+AC658+AC700+AC742+AC784+AC826</f>
        <v>405.44000000000005</v>
      </c>
      <c r="AD71" s="117">
        <f t="shared" si="13"/>
        <v>0</v>
      </c>
      <c r="AE71" s="117">
        <f t="shared" si="13"/>
        <v>0</v>
      </c>
      <c r="AF71" s="117">
        <f t="shared" si="13"/>
        <v>0</v>
      </c>
      <c r="AG71" s="117">
        <f t="shared" si="13"/>
        <v>0</v>
      </c>
      <c r="AH71" s="117">
        <f t="shared" si="13"/>
        <v>0</v>
      </c>
      <c r="AI71" s="117">
        <f t="shared" si="13"/>
        <v>1200</v>
      </c>
      <c r="AJ71" s="117">
        <f t="shared" si="13"/>
        <v>18504.060000000001</v>
      </c>
      <c r="AK71" s="117">
        <f t="shared" si="13"/>
        <v>48872.025000000009</v>
      </c>
      <c r="AL71" s="117">
        <f t="shared" si="10"/>
        <v>0</v>
      </c>
      <c r="AM71" s="117">
        <f t="shared" si="13"/>
        <v>68576.085000000006</v>
      </c>
      <c r="AN71">
        <f t="shared" si="13"/>
        <v>5.0000000402405931E-3</v>
      </c>
    </row>
    <row r="72" spans="3:40">
      <c r="O72" s="52">
        <v>4</v>
      </c>
      <c r="P72" s="155" t="s">
        <v>234</v>
      </c>
      <c r="Q72" s="46">
        <f t="shared" ref="Q72:AB72" si="14">Q113+Q155+Q197+Q239+Q281+Q323+Q365+Q407+Q449+Q491+Q533+Q575+Q617+Q659+Q701+Q743+Q785+Q827</f>
        <v>24161</v>
      </c>
      <c r="R72" s="46">
        <f t="shared" ref="R72" si="15">R113+R155+R197+R239+R281+R323+R365+R407+R449+R491+R533+R575+R617+R659+R701+R743+R785+R827</f>
        <v>33673</v>
      </c>
      <c r="S72" s="46">
        <f t="shared" si="8"/>
        <v>36281</v>
      </c>
      <c r="T72" s="46">
        <f t="shared" si="14"/>
        <v>26</v>
      </c>
      <c r="U72" s="46">
        <f t="shared" si="14"/>
        <v>17369466</v>
      </c>
      <c r="V72" s="46">
        <f t="shared" si="14"/>
        <v>389111.3</v>
      </c>
      <c r="W72" s="46">
        <f t="shared" si="14"/>
        <v>660908.19000000006</v>
      </c>
      <c r="X72" s="46">
        <f t="shared" si="14"/>
        <v>144642.09</v>
      </c>
      <c r="Y72" s="46">
        <f t="shared" si="14"/>
        <v>278.58999999999997</v>
      </c>
      <c r="Z72" s="46">
        <f t="shared" si="14"/>
        <v>1194940.1700000002</v>
      </c>
      <c r="AA72" s="117">
        <f t="shared" si="14"/>
        <v>1266752.6300000001</v>
      </c>
      <c r="AB72" s="117">
        <f t="shared" si="14"/>
        <v>71812.459999999963</v>
      </c>
      <c r="AC72" s="117">
        <f t="shared" ref="AC72:AN72" si="16">AC113+AC155+AC197+AC239+AC281+AC323+AC365+AC407+AC449+AC491+AC533+AC575+AC617+AC659+AC701+AC743+AC785+AC827</f>
        <v>360.38</v>
      </c>
      <c r="AD72" s="117">
        <f t="shared" si="16"/>
        <v>0</v>
      </c>
      <c r="AE72" s="117">
        <f t="shared" si="16"/>
        <v>0</v>
      </c>
      <c r="AF72" s="117">
        <f t="shared" si="16"/>
        <v>0</v>
      </c>
      <c r="AG72" s="117">
        <f t="shared" si="16"/>
        <v>0</v>
      </c>
      <c r="AH72" s="117">
        <f t="shared" si="16"/>
        <v>0</v>
      </c>
      <c r="AI72" s="117">
        <f t="shared" si="16"/>
        <v>1200</v>
      </c>
      <c r="AJ72" s="117">
        <f t="shared" si="16"/>
        <v>18504.060000000001</v>
      </c>
      <c r="AK72" s="117">
        <f t="shared" si="16"/>
        <v>52108.4</v>
      </c>
      <c r="AL72" s="117">
        <f t="shared" si="10"/>
        <v>0</v>
      </c>
      <c r="AM72" s="117">
        <f t="shared" si="16"/>
        <v>71812.460000000006</v>
      </c>
      <c r="AN72">
        <f t="shared" si="16"/>
        <v>3.2656544135534205E-11</v>
      </c>
    </row>
    <row r="73" spans="3:40">
      <c r="O73" s="52">
        <v>5</v>
      </c>
      <c r="P73" s="155" t="s">
        <v>342</v>
      </c>
      <c r="Q73" s="46">
        <f t="shared" ref="Q73:AB73" si="17">Q114+Q156+Q198+Q240+Q282+Q324+Q366+Q408+Q450+Q492+Q534+Q576+Q618+Q660+Q702+Q744+Q786+Q828</f>
        <v>24161</v>
      </c>
      <c r="R73" s="46">
        <f t="shared" ref="R73" si="18">R114+R156+R198+R240+R282+R324+R366+R408+R450+R492+R534+R576+R618+R660+R702+R744+R786+R828</f>
        <v>34236</v>
      </c>
      <c r="S73" s="46">
        <f t="shared" si="8"/>
        <v>36912</v>
      </c>
      <c r="T73" s="46">
        <f t="shared" si="17"/>
        <v>93</v>
      </c>
      <c r="U73" s="46">
        <f t="shared" si="17"/>
        <v>17627160</v>
      </c>
      <c r="V73" s="46">
        <f t="shared" si="17"/>
        <v>395899.04</v>
      </c>
      <c r="W73" s="46">
        <f t="shared" si="17"/>
        <v>670713.45000000007</v>
      </c>
      <c r="X73" s="46">
        <f t="shared" si="17"/>
        <v>404570.45</v>
      </c>
      <c r="Y73" s="46">
        <f t="shared" si="17"/>
        <v>996.5</v>
      </c>
      <c r="Z73" s="46">
        <f t="shared" si="17"/>
        <v>1472179.44</v>
      </c>
      <c r="AA73" s="117">
        <f t="shared" si="17"/>
        <v>1544764.96</v>
      </c>
      <c r="AB73" s="117">
        <f t="shared" si="17"/>
        <v>72585.520000000048</v>
      </c>
      <c r="AC73" s="117">
        <f t="shared" ref="AC73:AN73" si="19">AC114+AC156+AC198+AC240+AC282+AC324+AC366+AC408+AC450+AC492+AC534+AC576+AC618+AC660+AC702+AC744+AC786+AC828</f>
        <v>386.97999999999996</v>
      </c>
      <c r="AD73" s="117">
        <f t="shared" si="19"/>
        <v>0</v>
      </c>
      <c r="AE73" s="117">
        <f t="shared" si="19"/>
        <v>0</v>
      </c>
      <c r="AF73" s="117">
        <f t="shared" si="19"/>
        <v>0</v>
      </c>
      <c r="AG73" s="117">
        <f t="shared" si="19"/>
        <v>0</v>
      </c>
      <c r="AH73" s="117">
        <f t="shared" si="19"/>
        <v>0</v>
      </c>
      <c r="AI73" s="117">
        <f t="shared" si="19"/>
        <v>1200</v>
      </c>
      <c r="AJ73" s="117">
        <f t="shared" si="19"/>
        <v>18504.060000000001</v>
      </c>
      <c r="AK73" s="117">
        <f t="shared" si="19"/>
        <v>52881.481</v>
      </c>
      <c r="AL73" s="117">
        <f t="shared" si="10"/>
        <v>0</v>
      </c>
      <c r="AM73" s="117">
        <f t="shared" si="19"/>
        <v>72585.541000000012</v>
      </c>
      <c r="AN73">
        <f t="shared" si="19"/>
        <v>2.0999999967031613E-2</v>
      </c>
    </row>
    <row r="74" spans="3:40">
      <c r="O74" s="52">
        <v>6</v>
      </c>
      <c r="P74" s="155" t="s">
        <v>241</v>
      </c>
      <c r="Q74" s="46">
        <f t="shared" ref="Q74:AB74" si="20">Q115+Q157+Q199+Q241+Q283+Q325+Q367+Q409+Q451+Q493+Q535+Q577+Q619+Q661+Q703+Q745+Q787+Q829</f>
        <v>24161</v>
      </c>
      <c r="R74" s="46">
        <f t="shared" ref="R74" si="21">R115+R157+R199+R241+R283+R325+R367+R409+R451+R493+R535+R577+R619+R661+R703+R745+R787+R829</f>
        <v>34003</v>
      </c>
      <c r="S74" s="46">
        <f t="shared" si="8"/>
        <v>36571</v>
      </c>
      <c r="T74" s="46">
        <f t="shared" si="20"/>
        <v>95</v>
      </c>
      <c r="U74" s="46">
        <f t="shared" si="20"/>
        <v>18450082</v>
      </c>
      <c r="V74" s="46">
        <f t="shared" si="20"/>
        <v>392212.27999999997</v>
      </c>
      <c r="W74" s="46">
        <f t="shared" si="20"/>
        <v>702025.62</v>
      </c>
      <c r="X74" s="46">
        <f t="shared" si="20"/>
        <v>447622.16000000003</v>
      </c>
      <c r="Y74" s="46">
        <f t="shared" si="20"/>
        <v>1017.92</v>
      </c>
      <c r="Z74" s="46">
        <f t="shared" si="20"/>
        <v>1542877.98</v>
      </c>
      <c r="AA74" s="117">
        <f t="shared" si="20"/>
        <v>1617932.29</v>
      </c>
      <c r="AB74" s="117">
        <f t="shared" si="20"/>
        <v>75054.309999999983</v>
      </c>
      <c r="AC74" s="117">
        <f t="shared" ref="AC74:AN74" si="22">AC115+AC157+AC199+AC241+AC283+AC325+AC367+AC409+AC451+AC493+AC535+AC577+AC619+AC661+AC703+AC745+AC787+AC829</f>
        <v>354.01</v>
      </c>
      <c r="AD74" s="117">
        <f t="shared" si="22"/>
        <v>0</v>
      </c>
      <c r="AE74" s="117">
        <f t="shared" si="22"/>
        <v>0</v>
      </c>
      <c r="AF74" s="117">
        <f t="shared" si="22"/>
        <v>0</v>
      </c>
      <c r="AG74" s="117">
        <f t="shared" si="22"/>
        <v>0</v>
      </c>
      <c r="AH74" s="117">
        <f t="shared" si="22"/>
        <v>0</v>
      </c>
      <c r="AI74" s="117">
        <f t="shared" si="22"/>
        <v>1200</v>
      </c>
      <c r="AJ74" s="117">
        <f t="shared" si="22"/>
        <v>18504.060000000001</v>
      </c>
      <c r="AK74" s="117">
        <f t="shared" si="22"/>
        <v>55350.25</v>
      </c>
      <c r="AL74" s="117">
        <f t="shared" si="10"/>
        <v>0</v>
      </c>
      <c r="AM74" s="117">
        <f t="shared" si="22"/>
        <v>75054.31</v>
      </c>
      <c r="AN74">
        <f t="shared" si="22"/>
        <v>4.8942183639155701E-11</v>
      </c>
    </row>
    <row r="75" spans="3:40">
      <c r="O75" s="52">
        <v>7</v>
      </c>
      <c r="P75" s="155" t="s">
        <v>240</v>
      </c>
      <c r="Q75" s="46">
        <f t="shared" ref="Q75:AB75" si="23">Q116+Q158+Q200+Q242+Q284+Q326+Q368+Q410+Q452+Q494+Q536+Q578+Q620+Q662+Q704+Q746+Q788+Q830</f>
        <v>24161</v>
      </c>
      <c r="R75" s="46">
        <f t="shared" ref="R75" si="24">R116+R158+R200+R242+R284+R326+R368+R410+R452+R494+R536+R578+R620+R662+R704+R746+R788+R830</f>
        <v>34267</v>
      </c>
      <c r="S75" s="46">
        <f t="shared" si="8"/>
        <v>37013</v>
      </c>
      <c r="T75" s="46">
        <f t="shared" si="23"/>
        <v>0</v>
      </c>
      <c r="U75" s="46">
        <f t="shared" si="23"/>
        <v>17273962</v>
      </c>
      <c r="V75" s="46">
        <f t="shared" si="23"/>
        <v>397533.06</v>
      </c>
      <c r="W75" s="46">
        <f t="shared" si="23"/>
        <v>657274.24</v>
      </c>
      <c r="X75" s="46">
        <f t="shared" si="23"/>
        <v>677871.47999999986</v>
      </c>
      <c r="Y75" s="46">
        <f t="shared" si="23"/>
        <v>0</v>
      </c>
      <c r="Z75" s="46">
        <f t="shared" si="23"/>
        <v>1732678.7799999998</v>
      </c>
      <c r="AA75" s="117">
        <f t="shared" si="23"/>
        <v>1804204.7500000002</v>
      </c>
      <c r="AB75" s="117">
        <f t="shared" si="23"/>
        <v>71525.970000000103</v>
      </c>
      <c r="AC75" s="117">
        <f t="shared" ref="AC75:AN75" si="25">AC116+AC158+AC200+AC242+AC284+AC326+AC368+AC410+AC452+AC494+AC536+AC578+AC620+AC662+AC704+AC746+AC788+AC830</f>
        <v>938.76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17">
        <f t="shared" si="25"/>
        <v>0</v>
      </c>
      <c r="AI75" s="117">
        <f t="shared" si="25"/>
        <v>1200</v>
      </c>
      <c r="AJ75" s="117">
        <f t="shared" si="25"/>
        <v>18504.060000000001</v>
      </c>
      <c r="AK75" s="117">
        <f t="shared" si="25"/>
        <v>51821.885000000002</v>
      </c>
      <c r="AL75" s="117">
        <f t="shared" si="10"/>
        <v>0</v>
      </c>
      <c r="AM75" s="117">
        <f t="shared" si="25"/>
        <v>71525.944999999992</v>
      </c>
      <c r="AN75">
        <f t="shared" si="25"/>
        <v>-2.5000000092177288E-2</v>
      </c>
    </row>
    <row r="76" spans="3:40">
      <c r="O76" s="52">
        <v>8</v>
      </c>
      <c r="P76" s="155" t="s">
        <v>239</v>
      </c>
      <c r="Q76" s="46">
        <f t="shared" ref="Q76:AB76" si="26">Q117+Q159+Q201+Q243+Q285+Q327+Q369+Q411+Q453+Q495+Q537+Q579+Q621+Q663+Q705+Q747+Q789+Q831</f>
        <v>24161</v>
      </c>
      <c r="R76" s="46">
        <f t="shared" ref="R76" si="27">R117+R159+R201+R243+R285+R327+R369+R411+R453+R495+R537+R579+R621+R663+R705+R747+R789+R831</f>
        <v>32651</v>
      </c>
      <c r="S76" s="46">
        <f t="shared" si="8"/>
        <v>35167</v>
      </c>
      <c r="T76" s="46">
        <f t="shared" si="26"/>
        <v>83</v>
      </c>
      <c r="U76" s="46">
        <f t="shared" si="26"/>
        <v>16810737</v>
      </c>
      <c r="V76" s="46">
        <f t="shared" si="26"/>
        <v>377607.76</v>
      </c>
      <c r="W76" s="46">
        <f t="shared" si="26"/>
        <v>639648.53</v>
      </c>
      <c r="X76" s="46">
        <f t="shared" si="26"/>
        <v>581669.67999999993</v>
      </c>
      <c r="Y76" s="46">
        <f t="shared" si="26"/>
        <v>889.34</v>
      </c>
      <c r="Z76" s="46">
        <f t="shared" si="26"/>
        <v>1599815.3099999998</v>
      </c>
      <c r="AA76" s="117">
        <f t="shared" si="26"/>
        <v>1669951.5999999999</v>
      </c>
      <c r="AB76" s="117">
        <f t="shared" si="26"/>
        <v>70136.290000000154</v>
      </c>
      <c r="AC76" s="117">
        <f t="shared" ref="AC76:AN76" si="28">AC117+AC159+AC201+AC243+AC285+AC327+AC369+AC411+AC453+AC495+AC537+AC579+AC621+AC663+AC705+AC747+AC789+AC831</f>
        <v>793.37</v>
      </c>
      <c r="AD76" s="117">
        <f t="shared" si="28"/>
        <v>0</v>
      </c>
      <c r="AE76" s="117">
        <f t="shared" si="28"/>
        <v>0</v>
      </c>
      <c r="AF76" s="117">
        <f t="shared" si="28"/>
        <v>0</v>
      </c>
      <c r="AG76" s="117">
        <f t="shared" si="28"/>
        <v>0</v>
      </c>
      <c r="AH76" s="117">
        <f t="shared" si="28"/>
        <v>0</v>
      </c>
      <c r="AI76" s="117">
        <f t="shared" si="28"/>
        <v>1200</v>
      </c>
      <c r="AJ76" s="117">
        <f t="shared" si="28"/>
        <v>18504.060000000001</v>
      </c>
      <c r="AK76" s="117">
        <f t="shared" si="28"/>
        <v>50432.207000000002</v>
      </c>
      <c r="AL76" s="117">
        <f t="shared" si="10"/>
        <v>0</v>
      </c>
      <c r="AM76" s="117">
        <f t="shared" si="28"/>
        <v>70136.267000000007</v>
      </c>
      <c r="AN76">
        <f t="shared" si="28"/>
        <v>-2.3000000149409061E-2</v>
      </c>
    </row>
    <row r="77" spans="3:40">
      <c r="O77" s="52">
        <v>9</v>
      </c>
      <c r="P77" s="155" t="s">
        <v>423</v>
      </c>
      <c r="Q77" s="46">
        <f t="shared" ref="Q77:AB77" si="29">Q118+Q160+Q202+Q244+Q286+Q328+Q370+Q412+Q454+Q496+Q538+Q580+Q622+Q664+Q706+Q748+Q790+Q832</f>
        <v>24161</v>
      </c>
      <c r="R77" s="46">
        <f t="shared" ref="R77" si="30">R118+R160+R202+R244+R286+R328+R370+R412+R454+R496+R538+R580+R622+R664+R706+R748+R790+R832</f>
        <v>32104</v>
      </c>
      <c r="S77" s="46">
        <f t="shared" si="8"/>
        <v>34579</v>
      </c>
      <c r="T77" s="46">
        <f t="shared" si="29"/>
        <v>105</v>
      </c>
      <c r="U77" s="46">
        <f t="shared" si="29"/>
        <v>15776962</v>
      </c>
      <c r="V77" s="46">
        <f t="shared" si="29"/>
        <v>371440.52999999997</v>
      </c>
      <c r="W77" s="46">
        <f t="shared" si="29"/>
        <v>600313.40999999992</v>
      </c>
      <c r="X77" s="46">
        <f t="shared" si="29"/>
        <v>436669.43999999994</v>
      </c>
      <c r="Y77" s="46">
        <f t="shared" si="29"/>
        <v>1125.08</v>
      </c>
      <c r="Z77" s="46">
        <f t="shared" si="29"/>
        <v>1409548.4599999997</v>
      </c>
      <c r="AA77" s="117">
        <f t="shared" si="29"/>
        <v>1476583.4</v>
      </c>
      <c r="AB77" s="117">
        <f t="shared" si="29"/>
        <v>67034.940000000046</v>
      </c>
      <c r="AC77" s="117">
        <f t="shared" ref="AC77:AN77" si="31">AC118+AC160+AC202+AC244+AC286+AC328+AC370+AC412+AC454+AC496+AC538+AC580+AC622+AC664+AC706+AC748+AC790+AC832</f>
        <v>926.54000000000008</v>
      </c>
      <c r="AD77" s="117">
        <f t="shared" si="31"/>
        <v>0</v>
      </c>
      <c r="AE77" s="117">
        <f t="shared" si="31"/>
        <v>0</v>
      </c>
      <c r="AF77" s="117">
        <f t="shared" si="31"/>
        <v>0</v>
      </c>
      <c r="AG77" s="117">
        <f t="shared" si="31"/>
        <v>0</v>
      </c>
      <c r="AH77" s="117">
        <f t="shared" si="31"/>
        <v>0</v>
      </c>
      <c r="AI77" s="117">
        <f t="shared" si="31"/>
        <v>1200</v>
      </c>
      <c r="AJ77" s="117">
        <f t="shared" si="31"/>
        <v>18504.060000000001</v>
      </c>
      <c r="AK77" s="117">
        <f t="shared" si="31"/>
        <v>47330.886000000006</v>
      </c>
      <c r="AL77" s="117">
        <f t="shared" si="10"/>
        <v>0</v>
      </c>
      <c r="AM77" s="117">
        <f t="shared" si="31"/>
        <v>67034.945999999996</v>
      </c>
      <c r="AN77">
        <f t="shared" si="31"/>
        <v>5.9999999635067525E-3</v>
      </c>
    </row>
    <row r="78" spans="3:40">
      <c r="O78" s="52">
        <v>10</v>
      </c>
      <c r="P78" s="155" t="s">
        <v>237</v>
      </c>
      <c r="Q78" s="46">
        <f t="shared" ref="Q78:AB78" si="32">Q119+Q161+Q203+Q245+Q287+Q329+Q371+Q413+Q455+Q497+Q539+Q581+Q623+Q665+Q707+Q749+Q791+Q833</f>
        <v>24161</v>
      </c>
      <c r="R78" s="46">
        <f t="shared" ref="R78" si="33">R119+R161+R203+R245+R287+R329+R371+R413+R455+R497+R539+R581+R623+R665+R707+R749+R791+R833</f>
        <v>31785</v>
      </c>
      <c r="S78" s="46">
        <f t="shared" si="8"/>
        <v>34154</v>
      </c>
      <c r="T78" s="46">
        <f t="shared" si="32"/>
        <v>74</v>
      </c>
      <c r="U78" s="46">
        <f t="shared" si="32"/>
        <v>15419909</v>
      </c>
      <c r="V78" s="46">
        <f t="shared" si="32"/>
        <v>367100.22</v>
      </c>
      <c r="W78" s="46">
        <f t="shared" si="32"/>
        <v>586727.53</v>
      </c>
      <c r="X78" s="46">
        <f t="shared" si="32"/>
        <v>388479.74</v>
      </c>
      <c r="Y78" s="46">
        <f t="shared" si="32"/>
        <v>792.91</v>
      </c>
      <c r="Z78" s="46">
        <f t="shared" si="32"/>
        <v>1343100.4</v>
      </c>
      <c r="AA78" s="117">
        <f t="shared" si="32"/>
        <v>1409064.42</v>
      </c>
      <c r="AB78" s="117">
        <f t="shared" si="32"/>
        <v>65964.020000000033</v>
      </c>
      <c r="AC78" s="117">
        <f t="shared" ref="AC78:AN78" si="34">AC119+AC161+AC203+AC245+AC287+AC329+AC371+AC413+AC455+AC497+AC539+AC581+AC623+AC665+AC707+AC749+AC791+AC833</f>
        <v>1140.32</v>
      </c>
      <c r="AD78" s="117">
        <f t="shared" si="34"/>
        <v>0</v>
      </c>
      <c r="AE78" s="117">
        <f t="shared" si="34"/>
        <v>0</v>
      </c>
      <c r="AF78" s="117">
        <f t="shared" si="34"/>
        <v>0</v>
      </c>
      <c r="AG78" s="117">
        <f t="shared" si="34"/>
        <v>0</v>
      </c>
      <c r="AH78" s="117">
        <f t="shared" si="34"/>
        <v>0</v>
      </c>
      <c r="AI78" s="117">
        <f t="shared" si="34"/>
        <v>1200</v>
      </c>
      <c r="AJ78" s="117">
        <f t="shared" si="34"/>
        <v>18504.060000000001</v>
      </c>
      <c r="AK78" s="117">
        <f t="shared" si="34"/>
        <v>46259.724999999999</v>
      </c>
      <c r="AL78" s="117">
        <f t="shared" si="10"/>
        <v>0</v>
      </c>
      <c r="AM78" s="117">
        <f t="shared" si="34"/>
        <v>65963.785000000003</v>
      </c>
      <c r="AN78">
        <f t="shared" si="34"/>
        <v>-0.23500000003446075</v>
      </c>
    </row>
    <row r="79" spans="3:40">
      <c r="O79" s="52">
        <v>11</v>
      </c>
      <c r="P79" s="169" t="s">
        <v>1121</v>
      </c>
      <c r="Q79" s="46">
        <f t="shared" ref="Q79:AB79" si="35">Q120+Q162+Q204+Q246+Q288+Q330+Q372+Q414+Q456+Q498+Q540+Q582+Q624+Q666+Q708+Q750+Q792+Q834</f>
        <v>24161</v>
      </c>
      <c r="R79" s="46">
        <f t="shared" ref="R79" si="36">R120+R162+R204+R246+R288+R330+R372+R414+R456+R498+R540+R582+R624+R666+R708+R750+R792+R834</f>
        <v>32238</v>
      </c>
      <c r="S79" s="46">
        <f t="shared" si="8"/>
        <v>34525</v>
      </c>
      <c r="T79" s="46">
        <f t="shared" ref="T79" si="37">T120+T162+T204+T246+T288+T330+T372+T414+T456+T498+T540+T582+T624+T666+T708+T750+T792+T834</f>
        <v>5</v>
      </c>
      <c r="U79" s="46">
        <f t="shared" si="35"/>
        <v>16185239</v>
      </c>
      <c r="V79" s="46">
        <f t="shared" si="35"/>
        <v>370670.2</v>
      </c>
      <c r="W79" s="46">
        <f t="shared" si="35"/>
        <v>615848.35</v>
      </c>
      <c r="X79" s="46">
        <f t="shared" si="35"/>
        <v>422945.78</v>
      </c>
      <c r="Y79" s="46">
        <f t="shared" si="35"/>
        <v>53.58</v>
      </c>
      <c r="Z79" s="46">
        <f t="shared" si="35"/>
        <v>1409517.91</v>
      </c>
      <c r="AA79" s="117">
        <f t="shared" si="35"/>
        <v>1477777.68</v>
      </c>
      <c r="AB79" s="117">
        <f t="shared" si="35"/>
        <v>68259.769999999931</v>
      </c>
      <c r="AC79" s="117">
        <f t="shared" ref="AC79:AN79" si="38">AC120+AC162+AC204+AC246+AC288+AC330+AC372+AC414+AC456+AC498+AC540+AC582+AC624+AC666+AC708+AC750+AC792+AC834</f>
        <v>734.83</v>
      </c>
      <c r="AD79" s="117">
        <f t="shared" si="38"/>
        <v>0</v>
      </c>
      <c r="AE79" s="117">
        <f t="shared" si="38"/>
        <v>0</v>
      </c>
      <c r="AF79" s="117">
        <f t="shared" si="38"/>
        <v>0</v>
      </c>
      <c r="AG79" s="117">
        <f t="shared" si="38"/>
        <v>0</v>
      </c>
      <c r="AH79" s="117">
        <f t="shared" si="38"/>
        <v>0</v>
      </c>
      <c r="AI79" s="117">
        <f t="shared" si="38"/>
        <v>1200</v>
      </c>
      <c r="AJ79" s="117">
        <f t="shared" si="38"/>
        <v>18504.060000000001</v>
      </c>
      <c r="AK79" s="117">
        <f t="shared" si="38"/>
        <v>48555.718000000001</v>
      </c>
      <c r="AL79" s="117">
        <f t="shared" si="10"/>
        <v>0</v>
      </c>
      <c r="AM79" s="117">
        <f t="shared" si="38"/>
        <v>68259.777999999991</v>
      </c>
      <c r="AN79">
        <f t="shared" si="38"/>
        <v>8.0000000736220045E-3</v>
      </c>
    </row>
    <row r="80" spans="3:40">
      <c r="O80" s="52">
        <v>12</v>
      </c>
      <c r="P80" s="449" t="s">
        <v>1122</v>
      </c>
      <c r="Q80" s="50">
        <f t="shared" ref="Q80:AB80" si="39">Q121+Q163+Q205+Q247+Q289+Q331+Q373+Q415+Q457+Q499+Q541+Q583+Q625+Q667+Q709+Q751+Q793+Q835</f>
        <v>24161</v>
      </c>
      <c r="R80" s="50">
        <f t="shared" ref="R80" si="40">R121+R163+R205+R247+R289+R331+R373+R415+R457+R499+R541+R583+R625+R667+R709+R751+R793+R835</f>
        <v>33311</v>
      </c>
      <c r="S80" s="46">
        <f t="shared" si="8"/>
        <v>35623</v>
      </c>
      <c r="T80" s="50">
        <f t="shared" ref="T80" si="41">T121+T163+T205+T247+T289+T331+T373+T415+T457+T499+T541+T583+T625+T667+T709+T751+T793+T835</f>
        <v>24</v>
      </c>
      <c r="U80" s="50">
        <f t="shared" si="39"/>
        <v>15807860</v>
      </c>
      <c r="V80" s="50">
        <f t="shared" si="39"/>
        <v>382454.25</v>
      </c>
      <c r="W80" s="50">
        <f t="shared" si="39"/>
        <v>601489.07999999996</v>
      </c>
      <c r="X80" s="50">
        <f t="shared" si="39"/>
        <v>222667.59999999998</v>
      </c>
      <c r="Y80" s="50">
        <f t="shared" si="39"/>
        <v>257.17</v>
      </c>
      <c r="Z80" s="50">
        <f t="shared" si="39"/>
        <v>1206868.1000000001</v>
      </c>
      <c r="AA80" s="118">
        <f t="shared" si="39"/>
        <v>1273995.73</v>
      </c>
      <c r="AB80" s="118">
        <f t="shared" si="39"/>
        <v>67127.629999999976</v>
      </c>
      <c r="AC80" s="118">
        <f t="shared" ref="AC80:AM80" si="42">AC121+AC163+AC205+AC247+AC289+AC331+AC373+AC415+AC457+AC499+AC541+AC583+AC625+AC667+AC709+AC751+AC793+AC835</f>
        <v>753.80000000000007</v>
      </c>
      <c r="AD80" s="118">
        <f t="shared" si="42"/>
        <v>0</v>
      </c>
      <c r="AE80" s="117">
        <f t="shared" si="42"/>
        <v>0</v>
      </c>
      <c r="AF80" s="117">
        <f t="shared" si="42"/>
        <v>0</v>
      </c>
      <c r="AG80" s="117">
        <f t="shared" si="42"/>
        <v>0</v>
      </c>
      <c r="AH80" s="117">
        <f t="shared" si="42"/>
        <v>0</v>
      </c>
      <c r="AI80" s="117">
        <f t="shared" si="42"/>
        <v>1200</v>
      </c>
      <c r="AJ80" s="117">
        <f t="shared" si="42"/>
        <v>18504.060000000001</v>
      </c>
      <c r="AK80" s="117">
        <f t="shared" si="42"/>
        <v>47423.584999999999</v>
      </c>
      <c r="AL80" s="117">
        <f t="shared" si="10"/>
        <v>0</v>
      </c>
      <c r="AM80" s="117">
        <f t="shared" si="42"/>
        <v>67127.645000000004</v>
      </c>
      <c r="AN80">
        <f>AN121+AN163+AN205+AN247+AN289+AN331+AN373+AN415+AN457+AN499+AN541+AN583+AN625+AN667+AN709+AN751+AN793+AN835</f>
        <v>1.5000000014481429E-2</v>
      </c>
    </row>
    <row r="81" spans="15:40">
      <c r="O81" s="52"/>
      <c r="Q81" s="46"/>
      <c r="S81" s="46"/>
      <c r="T81" s="46"/>
      <c r="U81" s="46"/>
      <c r="V81" s="46"/>
      <c r="W81" s="46"/>
      <c r="X81" s="46"/>
      <c r="Y81" s="46"/>
      <c r="Z81" s="46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</row>
    <row r="82" spans="15:40" ht="13.5" thickBot="1">
      <c r="O82" s="52">
        <v>13</v>
      </c>
      <c r="Q82" s="290">
        <f t="shared" ref="Q82:AN82" si="43">SUM(Q69:Q80)</f>
        <v>289932</v>
      </c>
      <c r="R82" s="290">
        <f>SUM(R69:R80)</f>
        <v>393550</v>
      </c>
      <c r="S82" s="290">
        <f>SUM(S69:S80)</f>
        <v>423762</v>
      </c>
      <c r="T82" s="290">
        <f t="shared" si="43"/>
        <v>583</v>
      </c>
      <c r="U82" s="290">
        <f t="shared" si="43"/>
        <v>197930590</v>
      </c>
      <c r="V82" s="290">
        <f t="shared" si="43"/>
        <v>4548120.03</v>
      </c>
      <c r="W82" s="290">
        <f t="shared" si="43"/>
        <v>7531258.9500000011</v>
      </c>
      <c r="X82" s="290">
        <f t="shared" si="43"/>
        <v>4634592.67</v>
      </c>
      <c r="Y82" s="290">
        <f t="shared" si="43"/>
        <v>6246.86</v>
      </c>
      <c r="Z82" s="290">
        <f t="shared" si="43"/>
        <v>16720218.51</v>
      </c>
      <c r="AA82" s="291">
        <f t="shared" si="43"/>
        <v>17550459.229999997</v>
      </c>
      <c r="AB82" s="291">
        <f t="shared" si="43"/>
        <v>830240.72000000009</v>
      </c>
      <c r="AC82" s="291">
        <f t="shared" si="43"/>
        <v>7510.44</v>
      </c>
      <c r="AD82" s="117">
        <f t="shared" si="43"/>
        <v>0</v>
      </c>
      <c r="AE82" s="117">
        <f t="shared" si="43"/>
        <v>0</v>
      </c>
      <c r="AF82" s="117">
        <f t="shared" si="43"/>
        <v>0</v>
      </c>
      <c r="AG82" s="117">
        <f t="shared" si="43"/>
        <v>0</v>
      </c>
      <c r="AH82" s="117">
        <f t="shared" si="43"/>
        <v>0</v>
      </c>
      <c r="AI82" s="117">
        <f t="shared" si="43"/>
        <v>14400</v>
      </c>
      <c r="AJ82" s="117">
        <f t="shared" si="43"/>
        <v>222048.72</v>
      </c>
      <c r="AK82" s="117">
        <f t="shared" si="43"/>
        <v>593791.77499999991</v>
      </c>
      <c r="AL82" s="117">
        <f t="shared" si="43"/>
        <v>0</v>
      </c>
      <c r="AM82" s="117">
        <f t="shared" si="43"/>
        <v>830240.49500000011</v>
      </c>
      <c r="AN82">
        <f t="shared" si="43"/>
        <v>-0.22500000006273524</v>
      </c>
    </row>
    <row r="83" spans="15:40" ht="13.5" thickTop="1">
      <c r="R83" s="26">
        <f>S82</f>
        <v>423762</v>
      </c>
      <c r="S83" s="26"/>
      <c r="T83">
        <v>10.715</v>
      </c>
      <c r="U83" s="35">
        <f>R83*T83</f>
        <v>4540609.83</v>
      </c>
      <c r="V83" s="35">
        <f>AC82</f>
        <v>7510.44</v>
      </c>
      <c r="W83" s="35">
        <f>U83+V83</f>
        <v>4548120.2700000005</v>
      </c>
      <c r="X83" s="35">
        <f>V82-W83</f>
        <v>-0.24000000022351742</v>
      </c>
      <c r="AI83" t="s">
        <v>273</v>
      </c>
    </row>
    <row r="84" spans="15:40">
      <c r="R84" s="52"/>
      <c r="S84" s="52" t="s">
        <v>367</v>
      </c>
      <c r="T84" s="52"/>
      <c r="U84" s="52"/>
      <c r="V84" s="52"/>
      <c r="W84" s="52"/>
      <c r="X84" s="52"/>
      <c r="Y84" s="52"/>
      <c r="Z84" s="52"/>
      <c r="AA84" s="52"/>
      <c r="AB84" s="52"/>
      <c r="AI84" t="s">
        <v>274</v>
      </c>
    </row>
    <row r="85" spans="15:40">
      <c r="R85" s="52" t="s">
        <v>221</v>
      </c>
      <c r="S85" s="52" t="s">
        <v>343</v>
      </c>
      <c r="T85" s="52" t="s">
        <v>222</v>
      </c>
      <c r="U85" s="52" t="s">
        <v>368</v>
      </c>
      <c r="V85" s="52" t="s">
        <v>369</v>
      </c>
      <c r="W85" s="52" t="s">
        <v>370</v>
      </c>
      <c r="X85" s="52" t="s">
        <v>371</v>
      </c>
      <c r="Y85" s="52" t="s">
        <v>372</v>
      </c>
      <c r="Z85" s="52" t="s">
        <v>223</v>
      </c>
      <c r="AA85" s="52"/>
      <c r="AB85" s="52"/>
      <c r="AI85" s="34">
        <f>AI82/100</f>
        <v>144</v>
      </c>
    </row>
    <row r="86" spans="15:40">
      <c r="R86" s="89" t="s">
        <v>15</v>
      </c>
      <c r="S86" s="89" t="s">
        <v>344</v>
      </c>
      <c r="T86" s="89" t="s">
        <v>227</v>
      </c>
      <c r="U86" s="89" t="s">
        <v>226</v>
      </c>
      <c r="V86" s="89" t="s">
        <v>373</v>
      </c>
      <c r="W86" s="89" t="s">
        <v>374</v>
      </c>
      <c r="X86" s="89" t="s">
        <v>375</v>
      </c>
      <c r="Y86" s="89" t="s">
        <v>376</v>
      </c>
      <c r="Z86" s="89" t="s">
        <v>228</v>
      </c>
      <c r="AA86" s="89" t="s">
        <v>254</v>
      </c>
      <c r="AB86" s="183" t="s">
        <v>217</v>
      </c>
    </row>
    <row r="87" spans="15:40">
      <c r="O87">
        <f>$O$69</f>
        <v>1</v>
      </c>
      <c r="P87" s="155" t="str">
        <f>$P$69</f>
        <v>March 22</v>
      </c>
      <c r="R87" s="35">
        <f t="shared" ref="R87:R96" si="44">R132+R174+R216+R258+R300+R342+R384+R426+R468+R510+R552+R594+R636+R678+R720+R762+R804+R846</f>
        <v>304626.07</v>
      </c>
      <c r="S87" s="35">
        <f t="shared" ref="S87:AA87" si="45">S132+S174+S216+S258+S300+S342+S384+S426+S468+S510+T552+S594+S636+S678+S720+S762+S804+S846</f>
        <v>39607.429999999993</v>
      </c>
      <c r="T87" s="35">
        <f t="shared" si="45"/>
        <v>70333.750000000015</v>
      </c>
      <c r="U87" s="35">
        <f t="shared" si="45"/>
        <v>-84418.45</v>
      </c>
      <c r="V87" s="35">
        <f t="shared" si="45"/>
        <v>0</v>
      </c>
      <c r="W87" s="35">
        <f t="shared" si="45"/>
        <v>0</v>
      </c>
      <c r="X87" s="35">
        <f t="shared" si="45"/>
        <v>0</v>
      </c>
      <c r="Y87" s="35">
        <f t="shared" si="45"/>
        <v>0</v>
      </c>
      <c r="Z87" s="35">
        <f t="shared" si="45"/>
        <v>0</v>
      </c>
      <c r="AA87" s="35">
        <f t="shared" si="45"/>
        <v>0</v>
      </c>
      <c r="AB87" s="35">
        <f t="shared" ref="AB87:AB98" si="46">SUM(R87:AA87)</f>
        <v>330148.8</v>
      </c>
      <c r="AD87" s="35">
        <f>X69-AB87</f>
        <v>0</v>
      </c>
    </row>
    <row r="88" spans="15:40">
      <c r="P88" s="155" t="str">
        <f>$P$70</f>
        <v>April</v>
      </c>
      <c r="R88" s="35">
        <f t="shared" si="44"/>
        <v>228878.31</v>
      </c>
      <c r="S88" s="35">
        <f t="shared" ref="S88:AA88" si="47">S133+S175+S217+S259+S301+S343+S385+S427+S469+S511+T553+S595+S637+S679+S721+S763+S805+S847</f>
        <v>37472.479999999996</v>
      </c>
      <c r="T88" s="35">
        <f t="shared" si="47"/>
        <v>78196.08</v>
      </c>
      <c r="U88" s="35">
        <f t="shared" si="47"/>
        <v>-77580.210000000006</v>
      </c>
      <c r="V88" s="35">
        <f t="shared" si="47"/>
        <v>0</v>
      </c>
      <c r="W88" s="35">
        <f t="shared" si="47"/>
        <v>0</v>
      </c>
      <c r="X88" s="35">
        <f t="shared" si="47"/>
        <v>0</v>
      </c>
      <c r="Y88" s="35">
        <f t="shared" si="47"/>
        <v>0</v>
      </c>
      <c r="Z88" s="35">
        <f t="shared" si="47"/>
        <v>0</v>
      </c>
      <c r="AA88" s="35">
        <f t="shared" si="47"/>
        <v>0</v>
      </c>
      <c r="AB88" s="35">
        <f t="shared" si="46"/>
        <v>266966.65999999997</v>
      </c>
      <c r="AD88" s="35">
        <f t="shared" ref="AD88:AD98" si="48">X70-AB88</f>
        <v>0</v>
      </c>
    </row>
    <row r="89" spans="15:40">
      <c r="P89" s="155" t="str">
        <f>$P$71</f>
        <v>May</v>
      </c>
      <c r="R89" s="35">
        <f t="shared" si="44"/>
        <v>294421.36000000004</v>
      </c>
      <c r="S89" s="35">
        <f t="shared" ref="S89:AA89" si="49">S134+S176+S218+S260+S302+S344+S386+S428+S470+S512+T554+S596+S638+S680+S722+S764+S806+S848</f>
        <v>40612.65</v>
      </c>
      <c r="T89" s="35">
        <f t="shared" si="49"/>
        <v>57507.669999999991</v>
      </c>
      <c r="U89" s="35">
        <f t="shared" si="49"/>
        <v>-82202.89</v>
      </c>
      <c r="V89" s="35">
        <f t="shared" si="49"/>
        <v>0</v>
      </c>
      <c r="W89" s="35">
        <f t="shared" si="49"/>
        <v>0</v>
      </c>
      <c r="X89" s="35">
        <f t="shared" si="49"/>
        <v>0</v>
      </c>
      <c r="Y89" s="35">
        <f t="shared" si="49"/>
        <v>0</v>
      </c>
      <c r="Z89" s="35">
        <f t="shared" si="49"/>
        <v>0</v>
      </c>
      <c r="AA89" s="35">
        <f t="shared" si="49"/>
        <v>0</v>
      </c>
      <c r="AB89" s="35">
        <f t="shared" si="46"/>
        <v>310338.79000000004</v>
      </c>
      <c r="AD89" s="35">
        <f t="shared" si="48"/>
        <v>0</v>
      </c>
    </row>
    <row r="90" spans="15:40">
      <c r="P90" s="155" t="str">
        <f>$P$72</f>
        <v>June</v>
      </c>
      <c r="R90" s="35">
        <f t="shared" si="44"/>
        <v>107586.47</v>
      </c>
      <c r="S90" s="35">
        <f t="shared" ref="S90:AA90" si="50">S135+S177+S219+S261+S303+S345+S387+S429+S471+S513+T555+S597+S639+S681+S723+S765+S807+S849</f>
        <v>43302.080000000002</v>
      </c>
      <c r="T90" s="35">
        <f t="shared" si="50"/>
        <v>76664.680000000008</v>
      </c>
      <c r="U90" s="35">
        <f t="shared" si="50"/>
        <v>-82911.139999999985</v>
      </c>
      <c r="V90" s="35">
        <f t="shared" si="50"/>
        <v>0</v>
      </c>
      <c r="W90" s="35">
        <f t="shared" si="50"/>
        <v>0</v>
      </c>
      <c r="X90" s="35">
        <f t="shared" si="50"/>
        <v>0</v>
      </c>
      <c r="Y90" s="35">
        <f t="shared" si="50"/>
        <v>0</v>
      </c>
      <c r="Z90" s="35">
        <f t="shared" si="50"/>
        <v>0</v>
      </c>
      <c r="AA90" s="35">
        <f t="shared" si="50"/>
        <v>0</v>
      </c>
      <c r="AB90" s="35">
        <f t="shared" si="46"/>
        <v>144642.09</v>
      </c>
      <c r="AD90" s="35">
        <f t="shared" si="48"/>
        <v>0</v>
      </c>
    </row>
    <row r="91" spans="15:40">
      <c r="P91" s="155" t="str">
        <f>$P$73</f>
        <v>July</v>
      </c>
      <c r="R91" s="35">
        <f t="shared" si="44"/>
        <v>360757.48</v>
      </c>
      <c r="S91" s="35">
        <f t="shared" ref="S91:AA91" si="51">S136+S178+S220+S262+S304+S346+S388+S430+S472+S514+T556+S598+S640+S682+S724+S766+S808+S850</f>
        <v>43944.530000000006</v>
      </c>
      <c r="T91" s="35">
        <f t="shared" si="51"/>
        <v>67229.39</v>
      </c>
      <c r="U91" s="35">
        <f t="shared" si="51"/>
        <v>-67360.95</v>
      </c>
      <c r="V91" s="35">
        <f t="shared" si="51"/>
        <v>0</v>
      </c>
      <c r="W91" s="35">
        <f t="shared" si="51"/>
        <v>0</v>
      </c>
      <c r="X91" s="35">
        <f t="shared" si="51"/>
        <v>0</v>
      </c>
      <c r="Y91" s="35">
        <f t="shared" si="51"/>
        <v>0</v>
      </c>
      <c r="Z91" s="35">
        <f t="shared" si="51"/>
        <v>0</v>
      </c>
      <c r="AA91" s="35">
        <f t="shared" si="51"/>
        <v>0</v>
      </c>
      <c r="AB91" s="35">
        <f t="shared" si="46"/>
        <v>404570.45</v>
      </c>
      <c r="AD91" s="35">
        <f t="shared" si="48"/>
        <v>0</v>
      </c>
    </row>
    <row r="92" spans="15:40">
      <c r="P92" s="155" t="str">
        <f>$P$74</f>
        <v>August</v>
      </c>
      <c r="R92" s="35">
        <f t="shared" si="44"/>
        <v>409905.47000000003</v>
      </c>
      <c r="S92" s="35">
        <f t="shared" ref="S92:AA92" si="52">S137+S179+S221+S263+S305+S347+S389+S431+S473+S515+T557+S599+S641+S683+S725+S767+S809+S851</f>
        <v>45996.070000000007</v>
      </c>
      <c r="T92" s="35">
        <f t="shared" si="52"/>
        <v>73605.319999999992</v>
      </c>
      <c r="U92" s="35">
        <f t="shared" si="52"/>
        <v>-81884.700000000012</v>
      </c>
      <c r="V92" s="35">
        <f t="shared" si="52"/>
        <v>0</v>
      </c>
      <c r="W92" s="35">
        <f t="shared" si="52"/>
        <v>0</v>
      </c>
      <c r="X92" s="35">
        <f t="shared" si="52"/>
        <v>0</v>
      </c>
      <c r="Y92" s="35">
        <f t="shared" si="52"/>
        <v>0</v>
      </c>
      <c r="Z92" s="35">
        <f t="shared" si="52"/>
        <v>0</v>
      </c>
      <c r="AA92" s="35">
        <f t="shared" si="52"/>
        <v>0</v>
      </c>
      <c r="AB92" s="35">
        <f t="shared" si="46"/>
        <v>447622.16</v>
      </c>
      <c r="AD92" s="35">
        <f t="shared" si="48"/>
        <v>0</v>
      </c>
    </row>
    <row r="93" spans="15:40">
      <c r="P93" s="155" t="str">
        <f>$P$75</f>
        <v>September</v>
      </c>
      <c r="R93" s="35">
        <f t="shared" si="44"/>
        <v>598715.5199999999</v>
      </c>
      <c r="S93" s="35">
        <f t="shared" ref="S93:AA93" si="53">S138+S180+S222+S264+S306+S348+S390+S432+S474+S516+T558+S600+S642+S684+S726+S768+S810+S852</f>
        <v>103971.97</v>
      </c>
      <c r="T93" s="35">
        <f t="shared" si="53"/>
        <v>53817.7</v>
      </c>
      <c r="U93" s="35">
        <f t="shared" si="53"/>
        <v>-78633.709999999992</v>
      </c>
      <c r="V93" s="35">
        <f t="shared" si="53"/>
        <v>0</v>
      </c>
      <c r="W93" s="35">
        <f t="shared" si="53"/>
        <v>0</v>
      </c>
      <c r="X93" s="35">
        <f t="shared" si="53"/>
        <v>0</v>
      </c>
      <c r="Y93" s="35">
        <f t="shared" si="53"/>
        <v>0</v>
      </c>
      <c r="Z93" s="35">
        <f t="shared" si="53"/>
        <v>0</v>
      </c>
      <c r="AA93" s="35">
        <f t="shared" si="53"/>
        <v>0</v>
      </c>
      <c r="AB93" s="35">
        <f t="shared" si="46"/>
        <v>677871.47999999986</v>
      </c>
      <c r="AD93" s="35">
        <f t="shared" si="48"/>
        <v>0</v>
      </c>
    </row>
    <row r="94" spans="15:40">
      <c r="P94" s="155" t="str">
        <f>$P$76</f>
        <v>October</v>
      </c>
      <c r="R94" s="35">
        <f t="shared" si="44"/>
        <v>485393.22</v>
      </c>
      <c r="S94" s="35">
        <f t="shared" ref="S94:AA94" si="54">S139+S181+S223+S265+S307+S349+S391+S433+S475+S517+T559+S601+S643+S685+S727+S769+S811+S853</f>
        <v>101183.83</v>
      </c>
      <c r="T94" s="35">
        <f t="shared" si="54"/>
        <v>66685.209999999992</v>
      </c>
      <c r="U94" s="35">
        <f t="shared" si="54"/>
        <v>-71592.579999999987</v>
      </c>
      <c r="V94" s="35">
        <f t="shared" si="54"/>
        <v>0</v>
      </c>
      <c r="W94" s="35">
        <f t="shared" si="54"/>
        <v>0</v>
      </c>
      <c r="X94" s="35">
        <f t="shared" si="54"/>
        <v>0</v>
      </c>
      <c r="Y94" s="35">
        <f t="shared" si="54"/>
        <v>0</v>
      </c>
      <c r="Z94" s="35">
        <f t="shared" si="54"/>
        <v>0</v>
      </c>
      <c r="AA94" s="35">
        <f t="shared" si="54"/>
        <v>0</v>
      </c>
      <c r="AB94" s="35">
        <f t="shared" si="46"/>
        <v>581669.67999999993</v>
      </c>
      <c r="AD94" s="35">
        <f t="shared" si="48"/>
        <v>0</v>
      </c>
    </row>
    <row r="95" spans="15:40">
      <c r="P95" s="155" t="str">
        <f>$P$77</f>
        <v>Novermber</v>
      </c>
      <c r="R95" s="35">
        <f t="shared" si="44"/>
        <v>370758.61000000004</v>
      </c>
      <c r="S95" s="35">
        <f t="shared" ref="S95:AA95" si="55">S140+S182+S224+S266+S308+S350+S392+S434+S476+S518+T560+S602+S644+S686+S728+S770+S812+S854</f>
        <v>94961.53</v>
      </c>
      <c r="T95" s="35">
        <f t="shared" si="55"/>
        <v>47381.159999999996</v>
      </c>
      <c r="U95" s="35">
        <f t="shared" si="55"/>
        <v>-76431.86</v>
      </c>
      <c r="V95" s="35">
        <f t="shared" si="55"/>
        <v>0</v>
      </c>
      <c r="W95" s="35">
        <f t="shared" si="55"/>
        <v>0</v>
      </c>
      <c r="X95" s="35">
        <f t="shared" si="55"/>
        <v>0</v>
      </c>
      <c r="Y95" s="35">
        <f t="shared" si="55"/>
        <v>0</v>
      </c>
      <c r="Z95" s="35">
        <f t="shared" si="55"/>
        <v>0</v>
      </c>
      <c r="AA95" s="35">
        <f t="shared" si="55"/>
        <v>0</v>
      </c>
      <c r="AB95" s="35">
        <f t="shared" si="46"/>
        <v>436669.44</v>
      </c>
      <c r="AD95" s="35">
        <f t="shared" si="48"/>
        <v>0</v>
      </c>
    </row>
    <row r="96" spans="15:40">
      <c r="P96" s="155" t="str">
        <f>$P$78</f>
        <v>December</v>
      </c>
      <c r="R96" s="35">
        <f t="shared" si="44"/>
        <v>308876.21999999997</v>
      </c>
      <c r="S96" s="35">
        <f t="shared" ref="S96:AA96" si="56">S141+S183+S225+S267+S309+S351+S393+S435+S477+S519+T561+S603+S645+S687+S729+S771+S813+S855</f>
        <v>92812.42</v>
      </c>
      <c r="T96" s="35">
        <f t="shared" si="56"/>
        <v>55121.51</v>
      </c>
      <c r="U96" s="35">
        <f t="shared" si="56"/>
        <v>-68330.409999999989</v>
      </c>
      <c r="V96" s="35">
        <f t="shared" si="56"/>
        <v>0</v>
      </c>
      <c r="W96" s="35">
        <f t="shared" si="56"/>
        <v>0</v>
      </c>
      <c r="X96" s="35">
        <f t="shared" si="56"/>
        <v>0</v>
      </c>
      <c r="Y96" s="35">
        <f t="shared" si="56"/>
        <v>0</v>
      </c>
      <c r="Z96" s="35">
        <f t="shared" si="56"/>
        <v>0</v>
      </c>
      <c r="AA96" s="35">
        <f t="shared" si="56"/>
        <v>0</v>
      </c>
      <c r="AB96" s="35">
        <f t="shared" si="46"/>
        <v>388479.74</v>
      </c>
      <c r="AD96" s="35">
        <f t="shared" si="48"/>
        <v>0</v>
      </c>
    </row>
    <row r="97" spans="12:40">
      <c r="P97" s="169" t="s">
        <v>1121</v>
      </c>
      <c r="R97" s="35">
        <f>R142+R184+R226+R268+R310+R352+R394+R436+R478+R520+R562+R604+R646+R688+R730+R772+R814+R856</f>
        <v>234459.37</v>
      </c>
      <c r="S97" s="35">
        <f t="shared" ref="S97:AA97" si="57">S142+S184+S226+S268+S310+S352+S394+S436+S478+S520+T562+S604+S646+S688+S730+S772+S814+S856</f>
        <v>97418.97</v>
      </c>
      <c r="T97" s="35">
        <f t="shared" si="57"/>
        <v>140086.66999999998</v>
      </c>
      <c r="U97" s="35">
        <f t="shared" si="57"/>
        <v>-49019.23</v>
      </c>
      <c r="V97" s="35">
        <f t="shared" si="57"/>
        <v>0</v>
      </c>
      <c r="W97" s="35">
        <f t="shared" si="57"/>
        <v>0</v>
      </c>
      <c r="X97" s="35">
        <f t="shared" si="57"/>
        <v>0</v>
      </c>
      <c r="Y97" s="35">
        <f t="shared" si="57"/>
        <v>0</v>
      </c>
      <c r="Z97" s="35">
        <f t="shared" si="57"/>
        <v>0</v>
      </c>
      <c r="AA97" s="35">
        <f t="shared" si="57"/>
        <v>0</v>
      </c>
      <c r="AB97" s="35">
        <f t="shared" si="46"/>
        <v>422945.77999999997</v>
      </c>
      <c r="AD97" s="35">
        <f t="shared" si="48"/>
        <v>0</v>
      </c>
    </row>
    <row r="98" spans="12:40">
      <c r="O98">
        <f>$O$80</f>
        <v>12</v>
      </c>
      <c r="P98" s="449" t="s">
        <v>1122</v>
      </c>
      <c r="R98" s="35">
        <f t="shared" ref="R98" si="58">R143+R185+R227+R269+R311+R353+R395+R437+R479+R521+R563+R605+R647+R689+R731+R773+R815+R857</f>
        <v>123807.16</v>
      </c>
      <c r="S98" s="35">
        <f t="shared" ref="S98:AA98" si="59">S143+S185+S227+S269+S311+S353+S395+S437+S479+S521+T563+S605+S647+S689+S731+S773+S815+S857</f>
        <v>95147.51999999999</v>
      </c>
      <c r="T98" s="35">
        <f t="shared" si="59"/>
        <v>60413.32</v>
      </c>
      <c r="U98" s="35">
        <f t="shared" si="59"/>
        <v>-56700.4</v>
      </c>
      <c r="V98" s="35">
        <f t="shared" si="59"/>
        <v>0</v>
      </c>
      <c r="W98" s="35">
        <f t="shared" si="59"/>
        <v>0</v>
      </c>
      <c r="X98" s="35">
        <f t="shared" si="59"/>
        <v>0</v>
      </c>
      <c r="Y98" s="35">
        <f t="shared" si="59"/>
        <v>0</v>
      </c>
      <c r="Z98" s="35">
        <f t="shared" si="59"/>
        <v>0</v>
      </c>
      <c r="AA98" s="35">
        <f t="shared" si="59"/>
        <v>0</v>
      </c>
      <c r="AB98" s="35">
        <f t="shared" si="46"/>
        <v>222667.6</v>
      </c>
      <c r="AD98" s="35">
        <f t="shared" si="48"/>
        <v>0</v>
      </c>
    </row>
    <row r="100" spans="12:40" ht="13.5" thickBot="1">
      <c r="R100" s="190">
        <f>SUM(R87:R98)</f>
        <v>3828185.26</v>
      </c>
      <c r="S100" s="190">
        <f t="shared" ref="S100:AB100" si="60">SUM(S87:S98)</f>
        <v>836431.4800000001</v>
      </c>
      <c r="T100" s="190">
        <f t="shared" si="60"/>
        <v>847042.46000000008</v>
      </c>
      <c r="U100" s="190">
        <f t="shared" si="60"/>
        <v>-877066.52999999991</v>
      </c>
      <c r="V100" s="190">
        <f t="shared" si="60"/>
        <v>0</v>
      </c>
      <c r="W100" s="190">
        <f t="shared" si="60"/>
        <v>0</v>
      </c>
      <c r="X100" s="190">
        <f t="shared" si="60"/>
        <v>0</v>
      </c>
      <c r="Y100" s="190">
        <f t="shared" si="60"/>
        <v>0</v>
      </c>
      <c r="Z100" s="190">
        <f t="shared" si="60"/>
        <v>0</v>
      </c>
      <c r="AA100" s="190">
        <f t="shared" si="60"/>
        <v>0</v>
      </c>
      <c r="AB100" s="190">
        <f t="shared" si="60"/>
        <v>4634592.669999999</v>
      </c>
    </row>
    <row r="101" spans="12:40" ht="13.5" thickTop="1"/>
    <row r="103" spans="12:40">
      <c r="AC103" s="52"/>
      <c r="AD103" s="52"/>
      <c r="AE103" s="156"/>
      <c r="AF103" s="52"/>
      <c r="AG103" s="52"/>
      <c r="AH103" s="52"/>
      <c r="AI103" s="52"/>
      <c r="AJ103" s="52"/>
      <c r="AK103" s="52"/>
      <c r="AL103" s="52"/>
    </row>
    <row r="104" spans="12:40" ht="15.75">
      <c r="P104" s="121" t="s">
        <v>260</v>
      </c>
      <c r="Q104" s="36"/>
      <c r="AC104" s="191"/>
      <c r="AD104" s="191"/>
      <c r="AE104" s="192" t="s">
        <v>382</v>
      </c>
      <c r="AF104" s="191"/>
      <c r="AG104" s="191"/>
      <c r="AH104" s="191"/>
      <c r="AI104" s="191"/>
      <c r="AJ104" s="191"/>
      <c r="AK104" s="191"/>
      <c r="AL104" s="191"/>
      <c r="AM104" s="193"/>
    </row>
    <row r="105" spans="12:40">
      <c r="X105" s="52" t="s">
        <v>9</v>
      </c>
      <c r="AC105" s="193"/>
      <c r="AD105" s="191"/>
      <c r="AE105" s="192" t="s">
        <v>383</v>
      </c>
      <c r="AF105" s="191"/>
      <c r="AG105" s="191"/>
      <c r="AH105" s="193"/>
      <c r="AI105" s="191"/>
      <c r="AJ105" s="191"/>
      <c r="AK105" s="191"/>
      <c r="AL105" s="192" t="s">
        <v>387</v>
      </c>
      <c r="AM105" s="193"/>
    </row>
    <row r="106" spans="12:40">
      <c r="Q106" s="52" t="s">
        <v>261</v>
      </c>
      <c r="R106" s="52" t="s">
        <v>255</v>
      </c>
      <c r="S106" s="52" t="s">
        <v>416</v>
      </c>
      <c r="T106" s="52" t="s">
        <v>245</v>
      </c>
      <c r="X106" s="52" t="s">
        <v>15</v>
      </c>
      <c r="Y106" s="52" t="s">
        <v>245</v>
      </c>
      <c r="AC106" s="192" t="s">
        <v>379</v>
      </c>
      <c r="AD106" s="191" t="s">
        <v>263</v>
      </c>
      <c r="AE106" s="192" t="s">
        <v>348</v>
      </c>
      <c r="AF106" s="192" t="s">
        <v>115</v>
      </c>
      <c r="AG106" s="192" t="s">
        <v>384</v>
      </c>
      <c r="AH106" s="192" t="s">
        <v>385</v>
      </c>
      <c r="AI106" s="192" t="s">
        <v>243</v>
      </c>
      <c r="AJ106" s="192" t="s">
        <v>386</v>
      </c>
      <c r="AK106" s="191" t="s">
        <v>140</v>
      </c>
      <c r="AL106" s="192" t="s">
        <v>388</v>
      </c>
      <c r="AM106" s="193"/>
    </row>
    <row r="107" spans="12:40">
      <c r="Q107" s="52" t="s">
        <v>248</v>
      </c>
      <c r="R107" s="52" t="s">
        <v>224</v>
      </c>
      <c r="S107" s="52" t="s">
        <v>224</v>
      </c>
      <c r="T107" s="52" t="s">
        <v>224</v>
      </c>
      <c r="U107" s="52" t="s">
        <v>11</v>
      </c>
      <c r="V107" s="52" t="s">
        <v>219</v>
      </c>
      <c r="W107" s="52" t="s">
        <v>220</v>
      </c>
      <c r="X107" s="52" t="s">
        <v>249</v>
      </c>
      <c r="Y107" s="52" t="s">
        <v>250</v>
      </c>
      <c r="Z107" s="52" t="s">
        <v>251</v>
      </c>
      <c r="AA107" s="126" t="s">
        <v>8</v>
      </c>
      <c r="AB107" s="52" t="s">
        <v>252</v>
      </c>
      <c r="AC107" s="192" t="s">
        <v>380</v>
      </c>
      <c r="AD107" s="192" t="s">
        <v>381</v>
      </c>
      <c r="AE107" s="192" t="s">
        <v>379</v>
      </c>
      <c r="AF107" s="192" t="s">
        <v>263</v>
      </c>
      <c r="AG107" s="192" t="s">
        <v>263</v>
      </c>
      <c r="AH107" s="191" t="s">
        <v>207</v>
      </c>
      <c r="AI107" s="192" t="s">
        <v>348</v>
      </c>
      <c r="AJ107" s="192" t="s">
        <v>80</v>
      </c>
      <c r="AK107" s="191" t="s">
        <v>272</v>
      </c>
      <c r="AL107" s="192" t="s">
        <v>389</v>
      </c>
      <c r="AM107" s="191" t="s">
        <v>217</v>
      </c>
    </row>
    <row r="108" spans="12:40">
      <c r="P108" s="122" t="s">
        <v>134</v>
      </c>
      <c r="Q108" s="122"/>
      <c r="R108" s="122" t="s">
        <v>134</v>
      </c>
      <c r="S108" s="122"/>
      <c r="T108" s="122" t="s">
        <v>134</v>
      </c>
      <c r="U108" s="122" t="s">
        <v>134</v>
      </c>
      <c r="V108" s="122" t="s">
        <v>134</v>
      </c>
      <c r="W108" s="122" t="s">
        <v>134</v>
      </c>
      <c r="X108" s="122" t="s">
        <v>134</v>
      </c>
      <c r="Y108" s="122" t="s">
        <v>134</v>
      </c>
      <c r="Z108" s="122" t="s">
        <v>134</v>
      </c>
      <c r="AA108" s="122" t="s">
        <v>134</v>
      </c>
      <c r="AB108" s="122" t="s">
        <v>134</v>
      </c>
      <c r="AC108" s="194" t="s">
        <v>134</v>
      </c>
      <c r="AD108" s="194" t="s">
        <v>134</v>
      </c>
      <c r="AE108" s="194" t="s">
        <v>134</v>
      </c>
      <c r="AF108" s="194" t="s">
        <v>134</v>
      </c>
      <c r="AG108" s="194" t="s">
        <v>134</v>
      </c>
      <c r="AH108" s="194" t="s">
        <v>134</v>
      </c>
      <c r="AI108" s="194" t="s">
        <v>134</v>
      </c>
      <c r="AJ108" s="194" t="s">
        <v>134</v>
      </c>
      <c r="AK108" s="194" t="s">
        <v>134</v>
      </c>
      <c r="AL108" s="194" t="s">
        <v>134</v>
      </c>
      <c r="AM108" s="194" t="s">
        <v>134</v>
      </c>
    </row>
    <row r="109" spans="12:40">
      <c r="V109" s="112"/>
      <c r="W109" s="112"/>
      <c r="X109" s="112"/>
      <c r="Z109" s="112"/>
      <c r="AC109" s="193"/>
      <c r="AD109" s="193"/>
      <c r="AE109" s="193"/>
      <c r="AF109" s="193"/>
      <c r="AG109" s="193"/>
      <c r="AH109" s="193"/>
      <c r="AI109" s="193"/>
      <c r="AJ109" s="193"/>
      <c r="AK109" s="193">
        <v>3.0000000000000001E-3</v>
      </c>
      <c r="AL109" s="193"/>
      <c r="AM109" s="193"/>
    </row>
    <row r="110" spans="12:40" ht="15.75">
      <c r="L110" s="312">
        <f>W110/U110</f>
        <v>3.8050002176870171E-2</v>
      </c>
      <c r="M110" s="309">
        <f>N110/R110</f>
        <v>10.715</v>
      </c>
      <c r="N110" s="112">
        <f>V110-AC110</f>
        <v>49246.14</v>
      </c>
      <c r="O110">
        <f>$O$69</f>
        <v>1</v>
      </c>
      <c r="P110" t="s">
        <v>475</v>
      </c>
      <c r="Q110">
        <v>2001</v>
      </c>
      <c r="R110" s="58">
        <v>4596</v>
      </c>
      <c r="S110" s="58">
        <v>4596</v>
      </c>
      <c r="T110" s="58"/>
      <c r="U110" s="58">
        <v>1883438</v>
      </c>
      <c r="V110" s="112">
        <v>49246.14</v>
      </c>
      <c r="W110" s="112">
        <v>71664.820000000007</v>
      </c>
      <c r="X110" s="35">
        <v>39468.58</v>
      </c>
      <c r="Y110" s="112"/>
      <c r="Z110" s="112">
        <v>160379.54</v>
      </c>
      <c r="AA110" s="344">
        <v>168275.27</v>
      </c>
      <c r="AB110" s="112">
        <v>7895.7299999999814</v>
      </c>
      <c r="AC110" s="193"/>
      <c r="AD110" s="193"/>
      <c r="AE110" s="193"/>
      <c r="AF110" s="193"/>
      <c r="AG110" s="193"/>
      <c r="AH110" s="195"/>
      <c r="AI110" s="193">
        <v>100</v>
      </c>
      <c r="AJ110" s="115">
        <v>2145.42</v>
      </c>
      <c r="AK110" s="199">
        <f>ROUND(U110*AK$109,2)</f>
        <v>5650.31</v>
      </c>
      <c r="AL110" s="193"/>
      <c r="AM110" s="199">
        <f>SUM(AI110:AL110)</f>
        <v>7895.7300000000005</v>
      </c>
      <c r="AN110" s="35">
        <f>AM110-AB110</f>
        <v>1.9099388737231493E-11</v>
      </c>
    </row>
    <row r="111" spans="12:40" ht="15.75">
      <c r="L111" s="312">
        <f t="shared" ref="L111:L121" si="61">W111/U111</f>
        <v>3.8049998766193707E-2</v>
      </c>
      <c r="M111" s="309">
        <f t="shared" ref="M111:M121" si="62">N111/R111</f>
        <v>10.715001080613789</v>
      </c>
      <c r="N111" s="112">
        <f t="shared" ref="N111:N121" si="63">V111-AC111</f>
        <v>49578.31</v>
      </c>
      <c r="P111" t="s">
        <v>476</v>
      </c>
      <c r="Q111">
        <v>2001</v>
      </c>
      <c r="R111" s="58">
        <v>4627</v>
      </c>
      <c r="S111" s="58">
        <v>4627</v>
      </c>
      <c r="T111" s="58"/>
      <c r="U111" s="58">
        <v>2026250</v>
      </c>
      <c r="V111" s="112">
        <v>49578.31</v>
      </c>
      <c r="W111" s="112">
        <v>77098.81</v>
      </c>
      <c r="X111" s="35">
        <v>36036.620000000003</v>
      </c>
      <c r="Y111" s="112"/>
      <c r="Z111" s="112">
        <v>162713.74</v>
      </c>
      <c r="AA111" s="344">
        <v>171037.91</v>
      </c>
      <c r="AB111" s="112">
        <v>8324.1700000000128</v>
      </c>
      <c r="AC111" s="193"/>
      <c r="AD111" s="193"/>
      <c r="AE111" s="193"/>
      <c r="AF111" s="193"/>
      <c r="AG111" s="193"/>
      <c r="AH111" s="195"/>
      <c r="AI111" s="193">
        <v>100</v>
      </c>
      <c r="AJ111" s="115">
        <v>2145.42</v>
      </c>
      <c r="AK111" s="199">
        <f t="shared" ref="AK111:AK121" si="64">ROUND(U111*AK$109,2)</f>
        <v>6078.75</v>
      </c>
      <c r="AL111" s="193"/>
      <c r="AM111" s="199">
        <f t="shared" ref="AM111:AM121" si="65">SUM(AI111:AL111)</f>
        <v>8324.17</v>
      </c>
      <c r="AN111" s="35">
        <f t="shared" ref="AN111:AN121" si="66">AM111-AB111</f>
        <v>0</v>
      </c>
    </row>
    <row r="112" spans="12:40" ht="15.75">
      <c r="L112" s="312">
        <f t="shared" si="61"/>
        <v>3.8049999798744974E-2</v>
      </c>
      <c r="M112" s="309">
        <f t="shared" si="62"/>
        <v>10.715001044932078</v>
      </c>
      <c r="N112" s="112">
        <f t="shared" si="63"/>
        <v>51271.28</v>
      </c>
      <c r="P112" t="s">
        <v>477</v>
      </c>
      <c r="Q112">
        <v>2001</v>
      </c>
      <c r="R112" s="58">
        <v>4785</v>
      </c>
      <c r="S112" s="58">
        <v>4785</v>
      </c>
      <c r="T112" s="58"/>
      <c r="U112" s="58">
        <v>2235969</v>
      </c>
      <c r="V112" s="112">
        <v>51271.28</v>
      </c>
      <c r="W112" s="112">
        <v>85078.62</v>
      </c>
      <c r="X112" s="35">
        <v>42572.76</v>
      </c>
      <c r="Y112" s="112"/>
      <c r="Z112" s="112">
        <v>178922.66</v>
      </c>
      <c r="AA112" s="344">
        <v>187875.99</v>
      </c>
      <c r="AB112" s="112">
        <v>8953.3299999999872</v>
      </c>
      <c r="AC112" s="193"/>
      <c r="AD112" s="193"/>
      <c r="AE112" s="193"/>
      <c r="AF112" s="193"/>
      <c r="AG112" s="193"/>
      <c r="AH112" s="195"/>
      <c r="AI112" s="193">
        <v>100</v>
      </c>
      <c r="AJ112" s="115">
        <v>2145.42</v>
      </c>
      <c r="AK112" s="199">
        <f t="shared" si="64"/>
        <v>6707.91</v>
      </c>
      <c r="AL112" s="193"/>
      <c r="AM112" s="199">
        <f t="shared" si="65"/>
        <v>8953.33</v>
      </c>
      <c r="AN112" s="35">
        <f t="shared" si="66"/>
        <v>0</v>
      </c>
    </row>
    <row r="113" spans="12:40" ht="15.75">
      <c r="L113" s="312">
        <f t="shared" si="61"/>
        <v>3.8049998706848921E-2</v>
      </c>
      <c r="M113" s="309">
        <f t="shared" si="62"/>
        <v>10.714998991732203</v>
      </c>
      <c r="N113" s="112">
        <f t="shared" si="63"/>
        <v>53135.68</v>
      </c>
      <c r="P113" t="s">
        <v>478</v>
      </c>
      <c r="Q113">
        <v>2001</v>
      </c>
      <c r="R113" s="58">
        <v>4959</v>
      </c>
      <c r="S113" s="58">
        <v>4959</v>
      </c>
      <c r="T113" s="58"/>
      <c r="U113" s="58">
        <v>2551906</v>
      </c>
      <c r="V113" s="112">
        <v>53135.68</v>
      </c>
      <c r="W113" s="112">
        <v>97100.02</v>
      </c>
      <c r="X113" s="35">
        <v>20996.579999999998</v>
      </c>
      <c r="Y113" s="112"/>
      <c r="Z113" s="112">
        <v>171232.28</v>
      </c>
      <c r="AA113" s="344">
        <v>181133.42</v>
      </c>
      <c r="AB113" s="112">
        <v>9901.140000000014</v>
      </c>
      <c r="AC113" s="193"/>
      <c r="AD113" s="193"/>
      <c r="AE113" s="193"/>
      <c r="AF113" s="193"/>
      <c r="AG113" s="193"/>
      <c r="AH113" s="195"/>
      <c r="AI113" s="193">
        <v>100</v>
      </c>
      <c r="AJ113" s="115">
        <v>2145.42</v>
      </c>
      <c r="AK113" s="199">
        <f t="shared" si="64"/>
        <v>7655.72</v>
      </c>
      <c r="AL113" s="193"/>
      <c r="AM113" s="199">
        <f t="shared" si="65"/>
        <v>9901.14</v>
      </c>
      <c r="AN113" s="35">
        <f t="shared" si="66"/>
        <v>-1.4551915228366852E-11</v>
      </c>
    </row>
    <row r="114" spans="12:40" ht="15.75">
      <c r="L114" s="312">
        <f t="shared" si="61"/>
        <v>3.8050001825645621E-2</v>
      </c>
      <c r="M114" s="309">
        <f t="shared" si="62"/>
        <v>10.715</v>
      </c>
      <c r="N114" s="112">
        <f t="shared" si="63"/>
        <v>53467.85</v>
      </c>
      <c r="P114" t="s">
        <v>479</v>
      </c>
      <c r="Q114">
        <v>2001</v>
      </c>
      <c r="R114" s="58">
        <v>4990</v>
      </c>
      <c r="S114" s="58">
        <v>4990</v>
      </c>
      <c r="T114" s="58"/>
      <c r="U114" s="58">
        <v>2108843</v>
      </c>
      <c r="V114" s="112">
        <v>53467.85</v>
      </c>
      <c r="W114" s="112">
        <v>80241.48</v>
      </c>
      <c r="X114" s="35">
        <v>48684.229999999996</v>
      </c>
      <c r="Y114" s="112"/>
      <c r="Z114" s="112">
        <v>182393.56</v>
      </c>
      <c r="AA114" s="344">
        <v>190965.51</v>
      </c>
      <c r="AB114" s="112">
        <v>8571.9500000000116</v>
      </c>
      <c r="AC114" s="193"/>
      <c r="AD114" s="193"/>
      <c r="AE114" s="193"/>
      <c r="AF114" s="193"/>
      <c r="AG114" s="193"/>
      <c r="AH114" s="195"/>
      <c r="AI114" s="193">
        <v>100</v>
      </c>
      <c r="AJ114" s="115">
        <v>2145.42</v>
      </c>
      <c r="AK114" s="199">
        <f t="shared" si="64"/>
        <v>6326.53</v>
      </c>
      <c r="AL114" s="193"/>
      <c r="AM114" s="199">
        <f t="shared" si="65"/>
        <v>8571.9500000000007</v>
      </c>
      <c r="AN114" s="35">
        <f t="shared" si="66"/>
        <v>0</v>
      </c>
    </row>
    <row r="115" spans="12:40" ht="15.75">
      <c r="L115" s="312">
        <f t="shared" si="61"/>
        <v>3.8050001910493757E-2</v>
      </c>
      <c r="M115" s="309">
        <f t="shared" si="62"/>
        <v>10.715</v>
      </c>
      <c r="N115" s="112">
        <f t="shared" si="63"/>
        <v>52567.79</v>
      </c>
      <c r="P115" t="s">
        <v>480</v>
      </c>
      <c r="Q115">
        <v>2001</v>
      </c>
      <c r="R115" s="58">
        <v>4906</v>
      </c>
      <c r="S115" s="58">
        <v>4906</v>
      </c>
      <c r="T115" s="58"/>
      <c r="U115" s="58">
        <v>2564782</v>
      </c>
      <c r="V115" s="112">
        <v>52567.79</v>
      </c>
      <c r="W115" s="112">
        <v>97589.96</v>
      </c>
      <c r="X115" s="35">
        <v>62206.520000000004</v>
      </c>
      <c r="Y115" s="112"/>
      <c r="Z115" s="112">
        <v>212364.27000000002</v>
      </c>
      <c r="AA115" s="344">
        <v>222304.03</v>
      </c>
      <c r="AB115" s="112">
        <v>9939.7599999999802</v>
      </c>
      <c r="AC115" s="193"/>
      <c r="AD115" s="193"/>
      <c r="AE115" s="193"/>
      <c r="AF115" s="193"/>
      <c r="AG115" s="193"/>
      <c r="AH115" s="195"/>
      <c r="AI115" s="193">
        <v>100</v>
      </c>
      <c r="AJ115" s="115">
        <v>2145.42</v>
      </c>
      <c r="AK115" s="199">
        <f t="shared" si="64"/>
        <v>7694.35</v>
      </c>
      <c r="AL115" s="193"/>
      <c r="AM115" s="199">
        <f t="shared" si="65"/>
        <v>9939.77</v>
      </c>
      <c r="AN115" s="35">
        <f t="shared" si="66"/>
        <v>1.0000000020227162E-2</v>
      </c>
    </row>
    <row r="116" spans="12:40" ht="15.75">
      <c r="L116" s="312">
        <f t="shared" si="61"/>
        <v>3.8049999861806849E-2</v>
      </c>
      <c r="M116" s="309">
        <f t="shared" si="62"/>
        <v>10.715</v>
      </c>
      <c r="N116" s="112">
        <f t="shared" si="63"/>
        <v>52653.51</v>
      </c>
      <c r="P116" t="s">
        <v>481</v>
      </c>
      <c r="Q116">
        <v>2001</v>
      </c>
      <c r="R116" s="58">
        <v>4914</v>
      </c>
      <c r="S116" s="58">
        <v>4914</v>
      </c>
      <c r="T116" s="58"/>
      <c r="U116" s="58">
        <v>2532687</v>
      </c>
      <c r="V116" s="112">
        <v>52653.51</v>
      </c>
      <c r="W116" s="112">
        <v>96368.74</v>
      </c>
      <c r="X116" s="35">
        <v>99220.329999999987</v>
      </c>
      <c r="Y116" s="112"/>
      <c r="Z116" s="112">
        <v>248242.58</v>
      </c>
      <c r="AA116" s="344">
        <v>258086.06</v>
      </c>
      <c r="AB116" s="112">
        <v>9843.4800000000105</v>
      </c>
      <c r="AC116" s="193"/>
      <c r="AD116" s="193"/>
      <c r="AE116" s="193"/>
      <c r="AF116" s="193"/>
      <c r="AG116" s="193"/>
      <c r="AH116" s="195"/>
      <c r="AI116" s="193">
        <v>100</v>
      </c>
      <c r="AJ116" s="115">
        <v>2145.42</v>
      </c>
      <c r="AK116" s="199">
        <f t="shared" si="64"/>
        <v>7598.06</v>
      </c>
      <c r="AL116" s="193"/>
      <c r="AM116" s="199">
        <f t="shared" si="65"/>
        <v>9843.48</v>
      </c>
      <c r="AN116" s="35">
        <f t="shared" si="66"/>
        <v>0</v>
      </c>
    </row>
    <row r="117" spans="12:40" ht="15.75">
      <c r="L117" s="312">
        <f t="shared" si="61"/>
        <v>3.8049997701159036E-2</v>
      </c>
      <c r="M117" s="309">
        <f t="shared" si="62"/>
        <v>10.714998901340364</v>
      </c>
      <c r="N117" s="112">
        <f t="shared" si="63"/>
        <v>48763.96</v>
      </c>
      <c r="P117" t="s">
        <v>482</v>
      </c>
      <c r="Q117">
        <v>2001</v>
      </c>
      <c r="R117" s="58">
        <v>4551</v>
      </c>
      <c r="S117" s="58">
        <v>4551</v>
      </c>
      <c r="T117" s="58"/>
      <c r="U117" s="58">
        <v>1914008</v>
      </c>
      <c r="V117" s="112">
        <v>48763.96</v>
      </c>
      <c r="W117" s="112">
        <v>72828</v>
      </c>
      <c r="X117" s="35">
        <v>66470.559999999998</v>
      </c>
      <c r="Y117" s="112"/>
      <c r="Z117" s="112">
        <v>188062.52</v>
      </c>
      <c r="AA117" s="344">
        <v>196049.97</v>
      </c>
      <c r="AB117" s="112">
        <v>7987.4500000000116</v>
      </c>
      <c r="AC117" s="193"/>
      <c r="AD117" s="193"/>
      <c r="AE117" s="193"/>
      <c r="AF117" s="193"/>
      <c r="AG117" s="193"/>
      <c r="AH117" s="195"/>
      <c r="AI117" s="193">
        <v>100</v>
      </c>
      <c r="AJ117" s="115">
        <v>2145.42</v>
      </c>
      <c r="AK117" s="199">
        <f t="shared" si="64"/>
        <v>5742.02</v>
      </c>
      <c r="AL117" s="193"/>
      <c r="AM117" s="199">
        <f t="shared" si="65"/>
        <v>7987.4400000000005</v>
      </c>
      <c r="AN117" s="35">
        <f t="shared" si="66"/>
        <v>-1.0000000011132215E-2</v>
      </c>
    </row>
    <row r="118" spans="12:40" ht="15.75">
      <c r="L118" s="312">
        <f t="shared" si="61"/>
        <v>3.805E-2</v>
      </c>
      <c r="M118" s="309">
        <f t="shared" si="62"/>
        <v>10.714998894049989</v>
      </c>
      <c r="N118" s="112">
        <f t="shared" si="63"/>
        <v>48442.51</v>
      </c>
      <c r="P118" t="s">
        <v>483</v>
      </c>
      <c r="Q118">
        <v>2001</v>
      </c>
      <c r="R118" s="58">
        <v>4521</v>
      </c>
      <c r="S118" s="58">
        <v>4521</v>
      </c>
      <c r="T118" s="58"/>
      <c r="U118" s="58">
        <v>2035000</v>
      </c>
      <c r="V118" s="112">
        <v>48442.51</v>
      </c>
      <c r="W118" s="112">
        <v>77431.75</v>
      </c>
      <c r="X118" s="35">
        <v>56343.519999999997</v>
      </c>
      <c r="Y118" s="112"/>
      <c r="Z118" s="112">
        <v>182217.78</v>
      </c>
      <c r="AA118" s="344">
        <v>190568.2</v>
      </c>
      <c r="AB118" s="112">
        <v>8350.4200000000128</v>
      </c>
      <c r="AC118" s="193"/>
      <c r="AD118" s="193"/>
      <c r="AE118" s="193"/>
      <c r="AF118" s="193"/>
      <c r="AG118" s="193"/>
      <c r="AH118" s="195"/>
      <c r="AI118" s="193">
        <v>100</v>
      </c>
      <c r="AJ118" s="115">
        <v>2145.42</v>
      </c>
      <c r="AK118" s="199">
        <f t="shared" si="64"/>
        <v>6105</v>
      </c>
      <c r="AL118" s="193"/>
      <c r="AM118" s="199">
        <f t="shared" si="65"/>
        <v>8350.42</v>
      </c>
      <c r="AN118" s="35">
        <f t="shared" si="66"/>
        <v>0</v>
      </c>
    </row>
    <row r="119" spans="12:40" ht="15.75">
      <c r="L119" s="312">
        <f t="shared" si="61"/>
        <v>3.804999792063149E-2</v>
      </c>
      <c r="M119" s="309">
        <f t="shared" si="62"/>
        <v>10.715</v>
      </c>
      <c r="N119" s="112">
        <f t="shared" si="63"/>
        <v>47146</v>
      </c>
      <c r="P119" t="s">
        <v>484</v>
      </c>
      <c r="Q119">
        <v>2001</v>
      </c>
      <c r="R119" s="58">
        <v>4400</v>
      </c>
      <c r="S119" s="58">
        <v>4400</v>
      </c>
      <c r="T119" s="58"/>
      <c r="U119" s="58">
        <v>2019844</v>
      </c>
      <c r="V119" s="112">
        <v>47146</v>
      </c>
      <c r="W119" s="112">
        <v>76855.06</v>
      </c>
      <c r="X119" s="35">
        <v>50854.540000000008</v>
      </c>
      <c r="Y119" s="112"/>
      <c r="Z119" s="112">
        <v>174855.6</v>
      </c>
      <c r="AA119" s="344">
        <v>183160.56</v>
      </c>
      <c r="AB119" s="112">
        <v>8304.9599999999919</v>
      </c>
      <c r="AC119" s="193"/>
      <c r="AD119" s="193"/>
      <c r="AE119" s="193"/>
      <c r="AF119" s="195"/>
      <c r="AG119" s="195"/>
      <c r="AH119" s="195"/>
      <c r="AI119" s="193">
        <v>100</v>
      </c>
      <c r="AJ119" s="115">
        <v>2145.42</v>
      </c>
      <c r="AK119" s="199">
        <f t="shared" si="64"/>
        <v>6059.53</v>
      </c>
      <c r="AL119" s="193"/>
      <c r="AM119" s="199">
        <f t="shared" si="65"/>
        <v>8304.9500000000007</v>
      </c>
      <c r="AN119" s="35">
        <f t="shared" si="66"/>
        <v>-9.9999999911233317E-3</v>
      </c>
    </row>
    <row r="120" spans="12:40" ht="15.75">
      <c r="L120" s="312">
        <f t="shared" si="61"/>
        <v>3.8050001422110985E-2</v>
      </c>
      <c r="M120" s="309">
        <f t="shared" si="62"/>
        <v>10.715</v>
      </c>
      <c r="N120" s="112">
        <f t="shared" si="63"/>
        <v>47146</v>
      </c>
      <c r="P120" s="157" t="s">
        <v>671</v>
      </c>
      <c r="Q120">
        <v>2001</v>
      </c>
      <c r="R120" s="58">
        <v>4400</v>
      </c>
      <c r="S120" s="58">
        <v>4400</v>
      </c>
      <c r="T120" s="58"/>
      <c r="U120" s="58">
        <v>2004063</v>
      </c>
      <c r="V120" s="112">
        <v>47146</v>
      </c>
      <c r="W120" s="112">
        <v>76254.600000000006</v>
      </c>
      <c r="X120" s="35">
        <f t="shared" ref="X120:X121" si="67">SUM(R142:Y142)</f>
        <v>52511.839999999997</v>
      </c>
      <c r="Y120" s="112"/>
      <c r="Z120" s="112">
        <f>SUM(V120:Y120)</f>
        <v>175912.44</v>
      </c>
      <c r="AA120" s="344">
        <v>184170.05</v>
      </c>
      <c r="AB120" s="112">
        <f t="shared" ref="AB120:AB121" si="68">AA120-Z120</f>
        <v>8257.609999999986</v>
      </c>
      <c r="AC120" s="193"/>
      <c r="AD120" s="193"/>
      <c r="AE120" s="193"/>
      <c r="AF120" s="195"/>
      <c r="AG120" s="195"/>
      <c r="AH120" s="195"/>
      <c r="AI120" s="193">
        <v>100</v>
      </c>
      <c r="AJ120" s="115">
        <v>2145.42</v>
      </c>
      <c r="AK120" s="199">
        <f t="shared" si="64"/>
        <v>6012.19</v>
      </c>
      <c r="AL120" s="193"/>
      <c r="AM120" s="199">
        <f>SUM(AI120:AL120)</f>
        <v>8257.61</v>
      </c>
      <c r="AN120" s="35">
        <f t="shared" si="66"/>
        <v>1.4551915228366852E-11</v>
      </c>
    </row>
    <row r="121" spans="12:40" ht="15.75">
      <c r="L121" s="312">
        <f t="shared" si="61"/>
        <v>3.8049998169727289E-2</v>
      </c>
      <c r="M121" s="309">
        <f t="shared" si="62"/>
        <v>10.715</v>
      </c>
      <c r="N121" s="112">
        <f t="shared" si="63"/>
        <v>48281.79</v>
      </c>
      <c r="O121">
        <f>$O$80</f>
        <v>12</v>
      </c>
      <c r="P121" t="s">
        <v>474</v>
      </c>
      <c r="Q121">
        <v>2001</v>
      </c>
      <c r="R121" s="58">
        <v>4506</v>
      </c>
      <c r="S121" s="58">
        <v>4506</v>
      </c>
      <c r="T121" s="58"/>
      <c r="U121" s="58">
        <v>2048875</v>
      </c>
      <c r="V121" s="112">
        <v>48281.79</v>
      </c>
      <c r="W121" s="112">
        <v>77959.69</v>
      </c>
      <c r="X121" s="35">
        <f t="shared" si="67"/>
        <v>28800.36</v>
      </c>
      <c r="Y121" s="112"/>
      <c r="Z121" s="112">
        <f t="shared" ref="Z121" si="69">SUM(V121:Y121)</f>
        <v>155041.84000000003</v>
      </c>
      <c r="AA121" s="344">
        <v>163433.89000000001</v>
      </c>
      <c r="AB121" s="112">
        <f t="shared" si="68"/>
        <v>8392.0499999999884</v>
      </c>
      <c r="AC121" s="193"/>
      <c r="AD121" s="193"/>
      <c r="AE121" s="193"/>
      <c r="AF121" s="195"/>
      <c r="AG121" s="195"/>
      <c r="AH121" s="195"/>
      <c r="AI121" s="193">
        <v>100</v>
      </c>
      <c r="AJ121" s="115">
        <v>2145.42</v>
      </c>
      <c r="AK121" s="199">
        <f t="shared" si="64"/>
        <v>6146.63</v>
      </c>
      <c r="AL121" s="193"/>
      <c r="AM121" s="199">
        <f t="shared" si="65"/>
        <v>8392.0499999999993</v>
      </c>
      <c r="AN121" s="35">
        <f t="shared" si="66"/>
        <v>0</v>
      </c>
    </row>
    <row r="122" spans="12:40">
      <c r="R122" s="124" t="s">
        <v>134</v>
      </c>
      <c r="S122" s="124"/>
      <c r="T122" s="124" t="s">
        <v>134</v>
      </c>
      <c r="U122" s="124" t="s">
        <v>134</v>
      </c>
      <c r="V122" s="125" t="s">
        <v>134</v>
      </c>
      <c r="W122" s="125" t="s">
        <v>134</v>
      </c>
      <c r="X122" s="125" t="s">
        <v>134</v>
      </c>
      <c r="Y122" s="122" t="s">
        <v>134</v>
      </c>
      <c r="Z122" s="125" t="s">
        <v>134</v>
      </c>
      <c r="AA122" s="125" t="s">
        <v>134</v>
      </c>
      <c r="AB122" s="125" t="s">
        <v>134</v>
      </c>
      <c r="AC122" s="196"/>
      <c r="AD122" s="193"/>
      <c r="AE122" s="193"/>
      <c r="AF122" s="195"/>
      <c r="AG122" s="195"/>
      <c r="AH122" s="196"/>
      <c r="AI122" s="193"/>
      <c r="AJ122" s="115"/>
      <c r="AK122" s="193"/>
      <c r="AL122" s="193"/>
      <c r="AM122" s="193"/>
    </row>
    <row r="123" spans="12:40">
      <c r="R123" s="58"/>
      <c r="S123" s="58"/>
      <c r="T123" s="58"/>
      <c r="U123" s="58"/>
      <c r="V123" s="112"/>
      <c r="W123" s="112"/>
      <c r="X123" s="112"/>
      <c r="Z123" s="112"/>
      <c r="AA123" s="112"/>
      <c r="AB123" s="112"/>
      <c r="AC123" s="196"/>
      <c r="AD123" s="193"/>
      <c r="AE123" s="193"/>
      <c r="AF123" s="195"/>
      <c r="AG123" s="195"/>
      <c r="AH123" s="196"/>
      <c r="AI123" s="193"/>
      <c r="AJ123" s="193"/>
      <c r="AK123" s="193"/>
      <c r="AL123" s="193"/>
      <c r="AM123" s="193"/>
    </row>
    <row r="124" spans="12:40">
      <c r="R124" s="58">
        <f t="shared" ref="R124:AB124" si="70">SUM(R110:R121)</f>
        <v>56155</v>
      </c>
      <c r="S124" s="58"/>
      <c r="T124" s="58">
        <f t="shared" si="70"/>
        <v>0</v>
      </c>
      <c r="U124" s="58">
        <f t="shared" si="70"/>
        <v>25925665</v>
      </c>
      <c r="V124" s="112">
        <f t="shared" si="70"/>
        <v>601700.82000000007</v>
      </c>
      <c r="W124" s="112">
        <f t="shared" si="70"/>
        <v>986471.55</v>
      </c>
      <c r="X124" s="112">
        <f t="shared" si="70"/>
        <v>604166.43999999994</v>
      </c>
      <c r="Y124" s="112">
        <f t="shared" si="70"/>
        <v>0</v>
      </c>
      <c r="Z124" s="112">
        <f t="shared" si="70"/>
        <v>2192338.81</v>
      </c>
      <c r="AA124" s="112">
        <f t="shared" si="70"/>
        <v>2297060.86</v>
      </c>
      <c r="AB124" s="112">
        <f t="shared" si="70"/>
        <v>104722.04999999999</v>
      </c>
      <c r="AC124" s="197">
        <f t="shared" ref="AC124:AL124" si="71">SUM(AC110:AC121)</f>
        <v>0</v>
      </c>
      <c r="AD124" s="197">
        <f t="shared" si="71"/>
        <v>0</v>
      </c>
      <c r="AE124" s="197">
        <f t="shared" si="71"/>
        <v>0</v>
      </c>
      <c r="AF124" s="197">
        <f t="shared" si="71"/>
        <v>0</v>
      </c>
      <c r="AG124" s="197">
        <f t="shared" si="71"/>
        <v>0</v>
      </c>
      <c r="AH124" s="197">
        <f t="shared" si="71"/>
        <v>0</v>
      </c>
      <c r="AI124" s="197">
        <f>SUM(AI110:AI121)</f>
        <v>1200</v>
      </c>
      <c r="AJ124" s="197">
        <f t="shared" si="71"/>
        <v>25745.039999999994</v>
      </c>
      <c r="AK124" s="197">
        <f t="shared" si="71"/>
        <v>77777</v>
      </c>
      <c r="AL124" s="197">
        <f t="shared" si="71"/>
        <v>0</v>
      </c>
      <c r="AM124" s="197">
        <f>SUM(AM110:AM121)</f>
        <v>104722.04000000001</v>
      </c>
    </row>
    <row r="125" spans="12:40">
      <c r="R125" s="124" t="s">
        <v>229</v>
      </c>
      <c r="S125" s="124"/>
      <c r="T125" s="124" t="s">
        <v>229</v>
      </c>
      <c r="U125" s="124" t="s">
        <v>229</v>
      </c>
      <c r="V125" s="125" t="s">
        <v>229</v>
      </c>
      <c r="W125" s="125" t="s">
        <v>229</v>
      </c>
      <c r="X125" s="125" t="s">
        <v>229</v>
      </c>
      <c r="Y125" s="125" t="s">
        <v>229</v>
      </c>
      <c r="Z125" s="125" t="s">
        <v>229</v>
      </c>
      <c r="AA125" s="125" t="s">
        <v>229</v>
      </c>
      <c r="AB125" s="125" t="s">
        <v>229</v>
      </c>
      <c r="AC125" s="198" t="s">
        <v>229</v>
      </c>
      <c r="AD125" s="198" t="s">
        <v>229</v>
      </c>
      <c r="AE125" s="198" t="s">
        <v>229</v>
      </c>
      <c r="AF125" s="198" t="s">
        <v>229</v>
      </c>
      <c r="AG125" s="198" t="s">
        <v>229</v>
      </c>
      <c r="AH125" s="198" t="s">
        <v>229</v>
      </c>
      <c r="AI125" s="198" t="s">
        <v>229</v>
      </c>
      <c r="AJ125" s="198" t="s">
        <v>229</v>
      </c>
      <c r="AK125" s="198" t="s">
        <v>229</v>
      </c>
      <c r="AL125" s="198" t="s">
        <v>229</v>
      </c>
      <c r="AM125" s="198" t="s">
        <v>229</v>
      </c>
    </row>
    <row r="126" spans="12:40">
      <c r="R126" s="26">
        <f>R124</f>
        <v>56155</v>
      </c>
      <c r="S126" s="26"/>
      <c r="T126">
        <v>10.715</v>
      </c>
      <c r="U126" s="35">
        <f>R126*T126</f>
        <v>601700.82499999995</v>
      </c>
      <c r="V126" s="112">
        <f>AC124</f>
        <v>0</v>
      </c>
      <c r="W126" s="35">
        <f>U126+V126</f>
        <v>601700.82499999995</v>
      </c>
      <c r="X126" s="112">
        <f>V124-W126</f>
        <v>-4.999999888241291E-3</v>
      </c>
      <c r="Z126" s="115"/>
      <c r="AA126" s="112"/>
      <c r="AB126" s="115"/>
      <c r="AC126" s="115"/>
      <c r="AF126" s="58"/>
      <c r="AG126" s="58"/>
      <c r="AH126" s="115"/>
    </row>
    <row r="127" spans="12:40">
      <c r="R127" s="58"/>
      <c r="S127" s="58"/>
      <c r="U127" s="58"/>
      <c r="V127" s="115"/>
      <c r="W127" s="115"/>
      <c r="X127" s="115"/>
      <c r="Z127" s="115"/>
      <c r="AA127" s="112"/>
      <c r="AB127" s="115"/>
      <c r="AC127" s="115"/>
      <c r="AF127" s="58"/>
      <c r="AG127" s="58"/>
      <c r="AH127" s="115"/>
    </row>
    <row r="128" spans="12:40">
      <c r="R128" s="58"/>
      <c r="S128" s="128" t="s">
        <v>367</v>
      </c>
      <c r="U128" s="58"/>
      <c r="V128" s="115"/>
      <c r="W128" s="115"/>
      <c r="Y128" s="115"/>
      <c r="Z128" s="112"/>
      <c r="AA128" s="115"/>
      <c r="AB128" s="52"/>
      <c r="AF128" s="58"/>
      <c r="AG128" s="58"/>
      <c r="AH128" s="115"/>
    </row>
    <row r="129" spans="15:34">
      <c r="P129" s="52"/>
      <c r="Q129" s="52"/>
      <c r="R129" s="126" t="s">
        <v>221</v>
      </c>
      <c r="S129" s="126" t="s">
        <v>343</v>
      </c>
      <c r="T129" s="52" t="s">
        <v>222</v>
      </c>
      <c r="U129" s="128" t="s">
        <v>371</v>
      </c>
      <c r="V129" s="126" t="s">
        <v>368</v>
      </c>
      <c r="W129" s="128" t="s">
        <v>369</v>
      </c>
      <c r="X129" s="128" t="s">
        <v>370</v>
      </c>
      <c r="Y129" s="128" t="s">
        <v>372</v>
      </c>
      <c r="Z129" s="128"/>
      <c r="AA129" s="52"/>
      <c r="AB129" s="52"/>
      <c r="AD129" s="52"/>
      <c r="AE129" s="52"/>
      <c r="AF129" s="126"/>
      <c r="AG129" s="126"/>
      <c r="AH129" s="128"/>
    </row>
    <row r="130" spans="15:34">
      <c r="P130" s="52"/>
      <c r="Q130" s="52"/>
      <c r="R130" s="345" t="s">
        <v>15</v>
      </c>
      <c r="S130" s="345" t="s">
        <v>344</v>
      </c>
      <c r="T130" s="89" t="s">
        <v>227</v>
      </c>
      <c r="U130" s="346" t="s">
        <v>375</v>
      </c>
      <c r="V130" s="345" t="s">
        <v>226</v>
      </c>
      <c r="W130" s="346" t="s">
        <v>373</v>
      </c>
      <c r="X130" s="346" t="s">
        <v>374</v>
      </c>
      <c r="Y130" s="346" t="s">
        <v>376</v>
      </c>
      <c r="Z130" s="128"/>
      <c r="AA130" s="52"/>
      <c r="AB130" s="52"/>
      <c r="AD130" s="52"/>
      <c r="AE130" s="52"/>
      <c r="AF130" s="126"/>
      <c r="AG130" s="126"/>
      <c r="AH130" s="128"/>
    </row>
    <row r="131" spans="15:34">
      <c r="P131" s="52"/>
      <c r="Q131" s="52"/>
      <c r="R131" s="126"/>
      <c r="S131" s="126"/>
      <c r="T131" s="52"/>
      <c r="U131" s="128"/>
      <c r="V131" s="126"/>
      <c r="W131" s="128"/>
      <c r="X131" s="128"/>
      <c r="Y131" s="128"/>
      <c r="Z131" s="128"/>
      <c r="AA131" s="52"/>
      <c r="AB131" s="183" t="s">
        <v>217</v>
      </c>
      <c r="AD131" s="52"/>
      <c r="AE131" s="52"/>
      <c r="AF131" s="126"/>
      <c r="AG131" s="126"/>
      <c r="AH131" s="128"/>
    </row>
    <row r="132" spans="15:34">
      <c r="O132">
        <f>$O$69</f>
        <v>1</v>
      </c>
      <c r="P132" t="str">
        <f t="shared" ref="P132:P143" si="72">P110</f>
        <v>MAR</v>
      </c>
      <c r="R132" s="127">
        <v>36113.040000000001</v>
      </c>
      <c r="S132" s="127">
        <v>4695.41</v>
      </c>
      <c r="T132" s="127">
        <v>8667.83</v>
      </c>
      <c r="U132" s="127">
        <v>-10007.700000000001</v>
      </c>
      <c r="V132" s="127"/>
      <c r="W132" s="127"/>
      <c r="X132" s="127"/>
      <c r="Z132" s="127"/>
      <c r="AA132" s="127"/>
      <c r="AB132" s="115">
        <f t="shared" ref="AB132:AB143" si="73">SUM(R132:AA132)</f>
        <v>39468.58</v>
      </c>
      <c r="AF132" s="58"/>
      <c r="AG132" s="58"/>
      <c r="AH132" s="115"/>
    </row>
    <row r="133" spans="15:34">
      <c r="P133" t="str">
        <f t="shared" si="72"/>
        <v>APR</v>
      </c>
      <c r="R133" s="127">
        <v>30853.71</v>
      </c>
      <c r="S133" s="127">
        <v>5051.4399999999996</v>
      </c>
      <c r="T133" s="127">
        <v>10589.59</v>
      </c>
      <c r="U133" s="127">
        <v>-10458.120000000001</v>
      </c>
      <c r="V133" s="127"/>
      <c r="W133" s="127"/>
      <c r="X133" s="127"/>
      <c r="Z133" s="127"/>
      <c r="AA133" s="127"/>
      <c r="AB133" s="115">
        <f t="shared" si="73"/>
        <v>36036.620000000003</v>
      </c>
      <c r="AF133" s="58"/>
      <c r="AG133" s="58"/>
      <c r="AH133" s="115"/>
    </row>
    <row r="134" spans="15:34">
      <c r="P134" t="str">
        <f t="shared" si="72"/>
        <v>MAY</v>
      </c>
      <c r="R134" s="127">
        <v>40410.67</v>
      </c>
      <c r="S134" s="127">
        <v>5574.27</v>
      </c>
      <c r="T134" s="127">
        <v>7871.49</v>
      </c>
      <c r="U134" s="127">
        <v>-11283.67</v>
      </c>
      <c r="V134" s="127"/>
      <c r="W134" s="127"/>
      <c r="X134" s="127"/>
      <c r="Z134" s="127"/>
      <c r="AA134" s="127"/>
      <c r="AB134" s="115">
        <f t="shared" si="73"/>
        <v>42572.76</v>
      </c>
      <c r="AF134" s="58"/>
      <c r="AG134" s="58"/>
      <c r="AH134" s="115"/>
    </row>
    <row r="135" spans="15:34">
      <c r="P135" t="str">
        <f t="shared" si="72"/>
        <v>JUN</v>
      </c>
      <c r="R135" s="347">
        <v>15806.51</v>
      </c>
      <c r="S135" s="347">
        <v>6361.9</v>
      </c>
      <c r="T135" s="347">
        <v>11009.4</v>
      </c>
      <c r="U135" s="347">
        <v>-12181.23</v>
      </c>
      <c r="V135" s="127"/>
      <c r="W135" s="127"/>
      <c r="X135" s="127"/>
      <c r="Z135" s="127"/>
      <c r="AA135" s="127"/>
      <c r="AB135" s="115">
        <f t="shared" si="73"/>
        <v>20996.579999999998</v>
      </c>
      <c r="AF135" s="58"/>
      <c r="AG135" s="58"/>
      <c r="AH135" s="115"/>
    </row>
    <row r="136" spans="15:34">
      <c r="P136" t="str">
        <f t="shared" si="72"/>
        <v>JUL</v>
      </c>
      <c r="R136" s="347">
        <v>43159.58</v>
      </c>
      <c r="S136" s="347">
        <v>5257.35</v>
      </c>
      <c r="T136" s="347">
        <v>8324.16</v>
      </c>
      <c r="U136" s="347">
        <v>-8056.86</v>
      </c>
      <c r="V136" s="127"/>
      <c r="W136" s="127"/>
      <c r="X136" s="127"/>
      <c r="Y136" s="127"/>
      <c r="Z136" s="127"/>
      <c r="AA136" s="127"/>
      <c r="AB136" s="115">
        <f t="shared" si="73"/>
        <v>48684.229999999996</v>
      </c>
    </row>
    <row r="137" spans="15:34">
      <c r="P137" t="str">
        <f t="shared" si="72"/>
        <v>AUG</v>
      </c>
      <c r="R137" s="347">
        <v>56981.760000000002</v>
      </c>
      <c r="S137" s="347">
        <v>6394</v>
      </c>
      <c r="T137" s="347">
        <v>10141.530000000001</v>
      </c>
      <c r="U137" s="347">
        <v>-11310.77</v>
      </c>
      <c r="V137" s="347"/>
      <c r="W137" s="347"/>
      <c r="X137" s="347"/>
      <c r="Y137" s="347"/>
      <c r="Z137" s="127"/>
      <c r="AA137" s="127"/>
      <c r="AB137" s="115">
        <f t="shared" si="73"/>
        <v>62206.520000000004</v>
      </c>
    </row>
    <row r="138" spans="15:34">
      <c r="P138" t="str">
        <f t="shared" si="72"/>
        <v>SEP</v>
      </c>
      <c r="R138" s="347">
        <v>87782.93</v>
      </c>
      <c r="S138" s="347">
        <v>15244.24</v>
      </c>
      <c r="T138" s="347">
        <v>7722.34</v>
      </c>
      <c r="U138" s="347">
        <v>-11529.18</v>
      </c>
      <c r="V138" s="347"/>
      <c r="W138" s="347"/>
      <c r="X138" s="347"/>
      <c r="Y138" s="347"/>
      <c r="Z138" s="127"/>
      <c r="AA138" s="127"/>
      <c r="AB138" s="115">
        <f t="shared" si="73"/>
        <v>99220.329999999987</v>
      </c>
      <c r="AD138" s="115"/>
    </row>
    <row r="139" spans="15:34">
      <c r="P139" t="str">
        <f t="shared" si="72"/>
        <v>OCT</v>
      </c>
      <c r="R139" s="347">
        <v>55265.07</v>
      </c>
      <c r="S139" s="347">
        <v>11520.41</v>
      </c>
      <c r="T139" s="347">
        <v>7836.35</v>
      </c>
      <c r="U139" s="347">
        <v>-8151.27</v>
      </c>
      <c r="V139" s="347"/>
      <c r="W139" s="347"/>
      <c r="X139" s="347"/>
      <c r="Y139" s="347"/>
      <c r="Z139" s="127"/>
      <c r="AA139" s="127"/>
      <c r="AB139" s="115">
        <f t="shared" si="73"/>
        <v>66470.559999999998</v>
      </c>
      <c r="AD139" s="115"/>
    </row>
    <row r="140" spans="15:34">
      <c r="P140" t="str">
        <f t="shared" si="72"/>
        <v>NOV</v>
      </c>
      <c r="R140" s="127">
        <v>47822.5</v>
      </c>
      <c r="S140" s="127">
        <v>12248.67</v>
      </c>
      <c r="T140" s="127">
        <v>6132.97</v>
      </c>
      <c r="U140" s="127">
        <v>-9860.6200000000008</v>
      </c>
      <c r="V140" s="347"/>
      <c r="W140" s="347"/>
      <c r="X140" s="347"/>
      <c r="Y140" s="347"/>
      <c r="Z140" s="127"/>
      <c r="AA140" s="127"/>
      <c r="AB140" s="115">
        <f t="shared" si="73"/>
        <v>56343.519999999997</v>
      </c>
      <c r="AD140" s="115"/>
    </row>
    <row r="141" spans="15:34">
      <c r="P141" t="str">
        <f t="shared" si="72"/>
        <v>DEC</v>
      </c>
      <c r="R141" s="127">
        <v>40459.5</v>
      </c>
      <c r="S141" s="127">
        <v>12157.44</v>
      </c>
      <c r="T141" s="127">
        <v>7188.15</v>
      </c>
      <c r="U141" s="127">
        <v>-8950.5499999999993</v>
      </c>
      <c r="V141" s="347"/>
      <c r="W141" s="347"/>
      <c r="X141" s="347"/>
      <c r="Y141" s="347"/>
      <c r="Z141" s="127"/>
      <c r="AA141" s="127"/>
      <c r="AB141" s="115">
        <f t="shared" si="73"/>
        <v>50854.540000000008</v>
      </c>
      <c r="AD141" s="115"/>
    </row>
    <row r="142" spans="15:34">
      <c r="P142" t="str">
        <f t="shared" si="72"/>
        <v>JAN 2023</v>
      </c>
      <c r="R142" s="127">
        <v>29030.86</v>
      </c>
      <c r="S142" s="127">
        <v>12062.46</v>
      </c>
      <c r="T142" s="127">
        <v>17488.099999999999</v>
      </c>
      <c r="U142" s="127">
        <v>-6069.58</v>
      </c>
      <c r="V142" s="127"/>
      <c r="W142" s="127"/>
      <c r="X142" s="127"/>
      <c r="Y142" s="127"/>
      <c r="Z142" s="127"/>
      <c r="AA142" s="127"/>
      <c r="AB142" s="115">
        <f t="shared" si="73"/>
        <v>52511.839999999997</v>
      </c>
      <c r="AD142" s="115"/>
      <c r="AE142" s="115"/>
    </row>
    <row r="143" spans="15:34">
      <c r="O143">
        <f>$O$80</f>
        <v>12</v>
      </c>
      <c r="P143" t="str">
        <f t="shared" si="72"/>
        <v>FEB</v>
      </c>
      <c r="R143" s="127">
        <v>16046.79</v>
      </c>
      <c r="S143" s="127">
        <v>12332.18</v>
      </c>
      <c r="T143" s="127">
        <v>7770.39</v>
      </c>
      <c r="U143" s="127">
        <v>-7349</v>
      </c>
      <c r="V143" s="127"/>
      <c r="W143" s="127"/>
      <c r="X143" s="127"/>
      <c r="Y143" s="127"/>
      <c r="Z143" s="127"/>
      <c r="AA143" s="127"/>
      <c r="AB143" s="115">
        <f t="shared" si="73"/>
        <v>28800.36</v>
      </c>
      <c r="AD143" s="115"/>
      <c r="AE143" s="115"/>
    </row>
    <row r="144" spans="15:34"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15"/>
      <c r="AD144" s="115"/>
      <c r="AE144" s="115"/>
    </row>
    <row r="145" spans="12:40" ht="13.5" thickBot="1">
      <c r="P145" t="s">
        <v>108</v>
      </c>
      <c r="R145" s="129">
        <f t="shared" ref="R145" si="74">SUM(R132:R143)</f>
        <v>499732.92</v>
      </c>
      <c r="S145" s="129">
        <f t="shared" ref="S145:Y145" si="75">SUM(S132:S143)</f>
        <v>108899.76999999999</v>
      </c>
      <c r="T145" s="129">
        <f t="shared" si="75"/>
        <v>110742.3</v>
      </c>
      <c r="U145" s="129">
        <f t="shared" si="75"/>
        <v>-115208.55</v>
      </c>
      <c r="V145" s="129">
        <f t="shared" si="75"/>
        <v>0</v>
      </c>
      <c r="W145" s="129">
        <f t="shared" si="75"/>
        <v>0</v>
      </c>
      <c r="X145" s="129">
        <f t="shared" si="75"/>
        <v>0</v>
      </c>
      <c r="Y145" s="129">
        <f t="shared" si="75"/>
        <v>0</v>
      </c>
      <c r="Z145" s="127"/>
      <c r="AA145" s="127"/>
      <c r="AB145" s="129">
        <f>SUM(AB132:AB143)</f>
        <v>604166.43999999994</v>
      </c>
      <c r="AD145" s="115"/>
      <c r="AE145" s="115"/>
    </row>
    <row r="146" spans="12:40" ht="16.5" thickTop="1">
      <c r="P146" s="443" t="s">
        <v>262</v>
      </c>
      <c r="Q146" s="444"/>
      <c r="AB146" s="191"/>
      <c r="AD146" s="191"/>
      <c r="AE146" s="192" t="s">
        <v>382</v>
      </c>
      <c r="AF146" s="191"/>
      <c r="AG146" s="191"/>
      <c r="AH146" s="191"/>
      <c r="AI146" s="191"/>
      <c r="AJ146" s="191"/>
      <c r="AK146" s="191"/>
      <c r="AL146" s="191"/>
      <c r="AM146" s="193"/>
    </row>
    <row r="147" spans="12:40">
      <c r="X147" s="52" t="s">
        <v>9</v>
      </c>
      <c r="AC147" s="193"/>
      <c r="AD147" s="191"/>
      <c r="AE147" s="192" t="s">
        <v>383</v>
      </c>
      <c r="AF147" s="191"/>
      <c r="AG147" s="191"/>
      <c r="AH147" s="193"/>
      <c r="AI147" s="191"/>
      <c r="AJ147" s="191"/>
      <c r="AK147" s="191"/>
      <c r="AL147" s="192" t="s">
        <v>387</v>
      </c>
      <c r="AM147" s="193"/>
    </row>
    <row r="148" spans="12:40">
      <c r="Q148" s="52" t="s">
        <v>244</v>
      </c>
      <c r="R148" s="52" t="s">
        <v>255</v>
      </c>
      <c r="S148" s="52" t="s">
        <v>416</v>
      </c>
      <c r="T148" s="52" t="s">
        <v>245</v>
      </c>
      <c r="X148" s="52" t="s">
        <v>15</v>
      </c>
      <c r="Y148" s="52" t="s">
        <v>245</v>
      </c>
      <c r="AC148" s="192" t="s">
        <v>379</v>
      </c>
      <c r="AD148" s="191" t="s">
        <v>263</v>
      </c>
      <c r="AE148" s="192" t="s">
        <v>348</v>
      </c>
      <c r="AF148" s="192" t="s">
        <v>115</v>
      </c>
      <c r="AG148" s="192" t="s">
        <v>384</v>
      </c>
      <c r="AH148" s="192" t="s">
        <v>385</v>
      </c>
      <c r="AI148" s="192" t="s">
        <v>243</v>
      </c>
      <c r="AJ148" s="192" t="s">
        <v>386</v>
      </c>
      <c r="AK148" s="191" t="s">
        <v>140</v>
      </c>
      <c r="AL148" s="192" t="s">
        <v>388</v>
      </c>
      <c r="AM148" s="193"/>
    </row>
    <row r="149" spans="12:40">
      <c r="Q149" s="52" t="s">
        <v>248</v>
      </c>
      <c r="R149" s="52" t="s">
        <v>224</v>
      </c>
      <c r="S149" s="52" t="s">
        <v>224</v>
      </c>
      <c r="T149" s="52" t="s">
        <v>224</v>
      </c>
      <c r="U149" s="52" t="s">
        <v>11</v>
      </c>
      <c r="V149" s="52" t="s">
        <v>219</v>
      </c>
      <c r="W149" s="52" t="s">
        <v>220</v>
      </c>
      <c r="X149" s="52" t="s">
        <v>249</v>
      </c>
      <c r="Y149" s="52" t="s">
        <v>250</v>
      </c>
      <c r="Z149" s="52" t="s">
        <v>251</v>
      </c>
      <c r="AA149" s="52" t="s">
        <v>8</v>
      </c>
      <c r="AB149" s="52" t="s">
        <v>252</v>
      </c>
      <c r="AC149" s="192" t="s">
        <v>380</v>
      </c>
      <c r="AD149" s="192" t="s">
        <v>381</v>
      </c>
      <c r="AE149" s="192" t="s">
        <v>379</v>
      </c>
      <c r="AF149" s="192" t="s">
        <v>263</v>
      </c>
      <c r="AG149" s="192" t="s">
        <v>263</v>
      </c>
      <c r="AH149" s="191" t="s">
        <v>207</v>
      </c>
      <c r="AI149" s="192" t="s">
        <v>348</v>
      </c>
      <c r="AJ149" s="192" t="s">
        <v>80</v>
      </c>
      <c r="AK149" s="191" t="s">
        <v>272</v>
      </c>
      <c r="AL149" s="192" t="s">
        <v>389</v>
      </c>
      <c r="AM149" s="191" t="s">
        <v>217</v>
      </c>
    </row>
    <row r="150" spans="12:40">
      <c r="P150" s="122" t="s">
        <v>134</v>
      </c>
      <c r="Q150" s="122"/>
      <c r="R150" s="122" t="s">
        <v>134</v>
      </c>
      <c r="S150" s="122"/>
      <c r="T150" s="122" t="s">
        <v>134</v>
      </c>
      <c r="U150" s="122" t="s">
        <v>134</v>
      </c>
      <c r="V150" s="122" t="s">
        <v>134</v>
      </c>
      <c r="W150" s="122" t="s">
        <v>134</v>
      </c>
      <c r="X150" s="122" t="s">
        <v>134</v>
      </c>
      <c r="Y150" s="122" t="s">
        <v>134</v>
      </c>
      <c r="Z150" s="122" t="s">
        <v>134</v>
      </c>
      <c r="AA150" s="122" t="s">
        <v>134</v>
      </c>
      <c r="AB150" s="122" t="s">
        <v>134</v>
      </c>
      <c r="AC150" s="194" t="s">
        <v>134</v>
      </c>
      <c r="AD150" s="194" t="s">
        <v>134</v>
      </c>
      <c r="AE150" s="194" t="s">
        <v>134</v>
      </c>
      <c r="AF150" s="194" t="s">
        <v>134</v>
      </c>
      <c r="AG150" s="194" t="s">
        <v>134</v>
      </c>
      <c r="AH150" s="194" t="s">
        <v>134</v>
      </c>
      <c r="AI150" s="194" t="s">
        <v>134</v>
      </c>
      <c r="AJ150" s="194" t="s">
        <v>134</v>
      </c>
      <c r="AK150" s="194" t="s">
        <v>134</v>
      </c>
      <c r="AL150" s="194" t="s">
        <v>134</v>
      </c>
      <c r="AM150" s="194" t="s">
        <v>134</v>
      </c>
    </row>
    <row r="151" spans="12:40">
      <c r="V151" s="112"/>
      <c r="W151" s="112"/>
      <c r="X151" s="112"/>
      <c r="Z151" s="112"/>
      <c r="AC151" s="193"/>
      <c r="AD151" s="193"/>
      <c r="AE151" s="193"/>
      <c r="AF151" s="193"/>
      <c r="AG151" s="193"/>
      <c r="AH151" s="193"/>
      <c r="AI151" s="193"/>
      <c r="AJ151" s="193"/>
      <c r="AK151" s="193">
        <v>3.0000000000000001E-3</v>
      </c>
      <c r="AL151" s="193"/>
      <c r="AM151" s="193"/>
    </row>
    <row r="152" spans="12:40">
      <c r="L152" s="312" t="e">
        <f>W152/U152</f>
        <v>#DIV/0!</v>
      </c>
      <c r="M152" s="309" t="e">
        <f>N152/R152</f>
        <v>#DIV/0!</v>
      </c>
      <c r="N152" s="112">
        <f>V152-AC152</f>
        <v>0</v>
      </c>
      <c r="O152">
        <f>$O$69</f>
        <v>1</v>
      </c>
      <c r="R152" s="58"/>
      <c r="S152" s="58"/>
      <c r="T152" s="58"/>
      <c r="U152" s="58"/>
      <c r="V152" s="112"/>
      <c r="W152" s="112"/>
      <c r="X152" s="35"/>
      <c r="Y152" s="112"/>
      <c r="Z152" s="112"/>
      <c r="AA152" s="112"/>
      <c r="AB152" s="112"/>
      <c r="AC152" s="193"/>
      <c r="AD152" s="193"/>
      <c r="AE152" s="193"/>
      <c r="AF152" s="193"/>
      <c r="AG152" s="193"/>
      <c r="AH152" s="195"/>
      <c r="AI152" s="193"/>
      <c r="AJ152" s="193"/>
      <c r="AK152" s="193">
        <f>U152*AK151</f>
        <v>0</v>
      </c>
      <c r="AL152" s="193"/>
      <c r="AM152" s="193">
        <f>SUM(AI152:AL152)</f>
        <v>0</v>
      </c>
      <c r="AN152" s="35">
        <f>AM152-AB152</f>
        <v>0</v>
      </c>
    </row>
    <row r="153" spans="12:40">
      <c r="L153" s="312" t="e">
        <f t="shared" ref="L153:L163" si="76">W153/U153</f>
        <v>#DIV/0!</v>
      </c>
      <c r="M153" s="309" t="e">
        <f t="shared" ref="M153:M163" si="77">N153/R153</f>
        <v>#DIV/0!</v>
      </c>
      <c r="N153" s="112">
        <f t="shared" ref="N153:N163" si="78">V153-AC153</f>
        <v>0</v>
      </c>
      <c r="R153" s="58"/>
      <c r="S153" s="58"/>
      <c r="T153" s="58"/>
      <c r="U153" s="58"/>
      <c r="V153" s="112"/>
      <c r="W153" s="112"/>
      <c r="X153" s="35"/>
      <c r="Y153" s="112"/>
      <c r="Z153" s="112"/>
      <c r="AA153" s="112"/>
      <c r="AB153" s="112"/>
      <c r="AC153" s="193"/>
      <c r="AD153" s="193"/>
      <c r="AE153" s="193"/>
      <c r="AF153" s="193"/>
      <c r="AG153" s="193"/>
      <c r="AH153" s="195"/>
      <c r="AI153" s="193"/>
      <c r="AJ153" s="193"/>
      <c r="AK153" s="193">
        <f>U153*AK151</f>
        <v>0</v>
      </c>
      <c r="AL153" s="193"/>
      <c r="AM153" s="193">
        <f t="shared" ref="AM153:AM163" si="79">SUM(AI153:AL153)</f>
        <v>0</v>
      </c>
      <c r="AN153" s="35">
        <f t="shared" ref="AN153:AN163" si="80">AM153-AB153</f>
        <v>0</v>
      </c>
    </row>
    <row r="154" spans="12:40">
      <c r="L154" s="312" t="e">
        <f t="shared" si="76"/>
        <v>#DIV/0!</v>
      </c>
      <c r="M154" s="309" t="e">
        <f t="shared" si="77"/>
        <v>#DIV/0!</v>
      </c>
      <c r="N154" s="112">
        <f t="shared" si="78"/>
        <v>0</v>
      </c>
      <c r="R154" s="58"/>
      <c r="S154" s="58"/>
      <c r="T154" s="58"/>
      <c r="U154" s="58"/>
      <c r="V154" s="112"/>
      <c r="W154" s="112"/>
      <c r="X154" s="35"/>
      <c r="Y154" s="112"/>
      <c r="Z154" s="112"/>
      <c r="AA154" s="112"/>
      <c r="AB154" s="112"/>
      <c r="AC154" s="193"/>
      <c r="AD154" s="193"/>
      <c r="AE154" s="193"/>
      <c r="AF154" s="193"/>
      <c r="AG154" s="193"/>
      <c r="AH154" s="195"/>
      <c r="AI154" s="193"/>
      <c r="AJ154" s="193"/>
      <c r="AK154" s="193">
        <f>U154*AK151</f>
        <v>0</v>
      </c>
      <c r="AL154" s="193"/>
      <c r="AM154" s="193">
        <f t="shared" si="79"/>
        <v>0</v>
      </c>
      <c r="AN154" s="35">
        <f t="shared" si="80"/>
        <v>0</v>
      </c>
    </row>
    <row r="155" spans="12:40">
      <c r="L155" s="312" t="e">
        <f t="shared" si="76"/>
        <v>#DIV/0!</v>
      </c>
      <c r="M155" s="309" t="e">
        <f t="shared" si="77"/>
        <v>#DIV/0!</v>
      </c>
      <c r="N155" s="112">
        <f t="shared" si="78"/>
        <v>0</v>
      </c>
      <c r="R155" s="58"/>
      <c r="S155" s="58"/>
      <c r="T155" s="58"/>
      <c r="U155" s="58"/>
      <c r="V155" s="112"/>
      <c r="W155" s="112"/>
      <c r="X155" s="35"/>
      <c r="Y155" s="112"/>
      <c r="Z155" s="112"/>
      <c r="AA155" s="112"/>
      <c r="AB155" s="112"/>
      <c r="AC155" s="193"/>
      <c r="AD155" s="193"/>
      <c r="AE155" s="193"/>
      <c r="AF155" s="193"/>
      <c r="AG155" s="193"/>
      <c r="AH155" s="195"/>
      <c r="AI155" s="193"/>
      <c r="AJ155" s="193"/>
      <c r="AK155" s="193">
        <f>U155*AK151</f>
        <v>0</v>
      </c>
      <c r="AL155" s="193"/>
      <c r="AM155" s="193">
        <f t="shared" si="79"/>
        <v>0</v>
      </c>
      <c r="AN155" s="35">
        <f t="shared" si="80"/>
        <v>0</v>
      </c>
    </row>
    <row r="156" spans="12:40">
      <c r="L156" s="312" t="e">
        <f t="shared" si="76"/>
        <v>#DIV/0!</v>
      </c>
      <c r="M156" s="309" t="e">
        <f t="shared" si="77"/>
        <v>#DIV/0!</v>
      </c>
      <c r="N156" s="112">
        <f t="shared" si="78"/>
        <v>0</v>
      </c>
      <c r="R156" s="58"/>
      <c r="S156" s="58"/>
      <c r="T156" s="58"/>
      <c r="U156" s="58"/>
      <c r="V156" s="112"/>
      <c r="W156" s="112"/>
      <c r="X156" s="35"/>
      <c r="Y156" s="112"/>
      <c r="Z156" s="112"/>
      <c r="AA156" s="112"/>
      <c r="AB156" s="112"/>
      <c r="AC156" s="193"/>
      <c r="AD156" s="193"/>
      <c r="AE156" s="193"/>
      <c r="AF156" s="193"/>
      <c r="AG156" s="193"/>
      <c r="AH156" s="195"/>
      <c r="AI156" s="193"/>
      <c r="AJ156" s="193"/>
      <c r="AK156" s="193">
        <f>U156*AK151</f>
        <v>0</v>
      </c>
      <c r="AL156" s="193"/>
      <c r="AM156" s="193">
        <f t="shared" si="79"/>
        <v>0</v>
      </c>
      <c r="AN156" s="35">
        <f t="shared" si="80"/>
        <v>0</v>
      </c>
    </row>
    <row r="157" spans="12:40">
      <c r="L157" s="312" t="e">
        <f t="shared" si="76"/>
        <v>#DIV/0!</v>
      </c>
      <c r="M157" s="309" t="e">
        <f t="shared" si="77"/>
        <v>#DIV/0!</v>
      </c>
      <c r="N157" s="112">
        <f t="shared" si="78"/>
        <v>0</v>
      </c>
      <c r="R157" s="58"/>
      <c r="S157" s="58"/>
      <c r="T157" s="58"/>
      <c r="U157" s="58"/>
      <c r="V157" s="112"/>
      <c r="W157" s="112"/>
      <c r="X157" s="35"/>
      <c r="Y157" s="112"/>
      <c r="Z157" s="112"/>
      <c r="AA157" s="112"/>
      <c r="AB157" s="112"/>
      <c r="AC157" s="193"/>
      <c r="AD157" s="193"/>
      <c r="AE157" s="193"/>
      <c r="AF157" s="193"/>
      <c r="AG157" s="193"/>
      <c r="AH157" s="195"/>
      <c r="AI157" s="193"/>
      <c r="AJ157" s="193"/>
      <c r="AK157" s="193">
        <f>U157*AK151</f>
        <v>0</v>
      </c>
      <c r="AL157" s="193"/>
      <c r="AM157" s="193">
        <f t="shared" si="79"/>
        <v>0</v>
      </c>
      <c r="AN157" s="35">
        <f t="shared" si="80"/>
        <v>0</v>
      </c>
    </row>
    <row r="158" spans="12:40">
      <c r="L158" s="312" t="e">
        <f t="shared" si="76"/>
        <v>#DIV/0!</v>
      </c>
      <c r="M158" s="309" t="e">
        <f t="shared" si="77"/>
        <v>#DIV/0!</v>
      </c>
      <c r="N158" s="112">
        <f t="shared" si="78"/>
        <v>0</v>
      </c>
      <c r="R158" s="58"/>
      <c r="S158" s="58"/>
      <c r="T158" s="58"/>
      <c r="U158" s="58"/>
      <c r="V158" s="112"/>
      <c r="W158" s="112"/>
      <c r="X158" s="35"/>
      <c r="Y158" s="112"/>
      <c r="Z158" s="112"/>
      <c r="AA158" s="112"/>
      <c r="AB158" s="112"/>
      <c r="AC158" s="193"/>
      <c r="AD158" s="193"/>
      <c r="AE158" s="193"/>
      <c r="AF158" s="193"/>
      <c r="AG158" s="193"/>
      <c r="AH158" s="195"/>
      <c r="AI158" s="193"/>
      <c r="AJ158" s="193"/>
      <c r="AK158" s="193">
        <f>U158*AK151</f>
        <v>0</v>
      </c>
      <c r="AL158" s="193"/>
      <c r="AM158" s="193">
        <f t="shared" si="79"/>
        <v>0</v>
      </c>
      <c r="AN158" s="35">
        <f t="shared" si="80"/>
        <v>0</v>
      </c>
    </row>
    <row r="159" spans="12:40">
      <c r="L159" s="312" t="e">
        <f t="shared" si="76"/>
        <v>#DIV/0!</v>
      </c>
      <c r="M159" s="309" t="e">
        <f t="shared" si="77"/>
        <v>#DIV/0!</v>
      </c>
      <c r="N159" s="112">
        <f t="shared" si="78"/>
        <v>0</v>
      </c>
      <c r="R159" s="58"/>
      <c r="S159" s="58"/>
      <c r="T159" s="58"/>
      <c r="U159" s="58"/>
      <c r="V159" s="112"/>
      <c r="W159" s="112"/>
      <c r="X159" s="35"/>
      <c r="Y159" s="112"/>
      <c r="Z159" s="112"/>
      <c r="AA159" s="112"/>
      <c r="AB159" s="112"/>
      <c r="AC159" s="193"/>
      <c r="AD159" s="193"/>
      <c r="AE159" s="193"/>
      <c r="AF159" s="193"/>
      <c r="AG159" s="193"/>
      <c r="AH159" s="195"/>
      <c r="AI159" s="193"/>
      <c r="AJ159" s="193"/>
      <c r="AK159" s="193">
        <f>U159*AK151</f>
        <v>0</v>
      </c>
      <c r="AL159" s="193"/>
      <c r="AM159" s="193">
        <f t="shared" si="79"/>
        <v>0</v>
      </c>
      <c r="AN159" s="35">
        <f t="shared" si="80"/>
        <v>0</v>
      </c>
    </row>
    <row r="160" spans="12:40">
      <c r="L160" s="312" t="e">
        <f t="shared" si="76"/>
        <v>#DIV/0!</v>
      </c>
      <c r="M160" s="309" t="e">
        <f t="shared" si="77"/>
        <v>#DIV/0!</v>
      </c>
      <c r="N160" s="112">
        <f t="shared" si="78"/>
        <v>0</v>
      </c>
      <c r="R160" s="58"/>
      <c r="S160" s="58"/>
      <c r="T160" s="58"/>
      <c r="U160" s="58"/>
      <c r="V160" s="112"/>
      <c r="W160" s="112"/>
      <c r="X160" s="35"/>
      <c r="Y160" s="112"/>
      <c r="Z160" s="112"/>
      <c r="AA160" s="112"/>
      <c r="AB160" s="112"/>
      <c r="AC160" s="193"/>
      <c r="AD160" s="193"/>
      <c r="AE160" s="193"/>
      <c r="AF160" s="193"/>
      <c r="AG160" s="193"/>
      <c r="AH160" s="195"/>
      <c r="AI160" s="193"/>
      <c r="AJ160" s="193"/>
      <c r="AK160" s="193">
        <f>U160*AK151</f>
        <v>0</v>
      </c>
      <c r="AL160" s="193"/>
      <c r="AM160" s="193">
        <f t="shared" si="79"/>
        <v>0</v>
      </c>
      <c r="AN160" s="35">
        <f t="shared" si="80"/>
        <v>0</v>
      </c>
    </row>
    <row r="161" spans="12:40">
      <c r="L161" s="312" t="e">
        <f t="shared" si="76"/>
        <v>#DIV/0!</v>
      </c>
      <c r="M161" s="309" t="e">
        <f t="shared" si="77"/>
        <v>#DIV/0!</v>
      </c>
      <c r="N161" s="112">
        <f t="shared" si="78"/>
        <v>0</v>
      </c>
      <c r="R161" s="58"/>
      <c r="S161" s="58"/>
      <c r="T161" s="58"/>
      <c r="U161" s="58"/>
      <c r="V161" s="112"/>
      <c r="W161" s="112"/>
      <c r="X161" s="35"/>
      <c r="Y161" s="112"/>
      <c r="Z161" s="112"/>
      <c r="AA161" s="112"/>
      <c r="AB161" s="112"/>
      <c r="AC161" s="193"/>
      <c r="AD161" s="193"/>
      <c r="AE161" s="193"/>
      <c r="AF161" s="195"/>
      <c r="AG161" s="195"/>
      <c r="AH161" s="195"/>
      <c r="AI161" s="193"/>
      <c r="AJ161" s="193"/>
      <c r="AK161" s="193">
        <f>U161*AK151</f>
        <v>0</v>
      </c>
      <c r="AL161" s="193"/>
      <c r="AM161" s="193">
        <f t="shared" si="79"/>
        <v>0</v>
      </c>
      <c r="AN161" s="35">
        <f t="shared" si="80"/>
        <v>0</v>
      </c>
    </row>
    <row r="162" spans="12:40">
      <c r="L162" s="312" t="e">
        <f t="shared" si="76"/>
        <v>#DIV/0!</v>
      </c>
      <c r="M162" s="309" t="e">
        <f t="shared" si="77"/>
        <v>#DIV/0!</v>
      </c>
      <c r="N162" s="112">
        <f t="shared" si="78"/>
        <v>0</v>
      </c>
      <c r="R162" s="58"/>
      <c r="S162" s="58"/>
      <c r="T162" s="58"/>
      <c r="U162" s="58"/>
      <c r="V162" s="112"/>
      <c r="W162" s="112"/>
      <c r="X162" s="35"/>
      <c r="Y162" s="112"/>
      <c r="Z162" s="112"/>
      <c r="AA162" s="112"/>
      <c r="AB162" s="112"/>
      <c r="AC162" s="193"/>
      <c r="AD162" s="193"/>
      <c r="AE162" s="193"/>
      <c r="AF162" s="195"/>
      <c r="AG162" s="195"/>
      <c r="AH162" s="195"/>
      <c r="AI162" s="193"/>
      <c r="AJ162" s="193"/>
      <c r="AK162" s="193">
        <f>U162*AK151</f>
        <v>0</v>
      </c>
      <c r="AL162" s="193"/>
      <c r="AM162" s="193">
        <f t="shared" si="79"/>
        <v>0</v>
      </c>
      <c r="AN162" s="35">
        <f t="shared" si="80"/>
        <v>0</v>
      </c>
    </row>
    <row r="163" spans="12:40">
      <c r="L163" s="312" t="e">
        <f t="shared" si="76"/>
        <v>#DIV/0!</v>
      </c>
      <c r="M163" s="309" t="e">
        <f t="shared" si="77"/>
        <v>#DIV/0!</v>
      </c>
      <c r="N163" s="112">
        <f t="shared" si="78"/>
        <v>0</v>
      </c>
      <c r="O163">
        <f>$O$80</f>
        <v>12</v>
      </c>
      <c r="R163" s="58"/>
      <c r="S163" s="58"/>
      <c r="T163" s="58"/>
      <c r="U163" s="58"/>
      <c r="V163" s="112"/>
      <c r="W163" s="112"/>
      <c r="X163" s="35"/>
      <c r="Y163" s="112"/>
      <c r="Z163" s="112"/>
      <c r="AA163" s="112"/>
      <c r="AB163" s="112"/>
      <c r="AC163" s="193"/>
      <c r="AD163" s="193"/>
      <c r="AE163" s="193"/>
      <c r="AF163" s="195"/>
      <c r="AG163" s="195"/>
      <c r="AH163" s="195"/>
      <c r="AI163" s="193"/>
      <c r="AJ163" s="193"/>
      <c r="AK163" s="193">
        <f>U163*AK151</f>
        <v>0</v>
      </c>
      <c r="AL163" s="193"/>
      <c r="AM163" s="193">
        <f t="shared" si="79"/>
        <v>0</v>
      </c>
      <c r="AN163" s="35">
        <f t="shared" si="80"/>
        <v>0</v>
      </c>
    </row>
    <row r="164" spans="12:40">
      <c r="R164" s="124" t="s">
        <v>134</v>
      </c>
      <c r="S164" s="124"/>
      <c r="T164" s="124" t="s">
        <v>134</v>
      </c>
      <c r="U164" s="124" t="s">
        <v>134</v>
      </c>
      <c r="V164" s="125" t="s">
        <v>134</v>
      </c>
      <c r="W164" s="125" t="s">
        <v>134</v>
      </c>
      <c r="X164" s="125" t="s">
        <v>134</v>
      </c>
      <c r="Y164" s="122" t="s">
        <v>134</v>
      </c>
      <c r="Z164" s="125" t="s">
        <v>134</v>
      </c>
      <c r="AA164" s="125" t="s">
        <v>134</v>
      </c>
      <c r="AB164" s="125" t="s">
        <v>134</v>
      </c>
      <c r="AC164" s="193"/>
      <c r="AD164" s="193"/>
      <c r="AE164" s="193"/>
      <c r="AF164" s="193"/>
      <c r="AG164" s="193"/>
      <c r="AH164" s="193"/>
      <c r="AI164" s="193"/>
      <c r="AJ164" s="193"/>
      <c r="AK164" s="193"/>
      <c r="AL164" s="193"/>
      <c r="AM164" s="193"/>
    </row>
    <row r="165" spans="12:40">
      <c r="R165" s="58"/>
      <c r="S165" s="58"/>
      <c r="T165" s="58"/>
      <c r="U165" s="58"/>
      <c r="V165" s="112"/>
      <c r="W165" s="112"/>
      <c r="X165" s="112"/>
      <c r="Z165" s="112"/>
      <c r="AA165" s="112"/>
      <c r="AB165" s="112"/>
      <c r="AC165" s="193"/>
      <c r="AD165" s="193"/>
      <c r="AE165" s="193"/>
      <c r="AF165" s="193"/>
      <c r="AG165" s="193"/>
      <c r="AH165" s="193"/>
      <c r="AI165" s="193"/>
      <c r="AJ165" s="193"/>
      <c r="AK165" s="193"/>
      <c r="AL165" s="193"/>
      <c r="AM165" s="193"/>
    </row>
    <row r="166" spans="12:40">
      <c r="R166" s="58">
        <f t="shared" ref="R166:AB166" si="81">SUM(R152:R163)</f>
        <v>0</v>
      </c>
      <c r="S166" s="58"/>
      <c r="T166" s="58">
        <f t="shared" si="81"/>
        <v>0</v>
      </c>
      <c r="U166" s="58">
        <f t="shared" si="81"/>
        <v>0</v>
      </c>
      <c r="V166" s="112">
        <f t="shared" si="81"/>
        <v>0</v>
      </c>
      <c r="W166" s="112">
        <f t="shared" si="81"/>
        <v>0</v>
      </c>
      <c r="X166" s="112">
        <f t="shared" si="81"/>
        <v>0</v>
      </c>
      <c r="Y166" s="112">
        <f t="shared" si="81"/>
        <v>0</v>
      </c>
      <c r="Z166" s="112">
        <f t="shared" si="81"/>
        <v>0</v>
      </c>
      <c r="AA166" s="112">
        <f t="shared" si="81"/>
        <v>0</v>
      </c>
      <c r="AB166" s="112">
        <f t="shared" si="81"/>
        <v>0</v>
      </c>
      <c r="AC166" s="197">
        <f t="shared" ref="AC166:AM166" si="82">SUM(AC152:AC163)</f>
        <v>0</v>
      </c>
      <c r="AD166" s="197">
        <f t="shared" si="82"/>
        <v>0</v>
      </c>
      <c r="AE166" s="197">
        <f t="shared" si="82"/>
        <v>0</v>
      </c>
      <c r="AF166" s="197">
        <f t="shared" si="82"/>
        <v>0</v>
      </c>
      <c r="AG166" s="197">
        <f t="shared" si="82"/>
        <v>0</v>
      </c>
      <c r="AH166" s="197">
        <f t="shared" si="82"/>
        <v>0</v>
      </c>
      <c r="AI166" s="197">
        <f t="shared" si="82"/>
        <v>0</v>
      </c>
      <c r="AJ166" s="197">
        <f t="shared" si="82"/>
        <v>0</v>
      </c>
      <c r="AK166" s="197">
        <f t="shared" si="82"/>
        <v>0</v>
      </c>
      <c r="AL166" s="197">
        <f t="shared" si="82"/>
        <v>0</v>
      </c>
      <c r="AM166" s="197">
        <f t="shared" si="82"/>
        <v>0</v>
      </c>
    </row>
    <row r="167" spans="12:40">
      <c r="R167" s="124" t="s">
        <v>229</v>
      </c>
      <c r="S167" s="124"/>
      <c r="T167" s="124" t="s">
        <v>229</v>
      </c>
      <c r="U167" s="124" t="s">
        <v>229</v>
      </c>
      <c r="V167" s="125" t="s">
        <v>229</v>
      </c>
      <c r="W167" s="125" t="s">
        <v>229</v>
      </c>
      <c r="X167" s="125" t="s">
        <v>229</v>
      </c>
      <c r="Y167" s="125" t="s">
        <v>229</v>
      </c>
      <c r="Z167" s="125" t="s">
        <v>229</v>
      </c>
      <c r="AA167" s="125" t="s">
        <v>229</v>
      </c>
      <c r="AB167" s="125" t="s">
        <v>229</v>
      </c>
      <c r="AC167" s="198" t="s">
        <v>229</v>
      </c>
      <c r="AD167" s="198" t="s">
        <v>229</v>
      </c>
      <c r="AE167" s="198" t="s">
        <v>229</v>
      </c>
      <c r="AF167" s="198" t="s">
        <v>229</v>
      </c>
      <c r="AG167" s="198" t="s">
        <v>229</v>
      </c>
      <c r="AH167" s="198" t="s">
        <v>229</v>
      </c>
      <c r="AI167" s="198" t="s">
        <v>229</v>
      </c>
      <c r="AJ167" s="198" t="s">
        <v>229</v>
      </c>
      <c r="AK167" s="198" t="s">
        <v>229</v>
      </c>
      <c r="AL167" s="198" t="s">
        <v>229</v>
      </c>
      <c r="AM167" s="198" t="s">
        <v>229</v>
      </c>
    </row>
    <row r="168" spans="12:40">
      <c r="R168" s="26">
        <f>R166</f>
        <v>0</v>
      </c>
      <c r="S168" s="26"/>
      <c r="T168">
        <v>10.715</v>
      </c>
      <c r="U168" s="35">
        <f>R168*T168</f>
        <v>0</v>
      </c>
      <c r="V168" s="112">
        <f>AC166</f>
        <v>0</v>
      </c>
      <c r="W168" s="35">
        <f>U168+V168</f>
        <v>0</v>
      </c>
      <c r="X168" s="112">
        <f>V166-W168</f>
        <v>0</v>
      </c>
      <c r="Z168" s="115"/>
      <c r="AA168" s="115"/>
    </row>
    <row r="170" spans="12:40">
      <c r="S170" s="52" t="s">
        <v>367</v>
      </c>
    </row>
    <row r="171" spans="12:40">
      <c r="P171" s="52"/>
      <c r="Q171" s="52"/>
      <c r="R171" s="52" t="s">
        <v>221</v>
      </c>
      <c r="S171" s="52" t="s">
        <v>343</v>
      </c>
      <c r="T171" s="52" t="s">
        <v>222</v>
      </c>
      <c r="U171" s="52" t="s">
        <v>371</v>
      </c>
      <c r="V171" s="52" t="s">
        <v>368</v>
      </c>
      <c r="W171" s="52" t="s">
        <v>369</v>
      </c>
      <c r="X171" s="52" t="s">
        <v>370</v>
      </c>
      <c r="Y171" s="52" t="s">
        <v>372</v>
      </c>
      <c r="Z171" s="52"/>
      <c r="AA171" s="52"/>
      <c r="AB171" s="52"/>
      <c r="AD171" s="52"/>
      <c r="AE171" s="52"/>
      <c r="AF171" s="52"/>
      <c r="AG171" s="52"/>
      <c r="AH171" s="52"/>
    </row>
    <row r="172" spans="12:40">
      <c r="P172" s="52"/>
      <c r="Q172" s="52"/>
      <c r="R172" s="89" t="s">
        <v>15</v>
      </c>
      <c r="S172" s="89" t="s">
        <v>344</v>
      </c>
      <c r="T172" s="89" t="s">
        <v>227</v>
      </c>
      <c r="U172" s="89" t="s">
        <v>375</v>
      </c>
      <c r="V172" s="89" t="s">
        <v>226</v>
      </c>
      <c r="W172" s="89" t="s">
        <v>373</v>
      </c>
      <c r="X172" s="89" t="s">
        <v>374</v>
      </c>
      <c r="Y172" s="89" t="s">
        <v>376</v>
      </c>
      <c r="Z172" s="52"/>
      <c r="AA172" s="52"/>
      <c r="AB172" s="52"/>
      <c r="AD172" s="52"/>
      <c r="AE172" s="52"/>
      <c r="AF172" s="52"/>
      <c r="AG172" s="52"/>
      <c r="AH172" s="52"/>
    </row>
    <row r="173" spans="12:40"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183" t="s">
        <v>217</v>
      </c>
      <c r="AD173" s="52"/>
      <c r="AE173" s="52"/>
      <c r="AF173" s="52"/>
      <c r="AG173" s="52"/>
      <c r="AH173" s="52"/>
    </row>
    <row r="174" spans="12:40">
      <c r="O174">
        <f>$O$69</f>
        <v>1</v>
      </c>
      <c r="P174">
        <f t="shared" ref="P174:P185" si="83">P152</f>
        <v>0</v>
      </c>
      <c r="R174" s="117"/>
      <c r="S174" s="117"/>
      <c r="T174" s="117"/>
      <c r="U174" s="117"/>
      <c r="V174" s="117"/>
      <c r="W174" s="117"/>
      <c r="X174" s="117"/>
      <c r="Z174" s="117"/>
      <c r="AA174" s="117"/>
      <c r="AB174" s="35">
        <f t="shared" ref="AB174:AB185" si="84">SUM(R174:AA174)</f>
        <v>0</v>
      </c>
    </row>
    <row r="175" spans="12:40">
      <c r="P175">
        <f t="shared" si="83"/>
        <v>0</v>
      </c>
      <c r="R175" s="117"/>
      <c r="S175" s="117"/>
      <c r="T175" s="117"/>
      <c r="U175" s="117"/>
      <c r="V175" s="117"/>
      <c r="W175" s="117"/>
      <c r="X175" s="117"/>
      <c r="Z175" s="117"/>
      <c r="AA175" s="117"/>
      <c r="AB175" s="35">
        <f t="shared" si="84"/>
        <v>0</v>
      </c>
    </row>
    <row r="176" spans="12:40">
      <c r="P176">
        <f t="shared" si="83"/>
        <v>0</v>
      </c>
      <c r="R176" s="117"/>
      <c r="S176" s="117"/>
      <c r="T176" s="117"/>
      <c r="U176" s="117"/>
      <c r="V176" s="117"/>
      <c r="W176" s="117"/>
      <c r="X176" s="117"/>
      <c r="Z176" s="117"/>
      <c r="AA176" s="117"/>
      <c r="AB176" s="35">
        <f t="shared" si="84"/>
        <v>0</v>
      </c>
    </row>
    <row r="177" spans="15:39">
      <c r="P177">
        <f t="shared" si="83"/>
        <v>0</v>
      </c>
      <c r="R177" s="117"/>
      <c r="S177" s="117"/>
      <c r="T177" s="117"/>
      <c r="U177" s="117"/>
      <c r="V177" s="117"/>
      <c r="W177" s="117"/>
      <c r="X177" s="117"/>
      <c r="Z177" s="117"/>
      <c r="AA177" s="117"/>
      <c r="AB177" s="35">
        <f t="shared" si="84"/>
        <v>0</v>
      </c>
    </row>
    <row r="178" spans="15:39">
      <c r="P178">
        <f t="shared" si="83"/>
        <v>0</v>
      </c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35">
        <f t="shared" si="84"/>
        <v>0</v>
      </c>
    </row>
    <row r="179" spans="15:39">
      <c r="P179">
        <f t="shared" si="83"/>
        <v>0</v>
      </c>
      <c r="R179" s="348"/>
      <c r="S179" s="348"/>
      <c r="T179" s="348"/>
      <c r="U179" s="348"/>
      <c r="V179" s="348"/>
      <c r="W179" s="348"/>
      <c r="X179" s="348"/>
      <c r="Y179" s="348"/>
      <c r="Z179" s="117"/>
      <c r="AA179" s="117"/>
      <c r="AB179" s="35">
        <f t="shared" si="84"/>
        <v>0</v>
      </c>
    </row>
    <row r="180" spans="15:39">
      <c r="P180">
        <f t="shared" si="83"/>
        <v>0</v>
      </c>
      <c r="R180" s="348"/>
      <c r="S180" s="348"/>
      <c r="T180" s="348"/>
      <c r="U180" s="348"/>
      <c r="V180" s="348"/>
      <c r="W180" s="348"/>
      <c r="X180" s="348"/>
      <c r="Y180" s="348"/>
      <c r="Z180" s="117"/>
      <c r="AA180" s="117"/>
      <c r="AB180" s="35">
        <f t="shared" si="84"/>
        <v>0</v>
      </c>
    </row>
    <row r="181" spans="15:39">
      <c r="P181">
        <f t="shared" si="83"/>
        <v>0</v>
      </c>
      <c r="R181" s="348"/>
      <c r="S181" s="348"/>
      <c r="T181" s="348"/>
      <c r="U181" s="348"/>
      <c r="V181" s="348"/>
      <c r="W181" s="348"/>
      <c r="X181" s="348"/>
      <c r="Y181" s="348"/>
      <c r="Z181" s="117"/>
      <c r="AA181" s="117"/>
      <c r="AB181" s="35">
        <f t="shared" si="84"/>
        <v>0</v>
      </c>
    </row>
    <row r="182" spans="15:39">
      <c r="P182">
        <f t="shared" si="83"/>
        <v>0</v>
      </c>
      <c r="R182" s="348"/>
      <c r="S182" s="348"/>
      <c r="T182" s="348"/>
      <c r="U182" s="348"/>
      <c r="V182" s="348"/>
      <c r="W182" s="348"/>
      <c r="X182" s="348"/>
      <c r="Y182" s="348"/>
      <c r="Z182" s="117"/>
      <c r="AA182" s="117"/>
      <c r="AB182" s="35">
        <f t="shared" si="84"/>
        <v>0</v>
      </c>
    </row>
    <row r="183" spans="15:39">
      <c r="P183">
        <f t="shared" si="83"/>
        <v>0</v>
      </c>
      <c r="R183" s="348"/>
      <c r="S183" s="348"/>
      <c r="T183" s="348"/>
      <c r="U183" s="348"/>
      <c r="V183" s="348"/>
      <c r="W183" s="348"/>
      <c r="X183" s="348"/>
      <c r="Y183" s="348"/>
      <c r="Z183" s="117"/>
      <c r="AA183" s="117"/>
      <c r="AB183" s="35">
        <f t="shared" si="84"/>
        <v>0</v>
      </c>
    </row>
    <row r="184" spans="15:39">
      <c r="P184">
        <f t="shared" si="83"/>
        <v>0</v>
      </c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35">
        <f t="shared" si="84"/>
        <v>0</v>
      </c>
    </row>
    <row r="185" spans="15:39">
      <c r="O185">
        <f>$O$80</f>
        <v>12</v>
      </c>
      <c r="P185">
        <f t="shared" si="83"/>
        <v>0</v>
      </c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35">
        <f t="shared" si="84"/>
        <v>0</v>
      </c>
    </row>
    <row r="186" spans="15:39"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35"/>
    </row>
    <row r="187" spans="15:39" ht="13.5" thickBot="1">
      <c r="P187" t="s">
        <v>108</v>
      </c>
      <c r="R187" s="119">
        <f t="shared" ref="R187" si="85">SUM(R174:R185)</f>
        <v>0</v>
      </c>
      <c r="S187" s="119">
        <f t="shared" ref="S187:Y187" si="86">SUM(S174:S185)</f>
        <v>0</v>
      </c>
      <c r="T187" s="119">
        <f t="shared" si="86"/>
        <v>0</v>
      </c>
      <c r="U187" s="119">
        <f t="shared" si="86"/>
        <v>0</v>
      </c>
      <c r="V187" s="119">
        <f t="shared" si="86"/>
        <v>0</v>
      </c>
      <c r="W187" s="119">
        <f t="shared" si="86"/>
        <v>0</v>
      </c>
      <c r="X187" s="119">
        <f t="shared" si="86"/>
        <v>0</v>
      </c>
      <c r="Y187" s="119">
        <f t="shared" si="86"/>
        <v>0</v>
      </c>
      <c r="Z187" s="117"/>
      <c r="AA187" s="117"/>
      <c r="AB187" s="119">
        <f>SUM(AB174:AB185)</f>
        <v>0</v>
      </c>
    </row>
    <row r="188" spans="15:39" ht="16.5" thickTop="1">
      <c r="P188" s="121" t="s">
        <v>513</v>
      </c>
      <c r="Q188" s="36"/>
      <c r="R188" s="36"/>
      <c r="S188" s="36"/>
      <c r="T188" s="36"/>
      <c r="AC188" s="191"/>
      <c r="AD188" s="191"/>
      <c r="AE188" s="192" t="s">
        <v>382</v>
      </c>
      <c r="AF188" s="191"/>
      <c r="AG188" s="191"/>
      <c r="AH188" s="191"/>
      <c r="AI188" s="191"/>
      <c r="AJ188" s="191"/>
      <c r="AK188" s="191"/>
      <c r="AL188" s="191"/>
      <c r="AM188" s="193"/>
    </row>
    <row r="189" spans="15:39">
      <c r="X189" s="52" t="s">
        <v>9</v>
      </c>
      <c r="AC189" s="193"/>
      <c r="AD189" s="191"/>
      <c r="AE189" s="192" t="s">
        <v>383</v>
      </c>
      <c r="AF189" s="191"/>
      <c r="AG189" s="191"/>
      <c r="AH189" s="193"/>
      <c r="AI189" s="191"/>
      <c r="AJ189" s="191"/>
      <c r="AK189" s="191"/>
      <c r="AL189" s="192" t="s">
        <v>387</v>
      </c>
      <c r="AM189" s="193"/>
    </row>
    <row r="190" spans="15:39">
      <c r="Q190" s="52" t="s">
        <v>261</v>
      </c>
      <c r="R190" s="52" t="s">
        <v>255</v>
      </c>
      <c r="S190" s="52" t="s">
        <v>416</v>
      </c>
      <c r="T190" s="52" t="s">
        <v>245</v>
      </c>
      <c r="X190" s="52" t="s">
        <v>15</v>
      </c>
      <c r="Y190" s="52" t="s">
        <v>245</v>
      </c>
      <c r="AC190" s="192" t="s">
        <v>379</v>
      </c>
      <c r="AD190" s="191" t="s">
        <v>263</v>
      </c>
      <c r="AE190" s="192" t="s">
        <v>348</v>
      </c>
      <c r="AF190" s="192" t="s">
        <v>115</v>
      </c>
      <c r="AG190" s="192" t="s">
        <v>384</v>
      </c>
      <c r="AH190" s="192" t="s">
        <v>385</v>
      </c>
      <c r="AI190" s="192" t="s">
        <v>243</v>
      </c>
      <c r="AJ190" s="192" t="s">
        <v>386</v>
      </c>
      <c r="AK190" s="191" t="s">
        <v>140</v>
      </c>
      <c r="AL190" s="192" t="s">
        <v>388</v>
      </c>
      <c r="AM190" s="193"/>
    </row>
    <row r="191" spans="15:39">
      <c r="Q191" s="52" t="s">
        <v>248</v>
      </c>
      <c r="R191" s="52" t="s">
        <v>224</v>
      </c>
      <c r="S191" s="52" t="s">
        <v>224</v>
      </c>
      <c r="T191" s="52" t="s">
        <v>224</v>
      </c>
      <c r="U191" s="52" t="s">
        <v>11</v>
      </c>
      <c r="V191" s="52" t="s">
        <v>219</v>
      </c>
      <c r="W191" s="52" t="s">
        <v>220</v>
      </c>
      <c r="X191" s="52" t="s">
        <v>249</v>
      </c>
      <c r="Y191" s="52" t="s">
        <v>250</v>
      </c>
      <c r="Z191" s="52" t="s">
        <v>251</v>
      </c>
      <c r="AA191" s="52" t="s">
        <v>8</v>
      </c>
      <c r="AB191" s="52" t="s">
        <v>252</v>
      </c>
      <c r="AC191" s="192" t="s">
        <v>380</v>
      </c>
      <c r="AD191" s="192" t="s">
        <v>381</v>
      </c>
      <c r="AE191" s="192" t="s">
        <v>379</v>
      </c>
      <c r="AF191" s="192" t="s">
        <v>263</v>
      </c>
      <c r="AG191" s="192" t="s">
        <v>263</v>
      </c>
      <c r="AH191" s="191" t="s">
        <v>207</v>
      </c>
      <c r="AI191" s="192" t="s">
        <v>348</v>
      </c>
      <c r="AJ191" s="192" t="s">
        <v>80</v>
      </c>
      <c r="AK191" s="191" t="s">
        <v>272</v>
      </c>
      <c r="AL191" s="192" t="s">
        <v>389</v>
      </c>
      <c r="AM191" s="191" t="s">
        <v>217</v>
      </c>
    </row>
    <row r="192" spans="15:39">
      <c r="P192" s="122" t="s">
        <v>134</v>
      </c>
      <c r="Q192" s="122"/>
      <c r="R192" s="122" t="s">
        <v>134</v>
      </c>
      <c r="S192" s="122"/>
      <c r="T192" s="122" t="s">
        <v>134</v>
      </c>
      <c r="U192" s="122" t="s">
        <v>134</v>
      </c>
      <c r="V192" s="122" t="s">
        <v>134</v>
      </c>
      <c r="W192" s="122" t="s">
        <v>134</v>
      </c>
      <c r="X192" s="122" t="s">
        <v>134</v>
      </c>
      <c r="Y192" s="122" t="s">
        <v>134</v>
      </c>
      <c r="Z192" s="122" t="s">
        <v>134</v>
      </c>
      <c r="AA192" s="122" t="s">
        <v>134</v>
      </c>
      <c r="AB192" s="122" t="s">
        <v>134</v>
      </c>
      <c r="AC192" s="194" t="s">
        <v>134</v>
      </c>
      <c r="AD192" s="194" t="s">
        <v>134</v>
      </c>
      <c r="AE192" s="194" t="s">
        <v>134</v>
      </c>
      <c r="AF192" s="194" t="s">
        <v>134</v>
      </c>
      <c r="AG192" s="194" t="s">
        <v>134</v>
      </c>
      <c r="AH192" s="194" t="s">
        <v>134</v>
      </c>
      <c r="AI192" s="194" t="s">
        <v>134</v>
      </c>
      <c r="AJ192" s="194" t="s">
        <v>134</v>
      </c>
      <c r="AK192" s="194" t="s">
        <v>134</v>
      </c>
      <c r="AL192" s="194" t="s">
        <v>134</v>
      </c>
      <c r="AM192" s="194" t="s">
        <v>134</v>
      </c>
    </row>
    <row r="193" spans="12:40">
      <c r="V193" s="112"/>
      <c r="W193" s="112"/>
      <c r="X193" s="112"/>
      <c r="Z193" s="112"/>
      <c r="AC193" s="193"/>
      <c r="AD193" s="193"/>
      <c r="AE193" s="193"/>
      <c r="AF193" s="193"/>
      <c r="AG193" s="193"/>
      <c r="AH193" s="193"/>
      <c r="AI193" s="193"/>
      <c r="AJ193" s="193"/>
      <c r="AK193" s="193">
        <v>3.0000000000000001E-3</v>
      </c>
      <c r="AL193" s="193"/>
      <c r="AM193" s="193"/>
    </row>
    <row r="194" spans="12:40">
      <c r="L194" s="312">
        <f>W194/U194</f>
        <v>3.8049997801327992E-2</v>
      </c>
      <c r="M194" s="309">
        <f>N194/R194</f>
        <v>10.715</v>
      </c>
      <c r="N194" s="112">
        <f>V194-AC194</f>
        <v>18794.11</v>
      </c>
      <c r="O194">
        <f>$O$69</f>
        <v>1</v>
      </c>
      <c r="P194" t="s">
        <v>475</v>
      </c>
      <c r="Q194">
        <v>1620</v>
      </c>
      <c r="R194" s="58">
        <v>1754</v>
      </c>
      <c r="S194" s="58">
        <v>1754</v>
      </c>
      <c r="T194" s="58"/>
      <c r="U194" s="58">
        <v>591266</v>
      </c>
      <c r="V194" s="112">
        <v>18794.11</v>
      </c>
      <c r="W194" s="112">
        <v>22497.67</v>
      </c>
      <c r="X194" s="35">
        <v>12569.040000000003</v>
      </c>
      <c r="Y194" s="112"/>
      <c r="Z194" s="112">
        <v>53860.82</v>
      </c>
      <c r="AA194" s="112">
        <v>55734.62</v>
      </c>
      <c r="AB194" s="112">
        <v>1873.8000000000029</v>
      </c>
      <c r="AC194" s="193"/>
      <c r="AD194" s="193"/>
      <c r="AE194" s="193"/>
      <c r="AF194" s="193"/>
      <c r="AG194" s="193"/>
      <c r="AH194" s="195"/>
      <c r="AI194" s="193">
        <v>100</v>
      </c>
      <c r="AJ194" s="193"/>
      <c r="AK194" s="193">
        <f>U194*AK193</f>
        <v>1773.798</v>
      </c>
      <c r="AL194" s="193"/>
      <c r="AM194" s="193">
        <f>SUM(AI194:AL194)</f>
        <v>1873.798</v>
      </c>
      <c r="AN194" s="35">
        <f>AM194-AB194</f>
        <v>-2.0000000029085641E-3</v>
      </c>
    </row>
    <row r="195" spans="12:40">
      <c r="L195" s="312">
        <f t="shared" ref="L195:L205" si="87">W195/U195</f>
        <v>3.8050001503086635E-2</v>
      </c>
      <c r="M195" s="309">
        <f t="shared" ref="M195:M205" si="88">N195/R195</f>
        <v>10.71500296735905</v>
      </c>
      <c r="N195" s="112">
        <f t="shared" ref="N195:N205" si="89">V195-AC195</f>
        <v>18054.78</v>
      </c>
      <c r="P195" t="s">
        <v>476</v>
      </c>
      <c r="Q195">
        <v>1620</v>
      </c>
      <c r="R195" s="58">
        <v>1685</v>
      </c>
      <c r="S195" s="58">
        <v>1685</v>
      </c>
      <c r="T195" s="58"/>
      <c r="U195" s="58">
        <v>565503</v>
      </c>
      <c r="V195" s="112">
        <v>18054.78</v>
      </c>
      <c r="W195" s="112">
        <v>21517.39</v>
      </c>
      <c r="X195" s="35">
        <v>10332.15</v>
      </c>
      <c r="Y195" s="112"/>
      <c r="Z195" s="112">
        <v>49904.32</v>
      </c>
      <c r="AA195" s="112">
        <v>51700.83</v>
      </c>
      <c r="AB195" s="112">
        <v>1796.510000000002</v>
      </c>
      <c r="AC195" s="193"/>
      <c r="AD195" s="193"/>
      <c r="AE195" s="193"/>
      <c r="AF195" s="193"/>
      <c r="AG195" s="193"/>
      <c r="AH195" s="195"/>
      <c r="AI195" s="193">
        <v>100</v>
      </c>
      <c r="AJ195" s="193"/>
      <c r="AK195" s="193">
        <f>U195*AK193</f>
        <v>1696.509</v>
      </c>
      <c r="AL195" s="193"/>
      <c r="AM195" s="193">
        <f t="shared" ref="AM195:AM205" si="90">SUM(AI195:AL195)</f>
        <v>1796.509</v>
      </c>
      <c r="AN195" s="35">
        <f t="shared" ref="AN195:AN205" si="91">AM195-AB195</f>
        <v>-1.0000000020227162E-3</v>
      </c>
    </row>
    <row r="196" spans="12:40">
      <c r="L196" s="312">
        <f t="shared" si="87"/>
        <v>3.805000389054105E-2</v>
      </c>
      <c r="M196" s="309">
        <f t="shared" si="88"/>
        <v>10.715</v>
      </c>
      <c r="N196" s="112">
        <f t="shared" si="89"/>
        <v>17379.73</v>
      </c>
      <c r="P196" t="s">
        <v>477</v>
      </c>
      <c r="Q196">
        <v>1620</v>
      </c>
      <c r="R196" s="58">
        <v>1622</v>
      </c>
      <c r="S196" s="58">
        <v>1622</v>
      </c>
      <c r="T196" s="58"/>
      <c r="U196" s="58">
        <v>526919</v>
      </c>
      <c r="V196" s="112">
        <v>17379.73</v>
      </c>
      <c r="W196" s="112">
        <v>20049.27</v>
      </c>
      <c r="X196" s="35">
        <v>10263.48</v>
      </c>
      <c r="Y196" s="112"/>
      <c r="Z196" s="112">
        <v>47692.479999999996</v>
      </c>
      <c r="AA196" s="112">
        <v>49373.23</v>
      </c>
      <c r="AB196" s="112">
        <v>1680.7500000000073</v>
      </c>
      <c r="AC196" s="193"/>
      <c r="AD196" s="193"/>
      <c r="AE196" s="193"/>
      <c r="AF196" s="193"/>
      <c r="AG196" s="193"/>
      <c r="AH196" s="195"/>
      <c r="AI196" s="193">
        <v>100</v>
      </c>
      <c r="AJ196" s="193"/>
      <c r="AK196" s="193">
        <f>U196*AK193</f>
        <v>1580.7570000000001</v>
      </c>
      <c r="AL196" s="193"/>
      <c r="AM196" s="193">
        <f t="shared" si="90"/>
        <v>1680.7570000000001</v>
      </c>
      <c r="AN196" s="35">
        <f t="shared" si="91"/>
        <v>6.999999992785888E-3</v>
      </c>
    </row>
    <row r="197" spans="12:40">
      <c r="L197" s="312">
        <f t="shared" si="87"/>
        <v>3.8050005839704602E-2</v>
      </c>
      <c r="M197" s="309">
        <f t="shared" si="88"/>
        <v>10.715002925687536</v>
      </c>
      <c r="N197" s="112">
        <f t="shared" si="89"/>
        <v>18311.939999999999</v>
      </c>
      <c r="P197" t="s">
        <v>478</v>
      </c>
      <c r="Q197">
        <v>1620</v>
      </c>
      <c r="R197" s="58">
        <v>1709</v>
      </c>
      <c r="S197" s="58">
        <v>1709</v>
      </c>
      <c r="T197" s="58"/>
      <c r="U197" s="58">
        <v>556535</v>
      </c>
      <c r="V197" s="112">
        <v>18311.939999999999</v>
      </c>
      <c r="W197" s="112">
        <v>21176.16</v>
      </c>
      <c r="X197" s="35">
        <v>5008.42</v>
      </c>
      <c r="Y197" s="112"/>
      <c r="Z197" s="112">
        <v>44496.52</v>
      </c>
      <c r="AA197" s="112">
        <v>46266.12</v>
      </c>
      <c r="AB197" s="112">
        <v>1769.6000000000058</v>
      </c>
      <c r="AC197" s="193"/>
      <c r="AD197" s="193"/>
      <c r="AE197" s="193"/>
      <c r="AF197" s="193"/>
      <c r="AG197" s="193"/>
      <c r="AH197" s="195"/>
      <c r="AI197" s="193">
        <v>100</v>
      </c>
      <c r="AJ197" s="193"/>
      <c r="AK197" s="193">
        <f>U197*AK193</f>
        <v>1669.605</v>
      </c>
      <c r="AL197" s="193"/>
      <c r="AM197" s="193">
        <f t="shared" si="90"/>
        <v>1769.605</v>
      </c>
      <c r="AN197" s="35">
        <f t="shared" si="91"/>
        <v>4.9999999941974238E-3</v>
      </c>
    </row>
    <row r="198" spans="12:40">
      <c r="L198" s="312">
        <f t="shared" si="87"/>
        <v>3.8049998193271747E-2</v>
      </c>
      <c r="M198" s="309">
        <f t="shared" si="88"/>
        <v>11.127115384615385</v>
      </c>
      <c r="N198" s="112">
        <f t="shared" si="89"/>
        <v>17358.3</v>
      </c>
      <c r="P198" t="s">
        <v>479</v>
      </c>
      <c r="Q198">
        <v>1620</v>
      </c>
      <c r="R198" s="58">
        <v>1560</v>
      </c>
      <c r="S198" s="58">
        <v>1620</v>
      </c>
      <c r="T198" s="58">
        <v>61</v>
      </c>
      <c r="U198" s="58">
        <v>498138</v>
      </c>
      <c r="V198" s="112">
        <v>17358.3</v>
      </c>
      <c r="W198" s="112">
        <v>18954.150000000001</v>
      </c>
      <c r="X198" s="35">
        <v>11715.82</v>
      </c>
      <c r="Y198" s="112">
        <v>653.62</v>
      </c>
      <c r="Z198" s="112">
        <v>48681.89</v>
      </c>
      <c r="AA198" s="112">
        <v>50276.3</v>
      </c>
      <c r="AB198" s="112">
        <v>1594.4100000000035</v>
      </c>
      <c r="AC198" s="193"/>
      <c r="AD198" s="193"/>
      <c r="AE198" s="193"/>
      <c r="AF198" s="193"/>
      <c r="AG198" s="193"/>
      <c r="AH198" s="195"/>
      <c r="AI198" s="193">
        <v>100</v>
      </c>
      <c r="AJ198" s="193"/>
      <c r="AK198" s="193">
        <f>U198*AK193</f>
        <v>1494.414</v>
      </c>
      <c r="AL198" s="193"/>
      <c r="AM198" s="193">
        <f t="shared" si="90"/>
        <v>1594.414</v>
      </c>
      <c r="AN198" s="35">
        <f t="shared" si="91"/>
        <v>3.9999999964948074E-3</v>
      </c>
    </row>
    <row r="199" spans="12:40">
      <c r="L199" s="312">
        <f t="shared" si="87"/>
        <v>3.8049990434024725E-2</v>
      </c>
      <c r="M199" s="309">
        <f t="shared" si="88"/>
        <v>10.862515644555694</v>
      </c>
      <c r="N199" s="112">
        <f t="shared" si="89"/>
        <v>17358.3</v>
      </c>
      <c r="P199" t="s">
        <v>480</v>
      </c>
      <c r="Q199">
        <v>1620</v>
      </c>
      <c r="R199" s="58">
        <v>1598</v>
      </c>
      <c r="S199" s="58">
        <v>1620</v>
      </c>
      <c r="T199" s="58"/>
      <c r="U199" s="58">
        <v>517459</v>
      </c>
      <c r="V199" s="112">
        <v>17358.3</v>
      </c>
      <c r="W199" s="112">
        <v>19689.310000000001</v>
      </c>
      <c r="X199" s="35">
        <v>12855.86</v>
      </c>
      <c r="Y199" s="112"/>
      <c r="Z199" s="112">
        <v>49903.47</v>
      </c>
      <c r="AA199" s="112">
        <v>51555.85</v>
      </c>
      <c r="AB199" s="112">
        <v>1652.3799999999974</v>
      </c>
      <c r="AC199" s="193"/>
      <c r="AD199" s="193"/>
      <c r="AE199" s="193"/>
      <c r="AF199" s="193"/>
      <c r="AG199" s="193"/>
      <c r="AH199" s="195"/>
      <c r="AI199" s="193">
        <v>100</v>
      </c>
      <c r="AJ199" s="193"/>
      <c r="AK199" s="193">
        <f>U199*AK193</f>
        <v>1552.377</v>
      </c>
      <c r="AL199" s="193"/>
      <c r="AM199" s="193">
        <f t="shared" si="90"/>
        <v>1652.377</v>
      </c>
      <c r="AN199" s="35">
        <f t="shared" si="91"/>
        <v>-2.999999997427949E-3</v>
      </c>
    </row>
    <row r="200" spans="12:40">
      <c r="L200" s="312">
        <f t="shared" si="87"/>
        <v>3.8049990631045284E-2</v>
      </c>
      <c r="M200" s="309">
        <f t="shared" si="88"/>
        <v>12.461091170136395</v>
      </c>
      <c r="N200" s="112">
        <f t="shared" si="89"/>
        <v>17358.3</v>
      </c>
      <c r="P200" t="s">
        <v>481</v>
      </c>
      <c r="Q200">
        <v>1620</v>
      </c>
      <c r="R200" s="58">
        <v>1393</v>
      </c>
      <c r="S200" s="58">
        <v>1620</v>
      </c>
      <c r="T200" s="58"/>
      <c r="U200" s="58">
        <v>378911</v>
      </c>
      <c r="V200" s="112">
        <v>17358.3</v>
      </c>
      <c r="W200" s="112">
        <v>14417.56</v>
      </c>
      <c r="X200" s="35">
        <v>15134.669999999998</v>
      </c>
      <c r="Y200" s="112"/>
      <c r="Z200" s="112">
        <v>46910.53</v>
      </c>
      <c r="AA200" s="112">
        <v>48147.27</v>
      </c>
      <c r="AB200" s="112">
        <v>1236.739999999998</v>
      </c>
      <c r="AC200" s="193"/>
      <c r="AD200" s="193"/>
      <c r="AE200" s="193"/>
      <c r="AF200" s="193"/>
      <c r="AG200" s="193"/>
      <c r="AH200" s="195"/>
      <c r="AI200" s="193">
        <v>100</v>
      </c>
      <c r="AJ200" s="193"/>
      <c r="AK200" s="193">
        <f>U200*AK193</f>
        <v>1136.7329999999999</v>
      </c>
      <c r="AL200" s="193"/>
      <c r="AM200" s="193">
        <f t="shared" si="90"/>
        <v>1236.7329999999999</v>
      </c>
      <c r="AN200" s="35">
        <f t="shared" si="91"/>
        <v>-6.9999999980154826E-3</v>
      </c>
    </row>
    <row r="201" spans="12:40">
      <c r="L201" s="312">
        <f t="shared" si="87"/>
        <v>3.8050005780194414E-2</v>
      </c>
      <c r="M201" s="309">
        <f t="shared" si="88"/>
        <v>10.715000000000002</v>
      </c>
      <c r="N201" s="112">
        <f t="shared" si="89"/>
        <v>19136.990000000002</v>
      </c>
      <c r="P201" t="s">
        <v>482</v>
      </c>
      <c r="Q201">
        <v>1620</v>
      </c>
      <c r="R201" s="58">
        <v>1786</v>
      </c>
      <c r="S201" s="58">
        <v>1786</v>
      </c>
      <c r="T201" s="58">
        <v>68</v>
      </c>
      <c r="U201" s="58">
        <v>493063</v>
      </c>
      <c r="V201" s="112">
        <v>19136.990000000002</v>
      </c>
      <c r="W201" s="112">
        <v>18761.05</v>
      </c>
      <c r="X201" s="35">
        <v>17396.830000000002</v>
      </c>
      <c r="Y201" s="112">
        <v>728.62</v>
      </c>
      <c r="Z201" s="112">
        <v>56023.490000000005</v>
      </c>
      <c r="AA201" s="112">
        <v>57602.68</v>
      </c>
      <c r="AB201" s="112">
        <v>1579.1899999999951</v>
      </c>
      <c r="AC201" s="193"/>
      <c r="AD201" s="193"/>
      <c r="AE201" s="193"/>
      <c r="AF201" s="193"/>
      <c r="AG201" s="193"/>
      <c r="AH201" s="195"/>
      <c r="AI201" s="193">
        <v>100</v>
      </c>
      <c r="AJ201" s="193"/>
      <c r="AK201" s="193">
        <f>U201*AK193</f>
        <v>1479.1890000000001</v>
      </c>
      <c r="AL201" s="193"/>
      <c r="AM201" s="193">
        <f t="shared" si="90"/>
        <v>1579.1890000000001</v>
      </c>
      <c r="AN201" s="35">
        <f t="shared" si="91"/>
        <v>-9.9999999497413228E-4</v>
      </c>
    </row>
    <row r="202" spans="12:40">
      <c r="L202" s="312">
        <f t="shared" si="87"/>
        <v>3.8049993917235993E-2</v>
      </c>
      <c r="M202" s="309">
        <f t="shared" si="88"/>
        <v>10.715003069367711</v>
      </c>
      <c r="N202" s="112">
        <f t="shared" si="89"/>
        <v>17454.740000000002</v>
      </c>
      <c r="P202" t="s">
        <v>483</v>
      </c>
      <c r="Q202">
        <v>1620</v>
      </c>
      <c r="R202" s="58">
        <v>1629</v>
      </c>
      <c r="S202" s="58">
        <v>1629</v>
      </c>
      <c r="T202" s="58"/>
      <c r="U202" s="58">
        <v>468537</v>
      </c>
      <c r="V202" s="112">
        <v>17454.740000000002</v>
      </c>
      <c r="W202" s="112">
        <v>17827.830000000002</v>
      </c>
      <c r="X202" s="35">
        <v>13180.75</v>
      </c>
      <c r="Y202" s="112"/>
      <c r="Z202" s="112">
        <v>48463.320000000007</v>
      </c>
      <c r="AA202" s="112">
        <v>49968.93</v>
      </c>
      <c r="AB202" s="112">
        <v>1505.6099999999933</v>
      </c>
      <c r="AC202" s="193"/>
      <c r="AD202" s="193"/>
      <c r="AE202" s="193"/>
      <c r="AF202" s="193"/>
      <c r="AG202" s="193"/>
      <c r="AH202" s="195"/>
      <c r="AI202" s="193">
        <v>100</v>
      </c>
      <c r="AJ202" s="193"/>
      <c r="AK202" s="193">
        <f>U202*AK193</f>
        <v>1405.6110000000001</v>
      </c>
      <c r="AL202" s="193"/>
      <c r="AM202" s="193">
        <f t="shared" si="90"/>
        <v>1505.6110000000001</v>
      </c>
      <c r="AN202" s="35">
        <f t="shared" si="91"/>
        <v>1.0000000067975634E-3</v>
      </c>
    </row>
    <row r="203" spans="12:40">
      <c r="L203" s="312">
        <f t="shared" si="87"/>
        <v>3.8049991193743707E-2</v>
      </c>
      <c r="M203" s="309">
        <f t="shared" si="88"/>
        <v>10.714997131382674</v>
      </c>
      <c r="N203" s="112">
        <f t="shared" si="89"/>
        <v>18676.240000000002</v>
      </c>
      <c r="P203" t="s">
        <v>484</v>
      </c>
      <c r="Q203">
        <v>1620</v>
      </c>
      <c r="R203" s="58">
        <v>1743</v>
      </c>
      <c r="S203" s="58">
        <v>1743</v>
      </c>
      <c r="T203" s="58">
        <v>74</v>
      </c>
      <c r="U203" s="58">
        <v>493967</v>
      </c>
      <c r="V203" s="112">
        <v>18676.240000000002</v>
      </c>
      <c r="W203" s="112">
        <v>18795.439999999999</v>
      </c>
      <c r="X203" s="35">
        <v>12727.67</v>
      </c>
      <c r="Y203" s="112">
        <v>792.91</v>
      </c>
      <c r="Z203" s="112">
        <v>50992.26</v>
      </c>
      <c r="AA203" s="112">
        <v>52574.17</v>
      </c>
      <c r="AB203" s="112">
        <v>1581.9099999999962</v>
      </c>
      <c r="AC203" s="193"/>
      <c r="AD203" s="193"/>
      <c r="AE203" s="193"/>
      <c r="AF203" s="195"/>
      <c r="AG203" s="195"/>
      <c r="AH203" s="195"/>
      <c r="AI203" s="193">
        <v>100</v>
      </c>
      <c r="AJ203" s="193"/>
      <c r="AK203" s="193">
        <f>U203*AK193</f>
        <v>1481.9010000000001</v>
      </c>
      <c r="AL203" s="193"/>
      <c r="AM203" s="193">
        <f t="shared" si="90"/>
        <v>1581.9010000000001</v>
      </c>
      <c r="AN203" s="35">
        <f t="shared" si="91"/>
        <v>-8.9999999961491994E-3</v>
      </c>
    </row>
    <row r="204" spans="12:40">
      <c r="L204" s="312">
        <f t="shared" si="87"/>
        <v>3.8049994167449454E-2</v>
      </c>
      <c r="M204" s="309">
        <f t="shared" si="88"/>
        <v>10.714997248211338</v>
      </c>
      <c r="N204" s="112">
        <f t="shared" si="89"/>
        <v>19469.150000000001</v>
      </c>
      <c r="P204" t="s">
        <v>671</v>
      </c>
      <c r="Q204" s="58">
        <v>1620</v>
      </c>
      <c r="R204" s="58">
        <v>1817</v>
      </c>
      <c r="S204" s="58">
        <v>1817</v>
      </c>
      <c r="T204" s="58"/>
      <c r="U204" s="131">
        <v>651516</v>
      </c>
      <c r="V204" s="112">
        <v>19469.150000000001</v>
      </c>
      <c r="W204" s="35">
        <v>24790.18</v>
      </c>
      <c r="X204" s="112">
        <v>17511.829999999998</v>
      </c>
      <c r="Y204" s="112"/>
      <c r="Z204" s="112">
        <v>61771.16</v>
      </c>
      <c r="AA204" s="112">
        <v>63825.71</v>
      </c>
      <c r="AB204" s="112">
        <v>2054.5499999999956</v>
      </c>
      <c r="AC204" s="193"/>
      <c r="AD204" s="193"/>
      <c r="AE204" s="193"/>
      <c r="AF204" s="195"/>
      <c r="AG204" s="195"/>
      <c r="AH204" s="195"/>
      <c r="AI204" s="193">
        <v>100</v>
      </c>
      <c r="AJ204" s="193"/>
      <c r="AK204" s="193">
        <f>U204*AK193</f>
        <v>1954.548</v>
      </c>
      <c r="AL204" s="193"/>
      <c r="AM204" s="193">
        <f t="shared" si="90"/>
        <v>2054.5479999999998</v>
      </c>
      <c r="AN204" s="35">
        <f t="shared" si="91"/>
        <v>-1.9999999958599801E-3</v>
      </c>
    </row>
    <row r="205" spans="12:40">
      <c r="L205" s="312">
        <f t="shared" si="87"/>
        <v>3.8050004394917521E-2</v>
      </c>
      <c r="M205" s="309">
        <f t="shared" si="88"/>
        <v>10.714997081144192</v>
      </c>
      <c r="N205" s="112">
        <f t="shared" si="89"/>
        <v>18354.79</v>
      </c>
      <c r="O205">
        <f>$O$80</f>
        <v>12</v>
      </c>
      <c r="P205" t="s">
        <v>474</v>
      </c>
      <c r="Q205" s="58">
        <v>1620</v>
      </c>
      <c r="R205" s="58">
        <v>1713</v>
      </c>
      <c r="S205" s="58">
        <v>1713</v>
      </c>
      <c r="T205" s="58">
        <v>19</v>
      </c>
      <c r="U205" s="131">
        <v>511955</v>
      </c>
      <c r="V205" s="112">
        <v>18354.79</v>
      </c>
      <c r="W205" s="35">
        <v>19479.89</v>
      </c>
      <c r="X205" s="112">
        <v>7512.5199999999995</v>
      </c>
      <c r="Y205" s="112">
        <v>203.59</v>
      </c>
      <c r="Z205" s="112">
        <v>45550.789999999994</v>
      </c>
      <c r="AA205" s="112">
        <v>47186.65</v>
      </c>
      <c r="AB205" s="112">
        <v>1635.8600000000079</v>
      </c>
      <c r="AC205" s="193"/>
      <c r="AD205" s="193"/>
      <c r="AE205" s="193"/>
      <c r="AF205" s="195"/>
      <c r="AG205" s="195"/>
      <c r="AH205" s="195"/>
      <c r="AI205" s="193">
        <v>100</v>
      </c>
      <c r="AJ205" s="193"/>
      <c r="AK205" s="193">
        <f>U205*AK193</f>
        <v>1535.865</v>
      </c>
      <c r="AL205" s="193"/>
      <c r="AM205" s="193">
        <f t="shared" si="90"/>
        <v>1635.865</v>
      </c>
      <c r="AN205" s="35">
        <f t="shared" si="91"/>
        <v>4.9999999921510607E-3</v>
      </c>
    </row>
    <row r="206" spans="12:40">
      <c r="R206" s="124" t="s">
        <v>134</v>
      </c>
      <c r="S206" s="124"/>
      <c r="T206" s="124" t="s">
        <v>134</v>
      </c>
      <c r="U206" s="124" t="s">
        <v>134</v>
      </c>
      <c r="V206" s="125" t="s">
        <v>134</v>
      </c>
      <c r="W206" s="125" t="s">
        <v>134</v>
      </c>
      <c r="X206" s="125" t="s">
        <v>134</v>
      </c>
      <c r="Y206" s="122" t="s">
        <v>134</v>
      </c>
      <c r="Z206" s="125" t="s">
        <v>134</v>
      </c>
      <c r="AA206" s="125" t="s">
        <v>134</v>
      </c>
      <c r="AB206" s="125" t="s">
        <v>134</v>
      </c>
      <c r="AC206" s="193"/>
      <c r="AD206" s="193"/>
      <c r="AE206" s="193"/>
      <c r="AF206" s="193"/>
      <c r="AG206" s="193"/>
      <c r="AH206" s="193"/>
      <c r="AI206" s="193"/>
      <c r="AJ206" s="193"/>
      <c r="AK206" s="193"/>
      <c r="AL206" s="193"/>
      <c r="AM206" s="193"/>
    </row>
    <row r="207" spans="12:40">
      <c r="R207" s="58"/>
      <c r="S207" s="58"/>
      <c r="T207" s="58"/>
      <c r="U207" s="58"/>
      <c r="V207" s="112"/>
      <c r="W207" s="112"/>
      <c r="X207" s="112"/>
      <c r="Z207" s="112"/>
      <c r="AA207" s="112"/>
      <c r="AB207" s="112"/>
      <c r="AC207" s="193"/>
      <c r="AD207" s="193"/>
      <c r="AE207" s="193"/>
      <c r="AF207" s="193"/>
      <c r="AG207" s="193"/>
      <c r="AH207" s="193"/>
      <c r="AI207" s="193"/>
      <c r="AJ207" s="193"/>
      <c r="AK207" s="193"/>
      <c r="AL207" s="193"/>
      <c r="AM207" s="193"/>
    </row>
    <row r="208" spans="12:40">
      <c r="R208" s="58">
        <f t="shared" ref="R208:AB208" si="92">SUM(R194:R205)</f>
        <v>20009</v>
      </c>
      <c r="S208" s="58"/>
      <c r="T208" s="58">
        <f t="shared" si="92"/>
        <v>222</v>
      </c>
      <c r="U208" s="58">
        <f t="shared" si="92"/>
        <v>6253769</v>
      </c>
      <c r="V208" s="112">
        <f t="shared" si="92"/>
        <v>217707.37</v>
      </c>
      <c r="W208" s="112">
        <f t="shared" si="92"/>
        <v>237955.90000000002</v>
      </c>
      <c r="X208" s="112">
        <f t="shared" si="92"/>
        <v>146209.03999999998</v>
      </c>
      <c r="Y208" s="112">
        <f t="shared" si="92"/>
        <v>2378.7400000000002</v>
      </c>
      <c r="Z208" s="112">
        <f t="shared" si="92"/>
        <v>604251.05000000005</v>
      </c>
      <c r="AA208" s="112">
        <f t="shared" si="92"/>
        <v>624212.36</v>
      </c>
      <c r="AB208" s="112">
        <f t="shared" si="92"/>
        <v>19961.310000000005</v>
      </c>
      <c r="AC208" s="197">
        <f t="shared" ref="AC208:AM208" si="93">SUM(AC194:AC205)</f>
        <v>0</v>
      </c>
      <c r="AD208" s="197">
        <f t="shared" si="93"/>
        <v>0</v>
      </c>
      <c r="AE208" s="197">
        <f t="shared" si="93"/>
        <v>0</v>
      </c>
      <c r="AF208" s="197">
        <f t="shared" si="93"/>
        <v>0</v>
      </c>
      <c r="AG208" s="197">
        <f t="shared" si="93"/>
        <v>0</v>
      </c>
      <c r="AH208" s="197">
        <f t="shared" si="93"/>
        <v>0</v>
      </c>
      <c r="AI208" s="197">
        <f t="shared" si="93"/>
        <v>1200</v>
      </c>
      <c r="AJ208" s="197">
        <f t="shared" si="93"/>
        <v>0</v>
      </c>
      <c r="AK208" s="197">
        <f t="shared" si="93"/>
        <v>18761.307000000004</v>
      </c>
      <c r="AL208" s="197">
        <f t="shared" si="93"/>
        <v>0</v>
      </c>
      <c r="AM208" s="197">
        <f t="shared" si="93"/>
        <v>19961.307000000004</v>
      </c>
    </row>
    <row r="209" spans="15:39">
      <c r="R209" s="124" t="s">
        <v>229</v>
      </c>
      <c r="S209" s="124"/>
      <c r="T209" s="124" t="s">
        <v>229</v>
      </c>
      <c r="U209" s="124" t="s">
        <v>229</v>
      </c>
      <c r="V209" s="125" t="s">
        <v>229</v>
      </c>
      <c r="W209" s="125" t="s">
        <v>229</v>
      </c>
      <c r="X209" s="125" t="s">
        <v>229</v>
      </c>
      <c r="Y209" s="125" t="s">
        <v>229</v>
      </c>
      <c r="Z209" s="125" t="s">
        <v>229</v>
      </c>
      <c r="AA209" s="125" t="s">
        <v>229</v>
      </c>
      <c r="AB209" s="125" t="s">
        <v>229</v>
      </c>
      <c r="AC209" s="198" t="s">
        <v>229</v>
      </c>
      <c r="AD209" s="198" t="s">
        <v>229</v>
      </c>
      <c r="AE209" s="198" t="s">
        <v>229</v>
      </c>
      <c r="AF209" s="198" t="s">
        <v>229</v>
      </c>
      <c r="AG209" s="198" t="s">
        <v>229</v>
      </c>
      <c r="AH209" s="198" t="s">
        <v>229</v>
      </c>
      <c r="AI209" s="198" t="s">
        <v>229</v>
      </c>
      <c r="AJ209" s="198" t="s">
        <v>229</v>
      </c>
      <c r="AK209" s="198" t="s">
        <v>229</v>
      </c>
      <c r="AL209" s="198" t="s">
        <v>229</v>
      </c>
      <c r="AM209" s="198" t="s">
        <v>229</v>
      </c>
    </row>
    <row r="210" spans="15:39">
      <c r="R210" s="26">
        <f>R208</f>
        <v>20009</v>
      </c>
      <c r="S210" s="26"/>
      <c r="T210">
        <v>10.715</v>
      </c>
      <c r="U210" s="35">
        <f>R210*T210</f>
        <v>214396.435</v>
      </c>
      <c r="V210" s="112">
        <f>AC208</f>
        <v>0</v>
      </c>
      <c r="W210" s="35">
        <f>U210+V210</f>
        <v>214396.435</v>
      </c>
      <c r="X210" s="112">
        <f>V208-W210</f>
        <v>3310.9349999999977</v>
      </c>
      <c r="Z210" s="115"/>
      <c r="AA210" s="115"/>
      <c r="AM210" s="112"/>
    </row>
    <row r="211" spans="15:39">
      <c r="V211" s="112"/>
    </row>
    <row r="212" spans="15:39">
      <c r="S212" s="52" t="s">
        <v>367</v>
      </c>
    </row>
    <row r="213" spans="15:39">
      <c r="P213" s="52"/>
      <c r="Q213" s="52"/>
      <c r="R213" s="52" t="s">
        <v>221</v>
      </c>
      <c r="S213" s="52" t="s">
        <v>343</v>
      </c>
      <c r="T213" s="52" t="s">
        <v>222</v>
      </c>
      <c r="U213" s="52" t="s">
        <v>371</v>
      </c>
      <c r="V213" s="52" t="s">
        <v>368</v>
      </c>
      <c r="W213" s="52" t="s">
        <v>369</v>
      </c>
      <c r="X213" s="52" t="s">
        <v>370</v>
      </c>
      <c r="Y213" s="52" t="s">
        <v>372</v>
      </c>
      <c r="Z213" s="52"/>
      <c r="AA213" s="52"/>
      <c r="AB213" s="52"/>
      <c r="AD213" s="52"/>
      <c r="AE213" s="52"/>
      <c r="AF213" s="52"/>
      <c r="AG213" s="52"/>
      <c r="AH213" s="52"/>
    </row>
    <row r="214" spans="15:39">
      <c r="P214" s="52"/>
      <c r="Q214" s="52"/>
      <c r="R214" s="89" t="s">
        <v>15</v>
      </c>
      <c r="S214" s="89" t="s">
        <v>344</v>
      </c>
      <c r="T214" s="89" t="s">
        <v>227</v>
      </c>
      <c r="U214" s="89" t="s">
        <v>375</v>
      </c>
      <c r="V214" s="89" t="s">
        <v>226</v>
      </c>
      <c r="W214" s="89" t="s">
        <v>373</v>
      </c>
      <c r="X214" s="89" t="s">
        <v>374</v>
      </c>
      <c r="Y214" s="89" t="s">
        <v>376</v>
      </c>
      <c r="Z214" s="52"/>
      <c r="AA214" s="52"/>
      <c r="AB214" s="52"/>
      <c r="AD214" s="52"/>
      <c r="AE214" s="52"/>
      <c r="AF214" s="52"/>
      <c r="AG214" s="52"/>
      <c r="AH214" s="52"/>
    </row>
    <row r="215" spans="15:39"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183" t="s">
        <v>217</v>
      </c>
      <c r="AD215" s="52"/>
      <c r="AE215" s="52"/>
      <c r="AF215" s="52"/>
      <c r="AG215" s="52"/>
      <c r="AH215" s="52"/>
    </row>
    <row r="216" spans="15:39">
      <c r="O216">
        <f>$O$69</f>
        <v>1</v>
      </c>
      <c r="P216" t="s">
        <v>475</v>
      </c>
      <c r="R216" s="117">
        <v>11336.93</v>
      </c>
      <c r="S216" s="117">
        <v>1474.03</v>
      </c>
      <c r="T216" s="117">
        <v>2899.8</v>
      </c>
      <c r="U216" s="117">
        <v>-3141.72</v>
      </c>
      <c r="V216" s="117"/>
      <c r="W216" s="117"/>
      <c r="X216" s="117"/>
      <c r="Z216" s="117"/>
      <c r="AA216" s="117"/>
      <c r="AB216" s="35">
        <f t="shared" ref="AB216:AB227" si="94">SUM(R216:AA216)</f>
        <v>12569.040000000003</v>
      </c>
    </row>
    <row r="217" spans="15:39">
      <c r="P217" t="s">
        <v>476</v>
      </c>
      <c r="R217" s="117">
        <v>8610.91</v>
      </c>
      <c r="S217" s="117">
        <v>1409.8</v>
      </c>
      <c r="T217" s="117">
        <v>3230.17</v>
      </c>
      <c r="U217" s="117">
        <v>-2918.73</v>
      </c>
      <c r="V217" s="117"/>
      <c r="W217" s="117"/>
      <c r="X217" s="117"/>
      <c r="Z217" s="117"/>
      <c r="AA217" s="117"/>
      <c r="AB217" s="35">
        <f t="shared" si="94"/>
        <v>10332.15</v>
      </c>
    </row>
    <row r="218" spans="15:39">
      <c r="P218" t="s">
        <v>477</v>
      </c>
      <c r="R218" s="117">
        <v>9523.01</v>
      </c>
      <c r="S218" s="117">
        <v>1313.61</v>
      </c>
      <c r="T218" s="117">
        <v>2083.65</v>
      </c>
      <c r="U218" s="117">
        <v>-2656.79</v>
      </c>
      <c r="V218" s="117"/>
      <c r="W218" s="117"/>
      <c r="X218" s="117"/>
      <c r="Z218" s="117"/>
      <c r="AA218" s="117"/>
      <c r="AB218" s="35">
        <f t="shared" si="94"/>
        <v>10263.48</v>
      </c>
    </row>
    <row r="219" spans="15:39">
      <c r="P219" t="s">
        <v>478</v>
      </c>
      <c r="R219" s="117">
        <v>3447.18</v>
      </c>
      <c r="S219" s="117">
        <v>1387.44</v>
      </c>
      <c r="T219" s="117">
        <v>2830.36</v>
      </c>
      <c r="U219" s="117">
        <v>-2656.56</v>
      </c>
      <c r="V219" s="117"/>
      <c r="W219" s="117"/>
      <c r="X219" s="117"/>
      <c r="Z219" s="117"/>
      <c r="AA219" s="117"/>
      <c r="AB219" s="35">
        <f t="shared" si="94"/>
        <v>5008.42</v>
      </c>
    </row>
    <row r="220" spans="15:39">
      <c r="P220" t="s">
        <v>479</v>
      </c>
      <c r="R220" s="117">
        <v>10194.89</v>
      </c>
      <c r="S220" s="117">
        <v>1241.8599999999999</v>
      </c>
      <c r="T220" s="117">
        <v>2182.4</v>
      </c>
      <c r="U220" s="117">
        <v>-1903.33</v>
      </c>
      <c r="V220" s="117"/>
      <c r="W220" s="117"/>
      <c r="X220" s="117"/>
      <c r="Y220" s="117"/>
      <c r="Z220" s="117"/>
      <c r="AA220" s="117"/>
      <c r="AB220" s="35">
        <f t="shared" si="94"/>
        <v>11715.82</v>
      </c>
    </row>
    <row r="221" spans="15:39">
      <c r="P221" t="s">
        <v>480</v>
      </c>
      <c r="R221" s="348">
        <v>11496.39</v>
      </c>
      <c r="S221" s="348">
        <v>1290.03</v>
      </c>
      <c r="T221" s="348">
        <v>2366.81</v>
      </c>
      <c r="U221" s="348">
        <v>-2297.37</v>
      </c>
      <c r="V221" s="348"/>
      <c r="W221" s="348"/>
      <c r="X221" s="348"/>
      <c r="Y221" s="348"/>
      <c r="Z221" s="117"/>
      <c r="AA221" s="117"/>
      <c r="AB221" s="35">
        <f t="shared" si="94"/>
        <v>12855.86</v>
      </c>
    </row>
    <row r="222" spans="15:39">
      <c r="P222" t="s">
        <v>481</v>
      </c>
      <c r="R222" s="348">
        <v>13133.06</v>
      </c>
      <c r="S222" s="348">
        <v>2280.67</v>
      </c>
      <c r="T222" s="348">
        <v>1445.8</v>
      </c>
      <c r="U222" s="348">
        <v>-1724.86</v>
      </c>
      <c r="V222" s="348"/>
      <c r="W222" s="348"/>
      <c r="X222" s="348"/>
      <c r="Y222" s="348"/>
      <c r="Z222" s="117"/>
      <c r="AA222" s="117"/>
      <c r="AB222" s="35">
        <f t="shared" si="94"/>
        <v>15134.669999999998</v>
      </c>
    </row>
    <row r="223" spans="15:39">
      <c r="P223" t="s">
        <v>482</v>
      </c>
      <c r="R223" s="348">
        <v>14236.7</v>
      </c>
      <c r="S223" s="348">
        <v>2967.75</v>
      </c>
      <c r="T223" s="348">
        <v>2292.2199999999998</v>
      </c>
      <c r="U223" s="348">
        <v>-2099.84</v>
      </c>
      <c r="V223" s="348"/>
      <c r="W223" s="348"/>
      <c r="X223" s="348"/>
      <c r="Y223" s="348"/>
      <c r="Z223" s="117"/>
      <c r="AA223" s="117"/>
      <c r="AB223" s="35">
        <f t="shared" si="94"/>
        <v>17396.830000000002</v>
      </c>
    </row>
    <row r="224" spans="15:39">
      <c r="P224" t="s">
        <v>483</v>
      </c>
      <c r="R224" s="348">
        <v>11010.62</v>
      </c>
      <c r="S224" s="348">
        <v>2820.12</v>
      </c>
      <c r="T224" s="348">
        <v>1619.89</v>
      </c>
      <c r="U224" s="348">
        <v>-2269.88</v>
      </c>
      <c r="V224" s="348"/>
      <c r="W224" s="348"/>
      <c r="X224" s="348"/>
      <c r="Y224" s="348"/>
      <c r="Z224" s="117"/>
      <c r="AA224" s="117"/>
      <c r="AB224" s="35">
        <f t="shared" si="94"/>
        <v>13180.75</v>
      </c>
    </row>
    <row r="225" spans="12:40">
      <c r="P225" t="s">
        <v>484</v>
      </c>
      <c r="R225" s="348">
        <v>9894.65</v>
      </c>
      <c r="S225" s="348">
        <v>2973.19</v>
      </c>
      <c r="T225" s="348">
        <v>2048.7600000000002</v>
      </c>
      <c r="U225" s="348">
        <v>-2188.9299999999998</v>
      </c>
      <c r="V225" s="348"/>
      <c r="W225" s="348"/>
      <c r="X225" s="348"/>
      <c r="Y225" s="348"/>
      <c r="Z225" s="117"/>
      <c r="AA225" s="117"/>
      <c r="AB225" s="35">
        <f t="shared" si="94"/>
        <v>12727.67</v>
      </c>
    </row>
    <row r="226" spans="12:40">
      <c r="P226" t="str">
        <f t="shared" ref="P226:P227" si="95">P204</f>
        <v>JAN 2023</v>
      </c>
      <c r="R226" s="117">
        <v>9437.86</v>
      </c>
      <c r="S226" s="117">
        <v>3921.47</v>
      </c>
      <c r="T226" s="117">
        <v>6125.7</v>
      </c>
      <c r="U226" s="117">
        <v>-1973.2</v>
      </c>
      <c r="V226" s="117"/>
      <c r="W226" s="117"/>
      <c r="X226" s="117"/>
      <c r="Y226" s="117"/>
      <c r="Z226" s="117"/>
      <c r="AA226" s="117"/>
      <c r="AB226" s="35">
        <f t="shared" si="94"/>
        <v>17511.829999999998</v>
      </c>
    </row>
    <row r="227" spans="12:40">
      <c r="O227">
        <f>$O$80</f>
        <v>12</v>
      </c>
      <c r="P227" t="str">
        <f t="shared" si="95"/>
        <v>FEB</v>
      </c>
      <c r="R227" s="117">
        <v>4009.63</v>
      </c>
      <c r="S227" s="117">
        <v>3081.46</v>
      </c>
      <c r="T227" s="117">
        <v>2257.73</v>
      </c>
      <c r="U227" s="117">
        <v>-1836.3</v>
      </c>
      <c r="V227" s="117"/>
      <c r="W227" s="117"/>
      <c r="X227" s="117"/>
      <c r="Y227" s="117"/>
      <c r="Z227" s="117"/>
      <c r="AA227" s="117"/>
      <c r="AB227" s="35">
        <f t="shared" si="94"/>
        <v>7512.5199999999995</v>
      </c>
    </row>
    <row r="228" spans="12:40"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35"/>
    </row>
    <row r="229" spans="12:40" ht="13.5" thickBot="1">
      <c r="P229" t="s">
        <v>108</v>
      </c>
      <c r="R229" s="119">
        <f t="shared" ref="R229" si="96">SUM(R216:R227)</f>
        <v>116331.82999999999</v>
      </c>
      <c r="S229" s="119"/>
      <c r="T229" s="119">
        <f t="shared" ref="T229:Z229" si="97">SUM(S216:S227)</f>
        <v>26161.429999999997</v>
      </c>
      <c r="U229" s="119">
        <f t="shared" si="97"/>
        <v>31383.29</v>
      </c>
      <c r="V229" s="119">
        <f t="shared" si="97"/>
        <v>-27667.510000000002</v>
      </c>
      <c r="W229" s="119">
        <f t="shared" si="97"/>
        <v>0</v>
      </c>
      <c r="X229" s="119">
        <f t="shared" si="97"/>
        <v>0</v>
      </c>
      <c r="Y229" s="119">
        <f t="shared" si="97"/>
        <v>0</v>
      </c>
      <c r="Z229" s="119">
        <f t="shared" si="97"/>
        <v>0</v>
      </c>
      <c r="AA229" s="117"/>
      <c r="AB229" s="117"/>
      <c r="AC229" s="119">
        <f>SUM(AB216:AB227)</f>
        <v>146209.03999999998</v>
      </c>
    </row>
    <row r="230" spans="12:40" ht="16.5" thickTop="1">
      <c r="P230" s="121" t="s">
        <v>1116</v>
      </c>
      <c r="Q230" s="36"/>
      <c r="R230" s="36"/>
      <c r="S230" s="36"/>
      <c r="AC230" s="191"/>
      <c r="AD230" s="191"/>
      <c r="AE230" s="192" t="s">
        <v>382</v>
      </c>
      <c r="AF230" s="191"/>
      <c r="AG230" s="191"/>
      <c r="AH230" s="191"/>
      <c r="AI230" s="191"/>
      <c r="AJ230" s="191"/>
      <c r="AK230" s="191"/>
      <c r="AL230" s="191"/>
      <c r="AM230" s="193"/>
    </row>
    <row r="231" spans="12:40">
      <c r="X231" s="52" t="s">
        <v>9</v>
      </c>
      <c r="AC231" s="193"/>
      <c r="AD231" s="191"/>
      <c r="AE231" s="192" t="s">
        <v>383</v>
      </c>
      <c r="AF231" s="191"/>
      <c r="AG231" s="191"/>
      <c r="AH231" s="193"/>
      <c r="AI231" s="191"/>
      <c r="AJ231" s="191"/>
      <c r="AK231" s="191"/>
      <c r="AL231" s="192" t="s">
        <v>387</v>
      </c>
      <c r="AM231" s="193"/>
    </row>
    <row r="232" spans="12:40">
      <c r="Q232" s="52" t="s">
        <v>261</v>
      </c>
      <c r="R232" s="52" t="s">
        <v>255</v>
      </c>
      <c r="S232" s="52"/>
      <c r="T232" s="52" t="s">
        <v>245</v>
      </c>
      <c r="X232" s="52" t="s">
        <v>15</v>
      </c>
      <c r="Y232" s="52" t="s">
        <v>245</v>
      </c>
      <c r="AC232" s="192" t="s">
        <v>379</v>
      </c>
      <c r="AD232" s="191" t="s">
        <v>263</v>
      </c>
      <c r="AE232" s="192" t="s">
        <v>348</v>
      </c>
      <c r="AF232" s="192" t="s">
        <v>115</v>
      </c>
      <c r="AG232" s="192" t="s">
        <v>384</v>
      </c>
      <c r="AH232" s="192" t="s">
        <v>385</v>
      </c>
      <c r="AI232" s="192" t="s">
        <v>243</v>
      </c>
      <c r="AJ232" s="192" t="s">
        <v>386</v>
      </c>
      <c r="AK232" s="191" t="s">
        <v>140</v>
      </c>
      <c r="AL232" s="192" t="s">
        <v>388</v>
      </c>
      <c r="AM232" s="193"/>
    </row>
    <row r="233" spans="12:40">
      <c r="Q233" s="52" t="s">
        <v>248</v>
      </c>
      <c r="R233" s="52" t="s">
        <v>224</v>
      </c>
      <c r="S233" s="52"/>
      <c r="T233" s="52" t="s">
        <v>224</v>
      </c>
      <c r="U233" s="52" t="s">
        <v>11</v>
      </c>
      <c r="V233" s="52" t="s">
        <v>219</v>
      </c>
      <c r="W233" s="52" t="s">
        <v>220</v>
      </c>
      <c r="X233" s="52" t="s">
        <v>249</v>
      </c>
      <c r="Y233" s="52" t="s">
        <v>250</v>
      </c>
      <c r="Z233" s="52" t="s">
        <v>251</v>
      </c>
      <c r="AA233" s="52" t="s">
        <v>8</v>
      </c>
      <c r="AB233" s="52" t="s">
        <v>252</v>
      </c>
      <c r="AC233" s="192" t="s">
        <v>380</v>
      </c>
      <c r="AD233" s="192" t="s">
        <v>381</v>
      </c>
      <c r="AE233" s="192" t="s">
        <v>379</v>
      </c>
      <c r="AF233" s="192" t="s">
        <v>263</v>
      </c>
      <c r="AG233" s="192" t="s">
        <v>263</v>
      </c>
      <c r="AH233" s="191" t="s">
        <v>207</v>
      </c>
      <c r="AI233" s="192" t="s">
        <v>348</v>
      </c>
      <c r="AJ233" s="192" t="s">
        <v>80</v>
      </c>
      <c r="AK233" s="191" t="s">
        <v>272</v>
      </c>
      <c r="AL233" s="192" t="s">
        <v>389</v>
      </c>
      <c r="AM233" s="191" t="s">
        <v>217</v>
      </c>
    </row>
    <row r="234" spans="12:40">
      <c r="P234" s="122" t="s">
        <v>134</v>
      </c>
      <c r="Q234" s="122"/>
      <c r="R234" s="122" t="s">
        <v>134</v>
      </c>
      <c r="S234" s="122"/>
      <c r="T234" s="122" t="s">
        <v>134</v>
      </c>
      <c r="U234" s="122" t="s">
        <v>134</v>
      </c>
      <c r="V234" s="122" t="s">
        <v>134</v>
      </c>
      <c r="W234" s="122" t="s">
        <v>134</v>
      </c>
      <c r="X234" s="122" t="s">
        <v>134</v>
      </c>
      <c r="Y234" s="122" t="s">
        <v>134</v>
      </c>
      <c r="Z234" s="122" t="s">
        <v>134</v>
      </c>
      <c r="AA234" s="122" t="s">
        <v>134</v>
      </c>
      <c r="AB234" s="122" t="s">
        <v>134</v>
      </c>
      <c r="AC234" s="194" t="s">
        <v>134</v>
      </c>
      <c r="AD234" s="194" t="s">
        <v>134</v>
      </c>
      <c r="AE234" s="194" t="s">
        <v>134</v>
      </c>
      <c r="AF234" s="194" t="s">
        <v>134</v>
      </c>
      <c r="AG234" s="194" t="s">
        <v>134</v>
      </c>
      <c r="AH234" s="194" t="s">
        <v>134</v>
      </c>
      <c r="AI234" s="194" t="s">
        <v>134</v>
      </c>
      <c r="AJ234" s="194" t="s">
        <v>134</v>
      </c>
      <c r="AK234" s="194" t="s">
        <v>134</v>
      </c>
      <c r="AL234" s="194" t="s">
        <v>134</v>
      </c>
      <c r="AM234" s="194" t="s">
        <v>134</v>
      </c>
    </row>
    <row r="235" spans="12:40">
      <c r="V235" s="112"/>
      <c r="W235" s="112"/>
      <c r="X235" s="112"/>
      <c r="Z235" s="112"/>
      <c r="AC235" s="193"/>
      <c r="AD235" s="193"/>
      <c r="AE235" s="193"/>
      <c r="AF235" s="193"/>
      <c r="AG235" s="193"/>
      <c r="AH235" s="193"/>
      <c r="AI235" s="193"/>
      <c r="AJ235" s="193"/>
      <c r="AK235" s="193">
        <v>3.0000000000000001E-3</v>
      </c>
      <c r="AL235" s="193"/>
      <c r="AM235" s="193"/>
    </row>
    <row r="236" spans="12:40">
      <c r="L236" s="312">
        <f>W236/U236</f>
        <v>3.8049940546967892E-2</v>
      </c>
      <c r="M236" s="309">
        <f t="shared" ref="M236:M241" si="98">N236/R236</f>
        <v>163.33841463414635</v>
      </c>
      <c r="N236" s="112">
        <f t="shared" ref="N236:N241" si="99">V236-AC236</f>
        <v>26787.5</v>
      </c>
      <c r="O236">
        <f>$O$69</f>
        <v>1</v>
      </c>
      <c r="P236" t="s">
        <v>475</v>
      </c>
      <c r="Q236">
        <v>2500</v>
      </c>
      <c r="R236" s="58">
        <v>164</v>
      </c>
      <c r="S236" s="58">
        <v>2500</v>
      </c>
      <c r="T236" s="123"/>
      <c r="U236" s="58">
        <v>78213</v>
      </c>
      <c r="V236" s="112">
        <v>27083.06</v>
      </c>
      <c r="W236" s="112">
        <v>2976</v>
      </c>
      <c r="X236" s="35">
        <v>2965.1499999999996</v>
      </c>
      <c r="Y236" s="112"/>
      <c r="Z236" s="112">
        <v>33024.21</v>
      </c>
      <c r="AA236" s="112">
        <v>33358.85</v>
      </c>
      <c r="AB236" s="112">
        <v>334.63999999999942</v>
      </c>
      <c r="AC236">
        <v>295.56</v>
      </c>
      <c r="AD236" s="193"/>
      <c r="AE236" s="193"/>
      <c r="AF236" s="193"/>
      <c r="AG236" s="193"/>
      <c r="AH236" s="195"/>
      <c r="AI236" s="193">
        <v>100</v>
      </c>
      <c r="AJ236" s="193"/>
      <c r="AK236" s="193">
        <f>U236*AK235</f>
        <v>234.63900000000001</v>
      </c>
      <c r="AL236" s="193"/>
      <c r="AM236" s="193">
        <f>SUM(AI236:AL236)</f>
        <v>334.63900000000001</v>
      </c>
      <c r="AN236" s="35">
        <f>AM236-AB236</f>
        <v>-9.9999999940791895E-4</v>
      </c>
    </row>
    <row r="237" spans="12:40">
      <c r="L237" s="312">
        <f t="shared" ref="L237:L247" si="100">W237/U237</f>
        <v>3.8050017839621801E-2</v>
      </c>
      <c r="M237" s="309">
        <f t="shared" si="98"/>
        <v>146.37978142076503</v>
      </c>
      <c r="N237" s="112">
        <f t="shared" si="99"/>
        <v>26787.5</v>
      </c>
      <c r="P237" t="s">
        <v>476</v>
      </c>
      <c r="Q237">
        <v>2500</v>
      </c>
      <c r="R237" s="58">
        <v>183</v>
      </c>
      <c r="S237" s="58">
        <v>2500</v>
      </c>
      <c r="T237" s="123"/>
      <c r="U237" s="58">
        <v>89688</v>
      </c>
      <c r="V237" s="112">
        <v>27114.85</v>
      </c>
      <c r="W237" s="112">
        <v>3412.63</v>
      </c>
      <c r="X237" s="35">
        <v>3196.92</v>
      </c>
      <c r="Y237" s="112"/>
      <c r="Z237" s="112">
        <v>33724.400000000001</v>
      </c>
      <c r="AA237" s="112">
        <v>34093.46</v>
      </c>
      <c r="AB237" s="112">
        <v>369.05999999999767</v>
      </c>
      <c r="AC237">
        <v>327.35000000000002</v>
      </c>
      <c r="AD237" s="193"/>
      <c r="AE237" s="193"/>
      <c r="AF237" s="193"/>
      <c r="AG237" s="193"/>
      <c r="AH237" s="195"/>
      <c r="AI237" s="193">
        <v>100</v>
      </c>
      <c r="AJ237" s="193"/>
      <c r="AK237" s="193">
        <f>U237*AK235</f>
        <v>269.06400000000002</v>
      </c>
      <c r="AL237" s="193"/>
      <c r="AM237" s="193">
        <f t="shared" ref="AM237:AM246" si="101">SUM(AI237:AL237)</f>
        <v>369.06400000000002</v>
      </c>
      <c r="AN237" s="35">
        <f t="shared" ref="AN237:AN247" si="102">AM237-AB237</f>
        <v>4.0000000023496796E-3</v>
      </c>
    </row>
    <row r="238" spans="12:40">
      <c r="L238" s="312">
        <f t="shared" si="100"/>
        <v>3.8049985895627643E-2</v>
      </c>
      <c r="M238" s="309">
        <f t="shared" si="98"/>
        <v>146.37978142076503</v>
      </c>
      <c r="N238" s="112">
        <f t="shared" si="99"/>
        <v>26787.5</v>
      </c>
      <c r="P238" t="s">
        <v>477</v>
      </c>
      <c r="Q238">
        <v>2500</v>
      </c>
      <c r="R238" s="58">
        <v>183</v>
      </c>
      <c r="S238" s="58">
        <v>2500</v>
      </c>
      <c r="T238" s="58"/>
      <c r="U238" s="58">
        <v>88625</v>
      </c>
      <c r="V238" s="112">
        <v>27162.91</v>
      </c>
      <c r="W238" s="112">
        <v>3372.18</v>
      </c>
      <c r="X238" s="35">
        <v>2756.3500000000004</v>
      </c>
      <c r="Y238" s="112"/>
      <c r="Z238" s="112">
        <v>33291.440000000002</v>
      </c>
      <c r="AA238" s="112">
        <v>33657.32</v>
      </c>
      <c r="AB238" s="112">
        <v>365.87999999999738</v>
      </c>
      <c r="AC238">
        <v>375.41</v>
      </c>
      <c r="AD238" s="193"/>
      <c r="AE238" s="193"/>
      <c r="AF238" s="193"/>
      <c r="AG238" s="193"/>
      <c r="AH238" s="195"/>
      <c r="AI238" s="193">
        <v>100</v>
      </c>
      <c r="AJ238" s="193"/>
      <c r="AK238" s="193">
        <f>U238*AK235</f>
        <v>265.875</v>
      </c>
      <c r="AL238" s="193"/>
      <c r="AM238" s="193">
        <f t="shared" si="101"/>
        <v>365.875</v>
      </c>
      <c r="AN238" s="35">
        <f t="shared" si="102"/>
        <v>-4.9999999973806553E-3</v>
      </c>
    </row>
    <row r="239" spans="12:40">
      <c r="L239" s="312">
        <f t="shared" si="100"/>
        <v>3.8049986052998606E-2</v>
      </c>
      <c r="M239" s="309">
        <f t="shared" si="98"/>
        <v>146.37978142076503</v>
      </c>
      <c r="N239" s="112">
        <f t="shared" si="99"/>
        <v>26787.5</v>
      </c>
      <c r="P239" t="s">
        <v>478</v>
      </c>
      <c r="Q239">
        <v>2500</v>
      </c>
      <c r="R239" s="58">
        <v>183</v>
      </c>
      <c r="S239" s="58">
        <v>2500</v>
      </c>
      <c r="T239" s="58"/>
      <c r="U239" s="58">
        <v>89625</v>
      </c>
      <c r="V239" s="112">
        <v>27117.85</v>
      </c>
      <c r="W239" s="112">
        <v>3410.23</v>
      </c>
      <c r="X239" s="35">
        <v>2328.86</v>
      </c>
      <c r="Y239" s="112"/>
      <c r="Z239" s="112">
        <v>32856.939999999995</v>
      </c>
      <c r="AA239" s="112">
        <v>33225.82</v>
      </c>
      <c r="AB239" s="112">
        <v>368.88000000000466</v>
      </c>
      <c r="AC239">
        <v>330.35</v>
      </c>
      <c r="AD239" s="193"/>
      <c r="AE239" s="193"/>
      <c r="AF239" s="193"/>
      <c r="AG239" s="193"/>
      <c r="AH239" s="195"/>
      <c r="AI239" s="193">
        <v>100</v>
      </c>
      <c r="AJ239" s="193"/>
      <c r="AK239" s="193">
        <f>U239*AK235</f>
        <v>268.875</v>
      </c>
      <c r="AL239" s="193"/>
      <c r="AM239" s="193">
        <f t="shared" si="101"/>
        <v>368.875</v>
      </c>
      <c r="AN239" s="35">
        <f t="shared" si="102"/>
        <v>-5.0000000046566129E-3</v>
      </c>
    </row>
    <row r="240" spans="12:40">
      <c r="L240" s="312">
        <f t="shared" si="100"/>
        <v>3.8050063535873854E-2</v>
      </c>
      <c r="M240" s="309">
        <f t="shared" si="98"/>
        <v>202.93560606060606</v>
      </c>
      <c r="N240" s="112">
        <f t="shared" si="99"/>
        <v>26787.5</v>
      </c>
      <c r="P240" t="s">
        <v>479</v>
      </c>
      <c r="Q240">
        <v>2500</v>
      </c>
      <c r="R240" s="58">
        <v>132</v>
      </c>
      <c r="S240" s="58">
        <v>2500</v>
      </c>
      <c r="T240" s="58"/>
      <c r="U240" s="58">
        <v>73187</v>
      </c>
      <c r="V240" s="112">
        <v>27143.27</v>
      </c>
      <c r="W240" s="112">
        <v>2784.77</v>
      </c>
      <c r="X240" s="35">
        <v>2829.11</v>
      </c>
      <c r="Y240" s="112"/>
      <c r="Z240" s="112">
        <v>32757.15</v>
      </c>
      <c r="AA240" s="112">
        <v>33076.71</v>
      </c>
      <c r="AB240" s="112">
        <v>319.55999999999767</v>
      </c>
      <c r="AC240">
        <v>355.77</v>
      </c>
      <c r="AD240" s="193"/>
      <c r="AE240" s="193"/>
      <c r="AF240" s="193"/>
      <c r="AG240" s="193"/>
      <c r="AH240" s="195"/>
      <c r="AI240" s="193">
        <v>100</v>
      </c>
      <c r="AJ240" s="193"/>
      <c r="AK240" s="193">
        <f>U240*AK235</f>
        <v>219.56100000000001</v>
      </c>
      <c r="AL240" s="193"/>
      <c r="AM240" s="193">
        <f t="shared" si="101"/>
        <v>319.56100000000004</v>
      </c>
      <c r="AN240" s="35">
        <f t="shared" si="102"/>
        <v>1.0000000023637767E-3</v>
      </c>
    </row>
    <row r="241" spans="12:40">
      <c r="L241" s="312">
        <f t="shared" si="100"/>
        <v>3.8049937845026936E-2</v>
      </c>
      <c r="M241" s="309">
        <f t="shared" si="98"/>
        <v>212.59920634920636</v>
      </c>
      <c r="N241" s="112">
        <f t="shared" si="99"/>
        <v>26787.5</v>
      </c>
      <c r="P241" t="s">
        <v>480</v>
      </c>
      <c r="Q241">
        <v>2500</v>
      </c>
      <c r="R241" s="58">
        <v>126</v>
      </c>
      <c r="S241" s="58">
        <v>2500</v>
      </c>
      <c r="T241" s="58"/>
      <c r="U241" s="58">
        <v>74813</v>
      </c>
      <c r="V241" s="112">
        <v>27109.9</v>
      </c>
      <c r="W241" s="112">
        <v>2846.63</v>
      </c>
      <c r="X241" s="35">
        <v>3011.46</v>
      </c>
      <c r="Y241" s="112"/>
      <c r="Z241" s="112">
        <v>32967.990000000005</v>
      </c>
      <c r="AA241" s="112">
        <v>33292.43</v>
      </c>
      <c r="AB241" s="112">
        <v>324.43999999999505</v>
      </c>
      <c r="AC241">
        <v>322.39999999999998</v>
      </c>
      <c r="AD241" s="193"/>
      <c r="AE241" s="193"/>
      <c r="AF241" s="193"/>
      <c r="AG241" s="193"/>
      <c r="AH241" s="195"/>
      <c r="AI241" s="193">
        <v>100</v>
      </c>
      <c r="AJ241" s="193"/>
      <c r="AK241" s="193">
        <f>U241*AK235</f>
        <v>224.43899999999999</v>
      </c>
      <c r="AL241" s="193"/>
      <c r="AM241" s="193">
        <f t="shared" si="101"/>
        <v>324.43899999999996</v>
      </c>
      <c r="AN241" s="35">
        <f t="shared" si="102"/>
        <v>-9.9999999508781912E-4</v>
      </c>
    </row>
    <row r="242" spans="12:40">
      <c r="L242" s="312">
        <f t="shared" si="100"/>
        <v>3.8049959922840458E-2</v>
      </c>
      <c r="M242" s="309">
        <f t="shared" ref="M242:M247" si="103">N242/R242</f>
        <v>86.690938511326863</v>
      </c>
      <c r="N242" s="112">
        <f t="shared" ref="N242:N247" si="104">V242-AC242</f>
        <v>26787.5</v>
      </c>
      <c r="P242" t="s">
        <v>481</v>
      </c>
      <c r="Q242">
        <v>2500</v>
      </c>
      <c r="R242" s="58">
        <v>309</v>
      </c>
      <c r="S242" s="58">
        <v>2500</v>
      </c>
      <c r="T242" s="58"/>
      <c r="U242" s="58">
        <v>113531</v>
      </c>
      <c r="V242" s="112">
        <v>27135.18</v>
      </c>
      <c r="W242" s="112">
        <v>4319.8500000000004</v>
      </c>
      <c r="X242" s="35">
        <v>5196.08</v>
      </c>
      <c r="Y242" s="112"/>
      <c r="Z242" s="112">
        <v>36651.11</v>
      </c>
      <c r="AA242" s="112">
        <v>37091.71</v>
      </c>
      <c r="AB242" s="112">
        <v>440.59999999999854</v>
      </c>
      <c r="AC242">
        <v>347.68</v>
      </c>
      <c r="AD242" s="193"/>
      <c r="AE242" s="193"/>
      <c r="AF242" s="193"/>
      <c r="AG242" s="193"/>
      <c r="AH242" s="195"/>
      <c r="AI242" s="193">
        <v>100</v>
      </c>
      <c r="AJ242" s="193"/>
      <c r="AK242" s="193">
        <f>U242*AK235</f>
        <v>340.59300000000002</v>
      </c>
      <c r="AL242" s="193"/>
      <c r="AM242" s="193">
        <f t="shared" si="101"/>
        <v>440.59300000000002</v>
      </c>
      <c r="AN242" s="35">
        <f t="shared" si="102"/>
        <v>-6.9999999985270733E-3</v>
      </c>
    </row>
    <row r="243" spans="12:40">
      <c r="L243" s="312">
        <f t="shared" si="100"/>
        <v>3.8049986326417894E-2</v>
      </c>
      <c r="M243" s="309">
        <f t="shared" si="103"/>
        <v>83.450155763239877</v>
      </c>
      <c r="N243" s="112">
        <f t="shared" si="104"/>
        <v>26787.5</v>
      </c>
      <c r="P243" t="s">
        <v>482</v>
      </c>
      <c r="Q243">
        <v>2500</v>
      </c>
      <c r="R243" s="58">
        <v>321</v>
      </c>
      <c r="S243" s="58">
        <v>2500</v>
      </c>
      <c r="T243" s="58"/>
      <c r="U243" s="58">
        <v>186491</v>
      </c>
      <c r="V243" s="112">
        <v>27517.63</v>
      </c>
      <c r="W243" s="112">
        <v>7095.98</v>
      </c>
      <c r="X243" s="35">
        <v>7393.23</v>
      </c>
      <c r="Y243" s="112"/>
      <c r="Z243" s="112">
        <v>42006.84</v>
      </c>
      <c r="AA243" s="112">
        <v>42666.32</v>
      </c>
      <c r="AB243" s="112">
        <v>659.4800000000032</v>
      </c>
      <c r="AC243">
        <v>730.13</v>
      </c>
      <c r="AD243" s="193"/>
      <c r="AE243" s="193"/>
      <c r="AF243" s="193"/>
      <c r="AG243" s="193"/>
      <c r="AH243" s="195"/>
      <c r="AI243" s="193">
        <v>100</v>
      </c>
      <c r="AJ243" s="193"/>
      <c r="AK243" s="193">
        <f>U243*AK235</f>
        <v>559.47299999999996</v>
      </c>
      <c r="AL243" s="193"/>
      <c r="AM243" s="193">
        <f t="shared" si="101"/>
        <v>659.47299999999996</v>
      </c>
      <c r="AN243" s="35">
        <f t="shared" si="102"/>
        <v>-7.0000000032450771E-3</v>
      </c>
    </row>
    <row r="244" spans="12:40">
      <c r="L244" s="312">
        <f t="shared" si="100"/>
        <v>3.8050006464124111E-2</v>
      </c>
      <c r="M244" s="309">
        <f t="shared" si="103"/>
        <v>75.885269121813025</v>
      </c>
      <c r="N244" s="112">
        <f t="shared" si="104"/>
        <v>26787.5</v>
      </c>
      <c r="P244" t="s">
        <v>483</v>
      </c>
      <c r="Q244">
        <v>2500</v>
      </c>
      <c r="R244" s="58">
        <v>353</v>
      </c>
      <c r="S244" s="58">
        <v>2500</v>
      </c>
      <c r="T244" s="58"/>
      <c r="U244" s="58">
        <v>193375</v>
      </c>
      <c r="V244" s="112">
        <v>27714.04</v>
      </c>
      <c r="W244" s="112">
        <v>7357.92</v>
      </c>
      <c r="X244" s="35">
        <v>6085.7400000000007</v>
      </c>
      <c r="Y244" s="112"/>
      <c r="Z244" s="112">
        <v>41157.699999999997</v>
      </c>
      <c r="AA244" s="112">
        <v>41837.82</v>
      </c>
      <c r="AB244" s="112">
        <v>680.12000000000262</v>
      </c>
      <c r="AC244">
        <v>926.54000000000008</v>
      </c>
      <c r="AD244" s="193"/>
      <c r="AE244" s="193"/>
      <c r="AF244" s="193"/>
      <c r="AG244" s="193"/>
      <c r="AH244" s="195"/>
      <c r="AI244" s="193">
        <v>100</v>
      </c>
      <c r="AJ244" s="193"/>
      <c r="AK244" s="193">
        <f>U244*AK235</f>
        <v>580.125</v>
      </c>
      <c r="AL244" s="193"/>
      <c r="AM244" s="193">
        <f t="shared" si="101"/>
        <v>680.125</v>
      </c>
      <c r="AN244" s="35">
        <f t="shared" si="102"/>
        <v>4.9999999973806553E-3</v>
      </c>
    </row>
    <row r="245" spans="12:40">
      <c r="L245" s="312">
        <f t="shared" si="100"/>
        <v>3.8049968847352025E-2</v>
      </c>
      <c r="M245" s="309">
        <f t="shared" si="103"/>
        <v>78.786176470588231</v>
      </c>
      <c r="N245" s="112">
        <f t="shared" si="104"/>
        <v>26787.3</v>
      </c>
      <c r="P245" t="s">
        <v>484</v>
      </c>
      <c r="Q245">
        <v>2500</v>
      </c>
      <c r="R245" s="58">
        <v>340</v>
      </c>
      <c r="S245" s="58">
        <v>2500</v>
      </c>
      <c r="T245" s="58"/>
      <c r="U245" s="58">
        <v>160500</v>
      </c>
      <c r="V245" s="112">
        <v>27707.759999999998</v>
      </c>
      <c r="W245" s="112">
        <v>6107.02</v>
      </c>
      <c r="X245" s="35">
        <v>4978.7299999999996</v>
      </c>
      <c r="Y245" s="112"/>
      <c r="Z245" s="112">
        <v>38793.509999999995</v>
      </c>
      <c r="AA245" s="112">
        <v>39375.22</v>
      </c>
      <c r="AB245" s="112">
        <v>581.7100000000064</v>
      </c>
      <c r="AC245">
        <v>920.46</v>
      </c>
      <c r="AD245" s="193"/>
      <c r="AE245" s="193"/>
      <c r="AF245" s="195"/>
      <c r="AG245" s="195"/>
      <c r="AH245" s="195"/>
      <c r="AI245" s="193">
        <v>100</v>
      </c>
      <c r="AJ245" s="193"/>
      <c r="AK245" s="193">
        <f>U245*AK235</f>
        <v>481.5</v>
      </c>
      <c r="AL245" s="193"/>
      <c r="AM245" s="193">
        <f t="shared" si="101"/>
        <v>581.5</v>
      </c>
      <c r="AN245" s="35">
        <f t="shared" si="102"/>
        <v>-0.21000000000640284</v>
      </c>
    </row>
    <row r="246" spans="12:40">
      <c r="L246" s="312">
        <f t="shared" si="100"/>
        <v>3.805003106459387E-2</v>
      </c>
      <c r="M246" s="309">
        <f t="shared" si="103"/>
        <v>70.866402116402114</v>
      </c>
      <c r="N246" s="112">
        <f t="shared" si="104"/>
        <v>26787.5</v>
      </c>
      <c r="P246" s="169" t="s">
        <v>1091</v>
      </c>
      <c r="Q246">
        <v>2500</v>
      </c>
      <c r="R246" s="58">
        <v>378</v>
      </c>
      <c r="S246" s="58">
        <v>2500</v>
      </c>
      <c r="T246" s="123"/>
      <c r="U246" s="58">
        <v>146469</v>
      </c>
      <c r="V246" s="112">
        <v>27490.92</v>
      </c>
      <c r="W246" s="112">
        <v>5573.15</v>
      </c>
      <c r="X246" s="35">
        <f t="shared" ref="X246:X247" si="105">SUM(R268:Y268)</f>
        <v>6319.4599999999991</v>
      </c>
      <c r="Y246" s="112"/>
      <c r="Z246" s="112">
        <f t="shared" ref="Z246:Z247" si="106">SUM(V246:Y246)</f>
        <v>39383.53</v>
      </c>
      <c r="AA246" s="112">
        <v>39922.93</v>
      </c>
      <c r="AB246" s="112">
        <f t="shared" ref="AB246:AB247" si="107">AA246-Z246</f>
        <v>539.40000000000146</v>
      </c>
      <c r="AC246" s="445">
        <f>514.98+188.44</f>
        <v>703.42000000000007</v>
      </c>
      <c r="AD246" s="193"/>
      <c r="AE246" s="193"/>
      <c r="AF246" s="195"/>
      <c r="AG246" s="195"/>
      <c r="AH246" s="195"/>
      <c r="AI246" s="193">
        <v>100</v>
      </c>
      <c r="AJ246" s="193"/>
      <c r="AK246" s="193">
        <f>U246*AK235</f>
        <v>439.40699999999998</v>
      </c>
      <c r="AL246" s="193"/>
      <c r="AM246" s="193">
        <f t="shared" si="101"/>
        <v>539.40699999999993</v>
      </c>
      <c r="AN246" s="35">
        <f t="shared" si="102"/>
        <v>6.9999999984702299E-3</v>
      </c>
    </row>
    <row r="247" spans="12:40">
      <c r="L247" s="312">
        <f t="shared" si="100"/>
        <v>3.8049977382698448E-2</v>
      </c>
      <c r="M247" s="309">
        <f t="shared" si="103"/>
        <v>66.470223325062037</v>
      </c>
      <c r="N247" s="112">
        <f t="shared" si="104"/>
        <v>26787.5</v>
      </c>
      <c r="O247">
        <f>$O$80</f>
        <v>12</v>
      </c>
      <c r="P247" t="s">
        <v>474</v>
      </c>
      <c r="Q247">
        <v>2500</v>
      </c>
      <c r="R247" s="58">
        <v>403</v>
      </c>
      <c r="S247" s="58">
        <v>2500</v>
      </c>
      <c r="T247" s="123"/>
      <c r="U247" s="58">
        <v>145906</v>
      </c>
      <c r="V247" s="112">
        <v>27478.48</v>
      </c>
      <c r="W247" s="112">
        <v>5551.72</v>
      </c>
      <c r="X247" s="35">
        <f t="shared" si="105"/>
        <v>3224.37</v>
      </c>
      <c r="Y247" s="112"/>
      <c r="Z247" s="112">
        <f t="shared" si="106"/>
        <v>36254.57</v>
      </c>
      <c r="AA247" s="112">
        <v>36792.29</v>
      </c>
      <c r="AB247" s="112">
        <f t="shared" si="107"/>
        <v>537.72000000000116</v>
      </c>
      <c r="AC247" s="445">
        <f>505.95+185.03</f>
        <v>690.98</v>
      </c>
      <c r="AD247" s="193"/>
      <c r="AE247" s="193"/>
      <c r="AF247" s="195"/>
      <c r="AG247" s="195"/>
      <c r="AH247" s="195"/>
      <c r="AI247" s="193">
        <v>100</v>
      </c>
      <c r="AJ247" s="193"/>
      <c r="AK247" s="193">
        <f>U247*AK235</f>
        <v>437.71800000000002</v>
      </c>
      <c r="AL247" s="193"/>
      <c r="AM247" s="193">
        <f>SUM(AI247:AL247)</f>
        <v>537.71800000000007</v>
      </c>
      <c r="AN247" s="35">
        <f t="shared" si="102"/>
        <v>-2.0000000010895747E-3</v>
      </c>
    </row>
    <row r="248" spans="12:40">
      <c r="R248" s="125" t="s">
        <v>134</v>
      </c>
      <c r="S248" s="125"/>
      <c r="T248" s="125" t="s">
        <v>134</v>
      </c>
      <c r="U248" s="125" t="s">
        <v>134</v>
      </c>
      <c r="V248" s="125" t="s">
        <v>134</v>
      </c>
      <c r="W248" s="125" t="s">
        <v>134</v>
      </c>
      <c r="X248" s="125" t="s">
        <v>134</v>
      </c>
      <c r="Y248" s="125" t="s">
        <v>134</v>
      </c>
      <c r="Z248" s="125" t="s">
        <v>134</v>
      </c>
      <c r="AA248" s="125" t="s">
        <v>134</v>
      </c>
      <c r="AB248" s="125" t="s">
        <v>134</v>
      </c>
      <c r="AC248" s="193"/>
      <c r="AD248" s="193"/>
      <c r="AE248" s="193"/>
      <c r="AF248" s="193"/>
      <c r="AG248" s="193"/>
      <c r="AH248" s="193"/>
      <c r="AI248" s="193"/>
      <c r="AJ248" s="193"/>
      <c r="AK248" s="193"/>
      <c r="AL248" s="193"/>
      <c r="AM248" s="193"/>
    </row>
    <row r="249" spans="12:40">
      <c r="R249" s="58"/>
      <c r="S249" s="58"/>
      <c r="T249" s="58"/>
      <c r="U249" s="58"/>
      <c r="V249" s="112"/>
      <c r="W249" s="112"/>
      <c r="X249" s="112"/>
      <c r="Z249" s="112"/>
      <c r="AA249" s="112"/>
      <c r="AB249" s="112"/>
      <c r="AC249" s="193"/>
      <c r="AD249" s="193"/>
      <c r="AE249" s="193"/>
      <c r="AF249" s="193"/>
      <c r="AG249" s="193"/>
      <c r="AH249" s="193"/>
      <c r="AI249" s="193"/>
      <c r="AJ249" s="193"/>
      <c r="AK249" s="193"/>
      <c r="AL249" s="193"/>
      <c r="AM249" s="193"/>
    </row>
    <row r="250" spans="12:40">
      <c r="R250" s="58">
        <f t="shared" ref="R250:AB250" si="108">SUM(R236:R247)</f>
        <v>3075</v>
      </c>
      <c r="S250" s="58"/>
      <c r="T250" s="58">
        <f t="shared" si="108"/>
        <v>0</v>
      </c>
      <c r="U250" s="58">
        <f t="shared" si="108"/>
        <v>1440423</v>
      </c>
      <c r="V250" s="112">
        <f t="shared" si="108"/>
        <v>327775.84999999998</v>
      </c>
      <c r="W250" s="112">
        <f t="shared" si="108"/>
        <v>54808.080000000009</v>
      </c>
      <c r="X250" s="112">
        <f t="shared" si="108"/>
        <v>50285.460000000006</v>
      </c>
      <c r="Y250" s="112">
        <f t="shared" si="108"/>
        <v>0</v>
      </c>
      <c r="Z250" s="112">
        <f t="shared" si="108"/>
        <v>432869.38999999996</v>
      </c>
      <c r="AA250" s="112">
        <f t="shared" si="108"/>
        <v>438390.88</v>
      </c>
      <c r="AB250" s="112">
        <f t="shared" si="108"/>
        <v>5521.4900000000052</v>
      </c>
      <c r="AC250" s="197">
        <f t="shared" ref="AC250:AM250" si="109">SUM(AC236:AC247)</f>
        <v>6326.0499999999993</v>
      </c>
      <c r="AD250" s="197">
        <f t="shared" si="109"/>
        <v>0</v>
      </c>
      <c r="AE250" s="197">
        <f t="shared" si="109"/>
        <v>0</v>
      </c>
      <c r="AF250" s="197">
        <f t="shared" si="109"/>
        <v>0</v>
      </c>
      <c r="AG250" s="197">
        <f t="shared" si="109"/>
        <v>0</v>
      </c>
      <c r="AH250" s="197">
        <f t="shared" si="109"/>
        <v>0</v>
      </c>
      <c r="AI250" s="197">
        <f t="shared" si="109"/>
        <v>1200</v>
      </c>
      <c r="AJ250" s="197">
        <f t="shared" si="109"/>
        <v>0</v>
      </c>
      <c r="AK250" s="197">
        <f t="shared" si="109"/>
        <v>4321.2690000000002</v>
      </c>
      <c r="AL250" s="197">
        <f t="shared" si="109"/>
        <v>0</v>
      </c>
      <c r="AM250" s="197">
        <f t="shared" si="109"/>
        <v>5521.2690000000002</v>
      </c>
    </row>
    <row r="251" spans="12:40">
      <c r="R251" s="124" t="s">
        <v>229</v>
      </c>
      <c r="S251" s="124"/>
      <c r="T251" s="124" t="s">
        <v>229</v>
      </c>
      <c r="U251" s="124" t="s">
        <v>229</v>
      </c>
      <c r="V251" s="125" t="s">
        <v>229</v>
      </c>
      <c r="W251" s="125" t="s">
        <v>229</v>
      </c>
      <c r="X251" s="125" t="s">
        <v>229</v>
      </c>
      <c r="Y251" s="125" t="s">
        <v>229</v>
      </c>
      <c r="Z251" s="125" t="s">
        <v>229</v>
      </c>
      <c r="AA251" s="125" t="s">
        <v>229</v>
      </c>
      <c r="AB251" s="125" t="s">
        <v>229</v>
      </c>
      <c r="AC251" s="198" t="s">
        <v>229</v>
      </c>
      <c r="AD251" s="198" t="s">
        <v>229</v>
      </c>
      <c r="AE251" s="198" t="s">
        <v>229</v>
      </c>
      <c r="AF251" s="198" t="s">
        <v>229</v>
      </c>
      <c r="AG251" s="198" t="s">
        <v>229</v>
      </c>
      <c r="AH251" s="198" t="s">
        <v>229</v>
      </c>
      <c r="AI251" s="198" t="s">
        <v>229</v>
      </c>
      <c r="AJ251" s="198" t="s">
        <v>229</v>
      </c>
      <c r="AK251" s="198" t="s">
        <v>229</v>
      </c>
      <c r="AL251" s="198" t="s">
        <v>229</v>
      </c>
      <c r="AM251" s="198" t="s">
        <v>229</v>
      </c>
    </row>
    <row r="252" spans="12:40">
      <c r="R252" s="26">
        <f>R250</f>
        <v>3075</v>
      </c>
      <c r="S252" s="26"/>
      <c r="T252">
        <v>10.715</v>
      </c>
      <c r="U252" s="35">
        <f>R252*T252</f>
        <v>32948.625</v>
      </c>
      <c r="V252" s="112">
        <f>AC250</f>
        <v>6326.0499999999993</v>
      </c>
      <c r="W252" s="35">
        <f>U252+V252</f>
        <v>39274.675000000003</v>
      </c>
      <c r="X252" s="112">
        <f>V250-W252</f>
        <v>288501.17499999999</v>
      </c>
    </row>
    <row r="253" spans="12:40">
      <c r="X253" t="s">
        <v>213</v>
      </c>
    </row>
    <row r="254" spans="12:40">
      <c r="S254" s="52" t="s">
        <v>367</v>
      </c>
    </row>
    <row r="255" spans="12:40">
      <c r="P255" s="52"/>
      <c r="Q255" s="52"/>
      <c r="R255" s="52" t="s">
        <v>221</v>
      </c>
      <c r="S255" s="52" t="s">
        <v>343</v>
      </c>
      <c r="T255" s="52" t="s">
        <v>222</v>
      </c>
      <c r="U255" s="52" t="s">
        <v>371</v>
      </c>
      <c r="V255" s="52" t="s">
        <v>368</v>
      </c>
      <c r="W255" s="52" t="s">
        <v>369</v>
      </c>
      <c r="X255" s="52" t="s">
        <v>370</v>
      </c>
      <c r="Y255" s="52" t="s">
        <v>372</v>
      </c>
      <c r="Z255" s="52"/>
      <c r="AA255" s="52"/>
      <c r="AB255" s="52"/>
      <c r="AD255" s="52"/>
      <c r="AE255" s="52"/>
      <c r="AF255" s="52"/>
      <c r="AG255" s="52"/>
      <c r="AH255" s="52"/>
    </row>
    <row r="256" spans="12:40">
      <c r="P256" s="52"/>
      <c r="Q256" s="52"/>
      <c r="R256" s="89" t="s">
        <v>15</v>
      </c>
      <c r="S256" s="89" t="s">
        <v>344</v>
      </c>
      <c r="T256" s="89" t="s">
        <v>227</v>
      </c>
      <c r="U256" s="89" t="s">
        <v>375</v>
      </c>
      <c r="V256" s="89" t="s">
        <v>226</v>
      </c>
      <c r="W256" s="89" t="s">
        <v>373</v>
      </c>
      <c r="X256" s="89" t="s">
        <v>374</v>
      </c>
      <c r="Y256" s="89" t="s">
        <v>376</v>
      </c>
      <c r="Z256" s="52"/>
      <c r="AA256" s="52"/>
      <c r="AB256" s="52"/>
      <c r="AD256" s="52"/>
      <c r="AE256" s="52"/>
      <c r="AF256" s="52"/>
      <c r="AG256" s="52"/>
      <c r="AH256" s="52"/>
    </row>
    <row r="257" spans="13:39"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183" t="s">
        <v>217</v>
      </c>
      <c r="AD257" s="52"/>
      <c r="AE257" s="52"/>
      <c r="AF257" s="52"/>
      <c r="AG257" s="52"/>
      <c r="AH257" s="52"/>
    </row>
    <row r="258" spans="13:39">
      <c r="M258" s="112"/>
      <c r="N258" s="112"/>
      <c r="O258">
        <f>$O$69</f>
        <v>1</v>
      </c>
      <c r="P258" t="str">
        <f t="shared" ref="P258:P269" si="110">P236</f>
        <v>MAR</v>
      </c>
      <c r="R258" s="117">
        <v>1499.66</v>
      </c>
      <c r="S258" s="117">
        <v>194.99</v>
      </c>
      <c r="T258" s="117">
        <v>1686.09</v>
      </c>
      <c r="U258" s="117">
        <v>-415.59</v>
      </c>
      <c r="V258" s="117"/>
      <c r="W258" s="117"/>
      <c r="X258" s="117"/>
      <c r="Z258" s="117"/>
      <c r="AA258" s="117"/>
      <c r="AB258" s="35">
        <f t="shared" ref="AB258:AB267" si="111">SUM(R258:AA258)</f>
        <v>2965.1499999999996</v>
      </c>
    </row>
    <row r="259" spans="13:39">
      <c r="M259" s="112"/>
      <c r="N259" s="112"/>
      <c r="P259" t="str">
        <f t="shared" si="110"/>
        <v>APR</v>
      </c>
      <c r="R259" s="117">
        <v>1365.68</v>
      </c>
      <c r="S259" s="117">
        <v>223.59</v>
      </c>
      <c r="T259" s="117">
        <v>2070.56</v>
      </c>
      <c r="U259" s="117">
        <v>-462.91</v>
      </c>
      <c r="V259" s="117"/>
      <c r="W259" s="117"/>
      <c r="X259" s="117"/>
      <c r="Z259" s="117"/>
      <c r="AA259" s="117"/>
      <c r="AB259" s="35">
        <f t="shared" si="111"/>
        <v>3196.92</v>
      </c>
    </row>
    <row r="260" spans="13:39">
      <c r="M260" s="112"/>
      <c r="N260" s="112"/>
      <c r="P260" t="str">
        <f t="shared" si="110"/>
        <v>MAY</v>
      </c>
      <c r="R260" s="117">
        <v>1601.72</v>
      </c>
      <c r="S260" s="117">
        <v>220.94</v>
      </c>
      <c r="T260" s="117">
        <v>1380.69</v>
      </c>
      <c r="U260" s="117">
        <v>-447</v>
      </c>
      <c r="V260" s="117"/>
      <c r="W260" s="117"/>
      <c r="X260" s="117"/>
      <c r="Z260" s="117"/>
      <c r="AA260" s="117"/>
      <c r="AB260" s="35">
        <f t="shared" si="111"/>
        <v>2756.3500000000004</v>
      </c>
    </row>
    <row r="261" spans="13:39">
      <c r="M261" s="112"/>
      <c r="N261" s="112"/>
      <c r="P261" t="str">
        <f t="shared" si="110"/>
        <v>JUN</v>
      </c>
      <c r="R261" s="348">
        <v>555.14</v>
      </c>
      <c r="S261" s="348">
        <v>223.44</v>
      </c>
      <c r="T261" s="348">
        <v>1978.09</v>
      </c>
      <c r="U261" s="348">
        <v>-427.81</v>
      </c>
      <c r="V261" s="117"/>
      <c r="W261" s="117"/>
      <c r="X261" s="117"/>
      <c r="Z261" s="117"/>
      <c r="AA261" s="117"/>
      <c r="AB261" s="35">
        <f t="shared" si="111"/>
        <v>2328.86</v>
      </c>
    </row>
    <row r="262" spans="13:39">
      <c r="M262" s="112"/>
      <c r="N262" s="112"/>
      <c r="P262" t="str">
        <f t="shared" si="110"/>
        <v>JUL</v>
      </c>
      <c r="R262" s="348">
        <v>1497.85</v>
      </c>
      <c r="S262" s="348">
        <v>182.46</v>
      </c>
      <c r="T262" s="348">
        <v>1428.41</v>
      </c>
      <c r="U262" s="348">
        <v>-279.61</v>
      </c>
      <c r="V262" s="117"/>
      <c r="W262" s="117"/>
      <c r="X262" s="117"/>
      <c r="Y262" s="117"/>
      <c r="Z262" s="117"/>
      <c r="AA262" s="117"/>
      <c r="AB262" s="35">
        <f t="shared" si="111"/>
        <v>2829.11</v>
      </c>
    </row>
    <row r="263" spans="13:39">
      <c r="M263" s="112"/>
      <c r="N263" s="112"/>
      <c r="P263" t="str">
        <f t="shared" si="110"/>
        <v>AUG</v>
      </c>
      <c r="R263" s="348">
        <v>1662.12</v>
      </c>
      <c r="S263" s="348">
        <v>186.51</v>
      </c>
      <c r="T263" s="348">
        <v>1495.24</v>
      </c>
      <c r="U263" s="348">
        <v>-332.41</v>
      </c>
      <c r="V263" s="348"/>
      <c r="W263" s="348"/>
      <c r="X263" s="348"/>
      <c r="Y263" s="348"/>
      <c r="Z263" s="117"/>
      <c r="AA263" s="117"/>
      <c r="AB263" s="35">
        <f t="shared" si="111"/>
        <v>3011.46</v>
      </c>
    </row>
    <row r="264" spans="13:39">
      <c r="P264" t="str">
        <f t="shared" si="110"/>
        <v>SEP</v>
      </c>
      <c r="R264" s="348">
        <v>3934.98</v>
      </c>
      <c r="S264" s="348">
        <v>683.34</v>
      </c>
      <c r="T264" s="348">
        <v>1094.57</v>
      </c>
      <c r="U264" s="348">
        <v>-516.80999999999995</v>
      </c>
      <c r="V264" s="348"/>
      <c r="W264" s="348"/>
      <c r="X264" s="348"/>
      <c r="Y264" s="348"/>
      <c r="Z264" s="117"/>
      <c r="AA264" s="117"/>
      <c r="AB264" s="35">
        <f t="shared" si="111"/>
        <v>5196.08</v>
      </c>
    </row>
    <row r="265" spans="13:39">
      <c r="P265" t="str">
        <f t="shared" si="110"/>
        <v>OCT</v>
      </c>
      <c r="R265" s="348">
        <v>5384.74</v>
      </c>
      <c r="S265" s="348">
        <v>1122.49</v>
      </c>
      <c r="T265" s="348">
        <v>1680.22</v>
      </c>
      <c r="U265" s="348">
        <v>-794.22</v>
      </c>
      <c r="V265" s="348"/>
      <c r="W265" s="348"/>
      <c r="X265" s="348"/>
      <c r="Y265" s="348"/>
      <c r="Z265" s="117"/>
      <c r="AA265" s="117"/>
      <c r="AB265" s="35">
        <f t="shared" si="111"/>
        <v>7393.23</v>
      </c>
    </row>
    <row r="266" spans="13:39">
      <c r="P266" t="str">
        <f t="shared" si="110"/>
        <v>NOV</v>
      </c>
      <c r="R266" s="117">
        <v>4544.3100000000004</v>
      </c>
      <c r="S266" s="117">
        <v>1163.92</v>
      </c>
      <c r="T266" s="117">
        <v>1314.48</v>
      </c>
      <c r="U266" s="117">
        <v>-936.97</v>
      </c>
      <c r="V266" s="348"/>
      <c r="W266" s="348"/>
      <c r="X266" s="348"/>
      <c r="Y266" s="348"/>
      <c r="Z266" s="117"/>
      <c r="AA266" s="117"/>
      <c r="AB266" s="35">
        <f t="shared" si="111"/>
        <v>6085.7400000000007</v>
      </c>
    </row>
    <row r="267" spans="13:39">
      <c r="P267" t="str">
        <f t="shared" si="110"/>
        <v>DEC</v>
      </c>
      <c r="R267" s="117">
        <v>3214.98</v>
      </c>
      <c r="S267" s="117">
        <v>966.05</v>
      </c>
      <c r="T267" s="117">
        <v>1508.93</v>
      </c>
      <c r="U267" s="117">
        <v>-711.23</v>
      </c>
      <c r="V267" s="348"/>
      <c r="W267" s="348"/>
      <c r="X267" s="348"/>
      <c r="Y267" s="348"/>
      <c r="Z267" s="117"/>
      <c r="AA267" s="117"/>
      <c r="AB267" s="35">
        <f t="shared" si="111"/>
        <v>4978.7299999999996</v>
      </c>
    </row>
    <row r="268" spans="13:39">
      <c r="P268" t="str">
        <f t="shared" si="110"/>
        <v>Jan 2023</v>
      </c>
      <c r="R268" s="117">
        <v>2121.75</v>
      </c>
      <c r="S268" s="117">
        <v>881.6</v>
      </c>
      <c r="T268" s="117">
        <v>3759.71</v>
      </c>
      <c r="U268" s="117">
        <v>-443.6</v>
      </c>
      <c r="V268" s="117"/>
      <c r="W268" s="117"/>
      <c r="X268" s="117"/>
      <c r="Y268" s="117"/>
      <c r="Z268" s="117"/>
      <c r="AA268" s="117"/>
      <c r="AB268" s="35"/>
    </row>
    <row r="269" spans="13:39">
      <c r="O269">
        <f>$O$80</f>
        <v>12</v>
      </c>
      <c r="P269" t="str">
        <f t="shared" si="110"/>
        <v>FEB</v>
      </c>
      <c r="R269" s="117">
        <v>1142.74</v>
      </c>
      <c r="S269" s="117">
        <v>878.21</v>
      </c>
      <c r="T269" s="117">
        <v>1726.76</v>
      </c>
      <c r="U269" s="117">
        <v>-523.34</v>
      </c>
      <c r="V269" s="117"/>
      <c r="W269" s="117"/>
      <c r="X269" s="117"/>
      <c r="Y269" s="117"/>
      <c r="Z269" s="117"/>
      <c r="AA269" s="117"/>
      <c r="AB269" s="35"/>
    </row>
    <row r="270" spans="13:39"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</row>
    <row r="271" spans="13:39" ht="13.5" thickBot="1">
      <c r="P271" t="s">
        <v>108</v>
      </c>
      <c r="R271" s="119">
        <f t="shared" ref="R271:U271" si="112">SUM(R258:R269)</f>
        <v>28525.670000000002</v>
      </c>
      <c r="S271" s="119">
        <f t="shared" si="112"/>
        <v>6927.5400000000009</v>
      </c>
      <c r="T271" s="119">
        <f t="shared" si="112"/>
        <v>21123.749999999996</v>
      </c>
      <c r="U271" s="119">
        <f t="shared" si="112"/>
        <v>-6291.5</v>
      </c>
      <c r="V271" s="119"/>
      <c r="W271" s="119">
        <f>SUM(V258:V269)</f>
        <v>0</v>
      </c>
      <c r="X271" s="119">
        <f>SUM(W258:W269)</f>
        <v>0</v>
      </c>
      <c r="Y271" s="119">
        <f>SUM(X258:X269)</f>
        <v>0</v>
      </c>
      <c r="Z271" s="119">
        <f>SUM(Y258:Y269)</f>
        <v>0</v>
      </c>
      <c r="AA271" s="117"/>
      <c r="AB271" s="119">
        <f>SUM(AB258:AB269)</f>
        <v>40741.630000000005</v>
      </c>
    </row>
    <row r="272" spans="13:39" ht="16.5" thickTop="1">
      <c r="P272" s="121" t="s">
        <v>1117</v>
      </c>
      <c r="Q272" s="36"/>
      <c r="R272" s="36"/>
      <c r="S272" s="36"/>
      <c r="AC272" s="191"/>
      <c r="AD272" s="191"/>
      <c r="AE272" s="192" t="s">
        <v>382</v>
      </c>
      <c r="AF272" s="191"/>
      <c r="AG272" s="191"/>
      <c r="AH272" s="191"/>
      <c r="AI272" s="191"/>
      <c r="AJ272" s="191"/>
      <c r="AK272" s="191"/>
      <c r="AL272" s="191"/>
      <c r="AM272" s="193"/>
    </row>
    <row r="273" spans="12:40">
      <c r="X273" s="52" t="s">
        <v>9</v>
      </c>
      <c r="AC273" s="193"/>
      <c r="AD273" s="191"/>
      <c r="AE273" s="192" t="s">
        <v>383</v>
      </c>
      <c r="AF273" s="191"/>
      <c r="AG273" s="191"/>
      <c r="AH273" s="193"/>
      <c r="AI273" s="191"/>
      <c r="AJ273" s="191"/>
      <c r="AK273" s="191"/>
      <c r="AL273" s="192" t="s">
        <v>387</v>
      </c>
      <c r="AM273" s="193"/>
    </row>
    <row r="274" spans="12:40">
      <c r="Q274" s="52" t="s">
        <v>261</v>
      </c>
      <c r="R274" s="52" t="s">
        <v>255</v>
      </c>
      <c r="S274" s="52"/>
      <c r="T274" s="52" t="s">
        <v>245</v>
      </c>
      <c r="X274" s="52" t="s">
        <v>15</v>
      </c>
      <c r="Y274" s="52" t="s">
        <v>245</v>
      </c>
      <c r="AC274" s="192" t="s">
        <v>379</v>
      </c>
      <c r="AD274" s="191" t="s">
        <v>263</v>
      </c>
      <c r="AE274" s="192" t="s">
        <v>348</v>
      </c>
      <c r="AF274" s="192" t="s">
        <v>115</v>
      </c>
      <c r="AG274" s="192" t="s">
        <v>384</v>
      </c>
      <c r="AH274" s="192" t="s">
        <v>385</v>
      </c>
      <c r="AI274" s="192" t="s">
        <v>243</v>
      </c>
      <c r="AJ274" s="192" t="s">
        <v>386</v>
      </c>
      <c r="AK274" s="191" t="s">
        <v>140</v>
      </c>
      <c r="AL274" s="192" t="s">
        <v>388</v>
      </c>
      <c r="AM274" s="193"/>
    </row>
    <row r="275" spans="12:40">
      <c r="Q275" s="52" t="s">
        <v>248</v>
      </c>
      <c r="R275" s="52" t="s">
        <v>224</v>
      </c>
      <c r="S275" s="52"/>
      <c r="T275" s="52" t="s">
        <v>224</v>
      </c>
      <c r="U275" s="52" t="s">
        <v>11</v>
      </c>
      <c r="V275" s="52" t="s">
        <v>219</v>
      </c>
      <c r="W275" s="52" t="s">
        <v>220</v>
      </c>
      <c r="X275" s="52" t="s">
        <v>249</v>
      </c>
      <c r="Y275" s="52" t="s">
        <v>250</v>
      </c>
      <c r="Z275" s="52" t="s">
        <v>251</v>
      </c>
      <c r="AA275" s="52" t="s">
        <v>8</v>
      </c>
      <c r="AB275" s="52" t="s">
        <v>252</v>
      </c>
      <c r="AC275" s="192" t="s">
        <v>380</v>
      </c>
      <c r="AD275" s="192" t="s">
        <v>381</v>
      </c>
      <c r="AE275" s="192" t="s">
        <v>379</v>
      </c>
      <c r="AF275" s="192" t="s">
        <v>263</v>
      </c>
      <c r="AG275" s="192" t="s">
        <v>263</v>
      </c>
      <c r="AH275" s="191" t="s">
        <v>207</v>
      </c>
      <c r="AI275" s="192" t="s">
        <v>348</v>
      </c>
      <c r="AJ275" s="192" t="s">
        <v>80</v>
      </c>
      <c r="AK275" s="191" t="s">
        <v>272</v>
      </c>
      <c r="AL275" s="192" t="s">
        <v>389</v>
      </c>
      <c r="AM275" s="191" t="s">
        <v>217</v>
      </c>
    </row>
    <row r="276" spans="12:40">
      <c r="P276" s="122" t="s">
        <v>134</v>
      </c>
      <c r="Q276" s="122"/>
      <c r="R276" s="122" t="s">
        <v>134</v>
      </c>
      <c r="S276" s="122"/>
      <c r="T276" s="122" t="s">
        <v>134</v>
      </c>
      <c r="U276" s="122" t="s">
        <v>134</v>
      </c>
      <c r="V276" s="122" t="s">
        <v>134</v>
      </c>
      <c r="W276" s="122" t="s">
        <v>134</v>
      </c>
      <c r="X276" s="122" t="s">
        <v>134</v>
      </c>
      <c r="Y276" s="122" t="s">
        <v>134</v>
      </c>
      <c r="Z276" s="122" t="s">
        <v>134</v>
      </c>
      <c r="AA276" s="122" t="s">
        <v>134</v>
      </c>
      <c r="AB276" s="122" t="s">
        <v>134</v>
      </c>
      <c r="AC276" s="194" t="s">
        <v>134</v>
      </c>
      <c r="AD276" s="194" t="s">
        <v>134</v>
      </c>
      <c r="AE276" s="194" t="s">
        <v>134</v>
      </c>
      <c r="AF276" s="194" t="s">
        <v>134</v>
      </c>
      <c r="AG276" s="194" t="s">
        <v>134</v>
      </c>
      <c r="AH276" s="194" t="s">
        <v>134</v>
      </c>
      <c r="AI276" s="194" t="s">
        <v>134</v>
      </c>
      <c r="AJ276" s="194" t="s">
        <v>134</v>
      </c>
      <c r="AK276" s="194" t="s">
        <v>134</v>
      </c>
      <c r="AL276" s="194" t="s">
        <v>134</v>
      </c>
      <c r="AM276" s="194" t="s">
        <v>134</v>
      </c>
    </row>
    <row r="277" spans="12:40">
      <c r="V277" s="112"/>
      <c r="W277" s="112"/>
      <c r="X277" s="112"/>
      <c r="Z277" s="112"/>
      <c r="AC277" s="193"/>
      <c r="AD277" s="193"/>
      <c r="AE277" s="193"/>
      <c r="AF277" s="193"/>
      <c r="AG277" s="193"/>
      <c r="AH277" s="193"/>
      <c r="AI277" s="193"/>
      <c r="AJ277" s="193"/>
      <c r="AK277" s="193">
        <v>3.0000000000000001E-3</v>
      </c>
      <c r="AL277" s="193"/>
      <c r="AM277" s="193"/>
    </row>
    <row r="278" spans="12:40">
      <c r="L278" s="312">
        <f>W278/U278</f>
        <v>3.8049946294307198E-2</v>
      </c>
      <c r="M278" s="309">
        <f t="shared" ref="M278:M283" si="113">N278/R278</f>
        <v>19.600609756097562</v>
      </c>
      <c r="N278" s="112">
        <f t="shared" ref="N278:N283" si="114">V278-AC278</f>
        <v>1607.25</v>
      </c>
      <c r="O278">
        <f>$O$69</f>
        <v>1</v>
      </c>
      <c r="P278" t="s">
        <v>475</v>
      </c>
      <c r="Q278">
        <v>150</v>
      </c>
      <c r="R278" s="58">
        <v>82</v>
      </c>
      <c r="S278" s="58">
        <v>150</v>
      </c>
      <c r="T278" s="58"/>
      <c r="U278" s="58">
        <v>18620</v>
      </c>
      <c r="V278" s="112">
        <v>1637.28</v>
      </c>
      <c r="W278" s="112">
        <v>708.49</v>
      </c>
      <c r="X278" s="35">
        <f>AB300</f>
        <v>450.24000000000007</v>
      </c>
      <c r="Y278" s="112"/>
      <c r="Z278" s="112">
        <f t="shared" ref="Z278:Z289" si="115">SUM(V278:Y278)</f>
        <v>2796.01</v>
      </c>
      <c r="AA278" s="112">
        <v>2951.87</v>
      </c>
      <c r="AB278" s="112">
        <f t="shared" ref="AB278:AB289" si="116">AA278-Z278</f>
        <v>155.85999999999967</v>
      </c>
      <c r="AC278" s="445">
        <f>21.81+8.22</f>
        <v>30.03</v>
      </c>
      <c r="AD278" s="193"/>
      <c r="AE278" s="193"/>
      <c r="AF278" s="193"/>
      <c r="AG278" s="193"/>
      <c r="AH278" s="195"/>
      <c r="AI278" s="193">
        <v>100</v>
      </c>
      <c r="AJ278" s="193"/>
      <c r="AK278" s="193">
        <f>U278*AK277</f>
        <v>55.86</v>
      </c>
      <c r="AL278" s="193"/>
      <c r="AM278" s="193">
        <f>SUM(AI278:AL278)</f>
        <v>155.86000000000001</v>
      </c>
      <c r="AN278" s="35">
        <f>AM278-AB278</f>
        <v>3.4106051316484809E-13</v>
      </c>
    </row>
    <row r="279" spans="12:40">
      <c r="L279" s="312">
        <f t="shared" ref="L279:L289" si="117">W279/U279</f>
        <v>3.8049836663374616E-2</v>
      </c>
      <c r="M279" s="309">
        <f t="shared" si="113"/>
        <v>50.2265625</v>
      </c>
      <c r="N279" s="112">
        <f t="shared" si="114"/>
        <v>1607.25</v>
      </c>
      <c r="P279" t="s">
        <v>476</v>
      </c>
      <c r="Q279">
        <v>150</v>
      </c>
      <c r="R279" s="58">
        <v>32</v>
      </c>
      <c r="S279" s="58">
        <v>150</v>
      </c>
      <c r="T279" s="58"/>
      <c r="U279" s="58">
        <v>13163</v>
      </c>
      <c r="V279" s="112">
        <v>1670.32</v>
      </c>
      <c r="W279" s="112">
        <v>500.85</v>
      </c>
      <c r="X279" s="35">
        <f t="shared" ref="X279:X287" si="118">AB301</f>
        <v>317.81</v>
      </c>
      <c r="Y279" s="112"/>
      <c r="Z279" s="112">
        <f t="shared" si="115"/>
        <v>2488.98</v>
      </c>
      <c r="AA279" s="112">
        <v>2628.47</v>
      </c>
      <c r="AB279" s="112">
        <f t="shared" si="116"/>
        <v>139.48999999999978</v>
      </c>
      <c r="AC279" s="445">
        <f>45.81+17.26</f>
        <v>63.070000000000007</v>
      </c>
      <c r="AD279" s="193"/>
      <c r="AE279" s="193"/>
      <c r="AF279" s="193"/>
      <c r="AG279" s="193"/>
      <c r="AH279" s="195"/>
      <c r="AI279" s="193">
        <v>100</v>
      </c>
      <c r="AJ279" s="193"/>
      <c r="AK279" s="193">
        <f>U279*AK277</f>
        <v>39.489000000000004</v>
      </c>
      <c r="AL279" s="193"/>
      <c r="AM279" s="193">
        <f t="shared" ref="AM279:AM289" si="119">SUM(AI279:AL279)</f>
        <v>139.489</v>
      </c>
      <c r="AN279" s="35">
        <f t="shared" ref="AN279:AN289" si="120">AM279-AB279</f>
        <v>-9.9999999977740117E-4</v>
      </c>
    </row>
    <row r="280" spans="12:40">
      <c r="L280" s="312">
        <f t="shared" si="117"/>
        <v>3.8049717350340628E-2</v>
      </c>
      <c r="M280" s="309">
        <f t="shared" si="113"/>
        <v>19.600609756097562</v>
      </c>
      <c r="N280" s="112">
        <f t="shared" si="114"/>
        <v>1607.25</v>
      </c>
      <c r="P280" t="s">
        <v>477</v>
      </c>
      <c r="Q280">
        <v>150</v>
      </c>
      <c r="R280" s="58">
        <v>82</v>
      </c>
      <c r="S280" s="58">
        <v>150</v>
      </c>
      <c r="T280" s="58"/>
      <c r="U280" s="58">
        <v>13798</v>
      </c>
      <c r="V280" s="112">
        <v>1637.28</v>
      </c>
      <c r="W280" s="112">
        <v>525.01</v>
      </c>
      <c r="X280" s="35">
        <f t="shared" si="118"/>
        <v>318.45999999999998</v>
      </c>
      <c r="Y280" s="112"/>
      <c r="Z280" s="112">
        <f t="shared" si="115"/>
        <v>2480.75</v>
      </c>
      <c r="AA280" s="112">
        <v>2622.15</v>
      </c>
      <c r="AB280" s="112">
        <f t="shared" si="116"/>
        <v>141.40000000000009</v>
      </c>
      <c r="AC280" s="445">
        <f>21.81+8.22</f>
        <v>30.03</v>
      </c>
      <c r="AD280" s="193"/>
      <c r="AE280" s="193"/>
      <c r="AF280" s="193"/>
      <c r="AG280" s="193"/>
      <c r="AH280" s="195"/>
      <c r="AI280" s="193">
        <v>100</v>
      </c>
      <c r="AJ280" s="193"/>
      <c r="AK280" s="193">
        <f>U280*AK277</f>
        <v>41.393999999999998</v>
      </c>
      <c r="AL280" s="193"/>
      <c r="AM280" s="193">
        <f t="shared" si="119"/>
        <v>141.39400000000001</v>
      </c>
      <c r="AN280" s="35">
        <f t="shared" si="120"/>
        <v>-6.0000000000854925E-3</v>
      </c>
    </row>
    <row r="281" spans="12:40">
      <c r="L281" s="312">
        <f t="shared" si="117"/>
        <v>3.8049979846835953E-2</v>
      </c>
      <c r="M281" s="309">
        <f t="shared" si="113"/>
        <v>18.264204545454547</v>
      </c>
      <c r="N281" s="112">
        <f t="shared" si="114"/>
        <v>1607.25</v>
      </c>
      <c r="P281" t="s">
        <v>478</v>
      </c>
      <c r="Q281">
        <v>150</v>
      </c>
      <c r="R281" s="58">
        <v>88</v>
      </c>
      <c r="S281" s="58">
        <v>150</v>
      </c>
      <c r="T281" s="58"/>
      <c r="U281" s="58">
        <v>12405</v>
      </c>
      <c r="V281" s="112">
        <v>1637.28</v>
      </c>
      <c r="W281" s="112">
        <v>472.01</v>
      </c>
      <c r="X281" s="35">
        <f t="shared" si="118"/>
        <v>188.22</v>
      </c>
      <c r="Y281" s="112"/>
      <c r="Z281" s="112">
        <f t="shared" si="115"/>
        <v>2297.5099999999998</v>
      </c>
      <c r="AA281" s="112">
        <v>2434.73</v>
      </c>
      <c r="AB281" s="112">
        <f t="shared" si="116"/>
        <v>137.22000000000025</v>
      </c>
      <c r="AC281" s="445">
        <f>21.81+8.22</f>
        <v>30.03</v>
      </c>
      <c r="AD281" s="193"/>
      <c r="AE281" s="193"/>
      <c r="AF281" s="193"/>
      <c r="AG281" s="193"/>
      <c r="AH281" s="195"/>
      <c r="AI281" s="193">
        <v>100</v>
      </c>
      <c r="AJ281" s="193"/>
      <c r="AK281" s="193">
        <f>U281*AK277</f>
        <v>37.215000000000003</v>
      </c>
      <c r="AL281" s="193"/>
      <c r="AM281" s="193">
        <f t="shared" si="119"/>
        <v>137.215</v>
      </c>
      <c r="AN281" s="35">
        <f t="shared" si="120"/>
        <v>-5.0000000002512479E-3</v>
      </c>
    </row>
    <row r="282" spans="12:40">
      <c r="L282" s="312">
        <f t="shared" si="117"/>
        <v>3.8050305321314336E-2</v>
      </c>
      <c r="M282" s="309">
        <f t="shared" si="113"/>
        <v>64.290000000000006</v>
      </c>
      <c r="N282" s="112">
        <f t="shared" si="114"/>
        <v>1607.25</v>
      </c>
      <c r="P282" t="s">
        <v>479</v>
      </c>
      <c r="Q282">
        <v>150</v>
      </c>
      <c r="R282" s="58">
        <v>25</v>
      </c>
      <c r="S282" s="58">
        <v>150</v>
      </c>
      <c r="T282" s="58"/>
      <c r="U282" s="58">
        <v>6878</v>
      </c>
      <c r="V282" s="112">
        <v>1638.46</v>
      </c>
      <c r="W282" s="112">
        <v>261.70999999999998</v>
      </c>
      <c r="X282" s="35">
        <f t="shared" si="118"/>
        <v>224.3</v>
      </c>
      <c r="Y282" s="112"/>
      <c r="Z282" s="112">
        <f t="shared" si="115"/>
        <v>2124.4700000000003</v>
      </c>
      <c r="AA282" s="112">
        <v>2245.1</v>
      </c>
      <c r="AB282" s="112">
        <f t="shared" si="116"/>
        <v>120.62999999999965</v>
      </c>
      <c r="AC282" s="445">
        <f>22.81+8.4</f>
        <v>31.21</v>
      </c>
      <c r="AD282" s="193"/>
      <c r="AE282" s="193"/>
      <c r="AF282" s="193"/>
      <c r="AG282" s="193"/>
      <c r="AH282" s="195"/>
      <c r="AI282" s="193">
        <v>100</v>
      </c>
      <c r="AJ282" s="193"/>
      <c r="AK282" s="193">
        <f>U282*AK277</f>
        <v>20.634</v>
      </c>
      <c r="AL282" s="193"/>
      <c r="AM282" s="193">
        <f t="shared" si="119"/>
        <v>120.634</v>
      </c>
      <c r="AN282" s="35">
        <f t="shared" si="120"/>
        <v>4.000000000345949E-3</v>
      </c>
    </row>
    <row r="283" spans="12:40">
      <c r="L283" s="312">
        <f t="shared" si="117"/>
        <v>3.804982402870747E-2</v>
      </c>
      <c r="M283" s="309">
        <f t="shared" si="113"/>
        <v>18.264204545454547</v>
      </c>
      <c r="N283" s="112">
        <f t="shared" si="114"/>
        <v>1607.25</v>
      </c>
      <c r="P283" t="s">
        <v>480</v>
      </c>
      <c r="Q283">
        <v>150</v>
      </c>
      <c r="R283" s="58">
        <v>88</v>
      </c>
      <c r="S283" s="58">
        <v>150</v>
      </c>
      <c r="T283" s="58"/>
      <c r="U283" s="58">
        <v>14491</v>
      </c>
      <c r="V283" s="112">
        <v>1638.86</v>
      </c>
      <c r="W283" s="112">
        <v>551.38</v>
      </c>
      <c r="X283" s="35">
        <f t="shared" si="118"/>
        <v>414.76</v>
      </c>
      <c r="Y283" s="112"/>
      <c r="Z283" s="112">
        <f t="shared" si="115"/>
        <v>2605</v>
      </c>
      <c r="AA283" s="112">
        <v>2748.48</v>
      </c>
      <c r="AB283" s="112">
        <f t="shared" si="116"/>
        <v>143.48000000000002</v>
      </c>
      <c r="AC283" s="445">
        <f>23.17+8.44</f>
        <v>31.61</v>
      </c>
      <c r="AD283" s="193"/>
      <c r="AE283" s="193"/>
      <c r="AF283" s="193"/>
      <c r="AG283" s="193"/>
      <c r="AH283" s="195"/>
      <c r="AI283" s="193">
        <v>100</v>
      </c>
      <c r="AJ283" s="193"/>
      <c r="AK283" s="193">
        <f>U283*AK277</f>
        <v>43.472999999999999</v>
      </c>
      <c r="AL283" s="193"/>
      <c r="AM283" s="193">
        <f t="shared" si="119"/>
        <v>143.47300000000001</v>
      </c>
      <c r="AN283" s="35">
        <f t="shared" si="120"/>
        <v>-7.0000000000050022E-3</v>
      </c>
    </row>
    <row r="284" spans="12:40">
      <c r="L284" s="312">
        <f t="shared" si="117"/>
        <v>3.8049822064056937E-2</v>
      </c>
      <c r="M284" s="309">
        <f t="shared" ref="M284:M289" si="121">N284/R284</f>
        <v>50.2265625</v>
      </c>
      <c r="N284" s="112">
        <f t="shared" ref="N284:N289" si="122">V284-AC284</f>
        <v>1607.25</v>
      </c>
      <c r="P284" t="s">
        <v>481</v>
      </c>
      <c r="Q284">
        <v>150</v>
      </c>
      <c r="R284" s="58">
        <v>32</v>
      </c>
      <c r="S284" s="58">
        <v>150</v>
      </c>
      <c r="T284" s="58"/>
      <c r="U284" s="58">
        <v>12645</v>
      </c>
      <c r="V284" s="112">
        <v>1819.03</v>
      </c>
      <c r="W284" s="112">
        <v>481.14</v>
      </c>
      <c r="X284" s="35">
        <f t="shared" si="118"/>
        <v>536.56999999999994</v>
      </c>
      <c r="Y284" s="112"/>
      <c r="Z284" s="112">
        <f t="shared" si="115"/>
        <v>2836.74</v>
      </c>
      <c r="AA284" s="112">
        <v>2974.68</v>
      </c>
      <c r="AB284" s="112">
        <f t="shared" si="116"/>
        <v>137.94000000000005</v>
      </c>
      <c r="AC284" s="445">
        <f>155.3+56.48</f>
        <v>211.78</v>
      </c>
      <c r="AD284" s="193"/>
      <c r="AE284" s="193"/>
      <c r="AF284" s="193"/>
      <c r="AG284" s="193"/>
      <c r="AH284" s="195"/>
      <c r="AI284" s="193">
        <v>100</v>
      </c>
      <c r="AJ284" s="193"/>
      <c r="AK284" s="193">
        <f>U284*AK277</f>
        <v>37.935000000000002</v>
      </c>
      <c r="AL284" s="193"/>
      <c r="AM284" s="193">
        <f t="shared" si="119"/>
        <v>137.935</v>
      </c>
      <c r="AN284" s="35">
        <f t="shared" si="120"/>
        <v>-5.0000000000522959E-3</v>
      </c>
    </row>
    <row r="285" spans="12:40">
      <c r="L285" s="312">
        <f t="shared" si="117"/>
        <v>3.8050092081031307E-2</v>
      </c>
      <c r="M285" s="309">
        <f t="shared" si="121"/>
        <v>64.290000000000006</v>
      </c>
      <c r="N285" s="112">
        <f t="shared" si="122"/>
        <v>1607.25</v>
      </c>
      <c r="P285" t="s">
        <v>482</v>
      </c>
      <c r="Q285">
        <v>150</v>
      </c>
      <c r="R285" s="58">
        <v>25</v>
      </c>
      <c r="S285" s="58">
        <v>150</v>
      </c>
      <c r="T285" s="58"/>
      <c r="U285" s="58">
        <v>13575</v>
      </c>
      <c r="V285" s="112">
        <v>1638.86</v>
      </c>
      <c r="W285" s="112">
        <v>516.53</v>
      </c>
      <c r="X285" s="35">
        <f t="shared" si="118"/>
        <v>523.90999999999985</v>
      </c>
      <c r="Y285" s="112"/>
      <c r="Z285" s="112">
        <f t="shared" si="115"/>
        <v>2679.2999999999997</v>
      </c>
      <c r="AA285" s="112">
        <v>2820.02</v>
      </c>
      <c r="AB285" s="112">
        <f t="shared" si="116"/>
        <v>140.72000000000025</v>
      </c>
      <c r="AC285" s="445">
        <f>23.17+8.44</f>
        <v>31.61</v>
      </c>
      <c r="AD285" s="193"/>
      <c r="AE285" s="193"/>
      <c r="AF285" s="193"/>
      <c r="AG285" s="193"/>
      <c r="AH285" s="195"/>
      <c r="AI285" s="193">
        <v>100</v>
      </c>
      <c r="AJ285" s="193"/>
      <c r="AK285" s="193">
        <f>U285*AK277</f>
        <v>40.725000000000001</v>
      </c>
      <c r="AL285" s="193"/>
      <c r="AM285" s="193">
        <f t="shared" si="119"/>
        <v>140.72499999999999</v>
      </c>
      <c r="AN285" s="35">
        <f t="shared" si="120"/>
        <v>4.9999999997396571E-3</v>
      </c>
    </row>
    <row r="286" spans="12:40">
      <c r="L286" s="312">
        <f t="shared" si="117"/>
        <v>3.8050231839258111E-2</v>
      </c>
      <c r="M286" s="309">
        <f t="shared" si="121"/>
        <v>64.290000000000006</v>
      </c>
      <c r="N286" s="112">
        <f t="shared" si="122"/>
        <v>1607.25</v>
      </c>
      <c r="P286" t="s">
        <v>483</v>
      </c>
      <c r="Q286">
        <v>150</v>
      </c>
      <c r="R286" s="58">
        <v>25</v>
      </c>
      <c r="S286" s="58">
        <v>150</v>
      </c>
      <c r="T286" s="58"/>
      <c r="U286" s="58">
        <v>12940</v>
      </c>
      <c r="V286" s="112">
        <v>1607.25</v>
      </c>
      <c r="W286" s="112">
        <v>492.37</v>
      </c>
      <c r="X286" s="35">
        <f t="shared" si="118"/>
        <v>401.13999999999993</v>
      </c>
      <c r="Y286" s="112"/>
      <c r="Z286" s="112">
        <f t="shared" si="115"/>
        <v>2500.7599999999998</v>
      </c>
      <c r="AA286" s="112">
        <v>2639.58</v>
      </c>
      <c r="AB286" s="112">
        <f t="shared" si="116"/>
        <v>138.82000000000016</v>
      </c>
      <c r="AC286" s="445"/>
      <c r="AD286" s="193"/>
      <c r="AE286" s="193"/>
      <c r="AF286" s="193"/>
      <c r="AG286" s="193"/>
      <c r="AH286" s="195"/>
      <c r="AI286" s="193">
        <v>100</v>
      </c>
      <c r="AJ286" s="193"/>
      <c r="AK286" s="193">
        <f>U286*AK277</f>
        <v>38.82</v>
      </c>
      <c r="AL286" s="193"/>
      <c r="AM286" s="193">
        <f t="shared" si="119"/>
        <v>138.82</v>
      </c>
      <c r="AN286" s="313">
        <f t="shared" si="120"/>
        <v>0</v>
      </c>
    </row>
    <row r="287" spans="12:40">
      <c r="L287" s="312">
        <f t="shared" si="117"/>
        <v>3.8050014249073817E-2</v>
      </c>
      <c r="M287" s="309">
        <f t="shared" si="121"/>
        <v>64.290000000000006</v>
      </c>
      <c r="N287" s="112">
        <f t="shared" si="122"/>
        <v>1607.25</v>
      </c>
      <c r="P287" t="s">
        <v>484</v>
      </c>
      <c r="Q287">
        <v>150</v>
      </c>
      <c r="R287" s="58">
        <v>25</v>
      </c>
      <c r="S287" s="58">
        <v>150</v>
      </c>
      <c r="T287" s="58"/>
      <c r="U287" s="58">
        <v>14036</v>
      </c>
      <c r="V287" s="112">
        <v>1638.66</v>
      </c>
      <c r="W287" s="112">
        <v>534.07000000000005</v>
      </c>
      <c r="X287" s="35">
        <f t="shared" si="118"/>
        <v>405.47000000000008</v>
      </c>
      <c r="Y287" s="112"/>
      <c r="Z287" s="112">
        <f t="shared" si="115"/>
        <v>2578.2000000000003</v>
      </c>
      <c r="AA287" s="112">
        <v>2720.31</v>
      </c>
      <c r="AB287" s="112">
        <f t="shared" si="116"/>
        <v>142.10999999999967</v>
      </c>
      <c r="AC287" s="445">
        <f>22.99+8.42</f>
        <v>31.409999999999997</v>
      </c>
      <c r="AD287" s="193"/>
      <c r="AE287" s="193"/>
      <c r="AF287" s="195"/>
      <c r="AG287" s="195"/>
      <c r="AH287" s="195"/>
      <c r="AI287" s="193">
        <v>100</v>
      </c>
      <c r="AJ287" s="193"/>
      <c r="AK287" s="193">
        <f>U287*AK277</f>
        <v>42.108000000000004</v>
      </c>
      <c r="AL287" s="193"/>
      <c r="AM287" s="193">
        <f t="shared" si="119"/>
        <v>142.108</v>
      </c>
      <c r="AN287" s="35">
        <f t="shared" si="120"/>
        <v>-1.9999999996684892E-3</v>
      </c>
    </row>
    <row r="288" spans="12:40">
      <c r="L288" s="312">
        <f t="shared" si="117"/>
        <v>3.8050093500311667E-2</v>
      </c>
      <c r="M288" s="309">
        <f t="shared" si="121"/>
        <v>19.600609756097562</v>
      </c>
      <c r="N288" s="112">
        <f t="shared" si="122"/>
        <v>1607.25</v>
      </c>
      <c r="P288" s="429" t="s">
        <v>1091</v>
      </c>
      <c r="Q288">
        <v>150</v>
      </c>
      <c r="R288" s="58">
        <v>82</v>
      </c>
      <c r="S288" s="58">
        <v>150</v>
      </c>
      <c r="T288" s="123"/>
      <c r="U288" s="58">
        <v>17647</v>
      </c>
      <c r="V288" s="112">
        <v>1638.66</v>
      </c>
      <c r="W288" s="112">
        <v>671.47</v>
      </c>
      <c r="X288" s="35">
        <f t="shared" ref="X288:X289" si="123">SUM(R310:Y310)</f>
        <v>589.13</v>
      </c>
      <c r="Y288" s="112"/>
      <c r="Z288" s="112">
        <f t="shared" si="115"/>
        <v>2899.26</v>
      </c>
      <c r="AA288" s="112">
        <v>3052.2</v>
      </c>
      <c r="AB288" s="112">
        <f t="shared" si="116"/>
        <v>152.9399999999996</v>
      </c>
      <c r="AC288" s="445">
        <f>22.99+8.42</f>
        <v>31.409999999999997</v>
      </c>
      <c r="AD288" s="193"/>
      <c r="AE288" s="193"/>
      <c r="AF288" s="195"/>
      <c r="AG288" s="195"/>
      <c r="AH288" s="195"/>
      <c r="AI288" s="193">
        <v>100</v>
      </c>
      <c r="AJ288" s="193"/>
      <c r="AK288" s="193">
        <f>U288*AK277</f>
        <v>52.941000000000003</v>
      </c>
      <c r="AL288" s="193"/>
      <c r="AM288" s="193">
        <f t="shared" si="119"/>
        <v>152.941</v>
      </c>
      <c r="AN288" s="35">
        <f t="shared" si="120"/>
        <v>1.0000000004026788E-3</v>
      </c>
    </row>
    <row r="289" spans="12:40">
      <c r="L289" s="312">
        <f t="shared" si="117"/>
        <v>3.8049974240082433E-2</v>
      </c>
      <c r="M289" s="309">
        <f t="shared" si="121"/>
        <v>50.2265625</v>
      </c>
      <c r="N289" s="112">
        <f t="shared" si="122"/>
        <v>1607.25</v>
      </c>
      <c r="O289">
        <f>$O$80</f>
        <v>12</v>
      </c>
      <c r="P289" t="s">
        <v>474</v>
      </c>
      <c r="Q289">
        <v>150</v>
      </c>
      <c r="R289" s="58">
        <v>32</v>
      </c>
      <c r="S289" s="58">
        <v>150</v>
      </c>
      <c r="T289" s="123"/>
      <c r="U289" s="58">
        <v>15528</v>
      </c>
      <c r="V289" s="112">
        <v>1670.07</v>
      </c>
      <c r="W289" s="112">
        <v>590.84</v>
      </c>
      <c r="X289" s="35">
        <f t="shared" si="123"/>
        <v>280.64999999999998</v>
      </c>
      <c r="Y289" s="112"/>
      <c r="Z289" s="112">
        <f t="shared" si="115"/>
        <v>2541.56</v>
      </c>
      <c r="AA289" s="112">
        <v>2688.14</v>
      </c>
      <c r="AB289" s="112">
        <f t="shared" si="116"/>
        <v>146.57999999999993</v>
      </c>
      <c r="AC289" s="445">
        <f>46+16.82</f>
        <v>62.82</v>
      </c>
      <c r="AD289" s="193"/>
      <c r="AE289" s="193"/>
      <c r="AF289" s="195"/>
      <c r="AG289" s="195"/>
      <c r="AH289" s="195"/>
      <c r="AI289" s="193">
        <v>100</v>
      </c>
      <c r="AJ289" s="193"/>
      <c r="AK289" s="193">
        <f>U289*AK277</f>
        <v>46.584000000000003</v>
      </c>
      <c r="AL289" s="193"/>
      <c r="AM289" s="193">
        <f t="shared" si="119"/>
        <v>146.584</v>
      </c>
      <c r="AN289" s="35">
        <f t="shared" si="120"/>
        <v>4.0000000000759428E-3</v>
      </c>
    </row>
    <row r="290" spans="12:40">
      <c r="R290" s="125" t="s">
        <v>134</v>
      </c>
      <c r="S290" s="125"/>
      <c r="T290" s="125" t="s">
        <v>134</v>
      </c>
      <c r="U290" s="125" t="s">
        <v>134</v>
      </c>
      <c r="V290" s="125" t="s">
        <v>134</v>
      </c>
      <c r="W290" s="125" t="s">
        <v>134</v>
      </c>
      <c r="X290" s="125" t="s">
        <v>134</v>
      </c>
      <c r="Y290" s="125" t="s">
        <v>134</v>
      </c>
      <c r="Z290" s="125" t="s">
        <v>134</v>
      </c>
      <c r="AA290" s="125" t="s">
        <v>134</v>
      </c>
      <c r="AB290" s="125" t="s">
        <v>134</v>
      </c>
      <c r="AC290" s="193"/>
      <c r="AD290" s="193"/>
      <c r="AE290" s="193"/>
      <c r="AF290" s="193"/>
      <c r="AG290" s="193"/>
      <c r="AH290" s="193"/>
      <c r="AI290" s="193"/>
      <c r="AJ290" s="193"/>
      <c r="AK290" s="193"/>
      <c r="AL290" s="193"/>
      <c r="AM290" s="193"/>
    </row>
    <row r="291" spans="12:40">
      <c r="R291" s="58"/>
      <c r="S291" s="58"/>
      <c r="T291" s="58"/>
      <c r="U291" s="58"/>
      <c r="V291" s="112"/>
      <c r="W291" s="112"/>
      <c r="X291" s="112"/>
      <c r="Z291" s="112"/>
      <c r="AA291" s="112"/>
      <c r="AB291" s="112"/>
      <c r="AC291" s="193"/>
      <c r="AD291" s="193"/>
      <c r="AE291" s="193"/>
      <c r="AF291" s="193"/>
      <c r="AG291" s="193"/>
      <c r="AH291" s="193"/>
      <c r="AI291" s="193"/>
      <c r="AJ291" s="193"/>
      <c r="AK291" s="193"/>
      <c r="AL291" s="193"/>
      <c r="AM291" s="193"/>
    </row>
    <row r="292" spans="12:40">
      <c r="R292" s="58">
        <f t="shared" ref="R292:AB292" si="124">SUM(R278:R289)</f>
        <v>618</v>
      </c>
      <c r="S292" s="58"/>
      <c r="T292" s="58">
        <f t="shared" si="124"/>
        <v>0</v>
      </c>
      <c r="U292" s="58">
        <f t="shared" si="124"/>
        <v>165726</v>
      </c>
      <c r="V292" s="112">
        <f t="shared" si="124"/>
        <v>19872.010000000002</v>
      </c>
      <c r="W292" s="112">
        <f t="shared" si="124"/>
        <v>6305.87</v>
      </c>
      <c r="X292" s="112">
        <f t="shared" si="124"/>
        <v>4650.6599999999989</v>
      </c>
      <c r="Y292" s="112">
        <f t="shared" si="124"/>
        <v>0</v>
      </c>
      <c r="Z292" s="112">
        <f t="shared" si="124"/>
        <v>30828.539999999997</v>
      </c>
      <c r="AA292" s="112">
        <f t="shared" si="124"/>
        <v>32525.730000000003</v>
      </c>
      <c r="AB292" s="112">
        <f t="shared" si="124"/>
        <v>1697.1899999999991</v>
      </c>
      <c r="AC292" s="197">
        <f t="shared" ref="AC292:AM292" si="125">SUM(AC278:AC289)</f>
        <v>585.01</v>
      </c>
      <c r="AD292" s="197">
        <f t="shared" si="125"/>
        <v>0</v>
      </c>
      <c r="AE292" s="197">
        <f t="shared" si="125"/>
        <v>0</v>
      </c>
      <c r="AF292" s="197">
        <f t="shared" si="125"/>
        <v>0</v>
      </c>
      <c r="AG292" s="197">
        <f t="shared" si="125"/>
        <v>0</v>
      </c>
      <c r="AH292" s="197">
        <f t="shared" si="125"/>
        <v>0</v>
      </c>
      <c r="AI292" s="197">
        <f t="shared" si="125"/>
        <v>1200</v>
      </c>
      <c r="AJ292" s="197">
        <f t="shared" si="125"/>
        <v>0</v>
      </c>
      <c r="AK292" s="197">
        <f t="shared" si="125"/>
        <v>497.17800000000005</v>
      </c>
      <c r="AL292" s="197">
        <f t="shared" si="125"/>
        <v>0</v>
      </c>
      <c r="AM292" s="197">
        <f t="shared" si="125"/>
        <v>1697.1779999999999</v>
      </c>
    </row>
    <row r="293" spans="12:40">
      <c r="R293" s="124" t="s">
        <v>229</v>
      </c>
      <c r="S293" s="124"/>
      <c r="T293" s="124" t="s">
        <v>229</v>
      </c>
      <c r="U293" s="124" t="s">
        <v>229</v>
      </c>
      <c r="V293" s="125" t="s">
        <v>229</v>
      </c>
      <c r="W293" s="125" t="s">
        <v>229</v>
      </c>
      <c r="X293" s="125" t="s">
        <v>229</v>
      </c>
      <c r="Y293" s="125" t="s">
        <v>229</v>
      </c>
      <c r="Z293" s="125" t="s">
        <v>229</v>
      </c>
      <c r="AA293" s="125" t="s">
        <v>229</v>
      </c>
      <c r="AB293" s="125" t="s">
        <v>229</v>
      </c>
      <c r="AC293" s="198" t="s">
        <v>229</v>
      </c>
      <c r="AD293" s="198" t="s">
        <v>229</v>
      </c>
      <c r="AE293" s="198" t="s">
        <v>229</v>
      </c>
      <c r="AF293" s="198" t="s">
        <v>229</v>
      </c>
      <c r="AG293" s="198" t="s">
        <v>229</v>
      </c>
      <c r="AH293" s="198" t="s">
        <v>229</v>
      </c>
      <c r="AI293" s="198" t="s">
        <v>229</v>
      </c>
      <c r="AJ293" s="198" t="s">
        <v>229</v>
      </c>
      <c r="AK293" s="198" t="s">
        <v>229</v>
      </c>
      <c r="AL293" s="198" t="s">
        <v>229</v>
      </c>
      <c r="AM293" s="198" t="s">
        <v>229</v>
      </c>
    </row>
    <row r="294" spans="12:40">
      <c r="R294" s="26">
        <f>R292</f>
        <v>618</v>
      </c>
      <c r="S294" s="26"/>
      <c r="T294">
        <v>10.715</v>
      </c>
      <c r="U294" s="35">
        <f>R294*T294</f>
        <v>6621.87</v>
      </c>
      <c r="V294" s="112">
        <f>AC292</f>
        <v>585.01</v>
      </c>
      <c r="W294" s="35">
        <f>U294+V294</f>
        <v>7206.88</v>
      </c>
      <c r="X294" s="112">
        <f>V292-W294</f>
        <v>12665.130000000001</v>
      </c>
    </row>
    <row r="295" spans="12:40">
      <c r="X295" t="s">
        <v>213</v>
      </c>
    </row>
    <row r="296" spans="12:40">
      <c r="S296" s="52" t="s">
        <v>367</v>
      </c>
    </row>
    <row r="297" spans="12:40">
      <c r="P297" s="52"/>
      <c r="Q297" s="52"/>
      <c r="R297" s="52" t="s">
        <v>221</v>
      </c>
      <c r="S297" s="52" t="s">
        <v>343</v>
      </c>
      <c r="T297" s="52" t="s">
        <v>222</v>
      </c>
      <c r="U297" s="52" t="s">
        <v>371</v>
      </c>
      <c r="V297" s="52" t="s">
        <v>368</v>
      </c>
      <c r="W297" s="52" t="s">
        <v>369</v>
      </c>
      <c r="X297" s="52" t="s">
        <v>370</v>
      </c>
      <c r="Y297" s="52" t="s">
        <v>372</v>
      </c>
      <c r="Z297" s="52"/>
      <c r="AA297" s="52"/>
      <c r="AB297" s="52"/>
      <c r="AD297" s="52"/>
      <c r="AE297" s="52"/>
      <c r="AF297" s="52"/>
      <c r="AG297" s="52"/>
      <c r="AH297" s="52"/>
    </row>
    <row r="298" spans="12:40">
      <c r="P298" s="52"/>
      <c r="Q298" s="52"/>
      <c r="R298" s="89" t="s">
        <v>15</v>
      </c>
      <c r="S298" s="89" t="s">
        <v>344</v>
      </c>
      <c r="T298" s="89" t="s">
        <v>227</v>
      </c>
      <c r="U298" s="89" t="s">
        <v>375</v>
      </c>
      <c r="V298" s="89" t="s">
        <v>226</v>
      </c>
      <c r="W298" s="89" t="s">
        <v>373</v>
      </c>
      <c r="X298" s="89" t="s">
        <v>374</v>
      </c>
      <c r="Y298" s="89" t="s">
        <v>376</v>
      </c>
      <c r="Z298" s="52"/>
      <c r="AA298" s="52"/>
      <c r="AB298" s="52"/>
      <c r="AD298" s="52"/>
      <c r="AE298" s="52"/>
      <c r="AF298" s="52"/>
      <c r="AG298" s="52"/>
      <c r="AH298" s="52"/>
    </row>
    <row r="299" spans="12:40"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183" t="s">
        <v>217</v>
      </c>
      <c r="AD299" s="52"/>
      <c r="AE299" s="52"/>
      <c r="AF299" s="52"/>
      <c r="AG299" s="52"/>
      <c r="AH299" s="52"/>
    </row>
    <row r="300" spans="12:40">
      <c r="O300">
        <f>$O$69</f>
        <v>1</v>
      </c>
      <c r="P300" t="str">
        <f>'[2]KY Res - Equality'!A9</f>
        <v>MAR</v>
      </c>
      <c r="R300" s="117">
        <v>357.02</v>
      </c>
      <c r="S300" s="117">
        <v>46.42</v>
      </c>
      <c r="T300" s="117">
        <v>145.74</v>
      </c>
      <c r="U300" s="117">
        <v>-98.94</v>
      </c>
      <c r="V300" s="117"/>
      <c r="W300" s="117"/>
      <c r="X300" s="117"/>
      <c r="Z300" s="117"/>
      <c r="AA300" s="117"/>
      <c r="AB300" s="35">
        <f>SUM(R300:AA300)</f>
        <v>450.24000000000007</v>
      </c>
    </row>
    <row r="301" spans="12:40">
      <c r="P301" t="str">
        <f>'[2]KY Res - Equality'!A10</f>
        <v>APR</v>
      </c>
      <c r="R301" s="117">
        <v>200.43</v>
      </c>
      <c r="S301" s="117">
        <v>32.82</v>
      </c>
      <c r="T301" s="117">
        <v>152.5</v>
      </c>
      <c r="U301" s="117">
        <v>-67.94</v>
      </c>
      <c r="V301" s="117"/>
      <c r="W301" s="117"/>
      <c r="X301" s="117"/>
      <c r="Z301" s="117"/>
      <c r="AA301" s="117"/>
      <c r="AB301" s="35">
        <f t="shared" ref="AB301:AB312" si="126">SUM(R301:AA301)</f>
        <v>317.81</v>
      </c>
    </row>
    <row r="302" spans="12:40">
      <c r="P302" t="str">
        <f>'[2]KY Res - Equality'!A11</f>
        <v>MAY</v>
      </c>
      <c r="R302" s="117">
        <v>249.37</v>
      </c>
      <c r="S302" s="117">
        <v>34.4</v>
      </c>
      <c r="T302" s="117">
        <v>104.3</v>
      </c>
      <c r="U302" s="117">
        <v>-69.61</v>
      </c>
      <c r="V302" s="117"/>
      <c r="W302" s="117"/>
      <c r="X302" s="117"/>
      <c r="Z302" s="117"/>
      <c r="AA302" s="117"/>
      <c r="AB302" s="35">
        <f t="shared" si="126"/>
        <v>318.45999999999998</v>
      </c>
    </row>
    <row r="303" spans="12:40">
      <c r="P303" t="str">
        <f>'[2]KY Res - Equality'!A12</f>
        <v>JUN</v>
      </c>
      <c r="R303" s="348">
        <v>76.84</v>
      </c>
      <c r="S303" s="348">
        <v>30.93</v>
      </c>
      <c r="T303" s="348">
        <v>139.66</v>
      </c>
      <c r="U303" s="348">
        <v>-59.21</v>
      </c>
      <c r="V303" s="117"/>
      <c r="W303" s="117"/>
      <c r="X303" s="117"/>
      <c r="Z303" s="117"/>
      <c r="AA303" s="117"/>
      <c r="AB303" s="35">
        <f t="shared" si="126"/>
        <v>188.22</v>
      </c>
    </row>
    <row r="304" spans="12:40">
      <c r="P304" t="str">
        <f>'[2]KY Res - Equality'!A13</f>
        <v>JUL</v>
      </c>
      <c r="R304" s="348">
        <v>140.77000000000001</v>
      </c>
      <c r="S304" s="348">
        <v>17.149999999999999</v>
      </c>
      <c r="T304" s="348">
        <v>92.64</v>
      </c>
      <c r="U304" s="348">
        <v>-26.26</v>
      </c>
      <c r="V304" s="117"/>
      <c r="W304" s="117"/>
      <c r="X304" s="117"/>
      <c r="Y304" s="117"/>
      <c r="Z304" s="117"/>
      <c r="AA304" s="117"/>
      <c r="AB304" s="35">
        <f t="shared" si="126"/>
        <v>224.3</v>
      </c>
    </row>
    <row r="305" spans="12:40">
      <c r="P305" t="str">
        <f>'[2]KY Res - Equality'!A14</f>
        <v>AUG</v>
      </c>
      <c r="R305" s="348">
        <v>321.95</v>
      </c>
      <c r="S305" s="348">
        <v>36.130000000000003</v>
      </c>
      <c r="T305" s="348">
        <v>119.53</v>
      </c>
      <c r="U305" s="348">
        <v>-62.85</v>
      </c>
      <c r="V305" s="348"/>
      <c r="W305" s="348"/>
      <c r="X305" s="348"/>
      <c r="Y305" s="348"/>
      <c r="Z305" s="117"/>
      <c r="AA305" s="117"/>
      <c r="AB305" s="35">
        <f t="shared" si="126"/>
        <v>414.76</v>
      </c>
    </row>
    <row r="306" spans="12:40">
      <c r="P306" t="str">
        <f>'[2]KY Res - Equality'!A15</f>
        <v>SEP</v>
      </c>
      <c r="R306" s="348">
        <v>438.28</v>
      </c>
      <c r="S306" s="348">
        <v>76.11</v>
      </c>
      <c r="T306" s="348">
        <v>79.739999999999995</v>
      </c>
      <c r="U306" s="348">
        <v>-57.56</v>
      </c>
      <c r="V306" s="348"/>
      <c r="W306" s="348"/>
      <c r="X306" s="348"/>
      <c r="Y306" s="348"/>
      <c r="Z306" s="117"/>
      <c r="AA306" s="117"/>
      <c r="AB306" s="35">
        <f t="shared" si="126"/>
        <v>536.56999999999994</v>
      </c>
    </row>
    <row r="307" spans="12:40">
      <c r="P307" t="str">
        <f>'[2]KY Res - Equality'!A16</f>
        <v>OCT</v>
      </c>
      <c r="R307" s="348">
        <v>391.96</v>
      </c>
      <c r="S307" s="348">
        <v>81.709999999999994</v>
      </c>
      <c r="T307" s="348">
        <v>108.05</v>
      </c>
      <c r="U307" s="348">
        <v>-57.81</v>
      </c>
      <c r="V307" s="348"/>
      <c r="W307" s="348"/>
      <c r="X307" s="348"/>
      <c r="Y307" s="348"/>
      <c r="Z307" s="117"/>
      <c r="AA307" s="117"/>
      <c r="AB307" s="35">
        <f t="shared" si="126"/>
        <v>523.90999999999985</v>
      </c>
    </row>
    <row r="308" spans="12:40">
      <c r="P308" t="str">
        <f>'[2]KY Res - Equality'!A17</f>
        <v>NOV</v>
      </c>
      <c r="R308" s="117">
        <v>304.08999999999997</v>
      </c>
      <c r="S308" s="117">
        <v>77.89</v>
      </c>
      <c r="T308" s="117">
        <v>81.849999999999994</v>
      </c>
      <c r="U308" s="117">
        <v>-62.69</v>
      </c>
      <c r="V308" s="348"/>
      <c r="W308" s="348"/>
      <c r="X308" s="348"/>
      <c r="Y308" s="348"/>
      <c r="Z308" s="117"/>
      <c r="AA308" s="117"/>
      <c r="AB308" s="35">
        <f t="shared" si="126"/>
        <v>401.13999999999993</v>
      </c>
    </row>
    <row r="309" spans="12:40">
      <c r="P309" t="str">
        <f>'[2]KY Res - Equality'!A18</f>
        <v>DEC</v>
      </c>
      <c r="R309" s="117">
        <v>281.16000000000003</v>
      </c>
      <c r="S309" s="117">
        <v>84.48</v>
      </c>
      <c r="T309" s="117">
        <v>102.03</v>
      </c>
      <c r="U309" s="117">
        <v>-62.2</v>
      </c>
      <c r="V309" s="348"/>
      <c r="W309" s="348"/>
      <c r="X309" s="348"/>
      <c r="Y309" s="348"/>
      <c r="Z309" s="117"/>
      <c r="AA309" s="117"/>
      <c r="AB309" s="35">
        <f t="shared" si="126"/>
        <v>405.47000000000008</v>
      </c>
    </row>
    <row r="310" spans="12:40">
      <c r="P310" s="349" t="str">
        <f t="shared" ref="P310:P311" si="127">P288</f>
        <v>Jan 2023</v>
      </c>
      <c r="R310" s="117">
        <v>255.63</v>
      </c>
      <c r="S310" s="117">
        <v>106.22</v>
      </c>
      <c r="T310" s="117">
        <v>280.73</v>
      </c>
      <c r="U310" s="117">
        <v>-53.45</v>
      </c>
      <c r="V310" s="117"/>
      <c r="W310" s="117"/>
      <c r="X310" s="117"/>
      <c r="Y310" s="117"/>
      <c r="Z310" s="117"/>
      <c r="AA310" s="117"/>
      <c r="AB310" s="35">
        <f t="shared" si="126"/>
        <v>589.13</v>
      </c>
    </row>
    <row r="311" spans="12:40">
      <c r="O311">
        <f>$O$80</f>
        <v>12</v>
      </c>
      <c r="P311" t="str">
        <f t="shared" si="127"/>
        <v>FEB</v>
      </c>
      <c r="R311" s="117">
        <v>121.62</v>
      </c>
      <c r="S311" s="117">
        <v>93.46</v>
      </c>
      <c r="T311" s="117">
        <v>121.27</v>
      </c>
      <c r="U311" s="117">
        <v>-55.7</v>
      </c>
      <c r="V311" s="117"/>
      <c r="W311" s="117"/>
      <c r="X311" s="117"/>
      <c r="Y311" s="117"/>
      <c r="Z311" s="117"/>
      <c r="AA311" s="117"/>
      <c r="AB311" s="35">
        <f t="shared" si="126"/>
        <v>280.64999999999998</v>
      </c>
    </row>
    <row r="312" spans="12:40">
      <c r="R312" s="117"/>
      <c r="S312" s="117"/>
      <c r="T312" s="117"/>
      <c r="U312" s="117"/>
      <c r="V312" s="117"/>
      <c r="W312" s="117"/>
      <c r="X312" s="117"/>
      <c r="Y312" s="117"/>
      <c r="Z312" s="117"/>
      <c r="AA312" s="117"/>
      <c r="AB312" s="35">
        <f t="shared" si="126"/>
        <v>0</v>
      </c>
    </row>
    <row r="313" spans="12:40" ht="13.5" thickBot="1">
      <c r="P313" t="s">
        <v>108</v>
      </c>
      <c r="R313" s="119">
        <f>SUM(R300:R311)</f>
        <v>3139.12</v>
      </c>
      <c r="S313" s="119">
        <f>SUM(R300:R311)</f>
        <v>3139.12</v>
      </c>
      <c r="T313" s="119">
        <f>SUM(S300:S311)</f>
        <v>717.72</v>
      </c>
      <c r="U313" s="119">
        <f>SUM(T300:T311)</f>
        <v>1528.04</v>
      </c>
      <c r="V313" s="119"/>
      <c r="W313" s="119">
        <f>SUM(V300:V311)</f>
        <v>0</v>
      </c>
      <c r="X313" s="119">
        <f>SUM(W300:W311)</f>
        <v>0</v>
      </c>
      <c r="Y313" s="119">
        <f>SUM(X300:X311)</f>
        <v>0</v>
      </c>
      <c r="Z313" s="119">
        <f>SUM(Y300:Y311)</f>
        <v>0</v>
      </c>
      <c r="AA313" s="117"/>
      <c r="AB313" s="119">
        <f>SUM(AB300:AB311)</f>
        <v>4650.6599999999989</v>
      </c>
    </row>
    <row r="314" spans="12:40" ht="16.5" thickTop="1">
      <c r="P314" s="121" t="s">
        <v>1118</v>
      </c>
      <c r="Q314" s="36"/>
      <c r="R314" s="36"/>
      <c r="S314" s="36"/>
      <c r="U314">
        <f>800</f>
        <v>800</v>
      </c>
      <c r="V314">
        <v>10.715</v>
      </c>
      <c r="W314">
        <f>U314*V314</f>
        <v>8572</v>
      </c>
      <c r="X314">
        <v>148.75</v>
      </c>
      <c r="Y314">
        <f>W314+X314</f>
        <v>8720.75</v>
      </c>
      <c r="AC314" s="191"/>
      <c r="AD314" s="191"/>
      <c r="AE314" s="192" t="s">
        <v>382</v>
      </c>
      <c r="AF314" s="191"/>
      <c r="AG314" s="191"/>
      <c r="AH314" s="191"/>
      <c r="AI314" s="191"/>
      <c r="AJ314" s="191"/>
      <c r="AK314" s="191"/>
      <c r="AL314" s="191"/>
      <c r="AM314" s="193"/>
    </row>
    <row r="315" spans="12:40">
      <c r="R315" t="s">
        <v>518</v>
      </c>
      <c r="X315" s="52" t="s">
        <v>9</v>
      </c>
      <c r="AC315" s="193"/>
      <c r="AD315" s="191"/>
      <c r="AE315" s="192" t="s">
        <v>383</v>
      </c>
      <c r="AF315" s="191"/>
      <c r="AG315" s="191"/>
      <c r="AH315" s="193"/>
      <c r="AI315" s="191"/>
      <c r="AJ315" s="191"/>
      <c r="AK315" s="191"/>
      <c r="AL315" s="192" t="s">
        <v>387</v>
      </c>
      <c r="AM315" s="193"/>
    </row>
    <row r="316" spans="12:40">
      <c r="Q316" s="52" t="s">
        <v>261</v>
      </c>
      <c r="R316" s="52" t="s">
        <v>255</v>
      </c>
      <c r="S316" s="52"/>
      <c r="T316" s="52" t="s">
        <v>245</v>
      </c>
      <c r="X316" s="52" t="s">
        <v>15</v>
      </c>
      <c r="Y316" s="52" t="s">
        <v>245</v>
      </c>
      <c r="AC316" s="192" t="s">
        <v>379</v>
      </c>
      <c r="AD316" s="191" t="s">
        <v>263</v>
      </c>
      <c r="AE316" s="192" t="s">
        <v>348</v>
      </c>
      <c r="AF316" s="192" t="s">
        <v>115</v>
      </c>
      <c r="AG316" s="192" t="s">
        <v>384</v>
      </c>
      <c r="AH316" s="192" t="s">
        <v>385</v>
      </c>
      <c r="AI316" s="192" t="s">
        <v>243</v>
      </c>
      <c r="AJ316" s="192" t="s">
        <v>386</v>
      </c>
      <c r="AK316" s="191" t="s">
        <v>140</v>
      </c>
      <c r="AL316" s="192" t="s">
        <v>388</v>
      </c>
      <c r="AM316" s="193"/>
    </row>
    <row r="317" spans="12:40">
      <c r="Q317" s="52" t="s">
        <v>248</v>
      </c>
      <c r="R317" s="52" t="s">
        <v>224</v>
      </c>
      <c r="S317" s="52"/>
      <c r="T317" s="52" t="s">
        <v>224</v>
      </c>
      <c r="U317" s="52" t="s">
        <v>11</v>
      </c>
      <c r="V317" s="52" t="s">
        <v>219</v>
      </c>
      <c r="W317" s="52" t="s">
        <v>220</v>
      </c>
      <c r="X317" s="52" t="s">
        <v>249</v>
      </c>
      <c r="Y317" s="52" t="s">
        <v>250</v>
      </c>
      <c r="Z317" s="52" t="s">
        <v>251</v>
      </c>
      <c r="AA317" s="52" t="s">
        <v>8</v>
      </c>
      <c r="AB317" s="52" t="s">
        <v>252</v>
      </c>
      <c r="AC317" s="192" t="s">
        <v>380</v>
      </c>
      <c r="AD317" s="192" t="s">
        <v>381</v>
      </c>
      <c r="AE317" s="192" t="s">
        <v>379</v>
      </c>
      <c r="AF317" s="192" t="s">
        <v>263</v>
      </c>
      <c r="AG317" s="192" t="s">
        <v>263</v>
      </c>
      <c r="AH317" s="191" t="s">
        <v>207</v>
      </c>
      <c r="AI317" s="192" t="s">
        <v>348</v>
      </c>
      <c r="AJ317" s="192" t="s">
        <v>80</v>
      </c>
      <c r="AK317" s="191" t="s">
        <v>272</v>
      </c>
      <c r="AL317" s="192" t="s">
        <v>389</v>
      </c>
      <c r="AM317" s="191" t="s">
        <v>217</v>
      </c>
    </row>
    <row r="318" spans="12:40">
      <c r="P318" s="122" t="s">
        <v>134</v>
      </c>
      <c r="Q318" s="122"/>
      <c r="R318" s="122" t="s">
        <v>134</v>
      </c>
      <c r="S318" s="122"/>
      <c r="T318" s="122" t="s">
        <v>134</v>
      </c>
      <c r="U318" s="122" t="s">
        <v>134</v>
      </c>
      <c r="V318" s="122" t="s">
        <v>134</v>
      </c>
      <c r="W318" s="122" t="s">
        <v>134</v>
      </c>
      <c r="X318" s="122" t="s">
        <v>134</v>
      </c>
      <c r="Y318" s="122" t="s">
        <v>134</v>
      </c>
      <c r="Z318" s="122" t="s">
        <v>134</v>
      </c>
      <c r="AA318" s="122" t="s">
        <v>134</v>
      </c>
      <c r="AB318" s="122" t="s">
        <v>134</v>
      </c>
      <c r="AC318" s="194" t="s">
        <v>134</v>
      </c>
      <c r="AD318" s="194" t="s">
        <v>134</v>
      </c>
      <c r="AE318" s="194" t="s">
        <v>134</v>
      </c>
      <c r="AF318" s="194" t="s">
        <v>134</v>
      </c>
      <c r="AG318" s="194" t="s">
        <v>134</v>
      </c>
      <c r="AH318" s="194" t="s">
        <v>134</v>
      </c>
      <c r="AI318" s="194" t="s">
        <v>134</v>
      </c>
      <c r="AJ318" s="194" t="s">
        <v>134</v>
      </c>
      <c r="AK318" s="194" t="s">
        <v>134</v>
      </c>
      <c r="AL318" s="194" t="s">
        <v>134</v>
      </c>
      <c r="AM318" s="194" t="s">
        <v>134</v>
      </c>
    </row>
    <row r="319" spans="12:40">
      <c r="V319" s="112"/>
      <c r="W319" s="112"/>
      <c r="X319" s="112"/>
      <c r="Z319" s="112"/>
      <c r="AC319" s="193"/>
      <c r="AD319" s="193"/>
      <c r="AE319" s="193"/>
      <c r="AF319" s="193"/>
      <c r="AG319" s="193"/>
      <c r="AH319" s="193"/>
      <c r="AI319" s="193"/>
      <c r="AJ319" s="193"/>
      <c r="AK319" s="193">
        <v>3.0000000000000001E-3</v>
      </c>
      <c r="AL319" s="193"/>
      <c r="AM319" s="193"/>
    </row>
    <row r="320" spans="12:40">
      <c r="L320" s="312">
        <f>W320/U320</f>
        <v>3.804987300854306E-2</v>
      </c>
      <c r="M320" s="309">
        <f t="shared" ref="M320:M325" si="128">N320/R320</f>
        <v>14.611363636363636</v>
      </c>
      <c r="N320" s="112">
        <f t="shared" ref="N320:N325" si="129">V320-AC320</f>
        <v>1928.7</v>
      </c>
      <c r="O320">
        <f>$O$69</f>
        <v>1</v>
      </c>
      <c r="P320" t="s">
        <v>475</v>
      </c>
      <c r="Q320">
        <v>180</v>
      </c>
      <c r="R320" s="58">
        <v>132</v>
      </c>
      <c r="S320" s="58">
        <v>180</v>
      </c>
      <c r="T320" s="58"/>
      <c r="U320" s="58">
        <v>21655</v>
      </c>
      <c r="V320" s="112">
        <v>1928.7</v>
      </c>
      <c r="W320" s="112">
        <v>823.97</v>
      </c>
      <c r="X320" s="35">
        <f t="shared" ref="X320:X329" si="130">SUM(R342:X342)</f>
        <v>526.82999999999993</v>
      </c>
      <c r="Y320" s="112"/>
      <c r="Z320" s="112">
        <f t="shared" ref="Z320:Z329" si="131">SUM(V320:Y320)</f>
        <v>3279.5</v>
      </c>
      <c r="AA320" s="112">
        <v>3444.47</v>
      </c>
      <c r="AB320" s="112">
        <f t="shared" ref="AB320:AB331" si="132">AA320-Z320</f>
        <v>164.9699999999998</v>
      </c>
      <c r="AC320" s="445"/>
      <c r="AD320" s="193"/>
      <c r="AE320" s="193"/>
      <c r="AF320" s="193"/>
      <c r="AG320" s="193"/>
      <c r="AH320" s="195"/>
      <c r="AI320" s="193">
        <v>100</v>
      </c>
      <c r="AJ320" s="193"/>
      <c r="AK320" s="193">
        <f>U320*AK319</f>
        <v>64.965000000000003</v>
      </c>
      <c r="AL320" s="193"/>
      <c r="AM320" s="193">
        <f>SUM(AI320:AL320)</f>
        <v>164.965</v>
      </c>
      <c r="AN320" s="35">
        <f>AM320-AB320</f>
        <v>-4.9999999997965006E-3</v>
      </c>
    </row>
    <row r="321" spans="12:40">
      <c r="L321" s="312">
        <f t="shared" ref="L321:L331" si="133">W321/U321</f>
        <v>3.8049781181619259E-2</v>
      </c>
      <c r="M321" s="309">
        <f t="shared" si="128"/>
        <v>101.51052631578948</v>
      </c>
      <c r="N321" s="112">
        <f t="shared" si="129"/>
        <v>1928.7</v>
      </c>
      <c r="P321" t="s">
        <v>476</v>
      </c>
      <c r="Q321">
        <v>180</v>
      </c>
      <c r="R321" s="58">
        <v>19</v>
      </c>
      <c r="S321" s="58">
        <v>180</v>
      </c>
      <c r="T321" s="58"/>
      <c r="U321" s="58">
        <v>7312</v>
      </c>
      <c r="V321" s="112">
        <v>1928.7</v>
      </c>
      <c r="W321" s="112">
        <v>278.22000000000003</v>
      </c>
      <c r="X321" s="35">
        <f t="shared" si="130"/>
        <v>244.01</v>
      </c>
      <c r="Y321" s="112"/>
      <c r="Z321" s="112">
        <f t="shared" si="131"/>
        <v>2450.9300000000003</v>
      </c>
      <c r="AA321" s="112">
        <v>2572.87</v>
      </c>
      <c r="AB321" s="112">
        <f t="shared" si="132"/>
        <v>121.9399999999996</v>
      </c>
      <c r="AC321" s="445"/>
      <c r="AD321" s="193"/>
      <c r="AE321" s="193"/>
      <c r="AF321" s="193"/>
      <c r="AG321" s="193"/>
      <c r="AH321" s="195"/>
      <c r="AI321" s="193">
        <v>100</v>
      </c>
      <c r="AJ321" s="193"/>
      <c r="AK321" s="193">
        <f>U321*AK319</f>
        <v>21.936</v>
      </c>
      <c r="AL321" s="193"/>
      <c r="AM321" s="193">
        <f t="shared" ref="AM321:AM331" si="134">SUM(AI321:AL321)</f>
        <v>121.93600000000001</v>
      </c>
      <c r="AN321" s="35">
        <f t="shared" ref="AN321:AN331" si="135">AM321-AB321</f>
        <v>-3.9999999995927737E-3</v>
      </c>
    </row>
    <row r="322" spans="12:40">
      <c r="L322" s="312">
        <f t="shared" si="133"/>
        <v>3.80498741346759E-2</v>
      </c>
      <c r="M322" s="309">
        <f t="shared" si="128"/>
        <v>14.611363636363636</v>
      </c>
      <c r="N322" s="112">
        <f t="shared" si="129"/>
        <v>1928.7</v>
      </c>
      <c r="P322" t="s">
        <v>477</v>
      </c>
      <c r="Q322">
        <v>180</v>
      </c>
      <c r="R322" s="58">
        <v>132</v>
      </c>
      <c r="S322" s="58">
        <v>180</v>
      </c>
      <c r="T322" s="58"/>
      <c r="U322" s="58">
        <v>12712</v>
      </c>
      <c r="V322" s="112">
        <v>1928.7</v>
      </c>
      <c r="W322" s="112">
        <v>483.69</v>
      </c>
      <c r="X322" s="35">
        <f t="shared" si="130"/>
        <v>312.60000000000002</v>
      </c>
      <c r="Y322" s="112"/>
      <c r="Z322" s="112">
        <f t="shared" si="131"/>
        <v>2724.99</v>
      </c>
      <c r="AA322" s="112">
        <v>2863.13</v>
      </c>
      <c r="AB322" s="112">
        <f t="shared" si="132"/>
        <v>138.14000000000033</v>
      </c>
      <c r="AC322" s="445"/>
      <c r="AD322" s="193"/>
      <c r="AE322" s="193"/>
      <c r="AF322" s="193"/>
      <c r="AG322" s="193"/>
      <c r="AH322" s="195"/>
      <c r="AI322" s="193">
        <v>100</v>
      </c>
      <c r="AJ322" s="193"/>
      <c r="AK322" s="193">
        <f>U322*AK319</f>
        <v>38.136000000000003</v>
      </c>
      <c r="AL322" s="193"/>
      <c r="AM322" s="193">
        <f t="shared" si="134"/>
        <v>138.136</v>
      </c>
      <c r="AN322" s="35">
        <f t="shared" si="135"/>
        <v>-4.0000000003317382E-3</v>
      </c>
    </row>
    <row r="323" spans="12:40">
      <c r="L323" s="312">
        <f t="shared" si="133"/>
        <v>3.8050746268656718E-2</v>
      </c>
      <c r="M323" s="309">
        <f t="shared" si="128"/>
        <v>148.36153846153846</v>
      </c>
      <c r="N323" s="112">
        <f t="shared" si="129"/>
        <v>1928.7</v>
      </c>
      <c r="P323" t="s">
        <v>478</v>
      </c>
      <c r="Q323">
        <v>180</v>
      </c>
      <c r="R323" s="58">
        <v>13</v>
      </c>
      <c r="S323" s="58">
        <v>180</v>
      </c>
      <c r="T323" s="58"/>
      <c r="U323" s="58">
        <v>6700</v>
      </c>
      <c r="V323" s="112">
        <v>1928.7</v>
      </c>
      <c r="W323" s="112">
        <v>254.94</v>
      </c>
      <c r="X323" s="35">
        <f t="shared" si="130"/>
        <v>169.38000000000002</v>
      </c>
      <c r="Y323" s="112"/>
      <c r="Z323" s="112">
        <f t="shared" si="131"/>
        <v>2353.02</v>
      </c>
      <c r="AA323" s="112">
        <v>2473.12</v>
      </c>
      <c r="AB323" s="112">
        <f t="shared" si="132"/>
        <v>120.09999999999991</v>
      </c>
      <c r="AC323" s="445"/>
      <c r="AD323" s="193"/>
      <c r="AE323" s="193"/>
      <c r="AF323" s="193"/>
      <c r="AG323" s="193"/>
      <c r="AH323" s="195"/>
      <c r="AI323" s="193">
        <v>100</v>
      </c>
      <c r="AJ323" s="193"/>
      <c r="AK323" s="193">
        <f>U323*AK319</f>
        <v>20.100000000000001</v>
      </c>
      <c r="AL323" s="193"/>
      <c r="AM323" s="193">
        <f t="shared" si="134"/>
        <v>120.1</v>
      </c>
      <c r="AN323" s="35">
        <f t="shared" si="135"/>
        <v>0</v>
      </c>
    </row>
    <row r="324" spans="12:40">
      <c r="L324" s="312">
        <f t="shared" si="133"/>
        <v>3.8050085096036954E-2</v>
      </c>
      <c r="M324" s="309">
        <f t="shared" si="128"/>
        <v>14.611363636363636</v>
      </c>
      <c r="N324" s="112">
        <f t="shared" si="129"/>
        <v>1928.7</v>
      </c>
      <c r="P324" t="s">
        <v>479</v>
      </c>
      <c r="Q324">
        <v>180</v>
      </c>
      <c r="R324" s="58">
        <v>132</v>
      </c>
      <c r="S324" s="58">
        <v>180</v>
      </c>
      <c r="T324" s="58"/>
      <c r="U324" s="58">
        <v>16452</v>
      </c>
      <c r="V324" s="112">
        <v>1928.7</v>
      </c>
      <c r="W324" s="112">
        <v>626</v>
      </c>
      <c r="X324" s="35">
        <f t="shared" si="130"/>
        <v>448.84000000000003</v>
      </c>
      <c r="Y324" s="112"/>
      <c r="Z324" s="112">
        <f t="shared" si="131"/>
        <v>3003.54</v>
      </c>
      <c r="AA324" s="112">
        <v>3152.89</v>
      </c>
      <c r="AB324" s="112">
        <f t="shared" si="132"/>
        <v>149.34999999999991</v>
      </c>
      <c r="AC324" s="445"/>
      <c r="AD324" s="193"/>
      <c r="AE324" s="193"/>
      <c r="AF324" s="193"/>
      <c r="AG324" s="193"/>
      <c r="AH324" s="195"/>
      <c r="AI324" s="193">
        <v>100</v>
      </c>
      <c r="AJ324" s="193"/>
      <c r="AK324" s="193">
        <f>U324*AK319</f>
        <v>49.356000000000002</v>
      </c>
      <c r="AL324" s="193"/>
      <c r="AM324" s="193">
        <f t="shared" si="134"/>
        <v>149.35599999999999</v>
      </c>
      <c r="AN324" s="35">
        <f t="shared" si="135"/>
        <v>6.0000000000854925E-3</v>
      </c>
    </row>
    <row r="325" spans="12:40">
      <c r="L325" s="312">
        <f t="shared" si="133"/>
        <v>3.8049921486521851E-2</v>
      </c>
      <c r="M325" s="309">
        <f t="shared" si="128"/>
        <v>14.611363636363636</v>
      </c>
      <c r="N325" s="112">
        <f t="shared" si="129"/>
        <v>1928.7</v>
      </c>
      <c r="P325" t="s">
        <v>480</v>
      </c>
      <c r="Q325">
        <v>180</v>
      </c>
      <c r="R325" s="58">
        <v>132</v>
      </c>
      <c r="S325" s="58">
        <v>180</v>
      </c>
      <c r="T325" s="58"/>
      <c r="U325" s="58">
        <v>30568</v>
      </c>
      <c r="V325" s="112">
        <v>1928.7</v>
      </c>
      <c r="W325" s="112">
        <v>1163.1099999999999</v>
      </c>
      <c r="X325" s="35">
        <f t="shared" si="130"/>
        <v>805.1</v>
      </c>
      <c r="Y325" s="112"/>
      <c r="Z325" s="112">
        <f t="shared" si="131"/>
        <v>3896.91</v>
      </c>
      <c r="AA325" s="112">
        <v>4088.62</v>
      </c>
      <c r="AB325" s="112">
        <f t="shared" si="132"/>
        <v>191.71000000000004</v>
      </c>
      <c r="AC325" s="445"/>
      <c r="AD325" s="193"/>
      <c r="AE325" s="193"/>
      <c r="AF325" s="193"/>
      <c r="AG325" s="193"/>
      <c r="AH325" s="195"/>
      <c r="AI325" s="193">
        <v>100</v>
      </c>
      <c r="AJ325" s="193"/>
      <c r="AK325" s="193">
        <f>U325*AK319</f>
        <v>91.704000000000008</v>
      </c>
      <c r="AL325" s="193"/>
      <c r="AM325" s="193">
        <f t="shared" si="134"/>
        <v>191.70400000000001</v>
      </c>
      <c r="AN325" s="35">
        <f t="shared" si="135"/>
        <v>-6.0000000000286491E-3</v>
      </c>
    </row>
    <row r="326" spans="12:40">
      <c r="L326" s="312">
        <f t="shared" si="133"/>
        <v>3.8050254916241803E-2</v>
      </c>
      <c r="M326" s="309">
        <f t="shared" ref="M326:M331" si="136">N326/R326</f>
        <v>60.271875000000001</v>
      </c>
      <c r="N326" s="112">
        <f t="shared" ref="N326:N331" si="137">V326-AC326</f>
        <v>1928.7</v>
      </c>
      <c r="P326" t="s">
        <v>481</v>
      </c>
      <c r="Q326">
        <v>180</v>
      </c>
      <c r="R326" s="58">
        <v>32</v>
      </c>
      <c r="S326" s="58">
        <v>180</v>
      </c>
      <c r="T326" s="58"/>
      <c r="U326" s="58">
        <v>13730</v>
      </c>
      <c r="V326" s="112">
        <v>2308</v>
      </c>
      <c r="W326" s="112">
        <v>522.42999999999995</v>
      </c>
      <c r="X326" s="35">
        <f t="shared" si="130"/>
        <v>588.23</v>
      </c>
      <c r="Y326" s="112"/>
      <c r="Z326" s="112">
        <f t="shared" si="131"/>
        <v>3418.66</v>
      </c>
      <c r="AA326" s="112">
        <v>3559.85</v>
      </c>
      <c r="AB326" s="112">
        <f t="shared" si="132"/>
        <v>141.19000000000005</v>
      </c>
      <c r="AC326" s="445">
        <f>278.15+101.15</f>
        <v>379.29999999999995</v>
      </c>
      <c r="AD326" s="193"/>
      <c r="AE326" s="193"/>
      <c r="AF326" s="193"/>
      <c r="AG326" s="193"/>
      <c r="AH326" s="195"/>
      <c r="AI326" s="193">
        <v>100</v>
      </c>
      <c r="AJ326" s="193"/>
      <c r="AK326" s="193">
        <f>U326*AK319</f>
        <v>41.19</v>
      </c>
      <c r="AL326" s="193"/>
      <c r="AM326" s="193">
        <f t="shared" si="134"/>
        <v>141.19</v>
      </c>
      <c r="AN326" s="35">
        <f t="shared" si="135"/>
        <v>0</v>
      </c>
    </row>
    <row r="327" spans="12:40">
      <c r="L327" s="312">
        <f t="shared" si="133"/>
        <v>3.8050014048890142E-2</v>
      </c>
      <c r="M327" s="309">
        <f t="shared" si="136"/>
        <v>30.61428571428571</v>
      </c>
      <c r="N327" s="112">
        <f t="shared" si="137"/>
        <v>1928.6999999999998</v>
      </c>
      <c r="P327" t="s">
        <v>482</v>
      </c>
      <c r="Q327">
        <v>180</v>
      </c>
      <c r="R327" s="58">
        <v>63</v>
      </c>
      <c r="S327" s="58">
        <v>180</v>
      </c>
      <c r="T327" s="58"/>
      <c r="U327" s="58">
        <v>17795</v>
      </c>
      <c r="V327" s="112">
        <v>1960.33</v>
      </c>
      <c r="W327" s="112">
        <v>677.1</v>
      </c>
      <c r="X327" s="35">
        <f t="shared" si="130"/>
        <v>679.37</v>
      </c>
      <c r="Y327" s="112"/>
      <c r="Z327" s="112">
        <f t="shared" si="131"/>
        <v>3316.7999999999997</v>
      </c>
      <c r="AA327" s="112">
        <v>3470.18</v>
      </c>
      <c r="AB327" s="112">
        <f t="shared" si="132"/>
        <v>153.38000000000011</v>
      </c>
      <c r="AC327" s="445">
        <f>23.19+8.44</f>
        <v>31.630000000000003</v>
      </c>
      <c r="AD327" s="193"/>
      <c r="AE327" s="193"/>
      <c r="AF327" s="193"/>
      <c r="AG327" s="193"/>
      <c r="AH327" s="195"/>
      <c r="AI327" s="193">
        <v>100</v>
      </c>
      <c r="AJ327" s="193"/>
      <c r="AK327" s="193">
        <f>U327*AK319</f>
        <v>53.384999999999998</v>
      </c>
      <c r="AL327" s="193"/>
      <c r="AM327" s="193">
        <f t="shared" si="134"/>
        <v>153.38499999999999</v>
      </c>
      <c r="AN327" s="35">
        <f t="shared" si="135"/>
        <v>4.9999999998817657E-3</v>
      </c>
    </row>
    <row r="328" spans="12:40">
      <c r="L328" s="312">
        <f t="shared" si="133"/>
        <v>3.805012865720004E-2</v>
      </c>
      <c r="M328" s="309">
        <f t="shared" si="136"/>
        <v>23.520731707317072</v>
      </c>
      <c r="N328" s="112">
        <f t="shared" si="137"/>
        <v>1928.7</v>
      </c>
      <c r="P328" t="s">
        <v>483</v>
      </c>
      <c r="Q328">
        <v>180</v>
      </c>
      <c r="R328" s="58">
        <v>82</v>
      </c>
      <c r="S328" s="58">
        <v>180</v>
      </c>
      <c r="T328" s="58"/>
      <c r="U328" s="58">
        <v>31479</v>
      </c>
      <c r="V328" s="112">
        <v>1928.7</v>
      </c>
      <c r="W328" s="112">
        <v>1197.78</v>
      </c>
      <c r="X328" s="35">
        <f t="shared" si="130"/>
        <v>910.37</v>
      </c>
      <c r="Y328" s="112"/>
      <c r="Z328" s="112">
        <f t="shared" si="131"/>
        <v>4036.85</v>
      </c>
      <c r="AA328" s="112">
        <v>4231.28</v>
      </c>
      <c r="AB328" s="112">
        <f t="shared" si="132"/>
        <v>194.42999999999984</v>
      </c>
      <c r="AC328" s="445"/>
      <c r="AD328" s="193"/>
      <c r="AE328" s="193"/>
      <c r="AF328" s="193"/>
      <c r="AG328" s="193"/>
      <c r="AH328" s="195"/>
      <c r="AI328" s="193">
        <v>100</v>
      </c>
      <c r="AJ328" s="193"/>
      <c r="AK328" s="193">
        <f>U328*AK319</f>
        <v>94.436999999999998</v>
      </c>
      <c r="AL328" s="193"/>
      <c r="AM328" s="193">
        <f t="shared" si="134"/>
        <v>194.43700000000001</v>
      </c>
      <c r="AN328" s="35">
        <f t="shared" si="135"/>
        <v>7.0000000001755325E-3</v>
      </c>
    </row>
    <row r="329" spans="12:40">
      <c r="L329" s="312">
        <f t="shared" si="133"/>
        <v>3.8049892563282846E-2</v>
      </c>
      <c r="M329" s="309">
        <f t="shared" si="136"/>
        <v>10.715027322404373</v>
      </c>
      <c r="N329" s="112">
        <f t="shared" si="137"/>
        <v>1960.8500000000001</v>
      </c>
      <c r="P329" t="s">
        <v>484</v>
      </c>
      <c r="Q329">
        <v>180</v>
      </c>
      <c r="R329" s="58">
        <v>183</v>
      </c>
      <c r="S329" s="58">
        <v>183</v>
      </c>
      <c r="T329" s="58"/>
      <c r="U329" s="58">
        <v>19081</v>
      </c>
      <c r="V329" s="112">
        <v>2149.3000000000002</v>
      </c>
      <c r="W329" s="112">
        <v>726.03</v>
      </c>
      <c r="X329" s="35">
        <f t="shared" si="130"/>
        <v>542.09</v>
      </c>
      <c r="Y329" s="112"/>
      <c r="Z329" s="112">
        <f t="shared" si="131"/>
        <v>3417.42</v>
      </c>
      <c r="AA329" s="112">
        <v>3574.67</v>
      </c>
      <c r="AB329" s="112">
        <f t="shared" si="132"/>
        <v>157.25</v>
      </c>
      <c r="AC329" s="445">
        <f>137.99+50.46</f>
        <v>188.45000000000002</v>
      </c>
      <c r="AD329" s="193"/>
      <c r="AE329" s="193"/>
      <c r="AF329" s="195"/>
      <c r="AG329" s="195"/>
      <c r="AH329" s="195"/>
      <c r="AI329" s="193">
        <v>100</v>
      </c>
      <c r="AJ329" s="193"/>
      <c r="AK329" s="193">
        <f>U329*AK319</f>
        <v>57.243000000000002</v>
      </c>
      <c r="AL329" s="193"/>
      <c r="AM329" s="193">
        <f t="shared" si="134"/>
        <v>157.24299999999999</v>
      </c>
      <c r="AN329" s="35">
        <f t="shared" si="135"/>
        <v>-7.0000000000050022E-3</v>
      </c>
    </row>
    <row r="330" spans="12:40">
      <c r="L330" s="312">
        <f t="shared" si="133"/>
        <v>3.8050171037628276E-2</v>
      </c>
      <c r="M330" s="309">
        <f t="shared" si="136"/>
        <v>13.875539568345324</v>
      </c>
      <c r="N330" s="112">
        <f t="shared" si="137"/>
        <v>1928.7</v>
      </c>
      <c r="P330" s="429" t="s">
        <v>1091</v>
      </c>
      <c r="Q330">
        <v>180</v>
      </c>
      <c r="R330" s="58">
        <v>139</v>
      </c>
      <c r="S330" s="58">
        <v>180</v>
      </c>
      <c r="T330" s="123"/>
      <c r="U330" s="58">
        <v>18417</v>
      </c>
      <c r="V330" s="112">
        <v>1928.7</v>
      </c>
      <c r="W330" s="112">
        <v>700.77</v>
      </c>
      <c r="X330" s="35">
        <f t="shared" ref="X330:X331" si="138">SUM(R352:Y352)</f>
        <v>641.55999999999995</v>
      </c>
      <c r="Y330" s="112"/>
      <c r="Z330" s="112">
        <f t="shared" ref="Z330:Z331" si="139">SUM(V330:Y330)</f>
        <v>3271.03</v>
      </c>
      <c r="AA330" s="112">
        <v>3426.28</v>
      </c>
      <c r="AB330" s="112">
        <f t="shared" si="132"/>
        <v>155.25</v>
      </c>
      <c r="AD330" s="193"/>
      <c r="AE330" s="193"/>
      <c r="AF330" s="195"/>
      <c r="AG330" s="195"/>
      <c r="AH330" s="195"/>
      <c r="AI330" s="193">
        <v>100</v>
      </c>
      <c r="AJ330" s="193"/>
      <c r="AK330" s="193">
        <f>U330*AK319</f>
        <v>55.250999999999998</v>
      </c>
      <c r="AL330" s="193"/>
      <c r="AM330" s="193">
        <f t="shared" si="134"/>
        <v>155.251</v>
      </c>
      <c r="AN330" s="35">
        <f t="shared" si="135"/>
        <v>1.0000000000047748E-3</v>
      </c>
    </row>
    <row r="331" spans="12:40">
      <c r="L331" s="312">
        <f t="shared" si="133"/>
        <v>3.8050070285829032E-2</v>
      </c>
      <c r="M331" s="309">
        <f t="shared" si="136"/>
        <v>13.875539568345324</v>
      </c>
      <c r="N331" s="112">
        <f t="shared" si="137"/>
        <v>1928.7</v>
      </c>
      <c r="O331">
        <f>$O$80</f>
        <v>12</v>
      </c>
      <c r="P331" t="s">
        <v>474</v>
      </c>
      <c r="Q331">
        <v>180</v>
      </c>
      <c r="R331" s="58">
        <v>139</v>
      </c>
      <c r="S331" s="58">
        <v>180</v>
      </c>
      <c r="T331" s="123"/>
      <c r="U331" s="58">
        <v>29878</v>
      </c>
      <c r="V331" s="112">
        <v>1928.7</v>
      </c>
      <c r="W331" s="112">
        <v>1136.8599999999999</v>
      </c>
      <c r="X331" s="35">
        <f t="shared" si="138"/>
        <v>481.53000000000003</v>
      </c>
      <c r="Y331" s="112"/>
      <c r="Z331" s="112">
        <f t="shared" si="139"/>
        <v>3547.09</v>
      </c>
      <c r="AA331" s="112">
        <v>3736.72</v>
      </c>
      <c r="AB331" s="112">
        <f t="shared" si="132"/>
        <v>189.62999999999965</v>
      </c>
      <c r="AD331" s="193"/>
      <c r="AE331" s="193"/>
      <c r="AF331" s="195"/>
      <c r="AG331" s="195"/>
      <c r="AH331" s="195"/>
      <c r="AI331" s="193">
        <v>100</v>
      </c>
      <c r="AJ331" s="193"/>
      <c r="AK331" s="193">
        <f>U331*AK319</f>
        <v>89.634</v>
      </c>
      <c r="AL331" s="193"/>
      <c r="AM331" s="193">
        <f t="shared" si="134"/>
        <v>189.63400000000001</v>
      </c>
      <c r="AN331" s="35">
        <f t="shared" si="135"/>
        <v>4.0000000003601599E-3</v>
      </c>
    </row>
    <row r="332" spans="12:40">
      <c r="R332" s="125" t="s">
        <v>134</v>
      </c>
      <c r="S332" s="125"/>
      <c r="T332" s="125" t="s">
        <v>134</v>
      </c>
      <c r="U332" s="125" t="s">
        <v>134</v>
      </c>
      <c r="V332" s="125" t="s">
        <v>134</v>
      </c>
      <c r="W332" s="125" t="s">
        <v>134</v>
      </c>
      <c r="X332" s="125" t="s">
        <v>134</v>
      </c>
      <c r="Y332" s="125" t="s">
        <v>134</v>
      </c>
      <c r="Z332" s="125" t="s">
        <v>134</v>
      </c>
      <c r="AA332" s="125" t="s">
        <v>134</v>
      </c>
      <c r="AB332" s="125" t="s">
        <v>134</v>
      </c>
      <c r="AC332" s="193"/>
      <c r="AD332" s="193"/>
      <c r="AE332" s="193"/>
      <c r="AF332" s="193"/>
      <c r="AG332" s="193"/>
      <c r="AH332" s="193"/>
      <c r="AI332" s="193"/>
      <c r="AJ332" s="193"/>
      <c r="AK332" s="193"/>
      <c r="AL332" s="193"/>
      <c r="AM332" s="193"/>
    </row>
    <row r="333" spans="12:40">
      <c r="R333" s="58"/>
      <c r="S333" s="58"/>
      <c r="T333" s="58"/>
      <c r="U333" s="58"/>
      <c r="V333" s="112"/>
      <c r="W333" s="112"/>
      <c r="X333" s="112"/>
      <c r="Z333" s="112"/>
      <c r="AA333" s="112"/>
      <c r="AB333" s="112"/>
      <c r="AC333" s="193"/>
      <c r="AD333" s="193"/>
      <c r="AE333" s="193"/>
      <c r="AF333" s="193"/>
      <c r="AG333" s="193"/>
      <c r="AH333" s="193"/>
      <c r="AI333" s="193"/>
      <c r="AJ333" s="193"/>
      <c r="AK333" s="193"/>
      <c r="AL333" s="193"/>
      <c r="AM333" s="193"/>
    </row>
    <row r="334" spans="12:40">
      <c r="R334" s="58">
        <f t="shared" ref="R334:AB334" si="140">SUM(R320:R331)</f>
        <v>1198</v>
      </c>
      <c r="S334" s="58"/>
      <c r="T334" s="58">
        <f t="shared" si="140"/>
        <v>0</v>
      </c>
      <c r="U334" s="58">
        <f t="shared" si="140"/>
        <v>225779</v>
      </c>
      <c r="V334" s="112">
        <f t="shared" si="140"/>
        <v>23775.93</v>
      </c>
      <c r="W334" s="112">
        <f t="shared" si="140"/>
        <v>8590.9000000000015</v>
      </c>
      <c r="X334" s="112">
        <f t="shared" si="140"/>
        <v>6349.9100000000008</v>
      </c>
      <c r="Y334" s="112">
        <f t="shared" si="140"/>
        <v>0</v>
      </c>
      <c r="Z334" s="112">
        <f t="shared" si="140"/>
        <v>38716.739999999991</v>
      </c>
      <c r="AA334" s="112">
        <f t="shared" si="140"/>
        <v>40594.079999999994</v>
      </c>
      <c r="AB334" s="112">
        <f t="shared" si="140"/>
        <v>1877.3399999999992</v>
      </c>
      <c r="AC334" s="197">
        <f t="shared" ref="AC334:AM334" si="141">SUM(AC320:AC331)</f>
        <v>599.38</v>
      </c>
      <c r="AD334" s="197">
        <f t="shared" si="141"/>
        <v>0</v>
      </c>
      <c r="AE334" s="197">
        <f t="shared" si="141"/>
        <v>0</v>
      </c>
      <c r="AF334" s="197">
        <f t="shared" si="141"/>
        <v>0</v>
      </c>
      <c r="AG334" s="197">
        <f t="shared" si="141"/>
        <v>0</v>
      </c>
      <c r="AH334" s="197">
        <f t="shared" si="141"/>
        <v>0</v>
      </c>
      <c r="AI334" s="197">
        <f t="shared" si="141"/>
        <v>1200</v>
      </c>
      <c r="AJ334" s="197">
        <f t="shared" si="141"/>
        <v>0</v>
      </c>
      <c r="AK334" s="197">
        <f t="shared" si="141"/>
        <v>677.33699999999999</v>
      </c>
      <c r="AL334" s="197">
        <f t="shared" si="141"/>
        <v>0</v>
      </c>
      <c r="AM334" s="197">
        <f t="shared" si="141"/>
        <v>1877.3370000000002</v>
      </c>
    </row>
    <row r="335" spans="12:40">
      <c r="R335" s="124" t="s">
        <v>229</v>
      </c>
      <c r="S335" s="124"/>
      <c r="T335" s="124" t="s">
        <v>229</v>
      </c>
      <c r="U335" s="124" t="s">
        <v>229</v>
      </c>
      <c r="V335" s="125" t="s">
        <v>229</v>
      </c>
      <c r="W335" s="125" t="s">
        <v>229</v>
      </c>
      <c r="X335" s="125" t="s">
        <v>229</v>
      </c>
      <c r="Y335" s="125" t="s">
        <v>229</v>
      </c>
      <c r="Z335" s="125" t="s">
        <v>229</v>
      </c>
      <c r="AA335" s="125" t="s">
        <v>229</v>
      </c>
      <c r="AB335" s="125" t="s">
        <v>229</v>
      </c>
      <c r="AC335" s="198" t="s">
        <v>229</v>
      </c>
      <c r="AD335" s="198" t="s">
        <v>229</v>
      </c>
      <c r="AE335" s="198" t="s">
        <v>229</v>
      </c>
      <c r="AF335" s="198" t="s">
        <v>229</v>
      </c>
      <c r="AG335" s="198" t="s">
        <v>229</v>
      </c>
      <c r="AH335" s="198" t="s">
        <v>229</v>
      </c>
      <c r="AI335" s="198" t="s">
        <v>229</v>
      </c>
      <c r="AJ335" s="198" t="s">
        <v>229</v>
      </c>
      <c r="AK335" s="198" t="s">
        <v>229</v>
      </c>
      <c r="AL335" s="198" t="s">
        <v>229</v>
      </c>
      <c r="AM335" s="198" t="s">
        <v>229</v>
      </c>
    </row>
    <row r="336" spans="12:40">
      <c r="R336" s="26">
        <f>R334</f>
        <v>1198</v>
      </c>
      <c r="S336" s="26"/>
      <c r="T336">
        <v>10.715</v>
      </c>
      <c r="U336" s="35">
        <f>R336*T336</f>
        <v>12836.57</v>
      </c>
      <c r="V336" s="112">
        <f>AC334</f>
        <v>599.38</v>
      </c>
      <c r="W336" s="35">
        <f>U336+V336</f>
        <v>13435.949999999999</v>
      </c>
      <c r="X336" s="112">
        <f>V334-W336</f>
        <v>10339.980000000001</v>
      </c>
    </row>
    <row r="337" spans="15:34">
      <c r="X337" t="s">
        <v>213</v>
      </c>
    </row>
    <row r="338" spans="15:34">
      <c r="S338" s="52" t="s">
        <v>367</v>
      </c>
    </row>
    <row r="339" spans="15:34">
      <c r="P339" s="52"/>
      <c r="Q339" s="52"/>
      <c r="R339" s="52" t="s">
        <v>221</v>
      </c>
      <c r="S339" s="52" t="s">
        <v>343</v>
      </c>
      <c r="T339" s="52" t="s">
        <v>222</v>
      </c>
      <c r="U339" s="52" t="s">
        <v>371</v>
      </c>
      <c r="V339" s="52" t="s">
        <v>368</v>
      </c>
      <c r="W339" s="52" t="s">
        <v>369</v>
      </c>
      <c r="X339" s="52" t="s">
        <v>370</v>
      </c>
      <c r="Y339" s="52" t="s">
        <v>372</v>
      </c>
      <c r="Z339" s="52"/>
      <c r="AA339" s="52"/>
      <c r="AB339" s="52"/>
      <c r="AD339" s="52"/>
      <c r="AE339" s="52"/>
      <c r="AF339" s="52"/>
      <c r="AG339" s="52"/>
      <c r="AH339" s="52"/>
    </row>
    <row r="340" spans="15:34">
      <c r="P340" s="52"/>
      <c r="Q340" s="52"/>
      <c r="R340" s="89" t="s">
        <v>15</v>
      </c>
      <c r="S340" s="89" t="s">
        <v>344</v>
      </c>
      <c r="T340" s="89" t="s">
        <v>227</v>
      </c>
      <c r="U340" s="89" t="s">
        <v>375</v>
      </c>
      <c r="V340" s="89" t="s">
        <v>226</v>
      </c>
      <c r="W340" s="89" t="s">
        <v>373</v>
      </c>
      <c r="X340" s="89" t="s">
        <v>374</v>
      </c>
      <c r="Y340" s="89" t="s">
        <v>376</v>
      </c>
      <c r="Z340" s="52"/>
      <c r="AA340" s="52"/>
      <c r="AB340" s="52"/>
      <c r="AD340" s="52"/>
      <c r="AE340" s="52"/>
      <c r="AF340" s="52"/>
      <c r="AG340" s="52"/>
      <c r="AH340" s="52"/>
    </row>
    <row r="341" spans="15:34"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183" t="s">
        <v>217</v>
      </c>
      <c r="AD341" s="52"/>
      <c r="AE341" s="52"/>
      <c r="AF341" s="52"/>
      <c r="AG341" s="52"/>
      <c r="AH341" s="52"/>
    </row>
    <row r="342" spans="15:34">
      <c r="O342">
        <f>$O$69</f>
        <v>1</v>
      </c>
      <c r="P342" t="str">
        <f t="shared" ref="P342:P353" si="142">P320</f>
        <v>MAR</v>
      </c>
      <c r="R342" s="117">
        <v>415.21</v>
      </c>
      <c r="S342" s="117">
        <v>53.99</v>
      </c>
      <c r="T342" s="117">
        <v>172.69</v>
      </c>
      <c r="U342" s="117">
        <v>-115.06</v>
      </c>
      <c r="V342" s="117"/>
      <c r="W342" s="117"/>
      <c r="X342" s="117"/>
      <c r="Z342" s="117"/>
      <c r="AA342" s="117"/>
      <c r="AB342" s="35">
        <f t="shared" ref="AB342:AB353" si="143">SUM(R342:AA342)</f>
        <v>526.82999999999993</v>
      </c>
    </row>
    <row r="343" spans="15:34">
      <c r="P343" t="str">
        <f t="shared" si="142"/>
        <v>APR</v>
      </c>
      <c r="R343" s="117">
        <v>111.34</v>
      </c>
      <c r="S343" s="117">
        <v>18.23</v>
      </c>
      <c r="T343" s="117">
        <v>152.18</v>
      </c>
      <c r="U343" s="117">
        <v>-37.74</v>
      </c>
      <c r="V343" s="117"/>
      <c r="W343" s="117"/>
      <c r="X343" s="117"/>
      <c r="Z343" s="117"/>
      <c r="AA343" s="117"/>
      <c r="AB343" s="35">
        <f t="shared" si="143"/>
        <v>244.01</v>
      </c>
    </row>
    <row r="344" spans="15:34">
      <c r="P344" t="str">
        <f t="shared" si="142"/>
        <v>MAY</v>
      </c>
      <c r="R344" s="117">
        <v>229.74</v>
      </c>
      <c r="S344" s="117">
        <v>31.69</v>
      </c>
      <c r="T344" s="117">
        <v>115.43</v>
      </c>
      <c r="U344" s="117">
        <v>-64.260000000000005</v>
      </c>
      <c r="V344" s="117"/>
      <c r="W344" s="117"/>
      <c r="X344" s="117"/>
      <c r="Z344" s="117"/>
      <c r="AA344" s="117"/>
      <c r="AB344" s="35">
        <f t="shared" si="143"/>
        <v>312.60000000000002</v>
      </c>
    </row>
    <row r="345" spans="15:34">
      <c r="P345" t="str">
        <f t="shared" si="142"/>
        <v>JUN</v>
      </c>
      <c r="R345" s="348">
        <v>41.5</v>
      </c>
      <c r="S345" s="348">
        <v>16.7</v>
      </c>
      <c r="T345" s="348">
        <v>143.16</v>
      </c>
      <c r="U345" s="348">
        <v>-31.98</v>
      </c>
      <c r="V345" s="117"/>
      <c r="W345" s="117"/>
      <c r="X345" s="117"/>
      <c r="Z345" s="117"/>
      <c r="AA345" s="117"/>
      <c r="AB345" s="35">
        <f t="shared" si="143"/>
        <v>169.38000000000002</v>
      </c>
    </row>
    <row r="346" spans="15:34">
      <c r="P346" t="str">
        <f t="shared" si="142"/>
        <v>JUL</v>
      </c>
      <c r="R346" s="348">
        <v>336.71</v>
      </c>
      <c r="S346" s="348">
        <v>41.01</v>
      </c>
      <c r="T346" s="348">
        <v>134.03</v>
      </c>
      <c r="U346" s="348">
        <v>-62.91</v>
      </c>
      <c r="V346" s="117"/>
      <c r="W346" s="117"/>
      <c r="X346" s="117"/>
      <c r="Y346" s="117"/>
      <c r="Z346" s="117"/>
      <c r="AA346" s="117"/>
      <c r="AB346" s="35">
        <f t="shared" si="143"/>
        <v>448.84000000000003</v>
      </c>
    </row>
    <row r="347" spans="15:34">
      <c r="P347" t="str">
        <f t="shared" si="142"/>
        <v>AUG</v>
      </c>
      <c r="R347" s="348">
        <v>679.13</v>
      </c>
      <c r="S347" s="348">
        <v>76.209999999999994</v>
      </c>
      <c r="T347" s="348">
        <v>182.72</v>
      </c>
      <c r="U347" s="348">
        <v>-132.96</v>
      </c>
      <c r="V347" s="348"/>
      <c r="W347" s="348"/>
      <c r="X347" s="348"/>
      <c r="Y347" s="348"/>
      <c r="Z347" s="117"/>
      <c r="AA347" s="117"/>
      <c r="AB347" s="35">
        <f t="shared" si="143"/>
        <v>805.1</v>
      </c>
    </row>
    <row r="348" spans="15:34">
      <c r="P348" t="str">
        <f t="shared" si="142"/>
        <v>SEP</v>
      </c>
      <c r="R348" s="348">
        <v>475.88</v>
      </c>
      <c r="S348" s="348">
        <v>82.64</v>
      </c>
      <c r="T348" s="348">
        <v>92.21</v>
      </c>
      <c r="U348" s="348">
        <v>-62.5</v>
      </c>
      <c r="V348" s="348"/>
      <c r="W348" s="348"/>
      <c r="X348" s="348"/>
      <c r="Y348" s="348"/>
      <c r="Z348" s="117"/>
      <c r="AA348" s="117"/>
      <c r="AB348" s="35">
        <f t="shared" si="143"/>
        <v>588.23</v>
      </c>
    </row>
    <row r="349" spans="15:34">
      <c r="P349" t="str">
        <f t="shared" si="142"/>
        <v>OCT</v>
      </c>
      <c r="R349" s="348">
        <v>513.80999999999995</v>
      </c>
      <c r="S349" s="348">
        <v>107.11</v>
      </c>
      <c r="T349" s="348">
        <v>134.22999999999999</v>
      </c>
      <c r="U349" s="348">
        <v>-75.78</v>
      </c>
      <c r="V349" s="348"/>
      <c r="W349" s="348"/>
      <c r="X349" s="348"/>
      <c r="Y349" s="348"/>
      <c r="Z349" s="117"/>
      <c r="AA349" s="117"/>
      <c r="AB349" s="35">
        <f t="shared" si="143"/>
        <v>679.37</v>
      </c>
    </row>
    <row r="350" spans="15:34">
      <c r="P350" t="str">
        <f t="shared" si="142"/>
        <v>NOV</v>
      </c>
      <c r="R350" s="117">
        <v>739.76</v>
      </c>
      <c r="S350" s="117">
        <v>189.47</v>
      </c>
      <c r="T350" s="117">
        <v>133.77000000000001</v>
      </c>
      <c r="U350" s="117">
        <v>-152.63</v>
      </c>
      <c r="V350" s="348"/>
      <c r="W350" s="348"/>
      <c r="X350" s="348"/>
      <c r="Y350" s="348"/>
      <c r="Z350" s="117"/>
      <c r="AA350" s="117"/>
      <c r="AB350" s="35">
        <f t="shared" si="143"/>
        <v>910.37</v>
      </c>
    </row>
    <row r="351" spans="15:34">
      <c r="P351" t="str">
        <f t="shared" si="142"/>
        <v>DEC</v>
      </c>
      <c r="R351" s="117">
        <v>382.21</v>
      </c>
      <c r="S351" s="117">
        <v>114.85</v>
      </c>
      <c r="T351" s="117">
        <v>129.58000000000001</v>
      </c>
      <c r="U351" s="117">
        <v>-84.55</v>
      </c>
      <c r="V351" s="348"/>
      <c r="W351" s="348"/>
      <c r="X351" s="348"/>
      <c r="Y351" s="348"/>
      <c r="Z351" s="117"/>
      <c r="AA351" s="117"/>
      <c r="AB351" s="35">
        <f t="shared" si="143"/>
        <v>542.09</v>
      </c>
    </row>
    <row r="352" spans="15:34">
      <c r="P352" s="349" t="str">
        <f t="shared" si="142"/>
        <v>Jan 2023</v>
      </c>
      <c r="R352" s="117">
        <v>266.79000000000002</v>
      </c>
      <c r="S352" s="117">
        <v>110.85</v>
      </c>
      <c r="T352" s="117">
        <v>319.7</v>
      </c>
      <c r="U352" s="117">
        <v>-55.78</v>
      </c>
      <c r="V352" s="117"/>
      <c r="W352" s="117"/>
      <c r="X352" s="117"/>
      <c r="Y352" s="117"/>
      <c r="Z352" s="117"/>
      <c r="AA352" s="117"/>
      <c r="AB352" s="35">
        <f t="shared" si="143"/>
        <v>641.55999999999995</v>
      </c>
    </row>
    <row r="353" spans="12:40">
      <c r="O353">
        <f>$O$80</f>
        <v>12</v>
      </c>
      <c r="P353" t="str">
        <f t="shared" si="142"/>
        <v>FEB</v>
      </c>
      <c r="R353" s="117">
        <v>234</v>
      </c>
      <c r="S353" s="117">
        <v>179.84</v>
      </c>
      <c r="T353" s="117">
        <v>174.86</v>
      </c>
      <c r="U353" s="117">
        <v>-107.17</v>
      </c>
      <c r="V353" s="117"/>
      <c r="W353" s="117"/>
      <c r="X353" s="117"/>
      <c r="Y353" s="117"/>
      <c r="Z353" s="117"/>
      <c r="AA353" s="117"/>
      <c r="AB353" s="35">
        <f t="shared" si="143"/>
        <v>481.53000000000003</v>
      </c>
    </row>
    <row r="354" spans="12:40"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35"/>
    </row>
    <row r="355" spans="12:40" ht="13.5" thickBot="1">
      <c r="P355" t="s">
        <v>108</v>
      </c>
      <c r="R355" s="119">
        <f t="shared" ref="R355" si="144">SUM(R342:R353)</f>
        <v>4426.08</v>
      </c>
      <c r="S355" s="119">
        <f t="shared" ref="S355:Y355" si="145">SUM(S342:S353)</f>
        <v>1022.59</v>
      </c>
      <c r="T355" s="119">
        <f t="shared" si="145"/>
        <v>1884.56</v>
      </c>
      <c r="U355" s="119">
        <f t="shared" si="145"/>
        <v>-983.31999999999982</v>
      </c>
      <c r="V355" s="119">
        <f t="shared" si="145"/>
        <v>0</v>
      </c>
      <c r="W355" s="119">
        <f t="shared" si="145"/>
        <v>0</v>
      </c>
      <c r="X355" s="119">
        <f t="shared" si="145"/>
        <v>0</v>
      </c>
      <c r="Y355" s="119">
        <f t="shared" si="145"/>
        <v>0</v>
      </c>
      <c r="Z355" s="117"/>
      <c r="AA355" s="117"/>
      <c r="AB355" s="119">
        <f>SUM(AB342:AB353)</f>
        <v>6349.9100000000008</v>
      </c>
    </row>
    <row r="356" spans="12:40" ht="16.5" thickTop="1">
      <c r="P356" s="121" t="s">
        <v>264</v>
      </c>
      <c r="Q356" s="36"/>
      <c r="U356">
        <f>60</f>
        <v>60</v>
      </c>
      <c r="V356">
        <v>10.715</v>
      </c>
      <c r="W356">
        <f>U356*V356</f>
        <v>642.9</v>
      </c>
      <c r="AC356" s="191"/>
      <c r="AD356" s="191"/>
      <c r="AE356" s="192" t="s">
        <v>382</v>
      </c>
      <c r="AF356" s="191"/>
      <c r="AG356" s="191"/>
      <c r="AH356" s="191"/>
      <c r="AI356" s="191"/>
      <c r="AJ356" s="191"/>
      <c r="AK356" s="191"/>
      <c r="AL356" s="191"/>
      <c r="AM356" s="193"/>
    </row>
    <row r="357" spans="12:40">
      <c r="R357" t="s">
        <v>489</v>
      </c>
      <c r="X357" s="52" t="s">
        <v>9</v>
      </c>
      <c r="AC357" s="193"/>
      <c r="AD357" s="191"/>
      <c r="AE357" s="192" t="s">
        <v>383</v>
      </c>
      <c r="AF357" s="191"/>
      <c r="AG357" s="191"/>
      <c r="AH357" s="193"/>
      <c r="AI357" s="191"/>
      <c r="AJ357" s="191"/>
      <c r="AK357" s="191"/>
      <c r="AL357" s="192" t="s">
        <v>387</v>
      </c>
      <c r="AM357" s="193"/>
    </row>
    <row r="358" spans="12:40">
      <c r="Q358" s="52" t="s">
        <v>261</v>
      </c>
      <c r="R358" s="52" t="s">
        <v>255</v>
      </c>
      <c r="S358" s="52"/>
      <c r="T358" s="52" t="s">
        <v>245</v>
      </c>
      <c r="X358" s="52" t="s">
        <v>15</v>
      </c>
      <c r="Y358" s="52" t="s">
        <v>245</v>
      </c>
      <c r="AC358" s="192" t="s">
        <v>379</v>
      </c>
      <c r="AD358" s="191" t="s">
        <v>263</v>
      </c>
      <c r="AE358" s="192" t="s">
        <v>348</v>
      </c>
      <c r="AF358" s="192" t="s">
        <v>115</v>
      </c>
      <c r="AG358" s="192" t="s">
        <v>384</v>
      </c>
      <c r="AH358" s="192" t="s">
        <v>385</v>
      </c>
      <c r="AI358" s="192" t="s">
        <v>243</v>
      </c>
      <c r="AJ358" s="192" t="s">
        <v>386</v>
      </c>
      <c r="AK358" s="191" t="s">
        <v>140</v>
      </c>
      <c r="AL358" s="192" t="s">
        <v>388</v>
      </c>
      <c r="AM358" s="193"/>
    </row>
    <row r="359" spans="12:40">
      <c r="Q359" s="52" t="s">
        <v>248</v>
      </c>
      <c r="R359" s="52" t="s">
        <v>224</v>
      </c>
      <c r="S359" s="52"/>
      <c r="T359" s="52" t="s">
        <v>224</v>
      </c>
      <c r="U359" s="52" t="s">
        <v>11</v>
      </c>
      <c r="V359" s="52" t="s">
        <v>219</v>
      </c>
      <c r="W359" s="52" t="s">
        <v>220</v>
      </c>
      <c r="X359" s="52" t="s">
        <v>249</v>
      </c>
      <c r="Y359" s="52" t="s">
        <v>250</v>
      </c>
      <c r="Z359" s="52" t="s">
        <v>251</v>
      </c>
      <c r="AA359" s="52" t="s">
        <v>8</v>
      </c>
      <c r="AB359" s="52" t="s">
        <v>252</v>
      </c>
      <c r="AC359" s="192" t="s">
        <v>380</v>
      </c>
      <c r="AD359" s="192" t="s">
        <v>381</v>
      </c>
      <c r="AE359" s="192" t="s">
        <v>379</v>
      </c>
      <c r="AF359" s="192" t="s">
        <v>263</v>
      </c>
      <c r="AG359" s="192" t="s">
        <v>263</v>
      </c>
      <c r="AH359" s="191" t="s">
        <v>207</v>
      </c>
      <c r="AI359" s="192" t="s">
        <v>348</v>
      </c>
      <c r="AJ359" s="192" t="s">
        <v>80</v>
      </c>
      <c r="AK359" s="191" t="s">
        <v>272</v>
      </c>
      <c r="AL359" s="192" t="s">
        <v>389</v>
      </c>
      <c r="AM359" s="191" t="s">
        <v>217</v>
      </c>
    </row>
    <row r="360" spans="12:40">
      <c r="P360" s="122" t="s">
        <v>134</v>
      </c>
      <c r="Q360" s="122"/>
      <c r="R360" s="122" t="s">
        <v>134</v>
      </c>
      <c r="S360" s="122"/>
      <c r="T360" s="122" t="s">
        <v>134</v>
      </c>
      <c r="U360" s="122" t="s">
        <v>134</v>
      </c>
      <c r="V360" s="122" t="s">
        <v>134</v>
      </c>
      <c r="W360" s="122" t="s">
        <v>134</v>
      </c>
      <c r="X360" s="122" t="s">
        <v>134</v>
      </c>
      <c r="Y360" s="122" t="s">
        <v>134</v>
      </c>
      <c r="Z360" s="122" t="s">
        <v>134</v>
      </c>
      <c r="AA360" s="122" t="s">
        <v>134</v>
      </c>
      <c r="AB360" s="122" t="s">
        <v>134</v>
      </c>
      <c r="AC360" s="194" t="s">
        <v>134</v>
      </c>
      <c r="AD360" s="194" t="s">
        <v>134</v>
      </c>
      <c r="AE360" s="194" t="s">
        <v>134</v>
      </c>
      <c r="AF360" s="194" t="s">
        <v>134</v>
      </c>
      <c r="AG360" s="194" t="s">
        <v>134</v>
      </c>
      <c r="AH360" s="194" t="s">
        <v>134</v>
      </c>
      <c r="AI360" s="194" t="s">
        <v>134</v>
      </c>
      <c r="AJ360" s="194" t="s">
        <v>134</v>
      </c>
      <c r="AK360" s="194" t="s">
        <v>134</v>
      </c>
      <c r="AL360" s="194" t="s">
        <v>134</v>
      </c>
      <c r="AM360" s="194" t="s">
        <v>134</v>
      </c>
    </row>
    <row r="361" spans="12:40">
      <c r="V361" s="112"/>
      <c r="W361" s="112"/>
      <c r="X361" s="112"/>
      <c r="Z361" s="112"/>
      <c r="AC361" s="193"/>
      <c r="AD361" s="193"/>
      <c r="AE361" s="193"/>
      <c r="AF361" s="193"/>
      <c r="AG361" s="193"/>
      <c r="AH361" s="193"/>
      <c r="AI361" s="193"/>
      <c r="AJ361" s="193"/>
      <c r="AK361" s="193">
        <v>3.0000000000000001E-3</v>
      </c>
      <c r="AL361" s="193"/>
      <c r="AM361" s="193"/>
    </row>
    <row r="362" spans="12:40">
      <c r="L362" s="312">
        <f>W362/U362</f>
        <v>3.8049938157081013E-2</v>
      </c>
      <c r="M362" s="309">
        <f>N362/R362</f>
        <v>10.714966887417219</v>
      </c>
      <c r="N362" s="112">
        <f>V362-AC362</f>
        <v>1617.96</v>
      </c>
      <c r="O362">
        <f>$O$69</f>
        <v>1</v>
      </c>
      <c r="P362" t="s">
        <v>475</v>
      </c>
      <c r="Q362">
        <v>60</v>
      </c>
      <c r="R362" s="58">
        <v>151</v>
      </c>
      <c r="S362" s="58">
        <v>151</v>
      </c>
      <c r="T362" s="58">
        <v>20</v>
      </c>
      <c r="U362" s="58">
        <v>64680</v>
      </c>
      <c r="V362" s="112">
        <v>1617.96</v>
      </c>
      <c r="W362" s="112">
        <v>2461.0700000000002</v>
      </c>
      <c r="X362" s="35">
        <f t="shared" ref="X362:X371" si="146">SUM(R384:X384)</f>
        <v>1351.48</v>
      </c>
      <c r="Y362" s="112">
        <v>214.3</v>
      </c>
      <c r="Z362" s="112">
        <f t="shared" ref="Z362:Z371" si="147">SUM(V362:Y362)</f>
        <v>5644.81</v>
      </c>
      <c r="AA362" s="112">
        <v>5938.85</v>
      </c>
      <c r="AB362" s="112">
        <f t="shared" ref="AB362:AB372" si="148">AA362-Z362</f>
        <v>294.03999999999996</v>
      </c>
      <c r="AC362" s="193"/>
      <c r="AD362" s="193"/>
      <c r="AE362" s="193"/>
      <c r="AF362" s="193"/>
      <c r="AG362" s="193"/>
      <c r="AH362" s="195"/>
      <c r="AI362" s="193">
        <v>100</v>
      </c>
      <c r="AJ362" s="193"/>
      <c r="AK362" s="193">
        <f>U362*AK361</f>
        <v>194.04</v>
      </c>
      <c r="AL362" s="193"/>
      <c r="AM362" s="193">
        <f>SUM(AI362:AL362)</f>
        <v>294.03999999999996</v>
      </c>
      <c r="AN362" s="35">
        <f>AM362-AB362</f>
        <v>0</v>
      </c>
    </row>
    <row r="363" spans="12:40">
      <c r="L363" s="312">
        <f t="shared" ref="L363:L373" si="149">W363/U363</f>
        <v>3.8049959291146261E-2</v>
      </c>
      <c r="M363" s="309">
        <f t="shared" ref="M363:M373" si="150">N363/R363</f>
        <v>10.715</v>
      </c>
      <c r="N363" s="112">
        <f t="shared" ref="N363:N373" si="151">V363-AC363</f>
        <v>1285.8</v>
      </c>
      <c r="P363" t="s">
        <v>476</v>
      </c>
      <c r="Q363">
        <v>60</v>
      </c>
      <c r="R363" s="58">
        <v>120</v>
      </c>
      <c r="S363" s="58">
        <v>120</v>
      </c>
      <c r="T363" s="58">
        <v>26</v>
      </c>
      <c r="U363" s="58">
        <v>57727</v>
      </c>
      <c r="V363" s="112">
        <v>1285.8</v>
      </c>
      <c r="W363" s="112">
        <v>2196.5100000000002</v>
      </c>
      <c r="X363" s="35">
        <f t="shared" si="146"/>
        <v>1018.4099999999999</v>
      </c>
      <c r="Y363" s="112">
        <v>278.58999999999997</v>
      </c>
      <c r="Z363" s="112">
        <f t="shared" si="147"/>
        <v>4779.3100000000004</v>
      </c>
      <c r="AA363" s="112">
        <v>5052.49</v>
      </c>
      <c r="AB363" s="112">
        <f t="shared" si="148"/>
        <v>273.17999999999938</v>
      </c>
      <c r="AC363" s="193"/>
      <c r="AD363" s="193"/>
      <c r="AE363" s="193"/>
      <c r="AF363" s="193"/>
      <c r="AG363" s="193"/>
      <c r="AH363" s="195"/>
      <c r="AI363" s="193">
        <v>100</v>
      </c>
      <c r="AJ363" s="193"/>
      <c r="AK363" s="193">
        <f>U363*AK361</f>
        <v>173.18100000000001</v>
      </c>
      <c r="AL363" s="193"/>
      <c r="AM363" s="193">
        <f t="shared" ref="AM363:AM373" si="152">SUM(AI363:AL363)</f>
        <v>273.18100000000004</v>
      </c>
      <c r="AN363" s="35">
        <f t="shared" ref="AN363:AN373" si="153">AM363-AB363</f>
        <v>1.0000000006584742E-3</v>
      </c>
    </row>
    <row r="364" spans="12:40">
      <c r="L364" s="312">
        <f t="shared" si="149"/>
        <v>3.8050045432305862E-2</v>
      </c>
      <c r="M364" s="309">
        <f t="shared" si="150"/>
        <v>10.715</v>
      </c>
      <c r="N364" s="112">
        <f t="shared" si="151"/>
        <v>1692.97</v>
      </c>
      <c r="P364" t="s">
        <v>477</v>
      </c>
      <c r="Q364">
        <v>60</v>
      </c>
      <c r="R364" s="58">
        <v>158</v>
      </c>
      <c r="S364" s="58">
        <v>158</v>
      </c>
      <c r="T364" s="58">
        <v>32</v>
      </c>
      <c r="U364" s="58">
        <v>71535</v>
      </c>
      <c r="V364" s="112">
        <v>1692.97</v>
      </c>
      <c r="W364" s="112">
        <v>2721.91</v>
      </c>
      <c r="X364" s="35">
        <f t="shared" si="146"/>
        <v>1364.1099999999997</v>
      </c>
      <c r="Y364" s="112">
        <v>342.88</v>
      </c>
      <c r="Z364" s="112">
        <f t="shared" si="147"/>
        <v>6121.87</v>
      </c>
      <c r="AA364" s="112">
        <v>6436.47</v>
      </c>
      <c r="AB364" s="112">
        <f t="shared" si="148"/>
        <v>314.60000000000036</v>
      </c>
      <c r="AC364" s="193"/>
      <c r="AD364" s="193"/>
      <c r="AE364" s="193"/>
      <c r="AF364" s="193"/>
      <c r="AG364" s="193"/>
      <c r="AH364" s="195"/>
      <c r="AI364" s="193">
        <v>100</v>
      </c>
      <c r="AJ364" s="193"/>
      <c r="AK364" s="193">
        <f>U364*AK361</f>
        <v>214.60500000000002</v>
      </c>
      <c r="AL364" s="193"/>
      <c r="AM364" s="193">
        <f t="shared" si="152"/>
        <v>314.60500000000002</v>
      </c>
      <c r="AN364" s="35">
        <f t="shared" si="153"/>
        <v>4.999999999654392E-3</v>
      </c>
    </row>
    <row r="365" spans="12:40">
      <c r="L365" s="312">
        <f t="shared" si="149"/>
        <v>3.8049945711183496E-2</v>
      </c>
      <c r="M365" s="309">
        <f t="shared" si="150"/>
        <v>10.715030674846625</v>
      </c>
      <c r="N365" s="112">
        <f t="shared" si="151"/>
        <v>1746.55</v>
      </c>
      <c r="P365" t="s">
        <v>478</v>
      </c>
      <c r="Q365">
        <v>60</v>
      </c>
      <c r="R365" s="58">
        <v>163</v>
      </c>
      <c r="S365" s="58">
        <v>163</v>
      </c>
      <c r="T365" s="58">
        <v>26</v>
      </c>
      <c r="U365" s="58">
        <v>73680</v>
      </c>
      <c r="V365" s="112">
        <v>1746.55</v>
      </c>
      <c r="W365" s="112">
        <v>2803.52</v>
      </c>
      <c r="X365" s="35">
        <f t="shared" si="146"/>
        <v>619.78</v>
      </c>
      <c r="Y365" s="112">
        <v>278.58999999999997</v>
      </c>
      <c r="Z365" s="112">
        <f t="shared" si="147"/>
        <v>5448.44</v>
      </c>
      <c r="AA365" s="112">
        <v>5769.48</v>
      </c>
      <c r="AB365" s="112">
        <f t="shared" si="148"/>
        <v>321.03999999999996</v>
      </c>
      <c r="AC365" s="193"/>
      <c r="AD365" s="193"/>
      <c r="AE365" s="193"/>
      <c r="AF365" s="193"/>
      <c r="AG365" s="193"/>
      <c r="AH365" s="195"/>
      <c r="AI365" s="193">
        <v>100</v>
      </c>
      <c r="AJ365" s="193"/>
      <c r="AK365" s="193">
        <f>U365*AK361</f>
        <v>221.04</v>
      </c>
      <c r="AL365" s="193"/>
      <c r="AM365" s="193">
        <f t="shared" si="152"/>
        <v>321.03999999999996</v>
      </c>
      <c r="AN365" s="35">
        <f t="shared" si="153"/>
        <v>0</v>
      </c>
    </row>
    <row r="366" spans="12:40">
      <c r="L366" s="312">
        <f t="shared" si="149"/>
        <v>3.8050014690999313E-2</v>
      </c>
      <c r="M366" s="309">
        <f t="shared" si="150"/>
        <v>10.715</v>
      </c>
      <c r="N366" s="112">
        <f t="shared" si="151"/>
        <v>1435.81</v>
      </c>
      <c r="P366" t="s">
        <v>479</v>
      </c>
      <c r="Q366">
        <v>60</v>
      </c>
      <c r="R366" s="58">
        <v>134</v>
      </c>
      <c r="S366" s="58">
        <v>134</v>
      </c>
      <c r="T366" s="58">
        <v>32</v>
      </c>
      <c r="U366" s="58">
        <v>61262</v>
      </c>
      <c r="V366" s="112">
        <v>1435.81</v>
      </c>
      <c r="W366" s="112">
        <v>2331.02</v>
      </c>
      <c r="X366" s="35">
        <f t="shared" si="146"/>
        <v>1408.91</v>
      </c>
      <c r="Y366" s="112">
        <v>342.88</v>
      </c>
      <c r="Z366" s="112">
        <f t="shared" si="147"/>
        <v>5518.62</v>
      </c>
      <c r="AA366" s="112">
        <v>5802.41</v>
      </c>
      <c r="AB366" s="112">
        <f t="shared" si="148"/>
        <v>283.78999999999996</v>
      </c>
      <c r="AC366" s="193"/>
      <c r="AD366" s="193"/>
      <c r="AE366" s="193"/>
      <c r="AF366" s="193"/>
      <c r="AG366" s="193"/>
      <c r="AH366" s="195"/>
      <c r="AI366" s="193">
        <v>100</v>
      </c>
      <c r="AJ366" s="193"/>
      <c r="AK366" s="193">
        <f>U366*AK361</f>
        <v>183.786</v>
      </c>
      <c r="AL366" s="193"/>
      <c r="AM366" s="193">
        <f t="shared" si="152"/>
        <v>283.786</v>
      </c>
      <c r="AN366" s="35">
        <f t="shared" si="153"/>
        <v>-3.999999999962256E-3</v>
      </c>
    </row>
    <row r="367" spans="12:40">
      <c r="L367" s="312">
        <f t="shared" si="149"/>
        <v>3.8050090252707586E-2</v>
      </c>
      <c r="M367" s="309">
        <f t="shared" si="150"/>
        <v>10.715047619047619</v>
      </c>
      <c r="N367" s="112">
        <f t="shared" si="151"/>
        <v>1125.08</v>
      </c>
      <c r="P367" t="s">
        <v>480</v>
      </c>
      <c r="Q367">
        <v>60</v>
      </c>
      <c r="R367" s="58">
        <v>105</v>
      </c>
      <c r="S367" s="58">
        <v>105</v>
      </c>
      <c r="T367" s="58">
        <v>28</v>
      </c>
      <c r="U367" s="58">
        <v>44320</v>
      </c>
      <c r="V367" s="112">
        <v>1125.08</v>
      </c>
      <c r="W367" s="112">
        <v>1686.38</v>
      </c>
      <c r="X367" s="35">
        <f t="shared" si="146"/>
        <v>1079.9999999999998</v>
      </c>
      <c r="Y367" s="112">
        <v>300.02</v>
      </c>
      <c r="Z367" s="112">
        <f t="shared" si="147"/>
        <v>4191.4799999999996</v>
      </c>
      <c r="AA367" s="112">
        <v>4424.4399999999996</v>
      </c>
      <c r="AB367" s="112">
        <f t="shared" si="148"/>
        <v>232.96000000000004</v>
      </c>
      <c r="AC367" s="193"/>
      <c r="AD367" s="193"/>
      <c r="AE367" s="193"/>
      <c r="AF367" s="193"/>
      <c r="AG367" s="193"/>
      <c r="AH367" s="195"/>
      <c r="AI367" s="193">
        <v>100</v>
      </c>
      <c r="AJ367" s="193"/>
      <c r="AK367" s="193">
        <f>U367*AK361</f>
        <v>132.96</v>
      </c>
      <c r="AL367" s="193"/>
      <c r="AM367" s="193">
        <f t="shared" si="152"/>
        <v>232.96</v>
      </c>
      <c r="AN367" s="35">
        <f t="shared" si="153"/>
        <v>0</v>
      </c>
    </row>
    <row r="368" spans="12:40">
      <c r="L368" s="312">
        <f t="shared" si="149"/>
        <v>3.8049901510177279E-2</v>
      </c>
      <c r="M368" s="309">
        <f t="shared" si="150"/>
        <v>10.715072463768117</v>
      </c>
      <c r="N368" s="112">
        <f t="shared" si="151"/>
        <v>739.34</v>
      </c>
      <c r="P368" t="s">
        <v>481</v>
      </c>
      <c r="Q368">
        <v>60</v>
      </c>
      <c r="R368" s="58">
        <v>69</v>
      </c>
      <c r="S368" s="58">
        <v>69</v>
      </c>
      <c r="T368" s="58"/>
      <c r="U368" s="58">
        <v>27414</v>
      </c>
      <c r="V368" s="112">
        <v>739.34</v>
      </c>
      <c r="W368" s="112">
        <v>1043.0999999999999</v>
      </c>
      <c r="X368" s="35">
        <f t="shared" si="146"/>
        <v>1079.1600000000001</v>
      </c>
      <c r="Y368" s="112"/>
      <c r="Z368" s="112">
        <f t="shared" si="147"/>
        <v>2861.6000000000004</v>
      </c>
      <c r="AA368" s="112">
        <v>3043.84</v>
      </c>
      <c r="AB368" s="112">
        <f t="shared" si="148"/>
        <v>182.23999999999978</v>
      </c>
      <c r="AC368" s="193"/>
      <c r="AD368" s="193"/>
      <c r="AE368" s="193"/>
      <c r="AF368" s="193"/>
      <c r="AG368" s="193"/>
      <c r="AH368" s="195"/>
      <c r="AI368" s="193">
        <v>100</v>
      </c>
      <c r="AJ368" s="193"/>
      <c r="AK368" s="193">
        <f>U368*AK361</f>
        <v>82.242000000000004</v>
      </c>
      <c r="AL368" s="193"/>
      <c r="AM368" s="193">
        <f t="shared" si="152"/>
        <v>182.24200000000002</v>
      </c>
      <c r="AN368" s="35">
        <f t="shared" si="153"/>
        <v>2.0000000002369234E-3</v>
      </c>
    </row>
    <row r="369" spans="12:40">
      <c r="L369" s="312">
        <f t="shared" si="149"/>
        <v>3.8049611319765919E-2</v>
      </c>
      <c r="M369" s="309">
        <f t="shared" si="150"/>
        <v>19.481818181818181</v>
      </c>
      <c r="N369" s="112">
        <f t="shared" si="151"/>
        <v>642.9</v>
      </c>
      <c r="P369" t="s">
        <v>482</v>
      </c>
      <c r="Q369">
        <v>60</v>
      </c>
      <c r="R369" s="58">
        <v>33</v>
      </c>
      <c r="S369" s="58">
        <v>60</v>
      </c>
      <c r="T369" s="58"/>
      <c r="U369" s="58">
        <v>11449</v>
      </c>
      <c r="V369" s="112">
        <v>642.9</v>
      </c>
      <c r="W369" s="112">
        <v>435.63</v>
      </c>
      <c r="X369" s="35">
        <f t="shared" si="146"/>
        <v>412.21000000000004</v>
      </c>
      <c r="Y369" s="112"/>
      <c r="Z369" s="112">
        <f t="shared" si="147"/>
        <v>1490.74</v>
      </c>
      <c r="AA369" s="112">
        <v>1625.09</v>
      </c>
      <c r="AB369" s="112">
        <f t="shared" si="148"/>
        <v>134.34999999999991</v>
      </c>
      <c r="AC369" s="193"/>
      <c r="AD369" s="193"/>
      <c r="AE369" s="193"/>
      <c r="AF369" s="193"/>
      <c r="AG369" s="193"/>
      <c r="AH369" s="195"/>
      <c r="AI369" s="193">
        <v>100</v>
      </c>
      <c r="AJ369" s="193"/>
      <c r="AK369" s="193">
        <f>U369*AK361</f>
        <v>34.347000000000001</v>
      </c>
      <c r="AL369" s="193"/>
      <c r="AM369" s="193">
        <f t="shared" si="152"/>
        <v>134.34700000000001</v>
      </c>
      <c r="AN369" s="35">
        <f t="shared" si="153"/>
        <v>-2.9999999999006377E-3</v>
      </c>
    </row>
    <row r="370" spans="12:40">
      <c r="L370" s="312">
        <f t="shared" si="149"/>
        <v>3.804958000409752E-2</v>
      </c>
      <c r="M370" s="309">
        <f t="shared" si="150"/>
        <v>37.817647058823525</v>
      </c>
      <c r="N370" s="112">
        <f t="shared" si="151"/>
        <v>642.9</v>
      </c>
      <c r="P370" t="s">
        <v>483</v>
      </c>
      <c r="Q370">
        <v>60</v>
      </c>
      <c r="R370" s="58">
        <v>17</v>
      </c>
      <c r="S370" s="58">
        <v>60</v>
      </c>
      <c r="T370" s="58"/>
      <c r="U370" s="58">
        <v>9762</v>
      </c>
      <c r="V370" s="112">
        <v>642.9</v>
      </c>
      <c r="W370" s="112">
        <v>371.44</v>
      </c>
      <c r="X370" s="35">
        <f t="shared" si="146"/>
        <v>283.85000000000002</v>
      </c>
      <c r="Y370" s="112"/>
      <c r="Z370" s="112">
        <f t="shared" si="147"/>
        <v>1298.19</v>
      </c>
      <c r="AA370" s="112">
        <v>1427.48</v>
      </c>
      <c r="AB370" s="112">
        <f t="shared" si="148"/>
        <v>129.28999999999996</v>
      </c>
      <c r="AC370" s="193"/>
      <c r="AD370" s="193"/>
      <c r="AE370" s="193"/>
      <c r="AF370" s="193"/>
      <c r="AG370" s="193"/>
      <c r="AH370" s="195"/>
      <c r="AI370" s="193">
        <v>100</v>
      </c>
      <c r="AJ370" s="193"/>
      <c r="AK370" s="193">
        <f>U370*AK361</f>
        <v>29.286000000000001</v>
      </c>
      <c r="AL370" s="193"/>
      <c r="AM370" s="193">
        <f t="shared" si="152"/>
        <v>129.286</v>
      </c>
      <c r="AN370" s="35">
        <f t="shared" si="153"/>
        <v>-3.999999999962256E-3</v>
      </c>
    </row>
    <row r="371" spans="12:40">
      <c r="L371" s="312">
        <f t="shared" si="149"/>
        <v>3.8050327544972444E-2</v>
      </c>
      <c r="M371" s="309">
        <f t="shared" si="150"/>
        <v>24.726923076923075</v>
      </c>
      <c r="N371" s="112">
        <f t="shared" si="151"/>
        <v>642.9</v>
      </c>
      <c r="P371" t="s">
        <v>484</v>
      </c>
      <c r="Q371">
        <v>60</v>
      </c>
      <c r="R371" s="58">
        <v>26</v>
      </c>
      <c r="S371" s="58">
        <v>60</v>
      </c>
      <c r="T371" s="58"/>
      <c r="U371" s="58">
        <v>9617</v>
      </c>
      <c r="V371" s="112">
        <v>642.9</v>
      </c>
      <c r="W371" s="112">
        <v>365.93</v>
      </c>
      <c r="X371" s="35">
        <f t="shared" si="146"/>
        <v>259.14</v>
      </c>
      <c r="Y371" s="112"/>
      <c r="Z371" s="112">
        <f t="shared" si="147"/>
        <v>1267.9699999999998</v>
      </c>
      <c r="AA371" s="112">
        <v>1396.82</v>
      </c>
      <c r="AB371" s="112">
        <f t="shared" si="148"/>
        <v>128.85000000000014</v>
      </c>
      <c r="AC371" s="193"/>
      <c r="AD371" s="193"/>
      <c r="AE371" s="193"/>
      <c r="AF371" s="195"/>
      <c r="AG371" s="195"/>
      <c r="AH371" s="195"/>
      <c r="AI371" s="193">
        <v>100</v>
      </c>
      <c r="AJ371" s="193"/>
      <c r="AK371" s="193">
        <f>U371*AK361</f>
        <v>28.850999999999999</v>
      </c>
      <c r="AL371" s="193"/>
      <c r="AM371" s="193">
        <f t="shared" si="152"/>
        <v>128.851</v>
      </c>
      <c r="AN371" s="35">
        <f t="shared" si="153"/>
        <v>9.999999998626663E-4</v>
      </c>
    </row>
    <row r="372" spans="12:40">
      <c r="L372" s="312">
        <f t="shared" si="149"/>
        <v>3.804971915955898E-2</v>
      </c>
      <c r="M372" s="309">
        <f t="shared" si="150"/>
        <v>10.715</v>
      </c>
      <c r="N372" s="112">
        <f t="shared" si="151"/>
        <v>728.62</v>
      </c>
      <c r="P372">
        <f>[1]Accuride!P372</f>
        <v>0</v>
      </c>
      <c r="Q372">
        <v>60</v>
      </c>
      <c r="R372" s="58">
        <v>68</v>
      </c>
      <c r="S372" s="58">
        <v>68</v>
      </c>
      <c r="T372" s="58">
        <v>5</v>
      </c>
      <c r="U372" s="58">
        <v>9614</v>
      </c>
      <c r="V372" s="112">
        <v>728.62</v>
      </c>
      <c r="W372" s="112">
        <v>365.81</v>
      </c>
      <c r="X372" s="35">
        <f t="shared" ref="X372:X373" si="154">SUM(R394:Y394)</f>
        <v>305.33000000000004</v>
      </c>
      <c r="Y372" s="112">
        <v>53.58</v>
      </c>
      <c r="Z372" s="112">
        <f t="shared" ref="Z372" si="155">SUM(V372:Y372)</f>
        <v>1453.3400000000001</v>
      </c>
      <c r="AA372" s="112">
        <v>1582.18</v>
      </c>
      <c r="AB372" s="112">
        <f t="shared" si="148"/>
        <v>128.83999999999992</v>
      </c>
      <c r="AC372" s="193"/>
      <c r="AD372" s="193"/>
      <c r="AE372" s="193"/>
      <c r="AF372" s="195"/>
      <c r="AG372" s="195"/>
      <c r="AH372" s="195"/>
      <c r="AI372" s="193">
        <v>100</v>
      </c>
      <c r="AJ372" s="193"/>
      <c r="AK372" s="193">
        <f>U372*AK361</f>
        <v>28.842000000000002</v>
      </c>
      <c r="AL372" s="193"/>
      <c r="AM372" s="193">
        <f t="shared" si="152"/>
        <v>128.84200000000001</v>
      </c>
      <c r="AN372" s="35">
        <f t="shared" si="153"/>
        <v>2.0000000000948148E-3</v>
      </c>
    </row>
    <row r="373" spans="12:40">
      <c r="L373" s="312">
        <f t="shared" si="149"/>
        <v>3.8049883690876196E-2</v>
      </c>
      <c r="M373" s="309">
        <f t="shared" si="150"/>
        <v>10.715</v>
      </c>
      <c r="N373" s="112">
        <f t="shared" si="151"/>
        <v>728.62</v>
      </c>
      <c r="O373">
        <f>$O$80</f>
        <v>12</v>
      </c>
      <c r="P373" t="s">
        <v>474</v>
      </c>
      <c r="Q373">
        <v>60</v>
      </c>
      <c r="R373" s="58">
        <v>68</v>
      </c>
      <c r="S373" s="58">
        <v>68</v>
      </c>
      <c r="T373" s="58">
        <v>5</v>
      </c>
      <c r="U373" s="58">
        <v>7738</v>
      </c>
      <c r="V373" s="112">
        <v>728.62</v>
      </c>
      <c r="W373" s="112">
        <v>294.43</v>
      </c>
      <c r="X373" s="35">
        <f t="shared" si="154"/>
        <v>136.22000000000003</v>
      </c>
      <c r="Y373" s="112">
        <v>53.58</v>
      </c>
      <c r="Z373" s="112">
        <f>SUM(V373:Y373)</f>
        <v>1212.8499999999999</v>
      </c>
      <c r="AA373" s="112">
        <v>1336.06</v>
      </c>
      <c r="AB373" s="112">
        <f>AA373-Z373</f>
        <v>123.21000000000004</v>
      </c>
      <c r="AC373" s="193"/>
      <c r="AD373" s="193"/>
      <c r="AE373" s="193"/>
      <c r="AF373" s="195"/>
      <c r="AG373" s="195"/>
      <c r="AH373" s="195"/>
      <c r="AI373" s="193">
        <v>100</v>
      </c>
      <c r="AJ373" s="193"/>
      <c r="AK373" s="193">
        <f>U373*AK361</f>
        <v>23.214000000000002</v>
      </c>
      <c r="AL373" s="193"/>
      <c r="AM373" s="193">
        <f t="shared" si="152"/>
        <v>123.214</v>
      </c>
      <c r="AN373" s="35">
        <f t="shared" si="153"/>
        <v>3.999999999962256E-3</v>
      </c>
    </row>
    <row r="374" spans="12:40">
      <c r="R374" s="124" t="s">
        <v>134</v>
      </c>
      <c r="S374" s="124"/>
      <c r="T374" s="124" t="s">
        <v>134</v>
      </c>
      <c r="U374" s="124" t="s">
        <v>134</v>
      </c>
      <c r="V374" s="125" t="s">
        <v>134</v>
      </c>
      <c r="W374" s="125" t="s">
        <v>134</v>
      </c>
      <c r="X374" s="125" t="s">
        <v>134</v>
      </c>
      <c r="Y374" s="122" t="s">
        <v>134</v>
      </c>
      <c r="Z374" s="125" t="s">
        <v>134</v>
      </c>
      <c r="AA374" s="125" t="s">
        <v>134</v>
      </c>
      <c r="AB374" s="125" t="s">
        <v>134</v>
      </c>
      <c r="AC374" s="193"/>
      <c r="AD374" s="193"/>
      <c r="AE374" s="193"/>
      <c r="AF374" s="193"/>
      <c r="AG374" s="193"/>
      <c r="AH374" s="193"/>
      <c r="AI374" s="193"/>
      <c r="AJ374" s="193"/>
      <c r="AK374" s="193"/>
      <c r="AL374" s="193"/>
      <c r="AM374" s="193"/>
    </row>
    <row r="375" spans="12:40">
      <c r="R375" s="58"/>
      <c r="S375" s="58"/>
      <c r="T375" s="58"/>
      <c r="U375" s="58"/>
      <c r="V375" s="112"/>
      <c r="W375" s="112"/>
      <c r="X375" s="112"/>
      <c r="Z375" s="112"/>
      <c r="AA375" s="112"/>
      <c r="AB375" s="112"/>
      <c r="AC375" s="193"/>
      <c r="AD375" s="193"/>
      <c r="AE375" s="193"/>
      <c r="AF375" s="193"/>
      <c r="AG375" s="193"/>
      <c r="AH375" s="193"/>
      <c r="AI375" s="193"/>
      <c r="AJ375" s="193"/>
      <c r="AK375" s="193"/>
      <c r="AL375" s="193"/>
      <c r="AM375" s="193"/>
    </row>
    <row r="376" spans="12:40">
      <c r="R376" s="58">
        <f t="shared" ref="R376:AB376" si="156">SUM(R362:R373)</f>
        <v>1112</v>
      </c>
      <c r="S376" s="58"/>
      <c r="T376" s="58">
        <f t="shared" si="156"/>
        <v>174</v>
      </c>
      <c r="U376" s="58">
        <f t="shared" si="156"/>
        <v>448798</v>
      </c>
      <c r="V376" s="112">
        <f t="shared" si="156"/>
        <v>13029.45</v>
      </c>
      <c r="W376" s="112">
        <f t="shared" si="156"/>
        <v>17076.75</v>
      </c>
      <c r="X376" s="112">
        <f t="shared" si="156"/>
        <v>9318.5999999999985</v>
      </c>
      <c r="Y376" s="112">
        <f t="shared" si="156"/>
        <v>1864.4199999999996</v>
      </c>
      <c r="Z376" s="112">
        <f t="shared" si="156"/>
        <v>41289.219999999994</v>
      </c>
      <c r="AA376" s="112">
        <f t="shared" si="156"/>
        <v>43835.609999999993</v>
      </c>
      <c r="AB376" s="112">
        <f t="shared" si="156"/>
        <v>2546.3899999999994</v>
      </c>
      <c r="AC376" s="197">
        <f t="shared" ref="AC376:AM376" si="157">SUM(AC362:AC373)</f>
        <v>0</v>
      </c>
      <c r="AD376" s="197">
        <f t="shared" si="157"/>
        <v>0</v>
      </c>
      <c r="AE376" s="197">
        <f t="shared" si="157"/>
        <v>0</v>
      </c>
      <c r="AF376" s="197">
        <f t="shared" si="157"/>
        <v>0</v>
      </c>
      <c r="AG376" s="197">
        <f t="shared" si="157"/>
        <v>0</v>
      </c>
      <c r="AH376" s="197">
        <f t="shared" si="157"/>
        <v>0</v>
      </c>
      <c r="AI376" s="197">
        <f t="shared" si="157"/>
        <v>1200</v>
      </c>
      <c r="AJ376" s="197">
        <f t="shared" si="157"/>
        <v>0</v>
      </c>
      <c r="AK376" s="197">
        <f t="shared" si="157"/>
        <v>1346.3940000000002</v>
      </c>
      <c r="AL376" s="197">
        <f t="shared" si="157"/>
        <v>0</v>
      </c>
      <c r="AM376" s="197">
        <f t="shared" si="157"/>
        <v>2546.3940000000002</v>
      </c>
    </row>
    <row r="377" spans="12:40">
      <c r="R377" s="124" t="s">
        <v>229</v>
      </c>
      <c r="S377" s="124"/>
      <c r="T377" s="124" t="s">
        <v>229</v>
      </c>
      <c r="U377" s="124" t="s">
        <v>229</v>
      </c>
      <c r="V377" s="125" t="s">
        <v>229</v>
      </c>
      <c r="W377" s="125" t="s">
        <v>229</v>
      </c>
      <c r="X377" s="125" t="s">
        <v>229</v>
      </c>
      <c r="Y377" s="125" t="s">
        <v>229</v>
      </c>
      <c r="Z377" s="125" t="s">
        <v>229</v>
      </c>
      <c r="AA377" s="125" t="s">
        <v>229</v>
      </c>
      <c r="AB377" s="125" t="s">
        <v>229</v>
      </c>
      <c r="AC377" s="198" t="s">
        <v>229</v>
      </c>
      <c r="AD377" s="198" t="s">
        <v>229</v>
      </c>
      <c r="AE377" s="198" t="s">
        <v>229</v>
      </c>
      <c r="AF377" s="198" t="s">
        <v>229</v>
      </c>
      <c r="AG377" s="198" t="s">
        <v>229</v>
      </c>
      <c r="AH377" s="198" t="s">
        <v>229</v>
      </c>
      <c r="AI377" s="198" t="s">
        <v>229</v>
      </c>
      <c r="AJ377" s="198" t="s">
        <v>229</v>
      </c>
      <c r="AK377" s="198" t="s">
        <v>229</v>
      </c>
      <c r="AL377" s="198" t="s">
        <v>229</v>
      </c>
      <c r="AM377" s="198" t="s">
        <v>229</v>
      </c>
    </row>
    <row r="378" spans="12:40">
      <c r="R378" s="26">
        <f>R376</f>
        <v>1112</v>
      </c>
      <c r="S378" s="26"/>
      <c r="T378">
        <v>10.715</v>
      </c>
      <c r="U378" s="35">
        <f>R378*T378</f>
        <v>11915.08</v>
      </c>
      <c r="V378" s="112">
        <f>AC376</f>
        <v>0</v>
      </c>
      <c r="W378" s="35">
        <f>U378+V378</f>
        <v>11915.08</v>
      </c>
      <c r="X378" s="112">
        <f>V376-W378</f>
        <v>1114.3700000000008</v>
      </c>
    </row>
    <row r="380" spans="12:40">
      <c r="S380" s="52" t="s">
        <v>367</v>
      </c>
    </row>
    <row r="381" spans="12:40">
      <c r="P381" s="52"/>
      <c r="Q381" s="52"/>
      <c r="R381" s="52" t="s">
        <v>221</v>
      </c>
      <c r="S381" s="52" t="s">
        <v>343</v>
      </c>
      <c r="T381" s="52" t="s">
        <v>222</v>
      </c>
      <c r="U381" s="52" t="s">
        <v>371</v>
      </c>
      <c r="V381" s="52" t="s">
        <v>368</v>
      </c>
      <c r="W381" s="52" t="s">
        <v>369</v>
      </c>
      <c r="X381" s="52" t="s">
        <v>370</v>
      </c>
      <c r="Y381" s="52" t="s">
        <v>372</v>
      </c>
      <c r="Z381" s="52"/>
      <c r="AA381" s="52"/>
      <c r="AB381" s="52"/>
      <c r="AD381" s="52"/>
      <c r="AE381" s="52"/>
      <c r="AF381" s="52"/>
      <c r="AG381" s="52"/>
      <c r="AH381" s="52"/>
    </row>
    <row r="382" spans="12:40">
      <c r="P382" s="52"/>
      <c r="Q382" s="52"/>
      <c r="R382" s="89" t="s">
        <v>15</v>
      </c>
      <c r="S382" s="89" t="s">
        <v>344</v>
      </c>
      <c r="T382" s="89" t="s">
        <v>227</v>
      </c>
      <c r="U382" s="89" t="s">
        <v>375</v>
      </c>
      <c r="V382" s="89" t="s">
        <v>226</v>
      </c>
      <c r="W382" s="89" t="s">
        <v>373</v>
      </c>
      <c r="X382" s="89" t="s">
        <v>374</v>
      </c>
      <c r="Y382" s="89" t="s">
        <v>376</v>
      </c>
      <c r="Z382" s="52"/>
      <c r="AA382" s="52"/>
      <c r="AB382" s="52"/>
      <c r="AD382" s="52"/>
      <c r="AE382" s="52"/>
      <c r="AF382" s="52"/>
      <c r="AG382" s="52"/>
      <c r="AH382" s="52"/>
    </row>
    <row r="383" spans="12:40"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183" t="s">
        <v>217</v>
      </c>
      <c r="AD383" s="52"/>
      <c r="AE383" s="52"/>
      <c r="AF383" s="52"/>
      <c r="AG383" s="52"/>
      <c r="AH383" s="52"/>
    </row>
    <row r="384" spans="12:40">
      <c r="O384">
        <f>$O$69</f>
        <v>1</v>
      </c>
      <c r="P384" t="str">
        <f t="shared" ref="P384:P395" si="158">P362</f>
        <v>MAR</v>
      </c>
      <c r="R384" s="117">
        <v>1240.17</v>
      </c>
      <c r="S384" s="117">
        <v>161.25</v>
      </c>
      <c r="T384" s="117">
        <v>293.74</v>
      </c>
      <c r="U384" s="117">
        <v>-343.68</v>
      </c>
      <c r="V384" s="117"/>
      <c r="W384" s="117"/>
      <c r="X384" s="117"/>
      <c r="Z384" s="117"/>
      <c r="AA384" s="117"/>
      <c r="AB384" s="35">
        <f t="shared" ref="AB384:AB395" si="159">SUM(R384:AA384)</f>
        <v>1351.48</v>
      </c>
    </row>
    <row r="385" spans="15:39">
      <c r="P385" t="str">
        <f t="shared" si="158"/>
        <v>APR</v>
      </c>
      <c r="R385" s="117">
        <v>879.01</v>
      </c>
      <c r="S385" s="117">
        <v>143.91</v>
      </c>
      <c r="T385" s="117">
        <v>293.44</v>
      </c>
      <c r="U385" s="117">
        <v>-297.95</v>
      </c>
      <c r="V385" s="117"/>
      <c r="W385" s="117"/>
      <c r="X385" s="117"/>
      <c r="Z385" s="117"/>
      <c r="AA385" s="117"/>
      <c r="AB385" s="35">
        <f t="shared" si="159"/>
        <v>1018.4099999999999</v>
      </c>
    </row>
    <row r="386" spans="15:39">
      <c r="P386" t="str">
        <f t="shared" si="158"/>
        <v>MAY</v>
      </c>
      <c r="R386" s="117">
        <v>1292.8499999999999</v>
      </c>
      <c r="S386" s="117">
        <v>178.34</v>
      </c>
      <c r="T386" s="117">
        <v>254.1</v>
      </c>
      <c r="U386" s="117">
        <v>-361.18</v>
      </c>
      <c r="V386" s="117"/>
      <c r="W386" s="117"/>
      <c r="X386" s="117"/>
      <c r="Z386" s="117"/>
      <c r="AA386" s="117"/>
      <c r="AB386" s="35">
        <f t="shared" si="159"/>
        <v>1364.1099999999997</v>
      </c>
    </row>
    <row r="387" spans="15:39">
      <c r="P387" t="str">
        <f t="shared" si="158"/>
        <v>JUN</v>
      </c>
      <c r="R387" s="348">
        <v>456.37</v>
      </c>
      <c r="S387" s="348">
        <v>183.68</v>
      </c>
      <c r="T387" s="348">
        <v>331.43</v>
      </c>
      <c r="U387" s="348">
        <v>-351.7</v>
      </c>
      <c r="V387" s="117"/>
      <c r="W387" s="117"/>
      <c r="X387" s="117"/>
      <c r="Z387" s="117"/>
      <c r="AA387" s="117"/>
      <c r="AB387" s="35">
        <f t="shared" si="159"/>
        <v>619.78</v>
      </c>
    </row>
    <row r="388" spans="15:39">
      <c r="P388" t="str">
        <f t="shared" si="158"/>
        <v>JUL</v>
      </c>
      <c r="R388" s="348">
        <v>1253.79</v>
      </c>
      <c r="S388" s="348">
        <v>152.72999999999999</v>
      </c>
      <c r="T388" s="348">
        <v>236.45</v>
      </c>
      <c r="U388" s="348">
        <v>-234.06</v>
      </c>
      <c r="V388" s="117"/>
      <c r="W388" s="117"/>
      <c r="X388" s="117"/>
      <c r="Y388" s="117"/>
      <c r="Z388" s="117"/>
      <c r="AA388" s="117"/>
      <c r="AB388" s="35">
        <f t="shared" si="159"/>
        <v>1408.91</v>
      </c>
    </row>
    <row r="389" spans="15:39">
      <c r="P389" t="str">
        <f t="shared" si="158"/>
        <v>AUG</v>
      </c>
      <c r="R389" s="348">
        <v>984.66</v>
      </c>
      <c r="S389" s="348">
        <v>110.49</v>
      </c>
      <c r="T389" s="348">
        <v>185.54</v>
      </c>
      <c r="U389" s="348">
        <v>-200.69</v>
      </c>
      <c r="V389" s="117"/>
      <c r="W389" s="117"/>
      <c r="X389" s="348"/>
      <c r="Y389" s="348"/>
      <c r="Z389" s="117"/>
      <c r="AA389" s="117"/>
      <c r="AB389" s="35">
        <f t="shared" si="159"/>
        <v>1079.9999999999998</v>
      </c>
    </row>
    <row r="390" spans="15:39">
      <c r="P390" t="str">
        <f t="shared" si="158"/>
        <v>SEP</v>
      </c>
      <c r="R390" s="348">
        <v>950.17</v>
      </c>
      <c r="S390" s="348">
        <v>165</v>
      </c>
      <c r="T390" s="348">
        <v>88.78</v>
      </c>
      <c r="U390" s="348">
        <v>-124.79</v>
      </c>
      <c r="V390" s="348"/>
      <c r="W390" s="348"/>
      <c r="X390" s="348"/>
      <c r="Y390" s="348"/>
      <c r="Z390" s="117"/>
      <c r="AA390" s="117"/>
      <c r="AB390" s="35">
        <f t="shared" si="159"/>
        <v>1079.1600000000001</v>
      </c>
    </row>
    <row r="391" spans="15:39">
      <c r="P391" t="str">
        <f t="shared" si="158"/>
        <v>OCT</v>
      </c>
      <c r="R391" s="348">
        <v>330.58</v>
      </c>
      <c r="S391" s="348">
        <v>68.91</v>
      </c>
      <c r="T391" s="348">
        <v>61.48</v>
      </c>
      <c r="U391" s="348">
        <v>-48.76</v>
      </c>
      <c r="V391" s="348"/>
      <c r="W391" s="348"/>
      <c r="X391" s="348"/>
      <c r="Y391" s="348"/>
      <c r="Z391" s="117"/>
      <c r="AA391" s="117"/>
      <c r="AB391" s="35">
        <f t="shared" si="159"/>
        <v>412.21000000000004</v>
      </c>
    </row>
    <row r="392" spans="15:39">
      <c r="P392" t="str">
        <f t="shared" si="158"/>
        <v>NOV</v>
      </c>
      <c r="R392" s="117">
        <v>229.41</v>
      </c>
      <c r="S392" s="117">
        <v>58.76</v>
      </c>
      <c r="T392" s="117">
        <v>42.96</v>
      </c>
      <c r="U392" s="117">
        <v>-47.28</v>
      </c>
      <c r="V392" s="348"/>
      <c r="W392" s="348"/>
      <c r="X392" s="348"/>
      <c r="Y392" s="348"/>
      <c r="Z392" s="117"/>
      <c r="AA392" s="117"/>
      <c r="AB392" s="35">
        <f t="shared" si="159"/>
        <v>283.85000000000002</v>
      </c>
    </row>
    <row r="393" spans="15:39">
      <c r="P393" t="str">
        <f t="shared" si="158"/>
        <v>DEC</v>
      </c>
      <c r="R393" s="117">
        <v>192.64</v>
      </c>
      <c r="S393" s="117">
        <v>57.88</v>
      </c>
      <c r="T393" s="117">
        <v>51.25</v>
      </c>
      <c r="U393" s="117">
        <v>-42.63</v>
      </c>
      <c r="V393" s="348"/>
      <c r="W393" s="348"/>
      <c r="X393" s="348"/>
      <c r="Y393" s="348"/>
      <c r="Z393" s="117"/>
      <c r="AA393" s="117"/>
      <c r="AB393" s="35">
        <f t="shared" si="159"/>
        <v>259.14</v>
      </c>
    </row>
    <row r="394" spans="15:39">
      <c r="P394" s="169" t="s">
        <v>1091</v>
      </c>
      <c r="R394" s="117">
        <v>139.27000000000001</v>
      </c>
      <c r="S394" s="117">
        <v>57.87</v>
      </c>
      <c r="T394" s="117">
        <v>137.31</v>
      </c>
      <c r="U394" s="117">
        <v>-29.12</v>
      </c>
      <c r="V394" s="117"/>
      <c r="W394" s="117"/>
      <c r="X394" s="117"/>
      <c r="Y394" s="117"/>
      <c r="Z394" s="117"/>
      <c r="AA394" s="117"/>
      <c r="AB394" s="35">
        <f t="shared" si="159"/>
        <v>305.33000000000004</v>
      </c>
    </row>
    <row r="395" spans="15:39">
      <c r="O395">
        <f>$O$80</f>
        <v>12</v>
      </c>
      <c r="P395" t="str">
        <f t="shared" si="158"/>
        <v>FEB</v>
      </c>
      <c r="R395" s="117">
        <v>60.6</v>
      </c>
      <c r="S395" s="117">
        <v>46.58</v>
      </c>
      <c r="T395" s="117">
        <v>56.8</v>
      </c>
      <c r="U395" s="117">
        <v>-27.76</v>
      </c>
      <c r="V395" s="117"/>
      <c r="W395" s="117"/>
      <c r="X395" s="117"/>
      <c r="Y395" s="117"/>
      <c r="Z395" s="117"/>
      <c r="AA395" s="117"/>
      <c r="AB395" s="35">
        <f t="shared" si="159"/>
        <v>136.22000000000003</v>
      </c>
    </row>
    <row r="396" spans="15:39"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</row>
    <row r="397" spans="15:39" ht="13.5" thickBot="1">
      <c r="P397" t="s">
        <v>108</v>
      </c>
      <c r="R397" s="119">
        <f t="shared" ref="R397" si="160">SUM(R384:R395)</f>
        <v>8009.5200000000013</v>
      </c>
      <c r="S397" s="119">
        <f t="shared" ref="S397:Y397" si="161">SUM(S384:S395)</f>
        <v>1385.4</v>
      </c>
      <c r="T397" s="119">
        <f t="shared" si="161"/>
        <v>2033.28</v>
      </c>
      <c r="U397" s="119">
        <f t="shared" si="161"/>
        <v>-2109.6</v>
      </c>
      <c r="V397" s="119">
        <f t="shared" si="161"/>
        <v>0</v>
      </c>
      <c r="W397" s="119">
        <f t="shared" si="161"/>
        <v>0</v>
      </c>
      <c r="X397" s="119">
        <f t="shared" si="161"/>
        <v>0</v>
      </c>
      <c r="Y397" s="119">
        <f t="shared" si="161"/>
        <v>0</v>
      </c>
      <c r="Z397" s="117"/>
      <c r="AA397" s="117"/>
      <c r="AB397" s="119">
        <f>SUM(AB384:AB395)</f>
        <v>9318.5999999999985</v>
      </c>
    </row>
    <row r="398" spans="15:39" ht="16.5" thickTop="1">
      <c r="P398" s="447" t="s">
        <v>514</v>
      </c>
      <c r="Q398" s="446"/>
      <c r="R398" s="446"/>
      <c r="S398" s="36"/>
      <c r="AC398" s="191"/>
      <c r="AD398" s="191"/>
      <c r="AE398" s="192" t="s">
        <v>382</v>
      </c>
      <c r="AF398" s="191"/>
      <c r="AG398" s="191"/>
      <c r="AH398" s="191"/>
      <c r="AI398" s="191"/>
      <c r="AJ398" s="191"/>
      <c r="AK398" s="191"/>
      <c r="AL398" s="191"/>
      <c r="AM398" s="193"/>
    </row>
    <row r="399" spans="15:39">
      <c r="R399" t="s">
        <v>517</v>
      </c>
      <c r="X399" s="52" t="s">
        <v>9</v>
      </c>
      <c r="AC399" s="193"/>
      <c r="AD399" s="191"/>
      <c r="AE399" s="192" t="s">
        <v>383</v>
      </c>
      <c r="AF399" s="191"/>
      <c r="AG399" s="191"/>
      <c r="AH399" s="193"/>
      <c r="AI399" s="191"/>
      <c r="AJ399" s="191"/>
      <c r="AK399" s="191"/>
      <c r="AL399" s="192" t="s">
        <v>387</v>
      </c>
      <c r="AM399" s="193"/>
    </row>
    <row r="400" spans="15:39">
      <c r="Q400" s="52" t="s">
        <v>261</v>
      </c>
      <c r="R400" s="52" t="s">
        <v>255</v>
      </c>
      <c r="S400" s="52"/>
      <c r="T400" s="52" t="s">
        <v>245</v>
      </c>
      <c r="X400" s="52" t="s">
        <v>15</v>
      </c>
      <c r="Y400" s="52" t="s">
        <v>245</v>
      </c>
      <c r="AC400" s="192" t="s">
        <v>379</v>
      </c>
      <c r="AD400" s="191" t="s">
        <v>263</v>
      </c>
      <c r="AE400" s="192" t="s">
        <v>348</v>
      </c>
      <c r="AF400" s="192" t="s">
        <v>115</v>
      </c>
      <c r="AG400" s="192" t="s">
        <v>384</v>
      </c>
      <c r="AH400" s="192" t="s">
        <v>385</v>
      </c>
      <c r="AI400" s="192" t="s">
        <v>243</v>
      </c>
      <c r="AJ400" s="192" t="s">
        <v>386</v>
      </c>
      <c r="AK400" s="191" t="s">
        <v>140</v>
      </c>
      <c r="AL400" s="192" t="s">
        <v>388</v>
      </c>
      <c r="AM400" s="193"/>
    </row>
    <row r="401" spans="12:40">
      <c r="Q401" s="52" t="s">
        <v>248</v>
      </c>
      <c r="R401" s="52" t="s">
        <v>224</v>
      </c>
      <c r="S401" s="52"/>
      <c r="T401" s="52" t="s">
        <v>224</v>
      </c>
      <c r="U401" s="52" t="s">
        <v>11</v>
      </c>
      <c r="V401" s="52" t="s">
        <v>219</v>
      </c>
      <c r="W401" s="52" t="s">
        <v>220</v>
      </c>
      <c r="X401" s="52" t="s">
        <v>249</v>
      </c>
      <c r="Y401" s="52" t="s">
        <v>250</v>
      </c>
      <c r="Z401" s="52" t="s">
        <v>251</v>
      </c>
      <c r="AA401" s="52" t="s">
        <v>8</v>
      </c>
      <c r="AB401" s="52" t="s">
        <v>252</v>
      </c>
      <c r="AC401" s="192" t="s">
        <v>380</v>
      </c>
      <c r="AD401" s="192" t="s">
        <v>381</v>
      </c>
      <c r="AE401" s="192" t="s">
        <v>379</v>
      </c>
      <c r="AF401" s="192" t="s">
        <v>263</v>
      </c>
      <c r="AG401" s="192" t="s">
        <v>263</v>
      </c>
      <c r="AH401" s="191" t="s">
        <v>207</v>
      </c>
      <c r="AI401" s="192" t="s">
        <v>348</v>
      </c>
      <c r="AJ401" s="192" t="s">
        <v>80</v>
      </c>
      <c r="AK401" s="191" t="s">
        <v>272</v>
      </c>
      <c r="AL401" s="192" t="s">
        <v>389</v>
      </c>
      <c r="AM401" s="191" t="s">
        <v>217</v>
      </c>
    </row>
    <row r="402" spans="12:40">
      <c r="P402" s="122" t="s">
        <v>134</v>
      </c>
      <c r="Q402" s="122"/>
      <c r="R402" s="122" t="s">
        <v>134</v>
      </c>
      <c r="S402" s="122"/>
      <c r="T402" s="122" t="s">
        <v>134</v>
      </c>
      <c r="U402" s="122" t="s">
        <v>134</v>
      </c>
      <c r="V402" s="122" t="s">
        <v>134</v>
      </c>
      <c r="W402" s="122" t="s">
        <v>134</v>
      </c>
      <c r="X402" s="122" t="s">
        <v>134</v>
      </c>
      <c r="Y402" s="122" t="s">
        <v>134</v>
      </c>
      <c r="Z402" s="122" t="s">
        <v>134</v>
      </c>
      <c r="AA402" s="122" t="s">
        <v>134</v>
      </c>
      <c r="AB402" s="122" t="s">
        <v>134</v>
      </c>
      <c r="AC402" s="194" t="s">
        <v>134</v>
      </c>
      <c r="AD402" s="194" t="s">
        <v>134</v>
      </c>
      <c r="AE402" s="194" t="s">
        <v>134</v>
      </c>
      <c r="AF402" s="194" t="s">
        <v>134</v>
      </c>
      <c r="AG402" s="194" t="s">
        <v>134</v>
      </c>
      <c r="AH402" s="194" t="s">
        <v>134</v>
      </c>
      <c r="AI402" s="194" t="s">
        <v>134</v>
      </c>
      <c r="AJ402" s="194" t="s">
        <v>134</v>
      </c>
      <c r="AK402" s="194" t="s">
        <v>134</v>
      </c>
      <c r="AL402" s="194" t="s">
        <v>134</v>
      </c>
      <c r="AM402" s="194" t="s">
        <v>134</v>
      </c>
    </row>
    <row r="403" spans="12:40">
      <c r="V403" s="112"/>
      <c r="W403" s="112"/>
      <c r="X403" s="112"/>
      <c r="Z403" s="112"/>
      <c r="AC403" s="193"/>
      <c r="AD403" s="193"/>
      <c r="AE403" s="193"/>
      <c r="AF403" s="193"/>
      <c r="AG403" s="193"/>
      <c r="AH403" s="193"/>
      <c r="AI403" s="193"/>
      <c r="AJ403" s="193"/>
      <c r="AK403" s="193">
        <v>3.0000000000000001E-3</v>
      </c>
      <c r="AL403" s="193"/>
      <c r="AM403" s="193"/>
    </row>
    <row r="404" spans="12:40">
      <c r="L404" s="312" t="e">
        <f>W404/U404</f>
        <v>#DIV/0!</v>
      </c>
      <c r="M404" s="309" t="e">
        <f>N404/R404</f>
        <v>#DIV/0!</v>
      </c>
      <c r="N404" s="112">
        <f>V404-AC404</f>
        <v>0</v>
      </c>
      <c r="O404">
        <f>$O$69</f>
        <v>1</v>
      </c>
      <c r="P404" t="s">
        <v>473</v>
      </c>
      <c r="R404" s="58"/>
      <c r="S404" s="58"/>
      <c r="T404" s="58"/>
      <c r="U404" s="58"/>
      <c r="V404" s="112"/>
      <c r="W404" s="112"/>
      <c r="X404" s="35"/>
      <c r="Y404" s="112"/>
      <c r="Z404" s="112"/>
      <c r="AA404" s="112"/>
      <c r="AB404" s="112"/>
      <c r="AC404" s="193"/>
      <c r="AD404" s="193"/>
      <c r="AE404" s="193"/>
      <c r="AF404" s="193"/>
      <c r="AG404" s="193"/>
      <c r="AH404" s="195"/>
      <c r="AI404" s="193"/>
      <c r="AJ404" s="193"/>
      <c r="AK404" s="193">
        <f>U404*AK403</f>
        <v>0</v>
      </c>
      <c r="AL404" s="193"/>
      <c r="AM404" s="193">
        <f>SUM(AI404:AL404)</f>
        <v>0</v>
      </c>
      <c r="AN404" s="35">
        <f>AM404-AB404</f>
        <v>0</v>
      </c>
    </row>
    <row r="405" spans="12:40">
      <c r="L405" s="312" t="e">
        <f t="shared" ref="L405:L415" si="162">W405/U405</f>
        <v>#DIV/0!</v>
      </c>
      <c r="M405" s="309" t="e">
        <f t="shared" ref="M405:M415" si="163">N405/R405</f>
        <v>#DIV/0!</v>
      </c>
      <c r="N405" s="112">
        <f t="shared" ref="N405:N415" si="164">V405-AC405</f>
        <v>0</v>
      </c>
      <c r="P405" t="s">
        <v>474</v>
      </c>
      <c r="R405" s="58"/>
      <c r="S405" s="58"/>
      <c r="T405" s="58"/>
      <c r="U405" s="58"/>
      <c r="V405" s="112"/>
      <c r="W405" s="112"/>
      <c r="X405" s="35"/>
      <c r="Y405" s="112"/>
      <c r="Z405" s="112"/>
      <c r="AA405" s="112"/>
      <c r="AB405" s="112"/>
      <c r="AC405" s="193"/>
      <c r="AD405" s="193"/>
      <c r="AE405" s="193"/>
      <c r="AF405" s="193"/>
      <c r="AG405" s="193"/>
      <c r="AH405" s="195"/>
      <c r="AI405" s="193"/>
      <c r="AJ405" s="193"/>
      <c r="AK405" s="193">
        <f>U405*AK403</f>
        <v>0</v>
      </c>
      <c r="AL405" s="193"/>
      <c r="AM405" s="193">
        <f t="shared" ref="AM405:AM415" si="165">SUM(AI405:AL405)</f>
        <v>0</v>
      </c>
      <c r="AN405" s="35">
        <f t="shared" ref="AN405:AN415" si="166">AM405-AB405</f>
        <v>0</v>
      </c>
    </row>
    <row r="406" spans="12:40">
      <c r="L406" s="312" t="e">
        <f t="shared" si="162"/>
        <v>#DIV/0!</v>
      </c>
      <c r="M406" s="309" t="e">
        <f t="shared" si="163"/>
        <v>#DIV/0!</v>
      </c>
      <c r="N406" s="112">
        <f t="shared" si="164"/>
        <v>0</v>
      </c>
      <c r="P406" t="s">
        <v>475</v>
      </c>
      <c r="R406" s="58"/>
      <c r="S406" s="58"/>
      <c r="T406" s="58"/>
      <c r="U406" s="58"/>
      <c r="V406" s="112"/>
      <c r="W406" s="112"/>
      <c r="X406" s="35"/>
      <c r="Y406" s="112"/>
      <c r="Z406" s="112"/>
      <c r="AA406" s="112"/>
      <c r="AB406" s="112"/>
      <c r="AC406" s="193"/>
      <c r="AD406" s="193"/>
      <c r="AE406" s="193"/>
      <c r="AF406" s="193"/>
      <c r="AG406" s="193"/>
      <c r="AH406" s="195"/>
      <c r="AI406" s="193"/>
      <c r="AJ406" s="193"/>
      <c r="AK406" s="193">
        <f>U406*AK403</f>
        <v>0</v>
      </c>
      <c r="AL406" s="193"/>
      <c r="AM406" s="193">
        <f t="shared" si="165"/>
        <v>0</v>
      </c>
      <c r="AN406" s="35">
        <f t="shared" si="166"/>
        <v>0</v>
      </c>
    </row>
    <row r="407" spans="12:40">
      <c r="L407" s="312" t="e">
        <f t="shared" si="162"/>
        <v>#DIV/0!</v>
      </c>
      <c r="M407" s="309" t="e">
        <f t="shared" si="163"/>
        <v>#DIV/0!</v>
      </c>
      <c r="N407" s="112">
        <f t="shared" si="164"/>
        <v>0</v>
      </c>
      <c r="P407" t="s">
        <v>476</v>
      </c>
      <c r="R407" s="58"/>
      <c r="S407" s="58"/>
      <c r="T407" s="58"/>
      <c r="U407" s="58"/>
      <c r="V407" s="112"/>
      <c r="W407" s="112"/>
      <c r="X407" s="35"/>
      <c r="Y407" s="112"/>
      <c r="Z407" s="112"/>
      <c r="AA407" s="112"/>
      <c r="AB407" s="112"/>
      <c r="AC407" s="193"/>
      <c r="AD407" s="193"/>
      <c r="AE407" s="193"/>
      <c r="AF407" s="193"/>
      <c r="AG407" s="193"/>
      <c r="AH407" s="195"/>
      <c r="AI407" s="193"/>
      <c r="AJ407" s="193"/>
      <c r="AK407" s="193">
        <f>U407*AK403</f>
        <v>0</v>
      </c>
      <c r="AL407" s="193"/>
      <c r="AM407" s="193">
        <f t="shared" si="165"/>
        <v>0</v>
      </c>
      <c r="AN407" s="35">
        <f t="shared" si="166"/>
        <v>0</v>
      </c>
    </row>
    <row r="408" spans="12:40">
      <c r="L408" s="312" t="e">
        <f t="shared" si="162"/>
        <v>#DIV/0!</v>
      </c>
      <c r="M408" s="309" t="e">
        <f t="shared" si="163"/>
        <v>#DIV/0!</v>
      </c>
      <c r="N408" s="112">
        <f t="shared" si="164"/>
        <v>0</v>
      </c>
      <c r="P408" t="s">
        <v>477</v>
      </c>
      <c r="R408" s="58"/>
      <c r="S408" s="58"/>
      <c r="T408" s="58"/>
      <c r="U408" s="58"/>
      <c r="V408" s="112"/>
      <c r="W408" s="112"/>
      <c r="X408" s="35"/>
      <c r="Y408" s="112"/>
      <c r="Z408" s="112"/>
      <c r="AA408" s="112"/>
      <c r="AB408" s="112"/>
      <c r="AC408" s="193"/>
      <c r="AD408" s="193"/>
      <c r="AE408" s="193"/>
      <c r="AF408" s="193"/>
      <c r="AG408" s="193"/>
      <c r="AH408" s="195"/>
      <c r="AI408" s="193"/>
      <c r="AJ408" s="193"/>
      <c r="AK408" s="193">
        <f>U408*AK403</f>
        <v>0</v>
      </c>
      <c r="AL408" s="193"/>
      <c r="AM408" s="193">
        <f t="shared" si="165"/>
        <v>0</v>
      </c>
      <c r="AN408" s="35">
        <f t="shared" si="166"/>
        <v>0</v>
      </c>
    </row>
    <row r="409" spans="12:40">
      <c r="L409" s="312" t="e">
        <f t="shared" si="162"/>
        <v>#DIV/0!</v>
      </c>
      <c r="M409" s="309" t="e">
        <f t="shared" si="163"/>
        <v>#DIV/0!</v>
      </c>
      <c r="N409" s="112">
        <f t="shared" si="164"/>
        <v>0</v>
      </c>
      <c r="P409" t="s">
        <v>478</v>
      </c>
      <c r="R409" s="58"/>
      <c r="S409" s="58"/>
      <c r="T409" s="58"/>
      <c r="U409" s="58"/>
      <c r="V409" s="112"/>
      <c r="W409" s="112"/>
      <c r="X409" s="35"/>
      <c r="Y409" s="112"/>
      <c r="Z409" s="112"/>
      <c r="AA409" s="112"/>
      <c r="AB409" s="112"/>
      <c r="AC409" s="193"/>
      <c r="AD409" s="193"/>
      <c r="AE409" s="193"/>
      <c r="AF409" s="193"/>
      <c r="AG409" s="193"/>
      <c r="AH409" s="195"/>
      <c r="AI409" s="193"/>
      <c r="AJ409" s="193"/>
      <c r="AK409" s="193">
        <f>U409*AK403</f>
        <v>0</v>
      </c>
      <c r="AL409" s="193"/>
      <c r="AM409" s="193">
        <f t="shared" si="165"/>
        <v>0</v>
      </c>
      <c r="AN409" s="35">
        <f t="shared" si="166"/>
        <v>0</v>
      </c>
    </row>
    <row r="410" spans="12:40">
      <c r="L410" s="312" t="e">
        <f t="shared" si="162"/>
        <v>#DIV/0!</v>
      </c>
      <c r="M410" s="309" t="e">
        <f t="shared" si="163"/>
        <v>#DIV/0!</v>
      </c>
      <c r="N410" s="112">
        <f t="shared" si="164"/>
        <v>0</v>
      </c>
      <c r="P410" t="s">
        <v>479</v>
      </c>
      <c r="R410" s="58"/>
      <c r="S410" s="58"/>
      <c r="T410" s="58"/>
      <c r="U410" s="58"/>
      <c r="V410" s="112"/>
      <c r="W410" s="112"/>
      <c r="X410" s="35"/>
      <c r="Y410" s="112"/>
      <c r="Z410" s="112"/>
      <c r="AA410" s="112"/>
      <c r="AB410" s="112"/>
      <c r="AC410" s="193"/>
      <c r="AD410" s="193"/>
      <c r="AE410" s="193"/>
      <c r="AF410" s="193"/>
      <c r="AG410" s="193"/>
      <c r="AH410" s="195"/>
      <c r="AI410" s="193"/>
      <c r="AJ410" s="193"/>
      <c r="AK410" s="193">
        <f>U410*AK403</f>
        <v>0</v>
      </c>
      <c r="AL410" s="193"/>
      <c r="AM410" s="193">
        <f t="shared" si="165"/>
        <v>0</v>
      </c>
      <c r="AN410" s="35">
        <f t="shared" si="166"/>
        <v>0</v>
      </c>
    </row>
    <row r="411" spans="12:40">
      <c r="L411" s="312" t="e">
        <f t="shared" si="162"/>
        <v>#DIV/0!</v>
      </c>
      <c r="M411" s="309" t="e">
        <f t="shared" si="163"/>
        <v>#DIV/0!</v>
      </c>
      <c r="N411" s="112">
        <f t="shared" si="164"/>
        <v>0</v>
      </c>
      <c r="P411" t="s">
        <v>480</v>
      </c>
      <c r="R411" s="58"/>
      <c r="S411" s="58"/>
      <c r="T411" s="58"/>
      <c r="U411" s="58"/>
      <c r="V411" s="112"/>
      <c r="W411" s="112"/>
      <c r="X411" s="35"/>
      <c r="Y411" s="112"/>
      <c r="Z411" s="112"/>
      <c r="AA411" s="112"/>
      <c r="AB411" s="112"/>
      <c r="AC411" s="193"/>
      <c r="AD411" s="193"/>
      <c r="AE411" s="193"/>
      <c r="AF411" s="193"/>
      <c r="AG411" s="193"/>
      <c r="AH411" s="195"/>
      <c r="AI411" s="193"/>
      <c r="AJ411" s="193"/>
      <c r="AK411" s="193">
        <f>U411*AK403</f>
        <v>0</v>
      </c>
      <c r="AL411" s="193"/>
      <c r="AM411" s="193">
        <f t="shared" si="165"/>
        <v>0</v>
      </c>
      <c r="AN411" s="35">
        <f t="shared" si="166"/>
        <v>0</v>
      </c>
    </row>
    <row r="412" spans="12:40">
      <c r="L412" s="312" t="e">
        <f t="shared" si="162"/>
        <v>#DIV/0!</v>
      </c>
      <c r="M412" s="309" t="e">
        <f t="shared" si="163"/>
        <v>#DIV/0!</v>
      </c>
      <c r="N412" s="112">
        <f t="shared" si="164"/>
        <v>0</v>
      </c>
      <c r="P412" t="s">
        <v>481</v>
      </c>
      <c r="R412" s="58"/>
      <c r="S412" s="58"/>
      <c r="T412" s="58"/>
      <c r="U412" s="58"/>
      <c r="V412" s="112"/>
      <c r="W412" s="112"/>
      <c r="X412" s="35"/>
      <c r="Y412" s="112"/>
      <c r="Z412" s="112"/>
      <c r="AA412" s="112"/>
      <c r="AB412" s="112"/>
      <c r="AC412" s="193"/>
      <c r="AD412" s="193"/>
      <c r="AE412" s="193"/>
      <c r="AF412" s="193"/>
      <c r="AG412" s="193"/>
      <c r="AH412" s="195"/>
      <c r="AI412" s="193"/>
      <c r="AJ412" s="193"/>
      <c r="AK412" s="193">
        <f>U412*AK403</f>
        <v>0</v>
      </c>
      <c r="AL412" s="193"/>
      <c r="AM412" s="193">
        <f t="shared" si="165"/>
        <v>0</v>
      </c>
      <c r="AN412" s="35">
        <f t="shared" si="166"/>
        <v>0</v>
      </c>
    </row>
    <row r="413" spans="12:40">
      <c r="L413" s="312" t="e">
        <f t="shared" si="162"/>
        <v>#DIV/0!</v>
      </c>
      <c r="M413" s="309" t="e">
        <f t="shared" si="163"/>
        <v>#DIV/0!</v>
      </c>
      <c r="N413" s="112">
        <f t="shared" si="164"/>
        <v>0</v>
      </c>
      <c r="P413" t="s">
        <v>482</v>
      </c>
      <c r="R413" s="58"/>
      <c r="S413" s="58"/>
      <c r="T413" s="58"/>
      <c r="U413" s="58"/>
      <c r="V413" s="112"/>
      <c r="W413" s="112"/>
      <c r="X413" s="35"/>
      <c r="Y413" s="112"/>
      <c r="Z413" s="112"/>
      <c r="AA413" s="112"/>
      <c r="AB413" s="112"/>
      <c r="AC413" s="193"/>
      <c r="AD413" s="193"/>
      <c r="AE413" s="193"/>
      <c r="AF413" s="195"/>
      <c r="AG413" s="195"/>
      <c r="AH413" s="195"/>
      <c r="AI413" s="193"/>
      <c r="AJ413" s="193"/>
      <c r="AK413" s="193">
        <f>U413*AK403</f>
        <v>0</v>
      </c>
      <c r="AL413" s="193"/>
      <c r="AM413" s="193">
        <f t="shared" si="165"/>
        <v>0</v>
      </c>
      <c r="AN413" s="35">
        <f t="shared" si="166"/>
        <v>0</v>
      </c>
    </row>
    <row r="414" spans="12:40">
      <c r="L414" s="312" t="e">
        <f t="shared" si="162"/>
        <v>#DIV/0!</v>
      </c>
      <c r="M414" s="309" t="e">
        <f t="shared" si="163"/>
        <v>#DIV/0!</v>
      </c>
      <c r="N414" s="112">
        <f t="shared" si="164"/>
        <v>0</v>
      </c>
      <c r="P414" t="s">
        <v>483</v>
      </c>
      <c r="R414" s="58"/>
      <c r="S414" s="58"/>
      <c r="T414" s="58"/>
      <c r="U414" s="58"/>
      <c r="V414" s="112"/>
      <c r="W414" s="112"/>
      <c r="X414" s="35"/>
      <c r="Y414" s="112"/>
      <c r="Z414" s="112"/>
      <c r="AA414" s="112"/>
      <c r="AB414" s="112"/>
      <c r="AC414" s="193"/>
      <c r="AD414" s="193"/>
      <c r="AE414" s="193"/>
      <c r="AF414" s="195"/>
      <c r="AG414" s="195"/>
      <c r="AH414" s="195"/>
      <c r="AI414" s="193"/>
      <c r="AJ414" s="193"/>
      <c r="AK414" s="193">
        <f>U414*AK403</f>
        <v>0</v>
      </c>
      <c r="AL414" s="193"/>
      <c r="AM414" s="193">
        <f t="shared" si="165"/>
        <v>0</v>
      </c>
      <c r="AN414" s="35">
        <f t="shared" si="166"/>
        <v>0</v>
      </c>
    </row>
    <row r="415" spans="12:40">
      <c r="L415" s="312" t="e">
        <f t="shared" si="162"/>
        <v>#DIV/0!</v>
      </c>
      <c r="M415" s="309" t="e">
        <f t="shared" si="163"/>
        <v>#DIV/0!</v>
      </c>
      <c r="N415" s="112">
        <f t="shared" si="164"/>
        <v>0</v>
      </c>
      <c r="O415">
        <f>$O$80</f>
        <v>12</v>
      </c>
      <c r="P415" t="s">
        <v>484</v>
      </c>
      <c r="R415" s="448"/>
      <c r="S415" s="448"/>
      <c r="T415" s="58"/>
      <c r="U415" s="58"/>
      <c r="V415" s="112"/>
      <c r="W415" s="112"/>
      <c r="X415" s="35"/>
      <c r="Y415" s="112"/>
      <c r="Z415" s="112"/>
      <c r="AA415" s="112"/>
      <c r="AB415" s="112"/>
      <c r="AC415" s="193"/>
      <c r="AD415" s="193"/>
      <c r="AE415" s="193"/>
      <c r="AF415" s="195"/>
      <c r="AG415" s="195"/>
      <c r="AH415" s="195"/>
      <c r="AI415" s="193"/>
      <c r="AJ415" s="193"/>
      <c r="AK415" s="193">
        <f>U415*AK403</f>
        <v>0</v>
      </c>
      <c r="AL415" s="193"/>
      <c r="AM415" s="193">
        <f t="shared" si="165"/>
        <v>0</v>
      </c>
      <c r="AN415" s="35">
        <f t="shared" si="166"/>
        <v>0</v>
      </c>
    </row>
    <row r="416" spans="12:40">
      <c r="R416" s="124" t="s">
        <v>134</v>
      </c>
      <c r="S416" s="124"/>
      <c r="T416" s="124" t="s">
        <v>134</v>
      </c>
      <c r="U416" s="124" t="s">
        <v>134</v>
      </c>
      <c r="V416" s="125" t="s">
        <v>134</v>
      </c>
      <c r="W416" s="125" t="s">
        <v>134</v>
      </c>
      <c r="X416" s="125" t="s">
        <v>134</v>
      </c>
      <c r="Y416" s="122" t="s">
        <v>134</v>
      </c>
      <c r="Z416" s="125" t="s">
        <v>134</v>
      </c>
      <c r="AA416" s="125" t="s">
        <v>134</v>
      </c>
      <c r="AB416" s="125" t="s">
        <v>134</v>
      </c>
      <c r="AC416" s="193"/>
      <c r="AD416" s="193"/>
      <c r="AE416" s="193"/>
      <c r="AF416" s="193"/>
      <c r="AG416" s="193"/>
      <c r="AH416" s="193"/>
      <c r="AI416" s="193"/>
      <c r="AJ416" s="193"/>
      <c r="AK416" s="193"/>
      <c r="AL416" s="193"/>
      <c r="AM416" s="193"/>
    </row>
    <row r="417" spans="15:39">
      <c r="R417" s="58"/>
      <c r="S417" s="58"/>
      <c r="T417" s="58"/>
      <c r="U417" s="58"/>
      <c r="V417" s="112"/>
      <c r="W417" s="112"/>
      <c r="X417" s="112"/>
      <c r="Z417" s="112"/>
      <c r="AA417" s="112"/>
      <c r="AB417" s="112"/>
      <c r="AC417" s="193"/>
      <c r="AD417" s="193"/>
      <c r="AE417" s="193"/>
      <c r="AF417" s="193"/>
      <c r="AG417" s="193"/>
      <c r="AH417" s="193"/>
      <c r="AI417" s="193"/>
      <c r="AJ417" s="193"/>
      <c r="AK417" s="193"/>
      <c r="AL417" s="193"/>
      <c r="AM417" s="193"/>
    </row>
    <row r="418" spans="15:39">
      <c r="R418" s="58">
        <f t="shared" ref="R418:AB418" si="167">SUM(R404:R415)</f>
        <v>0</v>
      </c>
      <c r="S418" s="58"/>
      <c r="T418" s="58">
        <f t="shared" si="167"/>
        <v>0</v>
      </c>
      <c r="U418" s="58">
        <f t="shared" si="167"/>
        <v>0</v>
      </c>
      <c r="V418" s="112">
        <f t="shared" si="167"/>
        <v>0</v>
      </c>
      <c r="W418" s="112">
        <f t="shared" si="167"/>
        <v>0</v>
      </c>
      <c r="X418" s="112">
        <f t="shared" si="167"/>
        <v>0</v>
      </c>
      <c r="Y418" s="112">
        <f t="shared" si="167"/>
        <v>0</v>
      </c>
      <c r="Z418" s="112">
        <f t="shared" si="167"/>
        <v>0</v>
      </c>
      <c r="AA418" s="112">
        <f t="shared" si="167"/>
        <v>0</v>
      </c>
      <c r="AB418" s="112">
        <f t="shared" si="167"/>
        <v>0</v>
      </c>
      <c r="AC418" s="197">
        <f t="shared" ref="AC418:AM418" si="168">SUM(AC404:AC415)</f>
        <v>0</v>
      </c>
      <c r="AD418" s="197">
        <f t="shared" si="168"/>
        <v>0</v>
      </c>
      <c r="AE418" s="197">
        <f t="shared" si="168"/>
        <v>0</v>
      </c>
      <c r="AF418" s="197">
        <f t="shared" si="168"/>
        <v>0</v>
      </c>
      <c r="AG418" s="197">
        <f t="shared" si="168"/>
        <v>0</v>
      </c>
      <c r="AH418" s="197">
        <f t="shared" si="168"/>
        <v>0</v>
      </c>
      <c r="AI418" s="197">
        <f t="shared" si="168"/>
        <v>0</v>
      </c>
      <c r="AJ418" s="197">
        <f t="shared" si="168"/>
        <v>0</v>
      </c>
      <c r="AK418" s="197">
        <f t="shared" si="168"/>
        <v>0</v>
      </c>
      <c r="AL418" s="197">
        <f t="shared" si="168"/>
        <v>0</v>
      </c>
      <c r="AM418" s="197">
        <f t="shared" si="168"/>
        <v>0</v>
      </c>
    </row>
    <row r="419" spans="15:39">
      <c r="R419" s="124" t="s">
        <v>229</v>
      </c>
      <c r="S419" s="124"/>
      <c r="T419" s="124" t="s">
        <v>229</v>
      </c>
      <c r="U419" s="124" t="s">
        <v>229</v>
      </c>
      <c r="V419" s="125" t="s">
        <v>229</v>
      </c>
      <c r="W419" s="125" t="s">
        <v>229</v>
      </c>
      <c r="X419" s="125" t="s">
        <v>229</v>
      </c>
      <c r="Y419" s="125" t="s">
        <v>229</v>
      </c>
      <c r="Z419" s="125" t="s">
        <v>229</v>
      </c>
      <c r="AA419" s="125" t="s">
        <v>229</v>
      </c>
      <c r="AB419" s="125" t="s">
        <v>229</v>
      </c>
      <c r="AC419" s="198" t="s">
        <v>229</v>
      </c>
      <c r="AD419" s="198" t="s">
        <v>229</v>
      </c>
      <c r="AE419" s="198" t="s">
        <v>229</v>
      </c>
      <c r="AF419" s="198" t="s">
        <v>229</v>
      </c>
      <c r="AG419" s="198" t="s">
        <v>229</v>
      </c>
      <c r="AH419" s="198" t="s">
        <v>229</v>
      </c>
      <c r="AI419" s="198" t="s">
        <v>229</v>
      </c>
      <c r="AJ419" s="198" t="s">
        <v>229</v>
      </c>
      <c r="AK419" s="198" t="s">
        <v>229</v>
      </c>
      <c r="AL419" s="198" t="s">
        <v>229</v>
      </c>
      <c r="AM419" s="198" t="s">
        <v>229</v>
      </c>
    </row>
    <row r="420" spans="15:39">
      <c r="R420" s="26">
        <f>R418</f>
        <v>0</v>
      </c>
      <c r="S420" s="26"/>
      <c r="T420">
        <v>10.715</v>
      </c>
      <c r="U420" s="35">
        <f>R420*T420</f>
        <v>0</v>
      </c>
      <c r="V420" s="112">
        <f>AC418</f>
        <v>0</v>
      </c>
      <c r="W420" s="35">
        <f>U420+V420</f>
        <v>0</v>
      </c>
      <c r="X420" s="112">
        <f>V418-W420</f>
        <v>0</v>
      </c>
    </row>
    <row r="422" spans="15:39">
      <c r="S422" s="52" t="s">
        <v>367</v>
      </c>
    </row>
    <row r="423" spans="15:39">
      <c r="P423" s="52"/>
      <c r="Q423" s="52"/>
      <c r="R423" s="52" t="s">
        <v>221</v>
      </c>
      <c r="S423" s="52" t="s">
        <v>343</v>
      </c>
      <c r="T423" s="52" t="s">
        <v>222</v>
      </c>
      <c r="U423" s="52" t="s">
        <v>371</v>
      </c>
      <c r="V423" s="52" t="s">
        <v>368</v>
      </c>
      <c r="W423" s="52" t="s">
        <v>369</v>
      </c>
      <c r="X423" s="52" t="s">
        <v>370</v>
      </c>
      <c r="Y423" s="52" t="s">
        <v>372</v>
      </c>
      <c r="Z423" s="52"/>
      <c r="AA423" s="52"/>
      <c r="AB423" s="52"/>
      <c r="AD423" s="52"/>
      <c r="AE423" s="52"/>
      <c r="AF423" s="52"/>
      <c r="AG423" s="52"/>
      <c r="AH423" s="52"/>
    </row>
    <row r="424" spans="15:39">
      <c r="P424" s="52"/>
      <c r="Q424" s="52"/>
      <c r="R424" s="89" t="s">
        <v>15</v>
      </c>
      <c r="S424" s="89" t="s">
        <v>344</v>
      </c>
      <c r="T424" s="89" t="s">
        <v>227</v>
      </c>
      <c r="U424" s="89" t="s">
        <v>375</v>
      </c>
      <c r="V424" s="89" t="s">
        <v>226</v>
      </c>
      <c r="W424" s="89" t="s">
        <v>373</v>
      </c>
      <c r="X424" s="89" t="s">
        <v>374</v>
      </c>
      <c r="Y424" s="89" t="s">
        <v>376</v>
      </c>
      <c r="Z424" s="52"/>
      <c r="AA424" s="52"/>
      <c r="AB424" s="52"/>
      <c r="AD424" s="52"/>
      <c r="AE424" s="52"/>
      <c r="AF424" s="52"/>
      <c r="AG424" s="52"/>
      <c r="AH424" s="52"/>
    </row>
    <row r="425" spans="15:39"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183" t="s">
        <v>217</v>
      </c>
      <c r="AD425" s="52"/>
      <c r="AE425" s="52"/>
      <c r="AF425" s="52"/>
      <c r="AG425" s="52"/>
      <c r="AH425" s="52"/>
    </row>
    <row r="426" spans="15:39">
      <c r="O426">
        <f>$O$69</f>
        <v>1</v>
      </c>
      <c r="P426" t="str">
        <f t="shared" ref="P426:P437" si="169">P404</f>
        <v>JAN 2019</v>
      </c>
      <c r="R426" s="117"/>
      <c r="S426" s="117"/>
      <c r="T426" s="117"/>
      <c r="U426" s="117"/>
      <c r="V426" s="117"/>
      <c r="W426" s="117"/>
      <c r="X426" s="117"/>
      <c r="Z426" s="117"/>
      <c r="AA426" s="117"/>
      <c r="AB426" s="35">
        <f t="shared" ref="AB426:AB437" si="170">SUM(R426:AA426)</f>
        <v>0</v>
      </c>
    </row>
    <row r="427" spans="15:39">
      <c r="P427" t="str">
        <f t="shared" si="169"/>
        <v>FEB</v>
      </c>
      <c r="R427" s="117"/>
      <c r="S427" s="117"/>
      <c r="T427" s="117"/>
      <c r="U427" s="117"/>
      <c r="V427" s="117"/>
      <c r="W427" s="117"/>
      <c r="X427" s="117"/>
      <c r="Z427" s="117"/>
      <c r="AA427" s="117"/>
      <c r="AB427" s="35">
        <f t="shared" si="170"/>
        <v>0</v>
      </c>
    </row>
    <row r="428" spans="15:39">
      <c r="P428" t="str">
        <f t="shared" si="169"/>
        <v>MAR</v>
      </c>
      <c r="R428" s="117"/>
      <c r="S428" s="117"/>
      <c r="T428" s="117"/>
      <c r="U428" s="117"/>
      <c r="V428" s="117"/>
      <c r="W428" s="117"/>
      <c r="X428" s="117"/>
      <c r="Z428" s="117"/>
      <c r="AA428" s="117"/>
      <c r="AB428" s="35">
        <f t="shared" si="170"/>
        <v>0</v>
      </c>
    </row>
    <row r="429" spans="15:39">
      <c r="P429" t="str">
        <f t="shared" si="169"/>
        <v>APR</v>
      </c>
      <c r="R429" s="117"/>
      <c r="S429" s="117"/>
      <c r="T429" s="117"/>
      <c r="U429" s="117"/>
      <c r="V429" s="117"/>
      <c r="W429" s="117"/>
      <c r="X429" s="117"/>
      <c r="Z429" s="117"/>
      <c r="AA429" s="117"/>
      <c r="AB429" s="35">
        <f t="shared" si="170"/>
        <v>0</v>
      </c>
    </row>
    <row r="430" spans="15:39">
      <c r="P430" t="str">
        <f t="shared" si="169"/>
        <v>MAY</v>
      </c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35">
        <f t="shared" si="170"/>
        <v>0</v>
      </c>
    </row>
    <row r="431" spans="15:39">
      <c r="P431" t="str">
        <f t="shared" si="169"/>
        <v>JUN</v>
      </c>
      <c r="R431" s="348"/>
      <c r="S431" s="348"/>
      <c r="T431" s="348"/>
      <c r="U431" s="348"/>
      <c r="V431" s="348"/>
      <c r="W431" s="348"/>
      <c r="X431" s="348"/>
      <c r="Y431" s="348"/>
      <c r="Z431" s="117"/>
      <c r="AA431" s="117"/>
      <c r="AB431" s="35">
        <f t="shared" si="170"/>
        <v>0</v>
      </c>
    </row>
    <row r="432" spans="15:39">
      <c r="P432" t="str">
        <f t="shared" si="169"/>
        <v>JUL</v>
      </c>
      <c r="R432" s="348"/>
      <c r="S432" s="348"/>
      <c r="T432" s="348"/>
      <c r="U432" s="348"/>
      <c r="V432" s="348"/>
      <c r="W432" s="348"/>
      <c r="X432" s="348"/>
      <c r="Y432" s="348"/>
      <c r="Z432" s="117"/>
      <c r="AA432" s="117"/>
      <c r="AB432" s="35">
        <f t="shared" si="170"/>
        <v>0</v>
      </c>
    </row>
    <row r="433" spans="12:40">
      <c r="P433" t="str">
        <f t="shared" si="169"/>
        <v>AUG</v>
      </c>
      <c r="R433" s="348"/>
      <c r="S433" s="348"/>
      <c r="T433" s="348"/>
      <c r="U433" s="348"/>
      <c r="V433" s="348"/>
      <c r="W433" s="348"/>
      <c r="X433" s="348"/>
      <c r="Y433" s="348"/>
      <c r="Z433" s="117"/>
      <c r="AA433" s="117"/>
      <c r="AB433" s="35">
        <f t="shared" si="170"/>
        <v>0</v>
      </c>
    </row>
    <row r="434" spans="12:40">
      <c r="P434" t="str">
        <f t="shared" si="169"/>
        <v>SEP</v>
      </c>
      <c r="R434" s="348"/>
      <c r="S434" s="348"/>
      <c r="T434" s="348"/>
      <c r="U434" s="348"/>
      <c r="V434" s="348"/>
      <c r="W434" s="348"/>
      <c r="X434" s="348"/>
      <c r="Y434" s="348"/>
      <c r="Z434" s="117"/>
      <c r="AA434" s="117"/>
      <c r="AB434" s="35">
        <f t="shared" si="170"/>
        <v>0</v>
      </c>
    </row>
    <row r="435" spans="12:40">
      <c r="P435" t="str">
        <f t="shared" si="169"/>
        <v>OCT</v>
      </c>
      <c r="R435" s="348"/>
      <c r="S435" s="348"/>
      <c r="T435" s="348"/>
      <c r="U435" s="348"/>
      <c r="V435" s="348"/>
      <c r="W435" s="348"/>
      <c r="X435" s="348"/>
      <c r="Y435" s="348"/>
      <c r="Z435" s="117"/>
      <c r="AA435" s="117"/>
      <c r="AB435" s="35">
        <f t="shared" si="170"/>
        <v>0</v>
      </c>
    </row>
    <row r="436" spans="12:40">
      <c r="P436" t="str">
        <f t="shared" si="169"/>
        <v>NOV</v>
      </c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35">
        <f t="shared" si="170"/>
        <v>0</v>
      </c>
    </row>
    <row r="437" spans="12:40">
      <c r="O437">
        <f>$O$80</f>
        <v>12</v>
      </c>
      <c r="P437" t="str">
        <f t="shared" si="169"/>
        <v>DEC</v>
      </c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35">
        <f t="shared" si="170"/>
        <v>0</v>
      </c>
    </row>
    <row r="438" spans="12:40"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</row>
    <row r="439" spans="12:40" ht="13.5" thickBot="1">
      <c r="P439" t="s">
        <v>108</v>
      </c>
      <c r="R439" s="119">
        <f t="shared" ref="R439" si="171">SUM(R426:R437)</f>
        <v>0</v>
      </c>
      <c r="S439" s="119">
        <f t="shared" ref="S439:Y439" si="172">SUM(S426:S437)</f>
        <v>0</v>
      </c>
      <c r="T439" s="119">
        <f t="shared" si="172"/>
        <v>0</v>
      </c>
      <c r="U439" s="119">
        <f t="shared" si="172"/>
        <v>0</v>
      </c>
      <c r="V439" s="119">
        <f t="shared" si="172"/>
        <v>0</v>
      </c>
      <c r="W439" s="119">
        <f t="shared" si="172"/>
        <v>0</v>
      </c>
      <c r="X439" s="119">
        <f t="shared" si="172"/>
        <v>0</v>
      </c>
      <c r="Y439" s="119">
        <f t="shared" si="172"/>
        <v>0</v>
      </c>
      <c r="Z439" s="117"/>
      <c r="AA439" s="117"/>
      <c r="AB439" s="119">
        <f>SUM(AB426:AB437)</f>
        <v>0</v>
      </c>
    </row>
    <row r="440" spans="12:40" ht="16.5" thickTop="1">
      <c r="P440" s="121" t="s">
        <v>390</v>
      </c>
      <c r="Q440" s="36"/>
      <c r="AC440" s="191"/>
      <c r="AD440" s="191"/>
      <c r="AE440" s="192" t="s">
        <v>382</v>
      </c>
      <c r="AF440" s="191"/>
      <c r="AG440" s="191"/>
      <c r="AH440" s="191"/>
      <c r="AI440" s="191"/>
      <c r="AJ440" s="191"/>
      <c r="AK440" s="191"/>
      <c r="AL440" s="191"/>
      <c r="AM440" s="193"/>
    </row>
    <row r="441" spans="12:40">
      <c r="R441" t="s">
        <v>489</v>
      </c>
      <c r="X441" s="52" t="s">
        <v>9</v>
      </c>
      <c r="AC441" s="193"/>
      <c r="AD441" s="191"/>
      <c r="AE441" s="192" t="s">
        <v>383</v>
      </c>
      <c r="AF441" s="191"/>
      <c r="AG441" s="191"/>
      <c r="AH441" s="193"/>
      <c r="AI441" s="191"/>
      <c r="AJ441" s="191"/>
      <c r="AK441" s="191"/>
      <c r="AL441" s="192" t="s">
        <v>387</v>
      </c>
      <c r="AM441" s="193"/>
    </row>
    <row r="442" spans="12:40">
      <c r="Q442" s="52" t="s">
        <v>261</v>
      </c>
      <c r="R442" s="52" t="s">
        <v>255</v>
      </c>
      <c r="S442" s="52"/>
      <c r="T442" s="52" t="s">
        <v>245</v>
      </c>
      <c r="X442" s="52" t="s">
        <v>15</v>
      </c>
      <c r="Y442" s="52" t="s">
        <v>245</v>
      </c>
      <c r="AC442" s="192" t="s">
        <v>379</v>
      </c>
      <c r="AD442" s="191" t="s">
        <v>263</v>
      </c>
      <c r="AE442" s="192" t="s">
        <v>348</v>
      </c>
      <c r="AF442" s="192" t="s">
        <v>115</v>
      </c>
      <c r="AG442" s="192" t="s">
        <v>384</v>
      </c>
      <c r="AH442" s="192" t="s">
        <v>385</v>
      </c>
      <c r="AI442" s="192" t="s">
        <v>243</v>
      </c>
      <c r="AJ442" s="192" t="s">
        <v>386</v>
      </c>
      <c r="AK442" s="191" t="s">
        <v>140</v>
      </c>
      <c r="AL442" s="192" t="s">
        <v>388</v>
      </c>
      <c r="AM442" s="193"/>
    </row>
    <row r="443" spans="12:40">
      <c r="Q443" s="52" t="s">
        <v>248</v>
      </c>
      <c r="R443" s="52" t="s">
        <v>224</v>
      </c>
      <c r="S443" s="52"/>
      <c r="T443" s="52" t="s">
        <v>224</v>
      </c>
      <c r="U443" s="52" t="s">
        <v>11</v>
      </c>
      <c r="V443" s="52" t="s">
        <v>219</v>
      </c>
      <c r="W443" s="52" t="s">
        <v>220</v>
      </c>
      <c r="X443" s="52" t="s">
        <v>249</v>
      </c>
      <c r="Y443" s="52" t="s">
        <v>250</v>
      </c>
      <c r="Z443" s="52" t="s">
        <v>251</v>
      </c>
      <c r="AA443" s="52" t="s">
        <v>8</v>
      </c>
      <c r="AB443" s="52" t="s">
        <v>252</v>
      </c>
      <c r="AC443" s="192" t="s">
        <v>380</v>
      </c>
      <c r="AD443" s="192" t="s">
        <v>381</v>
      </c>
      <c r="AE443" s="192" t="s">
        <v>379</v>
      </c>
      <c r="AF443" s="192" t="s">
        <v>263</v>
      </c>
      <c r="AG443" s="192" t="s">
        <v>263</v>
      </c>
      <c r="AH443" s="191" t="s">
        <v>207</v>
      </c>
      <c r="AI443" s="192" t="s">
        <v>348</v>
      </c>
      <c r="AJ443" s="192" t="s">
        <v>80</v>
      </c>
      <c r="AK443" s="191" t="s">
        <v>272</v>
      </c>
      <c r="AL443" s="192" t="s">
        <v>389</v>
      </c>
      <c r="AM443" s="191" t="s">
        <v>217</v>
      </c>
    </row>
    <row r="444" spans="12:40">
      <c r="P444" s="122" t="s">
        <v>134</v>
      </c>
      <c r="Q444" s="122"/>
      <c r="R444" s="122" t="s">
        <v>134</v>
      </c>
      <c r="S444" s="122"/>
      <c r="T444" s="122" t="s">
        <v>134</v>
      </c>
      <c r="U444" s="122" t="s">
        <v>134</v>
      </c>
      <c r="V444" s="122" t="s">
        <v>134</v>
      </c>
      <c r="W444" s="122" t="s">
        <v>134</v>
      </c>
      <c r="X444" s="122" t="s">
        <v>134</v>
      </c>
      <c r="Y444" s="122" t="s">
        <v>134</v>
      </c>
      <c r="Z444" s="122" t="s">
        <v>134</v>
      </c>
      <c r="AA444" s="122" t="s">
        <v>134</v>
      </c>
      <c r="AB444" s="122" t="s">
        <v>134</v>
      </c>
      <c r="AC444" s="194" t="s">
        <v>134</v>
      </c>
      <c r="AD444" s="194" t="s">
        <v>134</v>
      </c>
      <c r="AE444" s="194" t="s">
        <v>134</v>
      </c>
      <c r="AF444" s="194" t="s">
        <v>134</v>
      </c>
      <c r="AG444" s="194" t="s">
        <v>134</v>
      </c>
      <c r="AH444" s="194" t="s">
        <v>134</v>
      </c>
      <c r="AI444" s="194" t="s">
        <v>134</v>
      </c>
      <c r="AJ444" s="194" t="s">
        <v>134</v>
      </c>
      <c r="AK444" s="194" t="s">
        <v>134</v>
      </c>
      <c r="AL444" s="194" t="s">
        <v>134</v>
      </c>
      <c r="AM444" s="194" t="s">
        <v>134</v>
      </c>
    </row>
    <row r="445" spans="12:40">
      <c r="V445" s="112"/>
      <c r="W445" s="112"/>
      <c r="X445" s="112"/>
      <c r="Z445" s="112"/>
      <c r="AC445" s="193"/>
      <c r="AD445" s="193"/>
      <c r="AE445" s="193"/>
      <c r="AF445" s="193"/>
      <c r="AG445" s="193"/>
      <c r="AH445" s="193"/>
      <c r="AI445" s="193"/>
      <c r="AJ445" s="193"/>
      <c r="AK445" s="193">
        <v>3.0000000000000001E-3</v>
      </c>
      <c r="AL445" s="193"/>
      <c r="AM445" s="193"/>
    </row>
    <row r="446" spans="12:40">
      <c r="L446" s="312">
        <f>W446/U446</f>
        <v>3.8050175535481838E-2</v>
      </c>
      <c r="M446" s="309">
        <f>N446/R446</f>
        <v>24.352272727272727</v>
      </c>
      <c r="N446" s="112">
        <f>V446-AC446</f>
        <v>1071.5</v>
      </c>
      <c r="O446">
        <f>$O$69</f>
        <v>1</v>
      </c>
      <c r="P446" t="s">
        <v>475</v>
      </c>
      <c r="Q446">
        <v>100</v>
      </c>
      <c r="R446" s="58">
        <v>44</v>
      </c>
      <c r="S446" s="58">
        <v>100</v>
      </c>
      <c r="T446" s="58"/>
      <c r="U446" s="58">
        <v>25351</v>
      </c>
      <c r="V446" s="112">
        <v>1071.5</v>
      </c>
      <c r="W446" s="112">
        <v>964.61</v>
      </c>
      <c r="X446" s="35">
        <f t="shared" ref="X446:X455" si="173">SUM(R468:X468)</f>
        <v>553.14999999999986</v>
      </c>
      <c r="Y446" s="112"/>
      <c r="Z446" s="112">
        <f t="shared" ref="Z446:Z456" si="174">SUM(V446:Y446)</f>
        <v>2589.2600000000002</v>
      </c>
      <c r="AA446" s="112">
        <v>2765.31</v>
      </c>
      <c r="AB446" s="112">
        <f t="shared" ref="AB446:AB457" si="175">AA446-Z446</f>
        <v>176.04999999999973</v>
      </c>
      <c r="AC446" s="193"/>
      <c r="AD446" s="193"/>
      <c r="AE446" s="193"/>
      <c r="AF446" s="193"/>
      <c r="AG446" s="193"/>
      <c r="AH446" s="195"/>
      <c r="AI446" s="193">
        <v>100</v>
      </c>
      <c r="AJ446" s="193"/>
      <c r="AK446" s="193">
        <f>U446*AK445</f>
        <v>76.052999999999997</v>
      </c>
      <c r="AL446" s="193"/>
      <c r="AM446" s="193">
        <f>SUM(AI446:AL446)</f>
        <v>176.053</v>
      </c>
      <c r="AN446" s="35">
        <f>AM446-AB446</f>
        <v>3.0000000002701199E-3</v>
      </c>
    </row>
    <row r="447" spans="12:40">
      <c r="L447" s="312">
        <f t="shared" ref="L447:L457" si="176">W447/U447</f>
        <v>3.8049982085274096E-2</v>
      </c>
      <c r="M447" s="309">
        <f t="shared" ref="M447:M457" si="177">N447/R447</f>
        <v>24.352272727272727</v>
      </c>
      <c r="N447" s="112">
        <f t="shared" ref="N447:N457" si="178">V447-AC447</f>
        <v>1071.5</v>
      </c>
      <c r="P447" t="s">
        <v>476</v>
      </c>
      <c r="Q447">
        <v>100</v>
      </c>
      <c r="R447" s="58">
        <v>44</v>
      </c>
      <c r="S447" s="58">
        <v>100</v>
      </c>
      <c r="T447" s="58"/>
      <c r="U447" s="58">
        <v>22328</v>
      </c>
      <c r="V447" s="112">
        <v>1071.5</v>
      </c>
      <c r="W447" s="112">
        <v>849.58</v>
      </c>
      <c r="X447" s="35">
        <f t="shared" si="173"/>
        <v>431.30999999999995</v>
      </c>
      <c r="Y447" s="112"/>
      <c r="Z447" s="112">
        <f t="shared" si="174"/>
        <v>2352.39</v>
      </c>
      <c r="AA447" s="112">
        <v>2519.37</v>
      </c>
      <c r="AB447" s="112">
        <f t="shared" si="175"/>
        <v>166.98000000000002</v>
      </c>
      <c r="AC447" s="193"/>
      <c r="AD447" s="193"/>
      <c r="AE447" s="193"/>
      <c r="AF447" s="193"/>
      <c r="AG447" s="193"/>
      <c r="AH447" s="195"/>
      <c r="AI447" s="193">
        <v>100</v>
      </c>
      <c r="AJ447" s="193"/>
      <c r="AK447" s="193">
        <f>U447*AK445</f>
        <v>66.983999999999995</v>
      </c>
      <c r="AL447" s="193"/>
      <c r="AM447" s="193">
        <f t="shared" ref="AM447:AM457" si="179">SUM(AI447:AL447)</f>
        <v>166.98399999999998</v>
      </c>
      <c r="AN447" s="35">
        <f t="shared" ref="AN447:AN457" si="180">AM447-AB447</f>
        <v>3.999999999962256E-3</v>
      </c>
    </row>
    <row r="448" spans="12:40">
      <c r="L448" s="312">
        <f t="shared" si="176"/>
        <v>3.8049930167597765E-2</v>
      </c>
      <c r="M448" s="309">
        <f t="shared" si="177"/>
        <v>28.19736842105263</v>
      </c>
      <c r="N448" s="112">
        <f t="shared" si="178"/>
        <v>1071.5</v>
      </c>
      <c r="P448" t="s">
        <v>477</v>
      </c>
      <c r="Q448">
        <v>100</v>
      </c>
      <c r="R448" s="58">
        <v>38</v>
      </c>
      <c r="S448" s="58">
        <v>100</v>
      </c>
      <c r="T448" s="58"/>
      <c r="U448" s="58">
        <v>17184</v>
      </c>
      <c r="V448" s="112">
        <v>1071.5</v>
      </c>
      <c r="W448" s="112">
        <v>653.85</v>
      </c>
      <c r="X448" s="35">
        <f t="shared" si="173"/>
        <v>356.59999999999997</v>
      </c>
      <c r="Y448" s="112"/>
      <c r="Z448" s="112">
        <f t="shared" si="174"/>
        <v>2081.9499999999998</v>
      </c>
      <c r="AA448" s="112">
        <v>2233.5</v>
      </c>
      <c r="AB448" s="112">
        <f t="shared" si="175"/>
        <v>151.55000000000018</v>
      </c>
      <c r="AC448" s="193"/>
      <c r="AD448" s="193"/>
      <c r="AE448" s="193"/>
      <c r="AF448" s="193"/>
      <c r="AG448" s="193"/>
      <c r="AH448" s="195"/>
      <c r="AI448" s="193">
        <v>100</v>
      </c>
      <c r="AJ448" s="193"/>
      <c r="AK448" s="193">
        <f>U448*AK445</f>
        <v>51.552</v>
      </c>
      <c r="AL448" s="193"/>
      <c r="AM448" s="193">
        <f t="shared" si="179"/>
        <v>151.55199999999999</v>
      </c>
      <c r="AN448" s="35">
        <f t="shared" si="180"/>
        <v>1.9999999998105977E-3</v>
      </c>
    </row>
    <row r="449" spans="12:40">
      <c r="L449" s="312">
        <f t="shared" si="176"/>
        <v>3.8050113036925397E-2</v>
      </c>
      <c r="M449" s="309">
        <f t="shared" si="177"/>
        <v>28.19736842105263</v>
      </c>
      <c r="N449" s="112">
        <f t="shared" si="178"/>
        <v>1071.5</v>
      </c>
      <c r="P449" t="s">
        <v>478</v>
      </c>
      <c r="Q449">
        <v>100</v>
      </c>
      <c r="R449" s="58">
        <v>38</v>
      </c>
      <c r="S449" s="58">
        <v>100</v>
      </c>
      <c r="T449" s="58"/>
      <c r="U449" s="58">
        <v>15924</v>
      </c>
      <c r="V449" s="112">
        <v>1071.5</v>
      </c>
      <c r="W449" s="112">
        <v>605.91</v>
      </c>
      <c r="X449" s="35">
        <f t="shared" si="173"/>
        <v>178.26999999999998</v>
      </c>
      <c r="Y449" s="112"/>
      <c r="Z449" s="112">
        <f t="shared" si="174"/>
        <v>1855.6799999999998</v>
      </c>
      <c r="AA449" s="112">
        <v>2003.45</v>
      </c>
      <c r="AB449" s="112">
        <f t="shared" si="175"/>
        <v>147.77000000000021</v>
      </c>
      <c r="AC449" s="193"/>
      <c r="AD449" s="193"/>
      <c r="AE449" s="193"/>
      <c r="AF449" s="193"/>
      <c r="AG449" s="193"/>
      <c r="AH449" s="195"/>
      <c r="AI449" s="193">
        <v>100</v>
      </c>
      <c r="AJ449" s="193"/>
      <c r="AK449" s="193">
        <f>U449*AK445</f>
        <v>47.771999999999998</v>
      </c>
      <c r="AL449" s="193"/>
      <c r="AM449" s="193">
        <f t="shared" si="179"/>
        <v>147.77199999999999</v>
      </c>
      <c r="AN449" s="35">
        <f t="shared" si="180"/>
        <v>1.999999999782176E-3</v>
      </c>
    </row>
    <row r="450" spans="12:40">
      <c r="L450" s="312">
        <f t="shared" si="176"/>
        <v>3.8050142980647732E-2</v>
      </c>
      <c r="M450" s="309">
        <f t="shared" si="177"/>
        <v>42.86</v>
      </c>
      <c r="N450" s="112">
        <f t="shared" si="178"/>
        <v>1071.5</v>
      </c>
      <c r="P450" t="s">
        <v>479</v>
      </c>
      <c r="Q450">
        <v>100</v>
      </c>
      <c r="R450" s="58">
        <v>25</v>
      </c>
      <c r="S450" s="58">
        <v>100</v>
      </c>
      <c r="T450" s="58"/>
      <c r="U450" s="58">
        <v>15037</v>
      </c>
      <c r="V450" s="112">
        <v>1071.5</v>
      </c>
      <c r="W450" s="112">
        <v>572.16</v>
      </c>
      <c r="X450" s="35">
        <f t="shared" si="173"/>
        <v>378.68</v>
      </c>
      <c r="Y450" s="112"/>
      <c r="Z450" s="112">
        <f t="shared" si="174"/>
        <v>2022.34</v>
      </c>
      <c r="AA450" s="112">
        <v>2167.4499999999998</v>
      </c>
      <c r="AB450" s="112">
        <f t="shared" si="175"/>
        <v>145.1099999999999</v>
      </c>
      <c r="AC450" s="193"/>
      <c r="AD450" s="193"/>
      <c r="AE450" s="193"/>
      <c r="AF450" s="193"/>
      <c r="AG450" s="193"/>
      <c r="AH450" s="195"/>
      <c r="AI450" s="193">
        <v>100</v>
      </c>
      <c r="AJ450" s="193"/>
      <c r="AK450" s="193">
        <f>U450*AK445</f>
        <v>45.111000000000004</v>
      </c>
      <c r="AL450" s="193"/>
      <c r="AM450" s="193">
        <f t="shared" si="179"/>
        <v>145.11099999999999</v>
      </c>
      <c r="AN450" s="35">
        <f t="shared" si="180"/>
        <v>1.00000000009004E-3</v>
      </c>
    </row>
    <row r="451" spans="12:40">
      <c r="L451" s="312">
        <f t="shared" si="176"/>
        <v>3.8049877804932235E-2</v>
      </c>
      <c r="M451" s="309">
        <f t="shared" si="177"/>
        <v>28.19736842105263</v>
      </c>
      <c r="N451" s="112">
        <f t="shared" si="178"/>
        <v>1071.5</v>
      </c>
      <c r="P451" t="s">
        <v>480</v>
      </c>
      <c r="Q451">
        <v>100</v>
      </c>
      <c r="R451" s="58">
        <v>38</v>
      </c>
      <c r="S451" s="58">
        <v>100</v>
      </c>
      <c r="T451" s="58"/>
      <c r="U451" s="58">
        <v>18004</v>
      </c>
      <c r="V451" s="112">
        <v>1071.5</v>
      </c>
      <c r="W451" s="112">
        <v>685.05</v>
      </c>
      <c r="X451" s="35">
        <f t="shared" si="173"/>
        <v>469.96999999999997</v>
      </c>
      <c r="Y451" s="112"/>
      <c r="Z451" s="112">
        <f t="shared" si="174"/>
        <v>2226.52</v>
      </c>
      <c r="AA451" s="112">
        <v>2380.5300000000002</v>
      </c>
      <c r="AB451" s="112">
        <f t="shared" si="175"/>
        <v>154.01000000000022</v>
      </c>
      <c r="AC451" s="193"/>
      <c r="AD451" s="193"/>
      <c r="AE451" s="193"/>
      <c r="AF451" s="193"/>
      <c r="AG451" s="193"/>
      <c r="AH451" s="195"/>
      <c r="AI451" s="193">
        <v>100</v>
      </c>
      <c r="AJ451" s="193"/>
      <c r="AK451" s="193">
        <f>U451*AK445</f>
        <v>54.012</v>
      </c>
      <c r="AL451" s="193"/>
      <c r="AM451" s="193">
        <f t="shared" si="179"/>
        <v>154.012</v>
      </c>
      <c r="AN451" s="35">
        <f t="shared" si="180"/>
        <v>1.999999999782176E-3</v>
      </c>
    </row>
    <row r="452" spans="12:40">
      <c r="L452" s="312">
        <f t="shared" si="176"/>
        <v>3.804975539911705E-2</v>
      </c>
      <c r="M452" s="309">
        <f t="shared" si="177"/>
        <v>28.19736842105263</v>
      </c>
      <c r="N452" s="112">
        <f t="shared" si="178"/>
        <v>1071.5</v>
      </c>
      <c r="P452" t="s">
        <v>481</v>
      </c>
      <c r="Q452">
        <v>100</v>
      </c>
      <c r="R452" s="58">
        <v>38</v>
      </c>
      <c r="S452" s="58">
        <v>100</v>
      </c>
      <c r="T452" s="58"/>
      <c r="U452" s="58">
        <v>16762</v>
      </c>
      <c r="V452" s="112">
        <v>1071.5</v>
      </c>
      <c r="W452" s="112">
        <v>637.79</v>
      </c>
      <c r="X452" s="35">
        <f t="shared" si="173"/>
        <v>678.82</v>
      </c>
      <c r="Y452" s="112"/>
      <c r="Z452" s="112">
        <f t="shared" si="174"/>
        <v>2388.11</v>
      </c>
      <c r="AA452" s="112">
        <v>2538.4</v>
      </c>
      <c r="AB452" s="112">
        <f t="shared" si="175"/>
        <v>150.28999999999996</v>
      </c>
      <c r="AC452" s="193"/>
      <c r="AD452" s="193"/>
      <c r="AE452" s="193"/>
      <c r="AF452" s="193"/>
      <c r="AG452" s="193"/>
      <c r="AH452" s="195"/>
      <c r="AI452" s="193">
        <v>100</v>
      </c>
      <c r="AJ452" s="193"/>
      <c r="AK452" s="193">
        <f>U452*AK445</f>
        <v>50.286000000000001</v>
      </c>
      <c r="AL452" s="193"/>
      <c r="AM452" s="193">
        <f t="shared" si="179"/>
        <v>150.286</v>
      </c>
      <c r="AN452" s="35">
        <f t="shared" si="180"/>
        <v>-3.999999999962256E-3</v>
      </c>
    </row>
    <row r="453" spans="12:40">
      <c r="L453" s="312">
        <f t="shared" si="176"/>
        <v>3.8050340136054427E-2</v>
      </c>
      <c r="M453" s="309">
        <f t="shared" si="177"/>
        <v>33.484375</v>
      </c>
      <c r="N453" s="112">
        <f t="shared" si="178"/>
        <v>1071.5</v>
      </c>
      <c r="P453" t="s">
        <v>482</v>
      </c>
      <c r="Q453">
        <v>100</v>
      </c>
      <c r="R453" s="58">
        <v>32</v>
      </c>
      <c r="S453" s="58">
        <v>100</v>
      </c>
      <c r="T453" s="58"/>
      <c r="U453" s="58">
        <v>14700</v>
      </c>
      <c r="V453" s="112">
        <v>1071.5</v>
      </c>
      <c r="W453" s="112">
        <v>559.34</v>
      </c>
      <c r="X453" s="35">
        <f t="shared" si="173"/>
        <v>539.50999999999988</v>
      </c>
      <c r="Y453" s="112"/>
      <c r="Z453" s="112">
        <f t="shared" si="174"/>
        <v>2170.35</v>
      </c>
      <c r="AA453" s="112">
        <v>2314.4499999999998</v>
      </c>
      <c r="AB453" s="112">
        <f t="shared" si="175"/>
        <v>144.09999999999991</v>
      </c>
      <c r="AC453" s="193"/>
      <c r="AD453" s="193"/>
      <c r="AE453" s="193"/>
      <c r="AF453" s="193"/>
      <c r="AG453" s="193"/>
      <c r="AH453" s="195"/>
      <c r="AI453" s="193">
        <v>100</v>
      </c>
      <c r="AJ453" s="193"/>
      <c r="AK453" s="193">
        <f>U453*AK445</f>
        <v>44.1</v>
      </c>
      <c r="AL453" s="193"/>
      <c r="AM453" s="193">
        <f t="shared" si="179"/>
        <v>144.1</v>
      </c>
      <c r="AN453" s="35">
        <f t="shared" si="180"/>
        <v>0</v>
      </c>
    </row>
    <row r="454" spans="12:40">
      <c r="L454" s="312">
        <f t="shared" si="176"/>
        <v>3.8049885174789487E-2</v>
      </c>
      <c r="M454" s="309">
        <f t="shared" si="177"/>
        <v>28.19736842105263</v>
      </c>
      <c r="N454" s="112">
        <f t="shared" si="178"/>
        <v>1071.5</v>
      </c>
      <c r="P454" t="s">
        <v>483</v>
      </c>
      <c r="Q454">
        <v>100</v>
      </c>
      <c r="R454" s="58">
        <v>38</v>
      </c>
      <c r="S454" s="58">
        <v>100</v>
      </c>
      <c r="T454" s="58"/>
      <c r="U454" s="58">
        <v>15676</v>
      </c>
      <c r="V454" s="112">
        <v>1071.5</v>
      </c>
      <c r="W454" s="112">
        <v>596.47</v>
      </c>
      <c r="X454" s="35">
        <f t="shared" si="173"/>
        <v>457.06</v>
      </c>
      <c r="Y454" s="112"/>
      <c r="Z454" s="112">
        <f t="shared" si="174"/>
        <v>2125.0300000000002</v>
      </c>
      <c r="AA454" s="112">
        <v>2272.06</v>
      </c>
      <c r="AB454" s="112">
        <f t="shared" si="175"/>
        <v>147.02999999999975</v>
      </c>
      <c r="AC454" s="193"/>
      <c r="AD454" s="193"/>
      <c r="AE454" s="193"/>
      <c r="AF454" s="193"/>
      <c r="AG454" s="193"/>
      <c r="AH454" s="195"/>
      <c r="AI454" s="193">
        <v>100</v>
      </c>
      <c r="AJ454" s="193"/>
      <c r="AK454" s="193">
        <f>U454*AK445</f>
        <v>47.027999999999999</v>
      </c>
      <c r="AL454" s="193"/>
      <c r="AM454" s="193">
        <f t="shared" si="179"/>
        <v>147.02799999999999</v>
      </c>
      <c r="AN454" s="35">
        <f t="shared" si="180"/>
        <v>-1.9999999997537543E-3</v>
      </c>
    </row>
    <row r="455" spans="12:40">
      <c r="L455" s="312">
        <f t="shared" si="176"/>
        <v>3.8050188308498448E-2</v>
      </c>
      <c r="M455" s="309">
        <f t="shared" si="177"/>
        <v>21.43</v>
      </c>
      <c r="N455" s="112">
        <f t="shared" si="178"/>
        <v>1071.5</v>
      </c>
      <c r="P455" t="s">
        <v>484</v>
      </c>
      <c r="Q455">
        <v>100</v>
      </c>
      <c r="R455" s="58">
        <v>50</v>
      </c>
      <c r="S455" s="58">
        <v>100</v>
      </c>
      <c r="T455" s="58"/>
      <c r="U455" s="58">
        <v>24428</v>
      </c>
      <c r="V455" s="112">
        <v>1071.5</v>
      </c>
      <c r="W455" s="112">
        <v>929.49</v>
      </c>
      <c r="X455" s="35">
        <f t="shared" si="173"/>
        <v>635.44000000000005</v>
      </c>
      <c r="Y455" s="112"/>
      <c r="Z455" s="112">
        <f t="shared" si="174"/>
        <v>2636.4300000000003</v>
      </c>
      <c r="AA455" s="112">
        <v>2809.71</v>
      </c>
      <c r="AB455" s="112">
        <f t="shared" si="175"/>
        <v>173.27999999999975</v>
      </c>
      <c r="AC455" s="193"/>
      <c r="AD455" s="193"/>
      <c r="AE455" s="193"/>
      <c r="AF455" s="195"/>
      <c r="AG455" s="195"/>
      <c r="AH455" s="195"/>
      <c r="AI455" s="193">
        <v>100</v>
      </c>
      <c r="AJ455" s="193"/>
      <c r="AK455" s="193">
        <f>U455*AK445</f>
        <v>73.284000000000006</v>
      </c>
      <c r="AL455" s="193"/>
      <c r="AM455" s="193">
        <f t="shared" si="179"/>
        <v>173.28399999999999</v>
      </c>
      <c r="AN455" s="35">
        <f t="shared" si="180"/>
        <v>4.0000000002464731E-3</v>
      </c>
    </row>
    <row r="456" spans="12:40">
      <c r="L456" s="312">
        <f t="shared" si="176"/>
        <v>3.805005538631958E-2</v>
      </c>
      <c r="M456" s="309">
        <f t="shared" si="177"/>
        <v>24.352272727272727</v>
      </c>
      <c r="N456" s="112">
        <f t="shared" si="178"/>
        <v>1071.5</v>
      </c>
      <c r="P456" t="s">
        <v>671</v>
      </c>
      <c r="Q456">
        <v>100</v>
      </c>
      <c r="R456" s="58">
        <v>44</v>
      </c>
      <c r="S456" s="58">
        <v>100</v>
      </c>
      <c r="T456" s="58"/>
      <c r="U456" s="58">
        <v>28888</v>
      </c>
      <c r="V456" s="112">
        <v>1071.5</v>
      </c>
      <c r="W456" s="112">
        <v>1099.19</v>
      </c>
      <c r="X456" s="35">
        <f t="shared" ref="X456:X457" si="181">SUM(R478:Y478)</f>
        <v>798.61</v>
      </c>
      <c r="Y456" s="112"/>
      <c r="Z456" s="112">
        <f t="shared" si="174"/>
        <v>2969.3</v>
      </c>
      <c r="AA456" s="112">
        <v>3155.96</v>
      </c>
      <c r="AB456" s="112">
        <f t="shared" si="175"/>
        <v>186.65999999999985</v>
      </c>
      <c r="AC456" s="193"/>
      <c r="AD456" s="193"/>
      <c r="AE456" s="193"/>
      <c r="AF456" s="195"/>
      <c r="AG456" s="195"/>
      <c r="AH456" s="195"/>
      <c r="AI456" s="193">
        <v>100</v>
      </c>
      <c r="AJ456" s="193"/>
      <c r="AK456" s="193">
        <f>U456*AK445</f>
        <v>86.664000000000001</v>
      </c>
      <c r="AL456" s="193"/>
      <c r="AM456" s="193">
        <f t="shared" si="179"/>
        <v>186.66399999999999</v>
      </c>
      <c r="AN456" s="35">
        <f t="shared" si="180"/>
        <v>4.0000000001327862E-3</v>
      </c>
    </row>
    <row r="457" spans="12:40">
      <c r="L457" s="312">
        <f t="shared" si="176"/>
        <v>3.8050172871271208E-2</v>
      </c>
      <c r="M457" s="309">
        <f t="shared" si="177"/>
        <v>24.352272727272727</v>
      </c>
      <c r="N457" s="112">
        <f t="shared" si="178"/>
        <v>1071.5</v>
      </c>
      <c r="O457">
        <f>$O$80</f>
        <v>12</v>
      </c>
      <c r="P457" t="s">
        <v>474</v>
      </c>
      <c r="Q457">
        <v>100</v>
      </c>
      <c r="R457" s="58">
        <v>44</v>
      </c>
      <c r="S457" s="58">
        <v>100</v>
      </c>
      <c r="T457" s="58"/>
      <c r="U457" s="58">
        <v>24874</v>
      </c>
      <c r="V457" s="112">
        <v>1071.5</v>
      </c>
      <c r="W457" s="112">
        <v>946.46</v>
      </c>
      <c r="X457" s="35">
        <f t="shared" si="181"/>
        <v>374.03999999999996</v>
      </c>
      <c r="Y457" s="112"/>
      <c r="Z457" s="112">
        <f>SUM(V457:Y457)</f>
        <v>2392</v>
      </c>
      <c r="AA457" s="112">
        <v>2566.62</v>
      </c>
      <c r="AB457" s="112">
        <f t="shared" si="175"/>
        <v>174.61999999999989</v>
      </c>
      <c r="AC457" s="193"/>
      <c r="AD457" s="193"/>
      <c r="AE457" s="193"/>
      <c r="AF457" s="195"/>
      <c r="AG457" s="195"/>
      <c r="AH457" s="195"/>
      <c r="AI457" s="193">
        <v>100</v>
      </c>
      <c r="AJ457" s="193"/>
      <c r="AK457" s="193">
        <f>U457*AK445</f>
        <v>74.622</v>
      </c>
      <c r="AL457" s="193"/>
      <c r="AM457" s="193">
        <f t="shared" si="179"/>
        <v>174.62200000000001</v>
      </c>
      <c r="AN457" s="35">
        <f t="shared" si="180"/>
        <v>2.0000000001232365E-3</v>
      </c>
    </row>
    <row r="458" spans="12:40">
      <c r="R458" s="124" t="s">
        <v>134</v>
      </c>
      <c r="S458" s="124"/>
      <c r="T458" s="124" t="s">
        <v>134</v>
      </c>
      <c r="U458" s="124" t="s">
        <v>134</v>
      </c>
      <c r="V458" s="125"/>
      <c r="W458" s="125" t="s">
        <v>134</v>
      </c>
      <c r="X458" s="125" t="s">
        <v>134</v>
      </c>
      <c r="Y458" s="122" t="s">
        <v>134</v>
      </c>
      <c r="Z458" s="125" t="s">
        <v>134</v>
      </c>
      <c r="AA458" s="125" t="s">
        <v>134</v>
      </c>
      <c r="AB458" s="125" t="s">
        <v>134</v>
      </c>
      <c r="AC458" s="193"/>
      <c r="AD458" s="193"/>
      <c r="AE458" s="193"/>
      <c r="AF458" s="193"/>
      <c r="AG458" s="193"/>
      <c r="AH458" s="193"/>
      <c r="AI458" s="193"/>
      <c r="AJ458" s="193"/>
      <c r="AK458" s="193"/>
      <c r="AL458" s="193"/>
      <c r="AM458" s="193"/>
    </row>
    <row r="459" spans="12:40">
      <c r="R459" s="58"/>
      <c r="S459" s="58"/>
      <c r="T459" s="58"/>
      <c r="U459" s="58"/>
      <c r="V459" s="112"/>
      <c r="W459" s="112"/>
      <c r="X459" s="112"/>
      <c r="Z459" s="112"/>
      <c r="AA459" s="112"/>
      <c r="AB459" s="112"/>
      <c r="AC459" s="193"/>
      <c r="AD459" s="193"/>
      <c r="AE459" s="193"/>
      <c r="AF459" s="193"/>
      <c r="AG459" s="193"/>
      <c r="AH459" s="193"/>
      <c r="AI459" s="193"/>
      <c r="AJ459" s="193"/>
      <c r="AK459" s="193"/>
      <c r="AL459" s="193"/>
      <c r="AM459" s="193"/>
    </row>
    <row r="460" spans="12:40">
      <c r="R460" s="58">
        <f t="shared" ref="R460:AB460" si="182">SUM(R446:R457)</f>
        <v>473</v>
      </c>
      <c r="S460" s="58"/>
      <c r="T460" s="58">
        <f t="shared" si="182"/>
        <v>0</v>
      </c>
      <c r="U460" s="58">
        <f t="shared" si="182"/>
        <v>239156</v>
      </c>
      <c r="V460" s="112">
        <f t="shared" si="182"/>
        <v>12858</v>
      </c>
      <c r="W460" s="112">
        <f t="shared" si="182"/>
        <v>9099.9000000000015</v>
      </c>
      <c r="X460" s="112">
        <f t="shared" si="182"/>
        <v>5851.4599999999991</v>
      </c>
      <c r="Y460" s="112">
        <f t="shared" si="182"/>
        <v>0</v>
      </c>
      <c r="Z460" s="112">
        <f t="shared" si="182"/>
        <v>27809.359999999997</v>
      </c>
      <c r="AA460" s="112">
        <f t="shared" si="182"/>
        <v>29726.81</v>
      </c>
      <c r="AB460" s="112">
        <f t="shared" si="182"/>
        <v>1917.4499999999994</v>
      </c>
      <c r="AC460" s="197">
        <f t="shared" ref="AC460:AM460" si="183">SUM(AC446:AC457)</f>
        <v>0</v>
      </c>
      <c r="AD460" s="197">
        <f t="shared" si="183"/>
        <v>0</v>
      </c>
      <c r="AE460" s="197">
        <f t="shared" si="183"/>
        <v>0</v>
      </c>
      <c r="AF460" s="197">
        <f t="shared" si="183"/>
        <v>0</v>
      </c>
      <c r="AG460" s="197">
        <f t="shared" si="183"/>
        <v>0</v>
      </c>
      <c r="AH460" s="197">
        <f t="shared" si="183"/>
        <v>0</v>
      </c>
      <c r="AI460" s="197">
        <f t="shared" si="183"/>
        <v>1200</v>
      </c>
      <c r="AJ460" s="197">
        <f t="shared" si="183"/>
        <v>0</v>
      </c>
      <c r="AK460" s="197">
        <f t="shared" si="183"/>
        <v>717.46799999999996</v>
      </c>
      <c r="AL460" s="197">
        <f t="shared" si="183"/>
        <v>0</v>
      </c>
      <c r="AM460" s="197">
        <f t="shared" si="183"/>
        <v>1917.4679999999998</v>
      </c>
    </row>
    <row r="461" spans="12:40">
      <c r="R461" s="124" t="s">
        <v>229</v>
      </c>
      <c r="S461" s="124"/>
      <c r="T461" s="124" t="s">
        <v>229</v>
      </c>
      <c r="U461" s="124" t="s">
        <v>229</v>
      </c>
      <c r="V461" s="125" t="s">
        <v>229</v>
      </c>
      <c r="W461" s="125" t="s">
        <v>229</v>
      </c>
      <c r="X461" s="125" t="s">
        <v>229</v>
      </c>
      <c r="Y461" s="125" t="s">
        <v>229</v>
      </c>
      <c r="Z461" s="125" t="s">
        <v>229</v>
      </c>
      <c r="AA461" s="125" t="s">
        <v>229</v>
      </c>
      <c r="AB461" s="125" t="s">
        <v>229</v>
      </c>
      <c r="AC461" s="198" t="s">
        <v>229</v>
      </c>
      <c r="AD461" s="198" t="s">
        <v>229</v>
      </c>
      <c r="AE461" s="198" t="s">
        <v>229</v>
      </c>
      <c r="AF461" s="198" t="s">
        <v>229</v>
      </c>
      <c r="AG461" s="198" t="s">
        <v>229</v>
      </c>
      <c r="AH461" s="198" t="s">
        <v>229</v>
      </c>
      <c r="AI461" s="198" t="s">
        <v>229</v>
      </c>
      <c r="AJ461" s="198" t="s">
        <v>229</v>
      </c>
      <c r="AK461" s="198" t="s">
        <v>229</v>
      </c>
      <c r="AL461" s="198" t="s">
        <v>229</v>
      </c>
      <c r="AM461" s="198" t="s">
        <v>229</v>
      </c>
    </row>
    <row r="462" spans="12:40">
      <c r="R462">
        <v>1216</v>
      </c>
      <c r="T462">
        <v>10.715</v>
      </c>
      <c r="V462">
        <f>R462*T462</f>
        <v>13029.44</v>
      </c>
    </row>
    <row r="464" spans="12:40">
      <c r="S464" s="52" t="s">
        <v>367</v>
      </c>
    </row>
    <row r="465" spans="15:34">
      <c r="P465" s="52"/>
      <c r="Q465" s="52"/>
      <c r="R465" s="52" t="s">
        <v>221</v>
      </c>
      <c r="S465" s="52" t="s">
        <v>343</v>
      </c>
      <c r="T465" s="52" t="s">
        <v>222</v>
      </c>
      <c r="U465" s="52" t="s">
        <v>371</v>
      </c>
      <c r="V465" s="52" t="s">
        <v>368</v>
      </c>
      <c r="W465" s="52" t="s">
        <v>369</v>
      </c>
      <c r="X465" s="52" t="s">
        <v>370</v>
      </c>
      <c r="Y465" s="52" t="s">
        <v>372</v>
      </c>
      <c r="Z465" s="52"/>
      <c r="AA465" s="52"/>
      <c r="AB465" s="52"/>
      <c r="AD465" s="52"/>
      <c r="AE465" s="52"/>
      <c r="AF465" s="52"/>
      <c r="AG465" s="52"/>
      <c r="AH465" s="52"/>
    </row>
    <row r="466" spans="15:34">
      <c r="P466" s="52"/>
      <c r="Q466" s="52"/>
      <c r="R466" s="89" t="s">
        <v>15</v>
      </c>
      <c r="S466" s="89" t="s">
        <v>344</v>
      </c>
      <c r="T466" s="89" t="s">
        <v>227</v>
      </c>
      <c r="U466" s="89" t="s">
        <v>375</v>
      </c>
      <c r="V466" s="89" t="s">
        <v>226</v>
      </c>
      <c r="W466" s="89" t="s">
        <v>373</v>
      </c>
      <c r="X466" s="89" t="s">
        <v>374</v>
      </c>
      <c r="Y466" s="89" t="s">
        <v>376</v>
      </c>
      <c r="Z466" s="52"/>
      <c r="AA466" s="52"/>
      <c r="AB466" s="52"/>
      <c r="AD466" s="52"/>
      <c r="AE466" s="52"/>
      <c r="AF466" s="52"/>
      <c r="AG466" s="52"/>
      <c r="AH466" s="52"/>
    </row>
    <row r="467" spans="15:34"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183" t="s">
        <v>217</v>
      </c>
      <c r="AD467" s="52"/>
      <c r="AE467" s="52"/>
      <c r="AF467" s="52"/>
      <c r="AG467" s="52"/>
      <c r="AH467" s="52"/>
    </row>
    <row r="468" spans="15:34">
      <c r="O468">
        <f>$O$69</f>
        <v>1</v>
      </c>
      <c r="P468" t="str">
        <f t="shared" ref="P468:P479" si="184">P446</f>
        <v>MAR</v>
      </c>
      <c r="R468" s="117">
        <v>486.08</v>
      </c>
      <c r="S468" s="117">
        <v>63.2</v>
      </c>
      <c r="T468" s="117">
        <v>138.57</v>
      </c>
      <c r="U468" s="117">
        <v>-134.69999999999999</v>
      </c>
      <c r="V468" s="117"/>
      <c r="W468" s="117"/>
      <c r="X468" s="117"/>
      <c r="Z468" s="117"/>
      <c r="AA468" s="117"/>
      <c r="AB468" s="35">
        <f t="shared" ref="AB468:AB479" si="185">SUM(R468:AA468)</f>
        <v>553.14999999999986</v>
      </c>
    </row>
    <row r="469" spans="15:34">
      <c r="P469" t="str">
        <f t="shared" si="184"/>
        <v>APR</v>
      </c>
      <c r="R469" s="117">
        <v>339.99</v>
      </c>
      <c r="S469" s="117">
        <v>55.66</v>
      </c>
      <c r="T469" s="117">
        <v>150.9</v>
      </c>
      <c r="U469" s="117">
        <v>-115.24</v>
      </c>
      <c r="V469" s="117"/>
      <c r="W469" s="117"/>
      <c r="X469" s="117"/>
      <c r="Z469" s="117"/>
      <c r="AA469" s="117"/>
      <c r="AB469" s="35">
        <f t="shared" si="185"/>
        <v>431.30999999999995</v>
      </c>
    </row>
    <row r="470" spans="15:34">
      <c r="P470" t="str">
        <f t="shared" si="184"/>
        <v>MAY</v>
      </c>
      <c r="R470" s="117">
        <v>310.57</v>
      </c>
      <c r="S470" s="117">
        <v>42.84</v>
      </c>
      <c r="T470" s="117">
        <v>89.74</v>
      </c>
      <c r="U470" s="117">
        <v>-86.55</v>
      </c>
      <c r="V470" s="117"/>
      <c r="W470" s="117"/>
      <c r="X470" s="117"/>
      <c r="Z470" s="117"/>
      <c r="AA470" s="117"/>
      <c r="AB470" s="35">
        <f t="shared" si="185"/>
        <v>356.59999999999997</v>
      </c>
    </row>
    <row r="471" spans="15:34">
      <c r="P471" t="str">
        <f t="shared" si="184"/>
        <v>JUN</v>
      </c>
      <c r="R471" s="348">
        <v>98.63</v>
      </c>
      <c r="S471" s="348">
        <v>39.700000000000003</v>
      </c>
      <c r="T471" s="348">
        <v>115.95</v>
      </c>
      <c r="U471" s="348">
        <v>-76.010000000000005</v>
      </c>
      <c r="V471" s="117"/>
      <c r="W471" s="117"/>
      <c r="X471" s="117"/>
      <c r="Z471" s="117"/>
      <c r="AA471" s="117"/>
      <c r="AB471" s="35">
        <f t="shared" si="185"/>
        <v>178.26999999999998</v>
      </c>
    </row>
    <row r="472" spans="15:34">
      <c r="P472" t="str">
        <f t="shared" si="184"/>
        <v>JUL</v>
      </c>
      <c r="R472" s="348">
        <v>307.75</v>
      </c>
      <c r="S472" s="348">
        <v>37.49</v>
      </c>
      <c r="T472" s="348">
        <v>90.9</v>
      </c>
      <c r="U472" s="348">
        <v>-57.46</v>
      </c>
      <c r="V472" s="117"/>
      <c r="W472" s="117"/>
      <c r="X472" s="117"/>
      <c r="Y472" s="117"/>
      <c r="Z472" s="117"/>
      <c r="AA472" s="117"/>
      <c r="AB472" s="35">
        <f t="shared" si="185"/>
        <v>378.68</v>
      </c>
    </row>
    <row r="473" spans="15:34">
      <c r="P473" t="str">
        <f t="shared" si="184"/>
        <v>AUG</v>
      </c>
      <c r="R473" s="348">
        <v>399.99</v>
      </c>
      <c r="S473" s="348">
        <v>44.88</v>
      </c>
      <c r="T473" s="348">
        <v>104.55</v>
      </c>
      <c r="U473" s="348">
        <v>-79.45</v>
      </c>
      <c r="V473" s="117"/>
      <c r="W473" s="117"/>
      <c r="X473" s="348"/>
      <c r="Y473" s="348"/>
      <c r="Z473" s="117"/>
      <c r="AA473" s="117"/>
      <c r="AB473" s="35">
        <f t="shared" si="185"/>
        <v>469.96999999999997</v>
      </c>
    </row>
    <row r="474" spans="15:34">
      <c r="P474" t="str">
        <f t="shared" si="184"/>
        <v>SEP</v>
      </c>
      <c r="R474" s="348">
        <v>580.97</v>
      </c>
      <c r="S474" s="348">
        <v>100.89</v>
      </c>
      <c r="T474" s="348">
        <v>73.260000000000005</v>
      </c>
      <c r="U474" s="348">
        <v>-76.3</v>
      </c>
      <c r="V474" s="348"/>
      <c r="W474" s="348"/>
      <c r="X474" s="348"/>
      <c r="Y474" s="348"/>
      <c r="Z474" s="117"/>
      <c r="AA474" s="117"/>
      <c r="AB474" s="35">
        <f t="shared" si="185"/>
        <v>678.82</v>
      </c>
    </row>
    <row r="475" spans="15:34">
      <c r="P475" t="str">
        <f t="shared" si="184"/>
        <v>OCT</v>
      </c>
      <c r="R475" s="348">
        <v>424.45</v>
      </c>
      <c r="S475" s="348">
        <v>88.48</v>
      </c>
      <c r="T475" s="348">
        <v>89.18</v>
      </c>
      <c r="U475" s="348">
        <v>-62.6</v>
      </c>
      <c r="V475" s="348"/>
      <c r="W475" s="348"/>
      <c r="X475" s="348"/>
      <c r="Y475" s="348"/>
      <c r="Z475" s="117"/>
      <c r="AA475" s="117"/>
      <c r="AB475" s="35">
        <f t="shared" si="185"/>
        <v>539.50999999999988</v>
      </c>
    </row>
    <row r="476" spans="15:34">
      <c r="P476" t="str">
        <f t="shared" si="184"/>
        <v>NOV</v>
      </c>
      <c r="R476" s="117">
        <v>368.39</v>
      </c>
      <c r="S476" s="117">
        <v>94.35</v>
      </c>
      <c r="T476" s="117">
        <v>70.28</v>
      </c>
      <c r="U476" s="117">
        <v>-75.959999999999994</v>
      </c>
      <c r="V476" s="348"/>
      <c r="W476" s="348"/>
      <c r="X476" s="348"/>
      <c r="Y476" s="348"/>
      <c r="Z476" s="117"/>
      <c r="AA476" s="117"/>
      <c r="AB476" s="35">
        <f t="shared" si="185"/>
        <v>457.06</v>
      </c>
    </row>
    <row r="477" spans="15:34">
      <c r="P477" t="str">
        <f t="shared" si="184"/>
        <v>DEC</v>
      </c>
      <c r="R477" s="117">
        <v>489.32</v>
      </c>
      <c r="S477" s="117">
        <v>147.03</v>
      </c>
      <c r="T477" s="117">
        <v>107.34</v>
      </c>
      <c r="U477" s="117">
        <v>-108.25</v>
      </c>
      <c r="V477" s="348"/>
      <c r="W477" s="348"/>
      <c r="X477" s="348"/>
      <c r="Y477" s="348"/>
      <c r="Z477" s="117"/>
      <c r="AA477" s="117"/>
      <c r="AB477" s="35">
        <f t="shared" si="185"/>
        <v>635.44000000000005</v>
      </c>
    </row>
    <row r="478" spans="15:34">
      <c r="P478" t="str">
        <f t="shared" si="184"/>
        <v>JAN 2023</v>
      </c>
      <c r="R478" s="117">
        <v>418.47</v>
      </c>
      <c r="S478" s="117">
        <v>173.88</v>
      </c>
      <c r="T478" s="117">
        <v>293.75</v>
      </c>
      <c r="U478" s="117">
        <v>-87.49</v>
      </c>
      <c r="V478" s="117"/>
      <c r="W478" s="117"/>
      <c r="X478" s="117"/>
      <c r="Y478" s="117"/>
      <c r="Z478" s="117"/>
      <c r="AA478" s="117"/>
      <c r="AB478" s="35">
        <f t="shared" si="185"/>
        <v>798.61</v>
      </c>
    </row>
    <row r="479" spans="15:34">
      <c r="O479">
        <f>$O$80</f>
        <v>12</v>
      </c>
      <c r="P479" t="str">
        <f t="shared" si="184"/>
        <v>FEB</v>
      </c>
      <c r="R479" s="117">
        <v>194.81</v>
      </c>
      <c r="S479" s="117">
        <v>149.72</v>
      </c>
      <c r="T479" s="117">
        <v>118.73</v>
      </c>
      <c r="U479" s="117">
        <v>-89.22</v>
      </c>
      <c r="V479" s="117"/>
      <c r="W479" s="117"/>
      <c r="X479" s="117"/>
      <c r="Y479" s="117"/>
      <c r="Z479" s="117"/>
      <c r="AA479" s="117"/>
      <c r="AB479" s="35">
        <f t="shared" si="185"/>
        <v>374.03999999999996</v>
      </c>
    </row>
    <row r="480" spans="15:34"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</row>
    <row r="481" spans="12:40" ht="13.5" thickBot="1">
      <c r="P481" t="s">
        <v>108</v>
      </c>
      <c r="R481" s="119">
        <f t="shared" ref="R481" si="186">SUM(R468:R479)</f>
        <v>4419.42</v>
      </c>
      <c r="S481" s="119">
        <f t="shared" ref="S481:Y481" si="187">SUM(S468:S479)</f>
        <v>1038.1199999999999</v>
      </c>
      <c r="T481" s="119">
        <f t="shared" si="187"/>
        <v>1443.1499999999999</v>
      </c>
      <c r="U481" s="119">
        <f t="shared" si="187"/>
        <v>-1049.23</v>
      </c>
      <c r="V481" s="119">
        <f t="shared" si="187"/>
        <v>0</v>
      </c>
      <c r="W481" s="119">
        <f t="shared" si="187"/>
        <v>0</v>
      </c>
      <c r="X481" s="119">
        <f t="shared" si="187"/>
        <v>0</v>
      </c>
      <c r="Y481" s="119">
        <f t="shared" si="187"/>
        <v>0</v>
      </c>
      <c r="Z481" s="117"/>
      <c r="AA481" s="117"/>
      <c r="AB481" s="119">
        <f>SUM(AB468:AB479)</f>
        <v>5851.4599999999991</v>
      </c>
    </row>
    <row r="482" spans="12:40" ht="16.5" thickTop="1">
      <c r="P482" s="121" t="s">
        <v>1119</v>
      </c>
      <c r="Q482" s="36"/>
      <c r="R482" s="36"/>
      <c r="S482" s="36"/>
      <c r="U482">
        <v>3000</v>
      </c>
      <c r="V482">
        <v>10.715</v>
      </c>
      <c r="W482">
        <f>U482*V482</f>
        <v>32145</v>
      </c>
      <c r="AC482" s="191"/>
      <c r="AD482" s="191"/>
      <c r="AE482" s="192" t="s">
        <v>382</v>
      </c>
      <c r="AF482" s="191"/>
      <c r="AG482" s="191"/>
      <c r="AH482" s="191"/>
      <c r="AI482" s="191"/>
      <c r="AJ482" s="191"/>
      <c r="AK482" s="191"/>
      <c r="AL482" s="191"/>
      <c r="AM482" s="193"/>
    </row>
    <row r="483" spans="12:40">
      <c r="R483" t="s">
        <v>518</v>
      </c>
      <c r="X483" s="52" t="s">
        <v>9</v>
      </c>
      <c r="AC483" s="193"/>
      <c r="AD483" s="191"/>
      <c r="AE483" s="192" t="s">
        <v>383</v>
      </c>
      <c r="AF483" s="191"/>
      <c r="AG483" s="191"/>
      <c r="AH483" s="193"/>
      <c r="AI483" s="191"/>
      <c r="AJ483" s="191"/>
      <c r="AK483" s="191"/>
      <c r="AL483" s="192" t="s">
        <v>387</v>
      </c>
      <c r="AM483" s="193"/>
    </row>
    <row r="484" spans="12:40">
      <c r="Q484" s="52" t="s">
        <v>261</v>
      </c>
      <c r="R484" s="52" t="s">
        <v>255</v>
      </c>
      <c r="S484" s="52"/>
      <c r="T484" s="52" t="s">
        <v>245</v>
      </c>
      <c r="X484" s="52" t="s">
        <v>15</v>
      </c>
      <c r="Y484" s="52" t="s">
        <v>245</v>
      </c>
      <c r="AC484" s="192" t="s">
        <v>379</v>
      </c>
      <c r="AD484" s="191" t="s">
        <v>263</v>
      </c>
      <c r="AE484" s="192" t="s">
        <v>348</v>
      </c>
      <c r="AF484" s="192" t="s">
        <v>115</v>
      </c>
      <c r="AG484" s="192" t="s">
        <v>384</v>
      </c>
      <c r="AH484" s="192" t="s">
        <v>385</v>
      </c>
      <c r="AI484" s="192" t="s">
        <v>243</v>
      </c>
      <c r="AJ484" s="192" t="s">
        <v>386</v>
      </c>
      <c r="AK484" s="191" t="s">
        <v>140</v>
      </c>
      <c r="AL484" s="192" t="s">
        <v>388</v>
      </c>
      <c r="AM484" s="193"/>
    </row>
    <row r="485" spans="12:40">
      <c r="Q485" s="52" t="s">
        <v>248</v>
      </c>
      <c r="R485" s="52" t="s">
        <v>224</v>
      </c>
      <c r="S485" s="52"/>
      <c r="T485" s="52" t="s">
        <v>224</v>
      </c>
      <c r="U485" s="52" t="s">
        <v>11</v>
      </c>
      <c r="V485" s="52" t="s">
        <v>219</v>
      </c>
      <c r="W485" s="52" t="s">
        <v>220</v>
      </c>
      <c r="X485" s="52" t="s">
        <v>249</v>
      </c>
      <c r="Y485" s="52" t="s">
        <v>250</v>
      </c>
      <c r="Z485" s="52" t="s">
        <v>251</v>
      </c>
      <c r="AA485" s="52" t="s">
        <v>8</v>
      </c>
      <c r="AB485" s="52" t="s">
        <v>252</v>
      </c>
      <c r="AC485" s="192" t="s">
        <v>380</v>
      </c>
      <c r="AD485" s="192" t="s">
        <v>381</v>
      </c>
      <c r="AE485" s="192" t="s">
        <v>379</v>
      </c>
      <c r="AF485" s="192" t="s">
        <v>263</v>
      </c>
      <c r="AG485" s="192" t="s">
        <v>263</v>
      </c>
      <c r="AH485" s="191" t="s">
        <v>207</v>
      </c>
      <c r="AI485" s="192" t="s">
        <v>348</v>
      </c>
      <c r="AJ485" s="192" t="s">
        <v>80</v>
      </c>
      <c r="AK485" s="191" t="s">
        <v>272</v>
      </c>
      <c r="AL485" s="192" t="s">
        <v>389</v>
      </c>
      <c r="AM485" s="191" t="s">
        <v>217</v>
      </c>
    </row>
    <row r="486" spans="12:40">
      <c r="P486" s="122" t="s">
        <v>134</v>
      </c>
      <c r="Q486" s="122"/>
      <c r="R486" s="122" t="s">
        <v>134</v>
      </c>
      <c r="S486" s="122"/>
      <c r="T486" s="122" t="s">
        <v>134</v>
      </c>
      <c r="U486" s="122" t="s">
        <v>134</v>
      </c>
      <c r="V486" s="122" t="s">
        <v>134</v>
      </c>
      <c r="W486" s="122" t="s">
        <v>134</v>
      </c>
      <c r="X486" s="122" t="s">
        <v>134</v>
      </c>
      <c r="Y486" s="122" t="s">
        <v>134</v>
      </c>
      <c r="Z486" s="122" t="s">
        <v>134</v>
      </c>
      <c r="AA486" s="122" t="s">
        <v>134</v>
      </c>
      <c r="AB486" s="122" t="s">
        <v>134</v>
      </c>
      <c r="AC486" s="194" t="s">
        <v>134</v>
      </c>
      <c r="AD486" s="194" t="s">
        <v>134</v>
      </c>
      <c r="AE486" s="194" t="s">
        <v>134</v>
      </c>
      <c r="AF486" s="194" t="s">
        <v>134</v>
      </c>
      <c r="AG486" s="194" t="s">
        <v>134</v>
      </c>
      <c r="AH486" s="194" t="s">
        <v>134</v>
      </c>
      <c r="AI486" s="194" t="s">
        <v>134</v>
      </c>
      <c r="AJ486" s="194" t="s">
        <v>134</v>
      </c>
      <c r="AK486" s="194" t="s">
        <v>134</v>
      </c>
      <c r="AL486" s="194" t="s">
        <v>134</v>
      </c>
      <c r="AM486" s="194" t="s">
        <v>134</v>
      </c>
    </row>
    <row r="487" spans="12:40">
      <c r="V487" s="112"/>
      <c r="W487" s="112"/>
      <c r="X487" s="112"/>
      <c r="Z487" s="112"/>
      <c r="AC487" s="193"/>
      <c r="AD487" s="193"/>
      <c r="AE487" s="193"/>
      <c r="AF487" s="193"/>
      <c r="AG487" s="193"/>
      <c r="AH487" s="193"/>
      <c r="AI487" s="193"/>
      <c r="AJ487" s="193"/>
      <c r="AK487" s="193">
        <v>3.0000000000000001E-3</v>
      </c>
      <c r="AL487" s="193"/>
      <c r="AM487" s="193"/>
    </row>
    <row r="488" spans="12:40">
      <c r="L488" s="312">
        <f>W488/U488</f>
        <v>3.8049983350882402E-2</v>
      </c>
      <c r="M488" s="309">
        <f>N488/R488</f>
        <v>10.715</v>
      </c>
      <c r="N488" s="112">
        <f>V488-AC488</f>
        <v>9450.6299999999992</v>
      </c>
      <c r="O488">
        <f>$O$69</f>
        <v>1</v>
      </c>
      <c r="P488" t="s">
        <v>475</v>
      </c>
      <c r="Q488">
        <v>720</v>
      </c>
      <c r="R488" s="58">
        <v>882</v>
      </c>
      <c r="S488" s="58">
        <v>882</v>
      </c>
      <c r="T488" s="58"/>
      <c r="U488" s="58">
        <v>222234</v>
      </c>
      <c r="V488" s="112">
        <v>9450.6299999999992</v>
      </c>
      <c r="W488" s="112">
        <v>8456</v>
      </c>
      <c r="X488" s="35">
        <f t="shared" ref="X488:X497" si="188">SUM(R510:X510)</f>
        <v>4852.1299999999992</v>
      </c>
      <c r="Y488" s="112"/>
      <c r="Z488" s="112">
        <f t="shared" ref="Z488:Z497" si="189">SUM(V488:Y488)</f>
        <v>22758.759999999995</v>
      </c>
      <c r="AA488" s="112">
        <v>23525.47</v>
      </c>
      <c r="AB488" s="112">
        <f t="shared" ref="AB488:AB499" si="190">AA488-Z488</f>
        <v>766.7100000000064</v>
      </c>
      <c r="AC488" s="193"/>
      <c r="AD488" s="193"/>
      <c r="AE488" s="193"/>
      <c r="AF488" s="193"/>
      <c r="AG488" s="193"/>
      <c r="AH488" s="195"/>
      <c r="AI488" s="193">
        <v>100</v>
      </c>
      <c r="AJ488" s="193"/>
      <c r="AK488" s="193">
        <f>U488*AK487</f>
        <v>666.702</v>
      </c>
      <c r="AL488" s="193"/>
      <c r="AM488" s="193">
        <f>SUM(AI488:AL488)</f>
        <v>766.702</v>
      </c>
      <c r="AN488" s="35">
        <f>AM488-AB488</f>
        <v>-8.0000000064046617E-3</v>
      </c>
    </row>
    <row r="489" spans="12:40">
      <c r="L489" s="312">
        <f t="shared" ref="L489:L499" si="191">W489/U489</f>
        <v>3.8050008060940714E-2</v>
      </c>
      <c r="M489" s="309">
        <f t="shared" ref="M489:M499" si="192">N489/R489</f>
        <v>10.715</v>
      </c>
      <c r="N489" s="112">
        <f t="shared" ref="N489:N499" si="193">V489-AC489</f>
        <v>9514.92</v>
      </c>
      <c r="P489" t="s">
        <v>476</v>
      </c>
      <c r="Q489">
        <v>720</v>
      </c>
      <c r="R489" s="58">
        <v>888</v>
      </c>
      <c r="S489" s="58">
        <v>888</v>
      </c>
      <c r="T489" s="58"/>
      <c r="U489" s="58">
        <v>198488</v>
      </c>
      <c r="V489" s="112">
        <v>9514.92</v>
      </c>
      <c r="W489" s="112">
        <v>7552.47</v>
      </c>
      <c r="X489" s="35">
        <f t="shared" si="188"/>
        <v>3833.5</v>
      </c>
      <c r="Y489" s="112"/>
      <c r="Z489" s="112">
        <f t="shared" si="189"/>
        <v>20900.89</v>
      </c>
      <c r="AA489" s="112">
        <v>21596.35</v>
      </c>
      <c r="AB489" s="112">
        <f t="shared" si="190"/>
        <v>695.45999999999913</v>
      </c>
      <c r="AC489" s="193"/>
      <c r="AD489" s="193"/>
      <c r="AE489" s="193"/>
      <c r="AF489" s="193"/>
      <c r="AG489" s="193"/>
      <c r="AH489" s="195"/>
      <c r="AI489" s="193">
        <v>100</v>
      </c>
      <c r="AJ489" s="193"/>
      <c r="AK489" s="193">
        <f>U489*AK487</f>
        <v>595.46400000000006</v>
      </c>
      <c r="AL489" s="193"/>
      <c r="AM489" s="193">
        <f t="shared" ref="AM489:AM499" si="194">SUM(AI489:AL489)</f>
        <v>695.46400000000006</v>
      </c>
      <c r="AN489" s="35">
        <f t="shared" ref="AN489:AN499" si="195">AM489-AB489</f>
        <v>4.0000000009285941E-3</v>
      </c>
    </row>
    <row r="490" spans="12:40">
      <c r="L490" s="312">
        <f t="shared" si="191"/>
        <v>3.8050025146689016E-2</v>
      </c>
      <c r="M490" s="309">
        <f t="shared" si="192"/>
        <v>10.714993412384716</v>
      </c>
      <c r="N490" s="112">
        <f t="shared" si="193"/>
        <v>8132.68</v>
      </c>
      <c r="P490" t="s">
        <v>477</v>
      </c>
      <c r="Q490">
        <v>720</v>
      </c>
      <c r="R490" s="58">
        <v>759</v>
      </c>
      <c r="S490" s="58">
        <v>759</v>
      </c>
      <c r="T490" s="58"/>
      <c r="U490" s="58">
        <v>149125</v>
      </c>
      <c r="V490" s="112">
        <v>8132.68</v>
      </c>
      <c r="W490" s="112">
        <v>5674.21</v>
      </c>
      <c r="X490" s="35">
        <f t="shared" si="188"/>
        <v>3044.4399999999996</v>
      </c>
      <c r="Y490" s="112"/>
      <c r="Z490" s="112">
        <f t="shared" si="189"/>
        <v>16851.329999999998</v>
      </c>
      <c r="AA490" s="112">
        <v>17398.7</v>
      </c>
      <c r="AB490" s="112">
        <f t="shared" si="190"/>
        <v>547.37000000000262</v>
      </c>
      <c r="AC490" s="193"/>
      <c r="AD490" s="193"/>
      <c r="AE490" s="193"/>
      <c r="AF490" s="193"/>
      <c r="AG490" s="193"/>
      <c r="AH490" s="195"/>
      <c r="AI490" s="193">
        <v>100</v>
      </c>
      <c r="AJ490" s="193"/>
      <c r="AK490" s="193">
        <f>U490*AK487</f>
        <v>447.375</v>
      </c>
      <c r="AL490" s="193"/>
      <c r="AM490" s="193">
        <f t="shared" si="194"/>
        <v>547.375</v>
      </c>
      <c r="AN490" s="35">
        <f t="shared" si="195"/>
        <v>4.9999999973806553E-3</v>
      </c>
    </row>
    <row r="491" spans="12:40">
      <c r="L491" s="312">
        <f t="shared" si="191"/>
        <v>3.805002315886985E-2</v>
      </c>
      <c r="M491" s="309">
        <f t="shared" si="192"/>
        <v>10.714993894993896</v>
      </c>
      <c r="N491" s="112">
        <f t="shared" si="193"/>
        <v>8775.58</v>
      </c>
      <c r="P491" t="s">
        <v>478</v>
      </c>
      <c r="Q491">
        <v>720</v>
      </c>
      <c r="R491" s="58">
        <v>819</v>
      </c>
      <c r="S491" s="58">
        <v>819</v>
      </c>
      <c r="T491" s="58"/>
      <c r="U491" s="58">
        <v>159766</v>
      </c>
      <c r="V491" s="112">
        <v>8775.58</v>
      </c>
      <c r="W491" s="112">
        <v>6079.1</v>
      </c>
      <c r="X491" s="35">
        <f t="shared" si="188"/>
        <v>1662.4900000000002</v>
      </c>
      <c r="Y491" s="112"/>
      <c r="Z491" s="112">
        <f t="shared" si="189"/>
        <v>16517.170000000002</v>
      </c>
      <c r="AA491" s="112">
        <v>17096.46</v>
      </c>
      <c r="AB491" s="112">
        <f t="shared" si="190"/>
        <v>579.28999999999724</v>
      </c>
      <c r="AC491" s="193"/>
      <c r="AD491" s="193"/>
      <c r="AE491" s="193"/>
      <c r="AF491" s="193"/>
      <c r="AG491" s="193"/>
      <c r="AH491" s="195"/>
      <c r="AI491" s="193">
        <v>100</v>
      </c>
      <c r="AJ491" s="193"/>
      <c r="AK491" s="193">
        <f>U491*AK487</f>
        <v>479.298</v>
      </c>
      <c r="AL491" s="193"/>
      <c r="AM491" s="193">
        <f t="shared" si="194"/>
        <v>579.298</v>
      </c>
      <c r="AN491" s="35">
        <f t="shared" si="195"/>
        <v>8.0000000027666829E-3</v>
      </c>
    </row>
    <row r="492" spans="12:40">
      <c r="L492" s="312">
        <f t="shared" si="191"/>
        <v>3.8049997692617028E-2</v>
      </c>
      <c r="M492" s="309">
        <f t="shared" si="192"/>
        <v>10.715</v>
      </c>
      <c r="N492" s="112">
        <f t="shared" si="193"/>
        <v>8443.42</v>
      </c>
      <c r="P492" t="s">
        <v>479</v>
      </c>
      <c r="Q492">
        <v>720</v>
      </c>
      <c r="R492" s="58">
        <v>788</v>
      </c>
      <c r="S492" s="58">
        <v>788</v>
      </c>
      <c r="T492" s="58"/>
      <c r="U492" s="58">
        <v>151687</v>
      </c>
      <c r="V492" s="112">
        <v>8443.42</v>
      </c>
      <c r="W492" s="112">
        <v>5771.69</v>
      </c>
      <c r="X492" s="35">
        <f t="shared" si="188"/>
        <v>3711.8499999999995</v>
      </c>
      <c r="Y492" s="112"/>
      <c r="Z492" s="112">
        <f t="shared" si="189"/>
        <v>17926.96</v>
      </c>
      <c r="AA492" s="112">
        <v>18482.02</v>
      </c>
      <c r="AB492" s="112">
        <f t="shared" si="190"/>
        <v>555.06000000000131</v>
      </c>
      <c r="AC492" s="193"/>
      <c r="AD492" s="193"/>
      <c r="AE492" s="193"/>
      <c r="AF492" s="193"/>
      <c r="AG492" s="193"/>
      <c r="AH492" s="195"/>
      <c r="AI492" s="193">
        <v>100</v>
      </c>
      <c r="AJ492" s="193"/>
      <c r="AK492" s="193">
        <f>U492*AK487</f>
        <v>455.06100000000004</v>
      </c>
      <c r="AL492" s="193"/>
      <c r="AM492" s="193">
        <f t="shared" si="194"/>
        <v>555.06100000000004</v>
      </c>
      <c r="AN492" s="35">
        <f t="shared" si="195"/>
        <v>9.9999999872579792E-4</v>
      </c>
    </row>
    <row r="493" spans="12:40">
      <c r="L493" s="312">
        <f t="shared" si="191"/>
        <v>3.804999452661674E-2</v>
      </c>
      <c r="M493" s="309">
        <f t="shared" si="192"/>
        <v>10.71499372647428</v>
      </c>
      <c r="N493" s="112">
        <f t="shared" si="193"/>
        <v>8539.85</v>
      </c>
      <c r="P493" t="s">
        <v>480</v>
      </c>
      <c r="Q493">
        <v>720</v>
      </c>
      <c r="R493" s="58">
        <v>797</v>
      </c>
      <c r="S493" s="58">
        <v>797</v>
      </c>
      <c r="T493" s="58"/>
      <c r="U493" s="58">
        <v>155297</v>
      </c>
      <c r="V493" s="112">
        <v>8539.85</v>
      </c>
      <c r="W493" s="112">
        <v>5909.05</v>
      </c>
      <c r="X493" s="35">
        <f t="shared" si="188"/>
        <v>4015.94</v>
      </c>
      <c r="Y493" s="112"/>
      <c r="Z493" s="112">
        <f t="shared" si="189"/>
        <v>18464.84</v>
      </c>
      <c r="AA493" s="112">
        <v>19030.73</v>
      </c>
      <c r="AB493" s="112">
        <f t="shared" si="190"/>
        <v>565.88999999999942</v>
      </c>
      <c r="AC493" s="193"/>
      <c r="AD493" s="193"/>
      <c r="AE493" s="193"/>
      <c r="AF493" s="193"/>
      <c r="AG493" s="193"/>
      <c r="AH493" s="195"/>
      <c r="AI493" s="193">
        <v>100</v>
      </c>
      <c r="AJ493" s="193"/>
      <c r="AK493" s="193">
        <f>U493*AK487</f>
        <v>465.89100000000002</v>
      </c>
      <c r="AL493" s="193"/>
      <c r="AM493" s="193">
        <f t="shared" si="194"/>
        <v>565.89100000000008</v>
      </c>
      <c r="AN493" s="35">
        <f t="shared" si="195"/>
        <v>1.0000000006584742E-3</v>
      </c>
    </row>
    <row r="494" spans="12:40">
      <c r="L494" s="312">
        <f t="shared" si="191"/>
        <v>3.8049983389977768E-2</v>
      </c>
      <c r="M494" s="309">
        <f t="shared" si="192"/>
        <v>10.714993597951345</v>
      </c>
      <c r="N494" s="112">
        <f t="shared" si="193"/>
        <v>8368.41</v>
      </c>
      <c r="P494" t="s">
        <v>481</v>
      </c>
      <c r="Q494">
        <v>720</v>
      </c>
      <c r="R494" s="58">
        <v>781</v>
      </c>
      <c r="S494" s="58">
        <v>781</v>
      </c>
      <c r="T494" s="58"/>
      <c r="U494" s="58">
        <v>156532</v>
      </c>
      <c r="V494" s="112">
        <v>8368.41</v>
      </c>
      <c r="W494" s="112">
        <v>5956.04</v>
      </c>
      <c r="X494" s="35">
        <f t="shared" si="188"/>
        <v>6288.98</v>
      </c>
      <c r="Y494" s="112"/>
      <c r="Z494" s="112">
        <f t="shared" si="189"/>
        <v>20613.43</v>
      </c>
      <c r="AA494" s="112">
        <v>21183.03</v>
      </c>
      <c r="AB494" s="112">
        <f t="shared" si="190"/>
        <v>569.59999999999854</v>
      </c>
      <c r="AC494" s="193"/>
      <c r="AD494" s="193"/>
      <c r="AE494" s="193"/>
      <c r="AF494" s="193"/>
      <c r="AG494" s="193"/>
      <c r="AH494" s="195"/>
      <c r="AI494" s="193">
        <v>100</v>
      </c>
      <c r="AJ494" s="193"/>
      <c r="AK494" s="193">
        <f>U494*AK487</f>
        <v>469.596</v>
      </c>
      <c r="AL494" s="193"/>
      <c r="AM494" s="193">
        <f t="shared" si="194"/>
        <v>569.596</v>
      </c>
      <c r="AN494" s="35">
        <f t="shared" si="195"/>
        <v>-3.9999999985411705E-3</v>
      </c>
    </row>
    <row r="495" spans="12:40">
      <c r="L495" s="312">
        <f t="shared" si="191"/>
        <v>3.8049995342048878E-2</v>
      </c>
      <c r="M495" s="309">
        <f t="shared" si="192"/>
        <v>10.714994350282486</v>
      </c>
      <c r="N495" s="112">
        <f t="shared" si="193"/>
        <v>9482.77</v>
      </c>
      <c r="P495" t="s">
        <v>482</v>
      </c>
      <c r="Q495">
        <v>720</v>
      </c>
      <c r="R495" s="58">
        <v>885</v>
      </c>
      <c r="S495" s="58">
        <v>885</v>
      </c>
      <c r="T495" s="58"/>
      <c r="U495" s="58">
        <v>161015</v>
      </c>
      <c r="V495" s="112">
        <v>9482.77</v>
      </c>
      <c r="W495" s="112">
        <v>6126.62</v>
      </c>
      <c r="X495" s="35">
        <f t="shared" si="188"/>
        <v>5815.6399999999985</v>
      </c>
      <c r="Y495" s="112"/>
      <c r="Z495" s="112">
        <f t="shared" si="189"/>
        <v>21425.03</v>
      </c>
      <c r="AA495" s="112">
        <v>22008.080000000002</v>
      </c>
      <c r="AB495" s="112">
        <f t="shared" si="190"/>
        <v>583.05000000000291</v>
      </c>
      <c r="AC495" s="193"/>
      <c r="AD495" s="193"/>
      <c r="AE495" s="193"/>
      <c r="AF495" s="193"/>
      <c r="AG495" s="193"/>
      <c r="AH495" s="195"/>
      <c r="AI495" s="193">
        <v>100</v>
      </c>
      <c r="AJ495" s="193"/>
      <c r="AK495" s="193">
        <f>U495*AK487</f>
        <v>483.04500000000002</v>
      </c>
      <c r="AL495" s="193"/>
      <c r="AM495" s="193">
        <f t="shared" si="194"/>
        <v>583.04500000000007</v>
      </c>
      <c r="AN495" s="35">
        <f t="shared" si="195"/>
        <v>-5.0000000028376235E-3</v>
      </c>
    </row>
    <row r="496" spans="12:40">
      <c r="L496" s="312">
        <f t="shared" si="191"/>
        <v>3.8049992217898829E-2</v>
      </c>
      <c r="M496" s="309">
        <f t="shared" si="192"/>
        <v>10.715005793742757</v>
      </c>
      <c r="N496" s="112">
        <f t="shared" si="193"/>
        <v>9247.0499999999993</v>
      </c>
      <c r="P496" t="s">
        <v>483</v>
      </c>
      <c r="Q496">
        <v>720</v>
      </c>
      <c r="R496" s="58">
        <v>863</v>
      </c>
      <c r="S496" s="58">
        <v>863</v>
      </c>
      <c r="T496" s="58"/>
      <c r="U496" s="58">
        <v>160625</v>
      </c>
      <c r="V496" s="112">
        <v>9247.0499999999993</v>
      </c>
      <c r="W496" s="112">
        <v>6111.78</v>
      </c>
      <c r="X496" s="35">
        <f t="shared" si="188"/>
        <v>4626.21</v>
      </c>
      <c r="Y496" s="112"/>
      <c r="Z496" s="112">
        <f t="shared" si="189"/>
        <v>19985.039999999997</v>
      </c>
      <c r="AA496" s="112">
        <v>20566.919999999998</v>
      </c>
      <c r="AB496" s="112">
        <f t="shared" si="190"/>
        <v>581.88000000000102</v>
      </c>
      <c r="AC496" s="193"/>
      <c r="AD496" s="193"/>
      <c r="AE496" s="193"/>
      <c r="AF496" s="193"/>
      <c r="AG496" s="193"/>
      <c r="AH496" s="195"/>
      <c r="AI496" s="193">
        <v>100</v>
      </c>
      <c r="AJ496" s="193"/>
      <c r="AK496" s="193">
        <f>U496*AK487</f>
        <v>481.875</v>
      </c>
      <c r="AL496" s="193"/>
      <c r="AM496" s="193">
        <f t="shared" si="194"/>
        <v>581.875</v>
      </c>
      <c r="AN496" s="35">
        <f t="shared" si="195"/>
        <v>-5.0000000010186341E-3</v>
      </c>
    </row>
    <row r="497" spans="12:40">
      <c r="L497" s="312">
        <f t="shared" si="191"/>
        <v>3.80499974825034E-2</v>
      </c>
      <c r="M497" s="309">
        <f t="shared" si="192"/>
        <v>10.715</v>
      </c>
      <c r="N497" s="112">
        <f t="shared" si="193"/>
        <v>9857.7999999999993</v>
      </c>
      <c r="P497" t="s">
        <v>484</v>
      </c>
      <c r="Q497">
        <v>720</v>
      </c>
      <c r="R497" s="58">
        <v>920</v>
      </c>
      <c r="S497" s="58">
        <v>920</v>
      </c>
      <c r="T497" s="58"/>
      <c r="U497" s="58">
        <v>198610</v>
      </c>
      <c r="V497" s="112">
        <v>9857.7999999999993</v>
      </c>
      <c r="W497" s="112">
        <v>7557.11</v>
      </c>
      <c r="X497" s="35">
        <f t="shared" si="188"/>
        <v>5213.0199999999995</v>
      </c>
      <c r="Y497" s="112"/>
      <c r="Z497" s="112">
        <f t="shared" si="189"/>
        <v>22627.93</v>
      </c>
      <c r="AA497" s="112">
        <v>23323.759999999998</v>
      </c>
      <c r="AB497" s="112">
        <f t="shared" si="190"/>
        <v>695.82999999999811</v>
      </c>
      <c r="AC497" s="193"/>
      <c r="AD497" s="193"/>
      <c r="AE497" s="193"/>
      <c r="AF497" s="195"/>
      <c r="AG497" s="195"/>
      <c r="AH497" s="195"/>
      <c r="AI497" s="193">
        <v>100</v>
      </c>
      <c r="AJ497" s="193"/>
      <c r="AK497" s="193">
        <f>U497*AK487</f>
        <v>595.83000000000004</v>
      </c>
      <c r="AL497" s="193"/>
      <c r="AM497" s="193">
        <f t="shared" si="194"/>
        <v>695.83</v>
      </c>
      <c r="AN497" s="35">
        <f t="shared" si="195"/>
        <v>1.9326762412674725E-12</v>
      </c>
    </row>
    <row r="498" spans="12:40">
      <c r="L498" s="312">
        <f t="shared" si="191"/>
        <v>3.8050007064622984E-2</v>
      </c>
      <c r="M498" s="309">
        <f t="shared" si="192"/>
        <v>10.715</v>
      </c>
      <c r="N498" s="112">
        <f t="shared" si="193"/>
        <v>9279.19</v>
      </c>
      <c r="P498" s="429" t="s">
        <v>1091</v>
      </c>
      <c r="Q498">
        <v>720</v>
      </c>
      <c r="R498" s="58">
        <v>866</v>
      </c>
      <c r="S498" s="58">
        <v>866</v>
      </c>
      <c r="T498" s="123"/>
      <c r="U498" s="58">
        <v>191093</v>
      </c>
      <c r="V498" s="112">
        <v>9279.19</v>
      </c>
      <c r="W498" s="112">
        <v>7271.09</v>
      </c>
      <c r="X498" s="35">
        <f t="shared" ref="X498:X499" si="196">SUM(R520:Y520)</f>
        <v>5515.72</v>
      </c>
      <c r="Y498" s="112"/>
      <c r="Z498" s="112">
        <f t="shared" ref="Z498:Z499" si="197">SUM(V498:Y498)</f>
        <v>22066</v>
      </c>
      <c r="AA498" s="112">
        <v>22739.279999999999</v>
      </c>
      <c r="AB498" s="112">
        <f t="shared" si="190"/>
        <v>673.27999999999884</v>
      </c>
      <c r="AC498" s="193"/>
      <c r="AD498" s="193"/>
      <c r="AE498" s="193"/>
      <c r="AF498" s="195"/>
      <c r="AG498" s="195"/>
      <c r="AH498" s="195"/>
      <c r="AI498" s="193">
        <v>100</v>
      </c>
      <c r="AJ498" s="193"/>
      <c r="AK498" s="193">
        <f>U498*AK487</f>
        <v>573.279</v>
      </c>
      <c r="AL498" s="193"/>
      <c r="AM498" s="193">
        <f t="shared" si="194"/>
        <v>673.279</v>
      </c>
      <c r="AN498" s="35">
        <f t="shared" si="195"/>
        <v>-9.9999999883948476E-4</v>
      </c>
    </row>
    <row r="499" spans="12:40">
      <c r="L499" s="312">
        <f t="shared" si="191"/>
        <v>3.8050007558293332E-2</v>
      </c>
      <c r="M499" s="309">
        <f t="shared" si="192"/>
        <v>10.715</v>
      </c>
      <c r="N499" s="112">
        <f t="shared" si="193"/>
        <v>10500.7</v>
      </c>
      <c r="O499">
        <f>$O$80</f>
        <v>12</v>
      </c>
      <c r="P499" t="s">
        <v>474</v>
      </c>
      <c r="Q499">
        <v>720</v>
      </c>
      <c r="R499" s="58">
        <v>980</v>
      </c>
      <c r="S499" s="58">
        <v>980</v>
      </c>
      <c r="T499" s="123"/>
      <c r="U499" s="58">
        <v>211688</v>
      </c>
      <c r="V499" s="112">
        <v>10500.7</v>
      </c>
      <c r="W499" s="112">
        <v>8054.73</v>
      </c>
      <c r="X499" s="35">
        <f t="shared" si="196"/>
        <v>3252.65</v>
      </c>
      <c r="Y499" s="112"/>
      <c r="Z499" s="112">
        <f t="shared" si="197"/>
        <v>21808.080000000002</v>
      </c>
      <c r="AA499" s="112">
        <v>22543.14</v>
      </c>
      <c r="AB499" s="112">
        <f t="shared" si="190"/>
        <v>735.05999999999767</v>
      </c>
      <c r="AC499" s="193"/>
      <c r="AD499" s="193"/>
      <c r="AE499" s="193"/>
      <c r="AF499" s="195"/>
      <c r="AG499" s="195"/>
      <c r="AH499" s="195"/>
      <c r="AI499" s="193">
        <v>100</v>
      </c>
      <c r="AJ499" s="193"/>
      <c r="AK499" s="193">
        <f>U499*AK487</f>
        <v>635.06399999999996</v>
      </c>
      <c r="AL499" s="193"/>
      <c r="AM499" s="193">
        <f t="shared" si="194"/>
        <v>735.06399999999996</v>
      </c>
      <c r="AN499" s="35">
        <f t="shared" si="195"/>
        <v>4.0000000022928361E-3</v>
      </c>
    </row>
    <row r="500" spans="12:40">
      <c r="R500" s="125" t="s">
        <v>134</v>
      </c>
      <c r="S500" s="125"/>
      <c r="T500" s="125" t="s">
        <v>134</v>
      </c>
      <c r="U500" s="125" t="s">
        <v>134</v>
      </c>
      <c r="V500" s="125" t="s">
        <v>134</v>
      </c>
      <c r="W500" s="125" t="s">
        <v>134</v>
      </c>
      <c r="X500" s="125" t="s">
        <v>134</v>
      </c>
      <c r="Y500" s="125" t="s">
        <v>134</v>
      </c>
      <c r="Z500" s="125" t="s">
        <v>134</v>
      </c>
      <c r="AA500" s="125" t="s">
        <v>134</v>
      </c>
      <c r="AB500" s="125" t="s">
        <v>134</v>
      </c>
      <c r="AC500" s="193"/>
      <c r="AD500" s="193"/>
      <c r="AE500" s="193"/>
      <c r="AF500" s="193"/>
      <c r="AG500" s="193"/>
      <c r="AH500" s="193"/>
      <c r="AI500" s="193"/>
      <c r="AJ500" s="193"/>
      <c r="AK500" s="193"/>
      <c r="AL500" s="193"/>
      <c r="AM500" s="193"/>
    </row>
    <row r="501" spans="12:40">
      <c r="R501" s="58"/>
      <c r="S501" s="58"/>
      <c r="T501" s="58"/>
      <c r="U501" s="58"/>
      <c r="V501" s="112"/>
      <c r="W501" s="112"/>
      <c r="X501" s="112"/>
      <c r="Z501" s="112"/>
      <c r="AA501" s="112"/>
      <c r="AB501" s="112"/>
      <c r="AC501" s="193"/>
      <c r="AD501" s="193"/>
      <c r="AE501" s="193"/>
      <c r="AF501" s="193"/>
      <c r="AG501" s="193"/>
      <c r="AH501" s="193"/>
      <c r="AI501" s="193"/>
      <c r="AJ501" s="193"/>
      <c r="AK501" s="193"/>
      <c r="AL501" s="193"/>
      <c r="AM501" s="193"/>
    </row>
    <row r="502" spans="12:40">
      <c r="R502" s="58">
        <f t="shared" ref="R502:AB502" si="198">SUM(R488:R499)</f>
        <v>10228</v>
      </c>
      <c r="S502" s="58">
        <f t="shared" si="198"/>
        <v>10228</v>
      </c>
      <c r="T502" s="58">
        <f t="shared" si="198"/>
        <v>0</v>
      </c>
      <c r="U502" s="58">
        <f t="shared" si="198"/>
        <v>2116160</v>
      </c>
      <c r="V502" s="112">
        <f t="shared" si="198"/>
        <v>109593</v>
      </c>
      <c r="W502" s="112">
        <f t="shared" si="198"/>
        <v>80519.89</v>
      </c>
      <c r="X502" s="112">
        <f t="shared" si="198"/>
        <v>51832.569999999992</v>
      </c>
      <c r="Y502" s="112">
        <f t="shared" si="198"/>
        <v>0</v>
      </c>
      <c r="Z502" s="112">
        <f t="shared" si="198"/>
        <v>241945.45999999996</v>
      </c>
      <c r="AA502" s="112">
        <f t="shared" si="198"/>
        <v>249493.94</v>
      </c>
      <c r="AB502" s="112">
        <f t="shared" si="198"/>
        <v>7548.4800000000032</v>
      </c>
      <c r="AC502" s="197">
        <f t="shared" ref="AC502:AM502" si="199">SUM(AC488:AC499)</f>
        <v>0</v>
      </c>
      <c r="AD502" s="197">
        <f t="shared" si="199"/>
        <v>0</v>
      </c>
      <c r="AE502" s="197">
        <f t="shared" si="199"/>
        <v>0</v>
      </c>
      <c r="AF502" s="197">
        <f t="shared" si="199"/>
        <v>0</v>
      </c>
      <c r="AG502" s="197">
        <f t="shared" si="199"/>
        <v>0</v>
      </c>
      <c r="AH502" s="197">
        <f t="shared" si="199"/>
        <v>0</v>
      </c>
      <c r="AI502" s="197">
        <f t="shared" si="199"/>
        <v>1200</v>
      </c>
      <c r="AJ502" s="197">
        <f t="shared" si="199"/>
        <v>0</v>
      </c>
      <c r="AK502" s="197">
        <f t="shared" si="199"/>
        <v>6348.4800000000014</v>
      </c>
      <c r="AL502" s="197">
        <f t="shared" si="199"/>
        <v>0</v>
      </c>
      <c r="AM502" s="197">
        <f t="shared" si="199"/>
        <v>7548.4800000000014</v>
      </c>
    </row>
    <row r="503" spans="12:40">
      <c r="R503" s="124" t="s">
        <v>229</v>
      </c>
      <c r="S503" s="124"/>
      <c r="T503" s="124" t="s">
        <v>229</v>
      </c>
      <c r="U503" s="124" t="s">
        <v>229</v>
      </c>
      <c r="V503" s="125" t="s">
        <v>229</v>
      </c>
      <c r="W503" s="125" t="s">
        <v>229</v>
      </c>
      <c r="X503" s="125" t="s">
        <v>229</v>
      </c>
      <c r="Y503" s="125" t="s">
        <v>229</v>
      </c>
      <c r="Z503" s="125" t="s">
        <v>229</v>
      </c>
      <c r="AA503" s="125" t="s">
        <v>229</v>
      </c>
      <c r="AB503" s="125" t="s">
        <v>229</v>
      </c>
      <c r="AC503" s="198" t="s">
        <v>229</v>
      </c>
      <c r="AD503" s="198" t="s">
        <v>229</v>
      </c>
      <c r="AE503" s="198" t="s">
        <v>229</v>
      </c>
      <c r="AF503" s="198" t="s">
        <v>229</v>
      </c>
      <c r="AG503" s="198" t="s">
        <v>229</v>
      </c>
      <c r="AH503" s="198" t="s">
        <v>229</v>
      </c>
      <c r="AI503" s="198" t="s">
        <v>229</v>
      </c>
      <c r="AJ503" s="198" t="s">
        <v>229</v>
      </c>
      <c r="AK503" s="198" t="s">
        <v>229</v>
      </c>
      <c r="AL503" s="198" t="s">
        <v>229</v>
      </c>
      <c r="AM503" s="198" t="s">
        <v>229</v>
      </c>
    </row>
    <row r="504" spans="12:40">
      <c r="R504">
        <v>40150</v>
      </c>
      <c r="T504">
        <v>10.715</v>
      </c>
      <c r="V504">
        <f>R504*T504</f>
        <v>430207.25</v>
      </c>
    </row>
    <row r="505" spans="12:40">
      <c r="X505" t="s">
        <v>213</v>
      </c>
    </row>
    <row r="506" spans="12:40">
      <c r="S506" s="52" t="s">
        <v>367</v>
      </c>
    </row>
    <row r="507" spans="12:40">
      <c r="P507" s="52"/>
      <c r="Q507" s="52"/>
      <c r="R507" s="52" t="s">
        <v>221</v>
      </c>
      <c r="S507" s="52" t="s">
        <v>343</v>
      </c>
      <c r="T507" s="52" t="s">
        <v>222</v>
      </c>
      <c r="U507" s="52" t="s">
        <v>371</v>
      </c>
      <c r="V507" s="52" t="s">
        <v>368</v>
      </c>
      <c r="W507" s="52" t="s">
        <v>369</v>
      </c>
      <c r="X507" s="52" t="s">
        <v>370</v>
      </c>
      <c r="Y507" s="52" t="s">
        <v>372</v>
      </c>
      <c r="Z507" s="52"/>
      <c r="AA507" s="52"/>
      <c r="AB507" s="52"/>
      <c r="AD507" s="52"/>
      <c r="AE507" s="52"/>
      <c r="AF507" s="52"/>
      <c r="AG507" s="52"/>
      <c r="AH507" s="52"/>
    </row>
    <row r="508" spans="12:40">
      <c r="P508" s="52"/>
      <c r="Q508" s="52"/>
      <c r="R508" s="89" t="s">
        <v>15</v>
      </c>
      <c r="S508" s="89" t="s">
        <v>344</v>
      </c>
      <c r="T508" s="89" t="s">
        <v>227</v>
      </c>
      <c r="U508" s="89" t="s">
        <v>375</v>
      </c>
      <c r="V508" s="89" t="s">
        <v>226</v>
      </c>
      <c r="W508" s="89" t="s">
        <v>373</v>
      </c>
      <c r="X508" s="89" t="s">
        <v>374</v>
      </c>
      <c r="Y508" s="89" t="s">
        <v>376</v>
      </c>
      <c r="Z508" s="52"/>
      <c r="AA508" s="52"/>
      <c r="AB508" s="52"/>
      <c r="AD508" s="52"/>
      <c r="AE508" s="52"/>
      <c r="AF508" s="52"/>
      <c r="AG508" s="52"/>
      <c r="AH508" s="52"/>
    </row>
    <row r="509" spans="12:40"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183" t="s">
        <v>217</v>
      </c>
      <c r="AD509" s="52"/>
      <c r="AE509" s="52"/>
      <c r="AF509" s="52"/>
      <c r="AG509" s="52"/>
      <c r="AH509" s="52"/>
    </row>
    <row r="510" spans="12:40">
      <c r="O510">
        <f>$O$69</f>
        <v>1</v>
      </c>
      <c r="P510" t="str">
        <f t="shared" ref="P510:P521" si="200">P488</f>
        <v>MAR</v>
      </c>
      <c r="R510" s="117">
        <v>4261.1099999999997</v>
      </c>
      <c r="S510" s="117">
        <v>554.03</v>
      </c>
      <c r="T510" s="117">
        <v>1217.8399999999999</v>
      </c>
      <c r="U510" s="117">
        <v>-1180.8499999999999</v>
      </c>
      <c r="V510" s="117"/>
      <c r="W510" s="117"/>
      <c r="X510" s="117"/>
      <c r="Z510" s="117"/>
      <c r="AA510" s="117"/>
      <c r="AB510" s="35">
        <f t="shared" ref="AB510:AB521" si="201">SUM(R510:AA510)</f>
        <v>4852.1299999999992</v>
      </c>
    </row>
    <row r="511" spans="12:40">
      <c r="P511" t="str">
        <f t="shared" si="200"/>
        <v>APR</v>
      </c>
      <c r="R511" s="117">
        <v>3022.38</v>
      </c>
      <c r="S511" s="117">
        <v>494.83</v>
      </c>
      <c r="T511" s="117">
        <v>1340.75</v>
      </c>
      <c r="U511" s="117">
        <v>-1024.46</v>
      </c>
      <c r="V511" s="117"/>
      <c r="W511" s="117"/>
      <c r="X511" s="117"/>
      <c r="Z511" s="117"/>
      <c r="AA511" s="117"/>
      <c r="AB511" s="35">
        <f t="shared" si="201"/>
        <v>3833.5</v>
      </c>
    </row>
    <row r="512" spans="12:40">
      <c r="P512" t="str">
        <f t="shared" si="200"/>
        <v>MAY</v>
      </c>
      <c r="R512" s="117">
        <v>2695.14</v>
      </c>
      <c r="S512" s="117">
        <v>371.77</v>
      </c>
      <c r="T512" s="117">
        <v>728.45</v>
      </c>
      <c r="U512" s="117">
        <v>-750.92</v>
      </c>
      <c r="V512" s="117"/>
      <c r="W512" s="117"/>
      <c r="X512" s="117"/>
      <c r="Z512" s="117"/>
      <c r="AA512" s="117"/>
      <c r="AB512" s="35">
        <f t="shared" si="201"/>
        <v>3044.4399999999996</v>
      </c>
    </row>
    <row r="513" spans="15:39">
      <c r="P513" t="str">
        <f t="shared" si="200"/>
        <v>JUN</v>
      </c>
      <c r="R513" s="348">
        <v>989.59</v>
      </c>
      <c r="S513" s="348">
        <v>398.3</v>
      </c>
      <c r="T513" s="348">
        <v>1037.22</v>
      </c>
      <c r="U513" s="348">
        <v>-762.62</v>
      </c>
      <c r="V513" s="117"/>
      <c r="W513" s="117"/>
      <c r="X513" s="117"/>
      <c r="Z513" s="117"/>
      <c r="AA513" s="117"/>
      <c r="AB513" s="35">
        <f t="shared" si="201"/>
        <v>1662.4900000000002</v>
      </c>
    </row>
    <row r="514" spans="15:39">
      <c r="P514" t="str">
        <f t="shared" si="200"/>
        <v>JUL</v>
      </c>
      <c r="R514" s="348">
        <v>3104.43</v>
      </c>
      <c r="S514" s="348">
        <v>378.16</v>
      </c>
      <c r="T514" s="348">
        <v>808.88</v>
      </c>
      <c r="U514" s="348">
        <v>-579.62</v>
      </c>
      <c r="V514" s="117"/>
      <c r="W514" s="117"/>
      <c r="X514" s="117"/>
      <c r="Y514" s="117"/>
      <c r="Z514" s="117"/>
      <c r="AA514" s="117"/>
      <c r="AB514" s="35">
        <f t="shared" si="201"/>
        <v>3711.8499999999995</v>
      </c>
    </row>
    <row r="515" spans="15:39">
      <c r="P515" t="str">
        <f t="shared" si="200"/>
        <v>AUG</v>
      </c>
      <c r="R515" s="348">
        <v>3450.23</v>
      </c>
      <c r="S515" s="348">
        <v>387.16</v>
      </c>
      <c r="T515" s="348">
        <v>868.49</v>
      </c>
      <c r="U515" s="348">
        <v>-689.94</v>
      </c>
      <c r="V515" s="348"/>
      <c r="W515" s="348"/>
      <c r="X515" s="348"/>
      <c r="Y515" s="348"/>
      <c r="Z515" s="117"/>
      <c r="AA515" s="117"/>
      <c r="AB515" s="35">
        <f t="shared" si="201"/>
        <v>4015.94</v>
      </c>
    </row>
    <row r="516" spans="15:39">
      <c r="P516" t="str">
        <f t="shared" si="200"/>
        <v>SEP</v>
      </c>
      <c r="R516" s="348">
        <v>5425.4</v>
      </c>
      <c r="S516" s="348">
        <v>942.17</v>
      </c>
      <c r="T516" s="348">
        <v>633.97</v>
      </c>
      <c r="U516" s="348">
        <v>-712.56</v>
      </c>
      <c r="V516" s="348"/>
      <c r="W516" s="348"/>
      <c r="X516" s="348"/>
      <c r="Y516" s="348"/>
      <c r="Z516" s="117"/>
      <c r="AA516" s="117"/>
      <c r="AB516" s="35">
        <f t="shared" si="201"/>
        <v>6288.98</v>
      </c>
    </row>
    <row r="517" spans="15:39">
      <c r="P517" t="str">
        <f t="shared" si="200"/>
        <v>OCT</v>
      </c>
      <c r="R517" s="348">
        <v>4649.1499999999996</v>
      </c>
      <c r="S517" s="348">
        <v>969.15</v>
      </c>
      <c r="T517" s="348">
        <v>883.06</v>
      </c>
      <c r="U517" s="348">
        <v>-685.72</v>
      </c>
      <c r="V517" s="348"/>
      <c r="W517" s="348"/>
      <c r="X517" s="348"/>
      <c r="Y517" s="348"/>
      <c r="Z517" s="117"/>
      <c r="AA517" s="117"/>
      <c r="AB517" s="35">
        <f t="shared" si="201"/>
        <v>5815.6399999999985</v>
      </c>
    </row>
    <row r="518" spans="15:39">
      <c r="P518" t="str">
        <f t="shared" si="200"/>
        <v>NOV</v>
      </c>
      <c r="R518" s="117">
        <v>3774.69</v>
      </c>
      <c r="S518" s="117">
        <v>966.8</v>
      </c>
      <c r="T518" s="117">
        <v>662.96</v>
      </c>
      <c r="U518" s="117">
        <v>-778.24</v>
      </c>
      <c r="V518" s="348"/>
      <c r="W518" s="348"/>
      <c r="X518" s="348"/>
      <c r="Y518" s="348"/>
      <c r="Z518" s="117"/>
      <c r="AA518" s="117"/>
      <c r="AB518" s="35">
        <f t="shared" si="201"/>
        <v>4626.21</v>
      </c>
    </row>
    <row r="519" spans="15:39">
      <c r="P519" t="str">
        <f t="shared" si="200"/>
        <v>DEC</v>
      </c>
      <c r="R519" s="117">
        <v>3978.36</v>
      </c>
      <c r="S519" s="117">
        <v>1195.43</v>
      </c>
      <c r="T519" s="117">
        <v>919.33</v>
      </c>
      <c r="U519" s="117">
        <v>-880.1</v>
      </c>
      <c r="V519" s="348"/>
      <c r="W519" s="348"/>
      <c r="X519" s="348"/>
      <c r="Y519" s="348"/>
      <c r="Z519" s="117"/>
      <c r="AA519" s="117"/>
      <c r="AB519" s="35">
        <f t="shared" si="201"/>
        <v>5213.0199999999995</v>
      </c>
    </row>
    <row r="520" spans="15:39">
      <c r="P520" s="349" t="str">
        <f t="shared" si="200"/>
        <v>Jan 2023</v>
      </c>
      <c r="R520" s="117">
        <v>2768.17</v>
      </c>
      <c r="S520" s="117">
        <v>1150.19</v>
      </c>
      <c r="T520" s="117">
        <v>2176.11</v>
      </c>
      <c r="U520" s="117">
        <v>-578.75</v>
      </c>
      <c r="V520" s="117"/>
      <c r="W520" s="117"/>
      <c r="X520" s="117"/>
      <c r="Y520" s="117"/>
      <c r="Z520" s="117"/>
      <c r="AA520" s="117"/>
      <c r="AB520" s="35">
        <f t="shared" si="201"/>
        <v>5515.72</v>
      </c>
    </row>
    <row r="521" spans="15:39">
      <c r="O521">
        <f>$O$80</f>
        <v>12</v>
      </c>
      <c r="P521" t="str">
        <f t="shared" si="200"/>
        <v>FEB</v>
      </c>
      <c r="R521" s="117">
        <v>1657.94</v>
      </c>
      <c r="S521" s="117">
        <v>1274.1500000000001</v>
      </c>
      <c r="T521" s="117">
        <v>1079.8499999999999</v>
      </c>
      <c r="U521" s="117">
        <v>-759.29</v>
      </c>
      <c r="V521" s="117"/>
      <c r="W521" s="117"/>
      <c r="X521" s="117"/>
      <c r="Y521" s="117"/>
      <c r="Z521" s="117"/>
      <c r="AA521" s="117"/>
      <c r="AB521" s="35">
        <f t="shared" si="201"/>
        <v>3252.65</v>
      </c>
    </row>
    <row r="522" spans="15:39">
      <c r="R522" s="117"/>
      <c r="S522" s="117"/>
      <c r="T522" s="117"/>
      <c r="U522" s="117"/>
      <c r="V522" s="117"/>
      <c r="W522" s="117"/>
      <c r="X522" s="117"/>
      <c r="Y522" s="117"/>
      <c r="Z522" s="117"/>
      <c r="AA522" s="117"/>
    </row>
    <row r="523" spans="15:39" ht="13.5" thickBot="1">
      <c r="P523" t="s">
        <v>108</v>
      </c>
      <c r="R523" s="119">
        <f t="shared" ref="R523" si="202">SUM(R510:R521)</f>
        <v>39776.589999999997</v>
      </c>
      <c r="S523" s="119">
        <f t="shared" ref="S523:Y523" si="203">SUM(S510:S521)</f>
        <v>9082.14</v>
      </c>
      <c r="T523" s="119">
        <f t="shared" si="203"/>
        <v>12356.910000000002</v>
      </c>
      <c r="U523" s="119">
        <f t="shared" si="203"/>
        <v>-9383.07</v>
      </c>
      <c r="V523" s="119">
        <f t="shared" si="203"/>
        <v>0</v>
      </c>
      <c r="W523" s="119">
        <f t="shared" si="203"/>
        <v>0</v>
      </c>
      <c r="X523" s="119">
        <f t="shared" si="203"/>
        <v>0</v>
      </c>
      <c r="Y523" s="119">
        <f t="shared" si="203"/>
        <v>0</v>
      </c>
      <c r="Z523" s="117"/>
      <c r="AA523" s="117"/>
      <c r="AB523" s="119">
        <f>SUM(AB510:AB521)</f>
        <v>51832.569999999992</v>
      </c>
    </row>
    <row r="524" spans="15:39" ht="16.5" thickTop="1">
      <c r="P524" s="121" t="s">
        <v>521</v>
      </c>
      <c r="Q524" s="36"/>
      <c r="AC524" s="191"/>
      <c r="AD524" s="191"/>
      <c r="AE524" s="192" t="s">
        <v>382</v>
      </c>
      <c r="AF524" s="191"/>
      <c r="AG524" s="191"/>
      <c r="AH524" s="191"/>
      <c r="AI524" s="191"/>
      <c r="AJ524" s="191"/>
      <c r="AK524" s="191"/>
      <c r="AL524" s="191"/>
      <c r="AM524" s="193"/>
    </row>
    <row r="525" spans="15:39">
      <c r="X525" s="52" t="s">
        <v>9</v>
      </c>
      <c r="AC525" s="193"/>
      <c r="AD525" s="191"/>
      <c r="AE525" s="192" t="s">
        <v>383</v>
      </c>
      <c r="AF525" s="191"/>
      <c r="AG525" s="191"/>
      <c r="AH525" s="193"/>
      <c r="AI525" s="191"/>
      <c r="AJ525" s="191"/>
      <c r="AK525" s="191"/>
      <c r="AL525" s="192" t="s">
        <v>387</v>
      </c>
      <c r="AM525" s="193"/>
    </row>
    <row r="526" spans="15:39">
      <c r="Q526" s="52" t="s">
        <v>261</v>
      </c>
      <c r="R526" s="52" t="s">
        <v>12</v>
      </c>
      <c r="S526" s="52"/>
      <c r="T526" s="52" t="s">
        <v>245</v>
      </c>
      <c r="U526" s="52" t="s">
        <v>141</v>
      </c>
      <c r="X526" s="52" t="s">
        <v>15</v>
      </c>
      <c r="Y526" s="52" t="s">
        <v>245</v>
      </c>
      <c r="AC526" s="192" t="s">
        <v>379</v>
      </c>
      <c r="AD526" s="191" t="s">
        <v>263</v>
      </c>
      <c r="AE526" s="192" t="s">
        <v>348</v>
      </c>
      <c r="AF526" s="192" t="s">
        <v>115</v>
      </c>
      <c r="AG526" s="192" t="s">
        <v>384</v>
      </c>
      <c r="AH526" s="192" t="s">
        <v>385</v>
      </c>
      <c r="AI526" s="192" t="s">
        <v>243</v>
      </c>
      <c r="AJ526" s="192" t="s">
        <v>386</v>
      </c>
      <c r="AK526" s="191" t="s">
        <v>140</v>
      </c>
      <c r="AL526" s="192" t="s">
        <v>388</v>
      </c>
      <c r="AM526" s="193"/>
    </row>
    <row r="527" spans="15:39">
      <c r="Q527" s="52" t="s">
        <v>248</v>
      </c>
      <c r="R527" s="52" t="s">
        <v>224</v>
      </c>
      <c r="S527" s="52"/>
      <c r="T527" s="52" t="s">
        <v>224</v>
      </c>
      <c r="U527" s="52" t="s">
        <v>11</v>
      </c>
      <c r="V527" s="52" t="s">
        <v>219</v>
      </c>
      <c r="W527" s="52" t="s">
        <v>220</v>
      </c>
      <c r="X527" s="52" t="s">
        <v>249</v>
      </c>
      <c r="Y527" s="52" t="s">
        <v>250</v>
      </c>
      <c r="Z527" s="52" t="s">
        <v>251</v>
      </c>
      <c r="AA527" s="52" t="s">
        <v>8</v>
      </c>
      <c r="AB527" s="52" t="s">
        <v>252</v>
      </c>
      <c r="AC527" s="192" t="s">
        <v>380</v>
      </c>
      <c r="AD527" s="192" t="s">
        <v>381</v>
      </c>
      <c r="AE527" s="192" t="s">
        <v>379</v>
      </c>
      <c r="AF527" s="192" t="s">
        <v>263</v>
      </c>
      <c r="AG527" s="192" t="s">
        <v>263</v>
      </c>
      <c r="AH527" s="191" t="s">
        <v>207</v>
      </c>
      <c r="AI527" s="192" t="s">
        <v>348</v>
      </c>
      <c r="AJ527" s="192" t="s">
        <v>80</v>
      </c>
      <c r="AK527" s="191" t="s">
        <v>272</v>
      </c>
      <c r="AL527" s="192" t="s">
        <v>389</v>
      </c>
      <c r="AM527" s="191" t="s">
        <v>217</v>
      </c>
    </row>
    <row r="528" spans="15:39">
      <c r="P528" s="122" t="s">
        <v>134</v>
      </c>
      <c r="Q528" s="122"/>
      <c r="R528" s="122" t="s">
        <v>134</v>
      </c>
      <c r="S528" s="122"/>
      <c r="T528" s="122" t="s">
        <v>134</v>
      </c>
      <c r="U528" s="122" t="s">
        <v>134</v>
      </c>
      <c r="V528" s="122" t="s">
        <v>134</v>
      </c>
      <c r="W528" s="122" t="s">
        <v>134</v>
      </c>
      <c r="X528" s="122" t="s">
        <v>134</v>
      </c>
      <c r="Y528" s="122" t="s">
        <v>134</v>
      </c>
      <c r="Z528" s="122" t="s">
        <v>134</v>
      </c>
      <c r="AA528" s="122" t="s">
        <v>134</v>
      </c>
      <c r="AB528" s="122" t="s">
        <v>134</v>
      </c>
      <c r="AC528" s="194" t="s">
        <v>134</v>
      </c>
      <c r="AD528" s="194" t="s">
        <v>134</v>
      </c>
      <c r="AE528" s="194" t="s">
        <v>134</v>
      </c>
      <c r="AF528" s="194" t="s">
        <v>134</v>
      </c>
      <c r="AG528" s="194" t="s">
        <v>134</v>
      </c>
      <c r="AH528" s="194" t="s">
        <v>134</v>
      </c>
      <c r="AI528" s="194" t="s">
        <v>134</v>
      </c>
      <c r="AJ528" s="194" t="s">
        <v>134</v>
      </c>
      <c r="AK528" s="194" t="s">
        <v>134</v>
      </c>
      <c r="AL528" s="194" t="s">
        <v>134</v>
      </c>
      <c r="AM528" s="194" t="s">
        <v>134</v>
      </c>
    </row>
    <row r="529" spans="12:40">
      <c r="V529" s="112"/>
      <c r="W529" s="112"/>
      <c r="X529" s="112"/>
      <c r="Z529" s="112"/>
      <c r="AC529" s="193"/>
      <c r="AD529" s="193"/>
      <c r="AE529" s="193"/>
      <c r="AF529" s="193"/>
      <c r="AG529" s="193"/>
      <c r="AH529" s="193"/>
      <c r="AI529" s="193"/>
      <c r="AJ529" s="193"/>
      <c r="AK529" s="193">
        <v>3.0000000000000001E-3</v>
      </c>
      <c r="AL529" s="193"/>
      <c r="AM529" s="193"/>
    </row>
    <row r="530" spans="12:40" ht="15.75">
      <c r="L530" s="312" t="e">
        <f>W530/U530</f>
        <v>#DIV/0!</v>
      </c>
      <c r="M530" s="309" t="e">
        <f>N530/R530</f>
        <v>#DIV/0!</v>
      </c>
      <c r="N530" s="112">
        <f>V530-AC530</f>
        <v>0</v>
      </c>
      <c r="O530">
        <f>$O$69</f>
        <v>1</v>
      </c>
      <c r="P530" s="155" t="e">
        <f>#REF!</f>
        <v>#REF!</v>
      </c>
      <c r="R530" s="58"/>
      <c r="S530" s="58"/>
      <c r="T530" s="58"/>
      <c r="U530" s="58"/>
      <c r="V530" s="112"/>
      <c r="W530" s="112"/>
      <c r="X530" s="112">
        <f>AC552</f>
        <v>0</v>
      </c>
      <c r="Y530" s="112"/>
      <c r="Z530" s="112">
        <f t="shared" ref="Z530:Z541" si="204">SUM(V530:Y530)</f>
        <v>0</v>
      </c>
      <c r="AA530" s="201"/>
      <c r="AB530" s="112">
        <f t="shared" ref="AB530:AB541" si="205">AA530-Z530</f>
        <v>0</v>
      </c>
      <c r="AC530" s="193"/>
      <c r="AD530" s="193"/>
      <c r="AE530" s="193"/>
      <c r="AF530" s="193"/>
      <c r="AG530" s="193"/>
      <c r="AH530" s="195"/>
      <c r="AI530" s="193"/>
      <c r="AJ530" s="193"/>
      <c r="AK530" s="193">
        <f>U530*AK529</f>
        <v>0</v>
      </c>
      <c r="AL530" s="193"/>
      <c r="AM530" s="193">
        <f>SUM(AI530:AL530)</f>
        <v>0</v>
      </c>
      <c r="AN530" s="35">
        <f>AM530-AB530</f>
        <v>0</v>
      </c>
    </row>
    <row r="531" spans="12:40" ht="15.75">
      <c r="L531" s="312" t="e">
        <f t="shared" ref="L531:L541" si="206">W531/U531</f>
        <v>#DIV/0!</v>
      </c>
      <c r="M531" s="309" t="e">
        <f t="shared" ref="M531:M541" si="207">N531/R531</f>
        <v>#DIV/0!</v>
      </c>
      <c r="N531" s="112">
        <f t="shared" ref="N531:N541" si="208">V531-AC531</f>
        <v>0</v>
      </c>
      <c r="P531" s="155" t="e">
        <f>#REF!</f>
        <v>#REF!</v>
      </c>
      <c r="R531" s="58"/>
      <c r="S531" s="58"/>
      <c r="T531" s="58"/>
      <c r="U531" s="58"/>
      <c r="V531" s="112"/>
      <c r="W531" s="112"/>
      <c r="X531" s="112">
        <f t="shared" ref="X531:X541" si="209">AC553</f>
        <v>0</v>
      </c>
      <c r="Y531" s="112"/>
      <c r="Z531" s="112">
        <f t="shared" si="204"/>
        <v>0</v>
      </c>
      <c r="AA531" s="201"/>
      <c r="AB531" s="112">
        <f t="shared" si="205"/>
        <v>0</v>
      </c>
      <c r="AC531" s="193"/>
      <c r="AD531" s="193"/>
      <c r="AE531" s="193"/>
      <c r="AF531" s="193"/>
      <c r="AG531" s="193"/>
      <c r="AH531" s="195"/>
      <c r="AI531" s="193"/>
      <c r="AJ531" s="193"/>
      <c r="AK531" s="193">
        <f>U531*AK529</f>
        <v>0</v>
      </c>
      <c r="AL531" s="193"/>
      <c r="AM531" s="193">
        <f t="shared" ref="AM531:AM541" si="210">SUM(AI531:AL531)</f>
        <v>0</v>
      </c>
      <c r="AN531" s="35">
        <f t="shared" ref="AN531:AN541" si="211">AM531-AB531</f>
        <v>0</v>
      </c>
    </row>
    <row r="532" spans="12:40" ht="15.75">
      <c r="L532" s="312" t="e">
        <f t="shared" si="206"/>
        <v>#DIV/0!</v>
      </c>
      <c r="M532" s="309" t="e">
        <f t="shared" si="207"/>
        <v>#DIV/0!</v>
      </c>
      <c r="N532" s="112">
        <f t="shared" si="208"/>
        <v>0</v>
      </c>
      <c r="P532" s="155" t="str">
        <f>$P$69</f>
        <v>March 22</v>
      </c>
      <c r="R532" s="58"/>
      <c r="S532" s="58"/>
      <c r="T532" s="58"/>
      <c r="U532" s="58"/>
      <c r="V532" s="112"/>
      <c r="W532" s="112"/>
      <c r="X532" s="112">
        <f t="shared" si="209"/>
        <v>0</v>
      </c>
      <c r="Y532" s="112"/>
      <c r="Z532" s="112">
        <f t="shared" si="204"/>
        <v>0</v>
      </c>
      <c r="AA532" s="201"/>
      <c r="AB532" s="112">
        <f t="shared" si="205"/>
        <v>0</v>
      </c>
      <c r="AC532" s="193"/>
      <c r="AD532" s="193"/>
      <c r="AE532" s="193"/>
      <c r="AF532" s="193"/>
      <c r="AG532" s="193"/>
      <c r="AH532" s="195"/>
      <c r="AI532" s="193"/>
      <c r="AJ532" s="193"/>
      <c r="AK532" s="193">
        <f>U532*AK529</f>
        <v>0</v>
      </c>
      <c r="AL532" s="193"/>
      <c r="AM532" s="193">
        <f t="shared" si="210"/>
        <v>0</v>
      </c>
      <c r="AN532" s="35">
        <f t="shared" si="211"/>
        <v>0</v>
      </c>
    </row>
    <row r="533" spans="12:40" ht="15.75">
      <c r="L533" s="312" t="e">
        <f t="shared" si="206"/>
        <v>#DIV/0!</v>
      </c>
      <c r="M533" s="309" t="e">
        <f t="shared" si="207"/>
        <v>#DIV/0!</v>
      </c>
      <c r="N533" s="112">
        <f t="shared" si="208"/>
        <v>0</v>
      </c>
      <c r="P533" s="155" t="str">
        <f>$P$70</f>
        <v>April</v>
      </c>
      <c r="R533" s="58"/>
      <c r="S533" s="58"/>
      <c r="T533" s="58"/>
      <c r="U533" s="58"/>
      <c r="V533" s="112"/>
      <c r="W533" s="112"/>
      <c r="X533" s="112">
        <f t="shared" si="209"/>
        <v>0</v>
      </c>
      <c r="Y533" s="112"/>
      <c r="Z533" s="112">
        <f t="shared" si="204"/>
        <v>0</v>
      </c>
      <c r="AA533" s="201"/>
      <c r="AB533" s="112">
        <f t="shared" si="205"/>
        <v>0</v>
      </c>
      <c r="AC533" s="193"/>
      <c r="AD533" s="193"/>
      <c r="AE533" s="193"/>
      <c r="AF533" s="193"/>
      <c r="AG533" s="193"/>
      <c r="AH533" s="195"/>
      <c r="AI533" s="193"/>
      <c r="AJ533" s="193"/>
      <c r="AK533" s="193">
        <f>U533*AK529</f>
        <v>0</v>
      </c>
      <c r="AL533" s="193"/>
      <c r="AM533" s="193">
        <f t="shared" si="210"/>
        <v>0</v>
      </c>
      <c r="AN533" s="35">
        <f t="shared" si="211"/>
        <v>0</v>
      </c>
    </row>
    <row r="534" spans="12:40" ht="15.75">
      <c r="L534" s="312" t="e">
        <f t="shared" si="206"/>
        <v>#DIV/0!</v>
      </c>
      <c r="M534" s="309" t="e">
        <f t="shared" si="207"/>
        <v>#DIV/0!</v>
      </c>
      <c r="N534" s="112">
        <f t="shared" si="208"/>
        <v>0</v>
      </c>
      <c r="P534" s="155" t="str">
        <f>$P$71</f>
        <v>May</v>
      </c>
      <c r="R534" s="58"/>
      <c r="S534" s="58"/>
      <c r="T534" s="58"/>
      <c r="U534" s="58"/>
      <c r="V534" s="112"/>
      <c r="W534" s="112"/>
      <c r="X534" s="112">
        <f t="shared" si="209"/>
        <v>0</v>
      </c>
      <c r="Y534" s="112"/>
      <c r="Z534" s="112">
        <f t="shared" si="204"/>
        <v>0</v>
      </c>
      <c r="AA534" s="201"/>
      <c r="AB534" s="112">
        <f t="shared" si="205"/>
        <v>0</v>
      </c>
      <c r="AC534" s="193"/>
      <c r="AD534" s="193"/>
      <c r="AE534" s="193"/>
      <c r="AF534" s="193"/>
      <c r="AG534" s="193"/>
      <c r="AH534" s="195"/>
      <c r="AI534" s="193"/>
      <c r="AJ534" s="193"/>
      <c r="AK534" s="193">
        <f>U534*AK529</f>
        <v>0</v>
      </c>
      <c r="AL534" s="193"/>
      <c r="AM534" s="193">
        <f t="shared" si="210"/>
        <v>0</v>
      </c>
      <c r="AN534" s="35">
        <f t="shared" si="211"/>
        <v>0</v>
      </c>
    </row>
    <row r="535" spans="12:40" ht="15.75">
      <c r="L535" s="312" t="e">
        <f t="shared" si="206"/>
        <v>#DIV/0!</v>
      </c>
      <c r="M535" s="309" t="e">
        <f t="shared" si="207"/>
        <v>#DIV/0!</v>
      </c>
      <c r="N535" s="112">
        <f t="shared" si="208"/>
        <v>0</v>
      </c>
      <c r="P535" s="155" t="str">
        <f>$P$72</f>
        <v>June</v>
      </c>
      <c r="R535" s="58"/>
      <c r="S535" s="58"/>
      <c r="T535" s="58"/>
      <c r="U535" s="58"/>
      <c r="V535" s="112"/>
      <c r="W535" s="112"/>
      <c r="X535" s="112">
        <f t="shared" si="209"/>
        <v>0</v>
      </c>
      <c r="Y535" s="112"/>
      <c r="Z535" s="112">
        <f t="shared" si="204"/>
        <v>0</v>
      </c>
      <c r="AA535" s="201"/>
      <c r="AB535" s="112">
        <f t="shared" si="205"/>
        <v>0</v>
      </c>
      <c r="AC535" s="193"/>
      <c r="AD535" s="193"/>
      <c r="AE535" s="193"/>
      <c r="AF535" s="193"/>
      <c r="AG535" s="193"/>
      <c r="AH535" s="195"/>
      <c r="AI535" s="193"/>
      <c r="AJ535" s="193"/>
      <c r="AK535" s="193">
        <f>U535*AK529</f>
        <v>0</v>
      </c>
      <c r="AL535" s="193"/>
      <c r="AM535" s="193">
        <f t="shared" si="210"/>
        <v>0</v>
      </c>
      <c r="AN535" s="35">
        <f t="shared" si="211"/>
        <v>0</v>
      </c>
    </row>
    <row r="536" spans="12:40" ht="15.75">
      <c r="L536" s="312" t="e">
        <f t="shared" si="206"/>
        <v>#DIV/0!</v>
      </c>
      <c r="M536" s="309" t="e">
        <f t="shared" si="207"/>
        <v>#DIV/0!</v>
      </c>
      <c r="N536" s="112">
        <f t="shared" si="208"/>
        <v>0</v>
      </c>
      <c r="P536" s="155" t="str">
        <f>$P$73</f>
        <v>July</v>
      </c>
      <c r="R536" s="58"/>
      <c r="S536" s="58"/>
      <c r="T536" s="58"/>
      <c r="U536" s="58"/>
      <c r="V536" s="112"/>
      <c r="W536" s="112"/>
      <c r="X536" s="112">
        <f t="shared" si="209"/>
        <v>0</v>
      </c>
      <c r="Y536" s="112"/>
      <c r="Z536" s="112">
        <f t="shared" si="204"/>
        <v>0</v>
      </c>
      <c r="AA536" s="201"/>
      <c r="AB536" s="112">
        <f t="shared" si="205"/>
        <v>0</v>
      </c>
      <c r="AC536" s="193"/>
      <c r="AD536" s="193"/>
      <c r="AE536" s="193"/>
      <c r="AF536" s="193"/>
      <c r="AG536" s="193"/>
      <c r="AH536" s="195"/>
      <c r="AI536" s="193"/>
      <c r="AJ536" s="193"/>
      <c r="AK536" s="193">
        <f>U536*AK529</f>
        <v>0</v>
      </c>
      <c r="AL536" s="193"/>
      <c r="AM536" s="193">
        <f t="shared" si="210"/>
        <v>0</v>
      </c>
      <c r="AN536" s="35">
        <f t="shared" si="211"/>
        <v>0</v>
      </c>
    </row>
    <row r="537" spans="12:40" ht="15.75">
      <c r="L537" s="312" t="e">
        <f t="shared" si="206"/>
        <v>#DIV/0!</v>
      </c>
      <c r="M537" s="309" t="e">
        <f t="shared" si="207"/>
        <v>#DIV/0!</v>
      </c>
      <c r="N537" s="112">
        <f t="shared" si="208"/>
        <v>0</v>
      </c>
      <c r="P537" s="155" t="str">
        <f>$P$74</f>
        <v>August</v>
      </c>
      <c r="R537" s="58"/>
      <c r="S537" s="58"/>
      <c r="T537" s="58"/>
      <c r="U537" s="58"/>
      <c r="V537" s="112"/>
      <c r="W537" s="112"/>
      <c r="X537" s="112">
        <f t="shared" si="209"/>
        <v>0</v>
      </c>
      <c r="Y537" s="112"/>
      <c r="Z537" s="112">
        <f t="shared" si="204"/>
        <v>0</v>
      </c>
      <c r="AA537" s="201"/>
      <c r="AB537" s="112">
        <f t="shared" si="205"/>
        <v>0</v>
      </c>
      <c r="AC537" s="193"/>
      <c r="AD537" s="193"/>
      <c r="AE537" s="193"/>
      <c r="AF537" s="193"/>
      <c r="AG537" s="193"/>
      <c r="AH537" s="195"/>
      <c r="AI537" s="193"/>
      <c r="AJ537" s="193"/>
      <c r="AK537" s="193">
        <f>U537*AK529</f>
        <v>0</v>
      </c>
      <c r="AL537" s="193"/>
      <c r="AM537" s="193">
        <f t="shared" si="210"/>
        <v>0</v>
      </c>
      <c r="AN537" s="35">
        <f t="shared" si="211"/>
        <v>0</v>
      </c>
    </row>
    <row r="538" spans="12:40" ht="15.75">
      <c r="L538" s="312" t="e">
        <f t="shared" si="206"/>
        <v>#DIV/0!</v>
      </c>
      <c r="M538" s="309" t="e">
        <f t="shared" si="207"/>
        <v>#DIV/0!</v>
      </c>
      <c r="N538" s="112">
        <f t="shared" si="208"/>
        <v>0</v>
      </c>
      <c r="P538" s="155" t="str">
        <f>$P$75</f>
        <v>September</v>
      </c>
      <c r="R538" s="58"/>
      <c r="S538" s="58"/>
      <c r="T538" s="58"/>
      <c r="U538" s="58"/>
      <c r="V538" s="112"/>
      <c r="W538" s="112"/>
      <c r="X538" s="112">
        <f t="shared" si="209"/>
        <v>0</v>
      </c>
      <c r="Y538" s="112"/>
      <c r="Z538" s="112">
        <f t="shared" si="204"/>
        <v>0</v>
      </c>
      <c r="AA538" s="201"/>
      <c r="AB538" s="112">
        <f t="shared" si="205"/>
        <v>0</v>
      </c>
      <c r="AC538" s="193"/>
      <c r="AD538" s="193"/>
      <c r="AE538" s="193"/>
      <c r="AF538" s="193"/>
      <c r="AG538" s="193"/>
      <c r="AH538" s="195"/>
      <c r="AI538" s="193"/>
      <c r="AJ538" s="193"/>
      <c r="AK538" s="193">
        <f>U538*AK529</f>
        <v>0</v>
      </c>
      <c r="AL538" s="193"/>
      <c r="AM538" s="193">
        <f t="shared" si="210"/>
        <v>0</v>
      </c>
      <c r="AN538" s="35">
        <f t="shared" si="211"/>
        <v>0</v>
      </c>
    </row>
    <row r="539" spans="12:40" ht="15.75">
      <c r="L539" s="312" t="e">
        <f t="shared" si="206"/>
        <v>#DIV/0!</v>
      </c>
      <c r="M539" s="309" t="e">
        <f t="shared" si="207"/>
        <v>#DIV/0!</v>
      </c>
      <c r="N539" s="112">
        <f t="shared" si="208"/>
        <v>0</v>
      </c>
      <c r="P539" s="155" t="str">
        <f>$P$76</f>
        <v>October</v>
      </c>
      <c r="R539" s="58"/>
      <c r="S539" s="58"/>
      <c r="T539" s="58"/>
      <c r="U539" s="58"/>
      <c r="V539" s="112"/>
      <c r="W539" s="112"/>
      <c r="X539" s="112">
        <f t="shared" si="209"/>
        <v>0</v>
      </c>
      <c r="Y539" s="112"/>
      <c r="Z539" s="112">
        <f t="shared" si="204"/>
        <v>0</v>
      </c>
      <c r="AA539" s="201"/>
      <c r="AB539" s="112">
        <f t="shared" si="205"/>
        <v>0</v>
      </c>
      <c r="AC539" s="193"/>
      <c r="AD539" s="193"/>
      <c r="AE539" s="193"/>
      <c r="AF539" s="195"/>
      <c r="AG539" s="195"/>
      <c r="AH539" s="195"/>
      <c r="AI539" s="193"/>
      <c r="AJ539" s="193"/>
      <c r="AK539" s="193">
        <f>U539*AK529</f>
        <v>0</v>
      </c>
      <c r="AL539" s="193"/>
      <c r="AM539" s="193">
        <f t="shared" si="210"/>
        <v>0</v>
      </c>
      <c r="AN539" s="35">
        <f t="shared" si="211"/>
        <v>0</v>
      </c>
    </row>
    <row r="540" spans="12:40" ht="15.75">
      <c r="L540" s="312" t="e">
        <f t="shared" si="206"/>
        <v>#DIV/0!</v>
      </c>
      <c r="M540" s="309" t="e">
        <f t="shared" si="207"/>
        <v>#DIV/0!</v>
      </c>
      <c r="N540" s="112">
        <f t="shared" si="208"/>
        <v>0</v>
      </c>
      <c r="P540" s="155" t="str">
        <f>$P$77</f>
        <v>Novermber</v>
      </c>
      <c r="R540" s="58"/>
      <c r="S540" s="58"/>
      <c r="T540" s="58"/>
      <c r="U540" s="58"/>
      <c r="V540" s="112"/>
      <c r="W540" s="112"/>
      <c r="X540" s="112">
        <f t="shared" si="209"/>
        <v>0</v>
      </c>
      <c r="Y540" s="112"/>
      <c r="Z540" s="112">
        <f t="shared" si="204"/>
        <v>0</v>
      </c>
      <c r="AA540" s="201"/>
      <c r="AB540" s="112">
        <f t="shared" si="205"/>
        <v>0</v>
      </c>
      <c r="AC540" s="193"/>
      <c r="AD540" s="193"/>
      <c r="AE540" s="193"/>
      <c r="AF540" s="195"/>
      <c r="AG540" s="195"/>
      <c r="AH540" s="195"/>
      <c r="AI540" s="193"/>
      <c r="AJ540" s="193"/>
      <c r="AK540" s="193">
        <f>U540*AK529</f>
        <v>0</v>
      </c>
      <c r="AL540" s="193"/>
      <c r="AM540" s="193">
        <f t="shared" si="210"/>
        <v>0</v>
      </c>
      <c r="AN540" s="35">
        <f t="shared" si="211"/>
        <v>0</v>
      </c>
    </row>
    <row r="541" spans="12:40" ht="15.75">
      <c r="L541" s="312" t="e">
        <f t="shared" si="206"/>
        <v>#DIV/0!</v>
      </c>
      <c r="M541" s="309" t="e">
        <f t="shared" si="207"/>
        <v>#DIV/0!</v>
      </c>
      <c r="N541" s="112">
        <f t="shared" si="208"/>
        <v>0</v>
      </c>
      <c r="O541">
        <f>$O$80</f>
        <v>12</v>
      </c>
      <c r="P541" s="155" t="str">
        <f>$P$78</f>
        <v>December</v>
      </c>
      <c r="R541" s="58"/>
      <c r="S541" s="58"/>
      <c r="T541" s="58"/>
      <c r="U541" s="58"/>
      <c r="V541" s="112"/>
      <c r="W541" s="112"/>
      <c r="X541" s="112">
        <f t="shared" si="209"/>
        <v>0</v>
      </c>
      <c r="Y541" s="112"/>
      <c r="Z541" s="112">
        <f t="shared" si="204"/>
        <v>0</v>
      </c>
      <c r="AA541" s="201"/>
      <c r="AB541" s="112">
        <f t="shared" si="205"/>
        <v>0</v>
      </c>
      <c r="AC541" s="193"/>
      <c r="AD541" s="193"/>
      <c r="AE541" s="193"/>
      <c r="AF541" s="195"/>
      <c r="AG541" s="195"/>
      <c r="AH541" s="195"/>
      <c r="AI541" s="193"/>
      <c r="AJ541" s="193"/>
      <c r="AK541" s="193">
        <f>U541*AK529</f>
        <v>0</v>
      </c>
      <c r="AL541" s="193"/>
      <c r="AM541" s="193">
        <f t="shared" si="210"/>
        <v>0</v>
      </c>
      <c r="AN541" s="35">
        <f t="shared" si="211"/>
        <v>0</v>
      </c>
    </row>
    <row r="542" spans="12:40">
      <c r="R542" s="124" t="s">
        <v>134</v>
      </c>
      <c r="S542" s="124"/>
      <c r="T542" s="124" t="s">
        <v>134</v>
      </c>
      <c r="U542" s="124" t="s">
        <v>134</v>
      </c>
      <c r="V542" s="125" t="s">
        <v>134</v>
      </c>
      <c r="W542" s="125" t="s">
        <v>134</v>
      </c>
      <c r="X542" s="125" t="s">
        <v>134</v>
      </c>
      <c r="Y542" s="122" t="s">
        <v>134</v>
      </c>
      <c r="Z542" s="125" t="s">
        <v>134</v>
      </c>
      <c r="AA542" s="125" t="s">
        <v>134</v>
      </c>
      <c r="AB542" s="125" t="s">
        <v>134</v>
      </c>
      <c r="AC542" s="193"/>
      <c r="AD542" s="193"/>
      <c r="AE542" s="193"/>
      <c r="AF542" s="193"/>
      <c r="AG542" s="193"/>
      <c r="AH542" s="193"/>
      <c r="AI542" s="193"/>
      <c r="AJ542" s="193"/>
      <c r="AK542" s="193"/>
      <c r="AL542" s="193"/>
      <c r="AM542" s="193"/>
    </row>
    <row r="543" spans="12:40">
      <c r="R543" s="58"/>
      <c r="S543" s="58"/>
      <c r="T543" s="58"/>
      <c r="U543" s="58"/>
      <c r="V543" s="112"/>
      <c r="W543" s="112"/>
      <c r="X543" s="112"/>
      <c r="Z543" s="112"/>
      <c r="AA543" s="112"/>
      <c r="AB543" s="112"/>
      <c r="AC543" s="193"/>
      <c r="AD543" s="193"/>
      <c r="AE543" s="193"/>
      <c r="AF543" s="193"/>
      <c r="AG543" s="193"/>
      <c r="AH543" s="193"/>
      <c r="AI543" s="193"/>
      <c r="AJ543" s="193"/>
      <c r="AK543" s="193"/>
      <c r="AL543" s="193"/>
      <c r="AM543" s="193"/>
    </row>
    <row r="544" spans="12:40">
      <c r="R544" s="58">
        <f t="shared" ref="R544:AB544" si="212">SUM(R530:R541)</f>
        <v>0</v>
      </c>
      <c r="S544" s="58"/>
      <c r="T544" s="58">
        <f t="shared" si="212"/>
        <v>0</v>
      </c>
      <c r="U544" s="58">
        <f t="shared" si="212"/>
        <v>0</v>
      </c>
      <c r="V544" s="112">
        <f t="shared" si="212"/>
        <v>0</v>
      </c>
      <c r="W544" s="112">
        <f t="shared" si="212"/>
        <v>0</v>
      </c>
      <c r="X544" s="112">
        <f t="shared" si="212"/>
        <v>0</v>
      </c>
      <c r="Y544" s="112">
        <f t="shared" si="212"/>
        <v>0</v>
      </c>
      <c r="Z544" s="112">
        <f t="shared" si="212"/>
        <v>0</v>
      </c>
      <c r="AA544" s="112">
        <f t="shared" si="212"/>
        <v>0</v>
      </c>
      <c r="AB544" s="112">
        <f t="shared" si="212"/>
        <v>0</v>
      </c>
      <c r="AC544" s="197">
        <f t="shared" ref="AC544:AM544" si="213">SUM(AC530:AC541)</f>
        <v>0</v>
      </c>
      <c r="AD544" s="197">
        <f t="shared" si="213"/>
        <v>0</v>
      </c>
      <c r="AE544" s="197">
        <f t="shared" si="213"/>
        <v>0</v>
      </c>
      <c r="AF544" s="197">
        <f t="shared" si="213"/>
        <v>0</v>
      </c>
      <c r="AG544" s="197">
        <f t="shared" si="213"/>
        <v>0</v>
      </c>
      <c r="AH544" s="197">
        <f t="shared" si="213"/>
        <v>0</v>
      </c>
      <c r="AI544" s="197">
        <f t="shared" si="213"/>
        <v>0</v>
      </c>
      <c r="AJ544" s="197">
        <f t="shared" si="213"/>
        <v>0</v>
      </c>
      <c r="AK544" s="197">
        <f t="shared" si="213"/>
        <v>0</v>
      </c>
      <c r="AL544" s="197">
        <f t="shared" si="213"/>
        <v>0</v>
      </c>
      <c r="AM544" s="197">
        <f t="shared" si="213"/>
        <v>0</v>
      </c>
    </row>
    <row r="545" spans="15:39">
      <c r="R545" s="124" t="s">
        <v>229</v>
      </c>
      <c r="S545" s="124"/>
      <c r="T545" s="124" t="s">
        <v>229</v>
      </c>
      <c r="U545" s="124" t="s">
        <v>229</v>
      </c>
      <c r="V545" s="125" t="s">
        <v>229</v>
      </c>
      <c r="W545" s="125" t="s">
        <v>229</v>
      </c>
      <c r="X545" s="125" t="s">
        <v>229</v>
      </c>
      <c r="Y545" s="125" t="s">
        <v>229</v>
      </c>
      <c r="Z545" s="125" t="s">
        <v>229</v>
      </c>
      <c r="AA545" s="125" t="s">
        <v>229</v>
      </c>
      <c r="AB545" s="125" t="s">
        <v>229</v>
      </c>
      <c r="AC545" s="198" t="s">
        <v>229</v>
      </c>
      <c r="AD545" s="198" t="s">
        <v>229</v>
      </c>
      <c r="AE545" s="198" t="s">
        <v>229</v>
      </c>
      <c r="AF545" s="198" t="s">
        <v>229</v>
      </c>
      <c r="AG545" s="198" t="s">
        <v>229</v>
      </c>
      <c r="AH545" s="198" t="s">
        <v>229</v>
      </c>
      <c r="AI545" s="198" t="s">
        <v>229</v>
      </c>
      <c r="AJ545" s="198" t="s">
        <v>229</v>
      </c>
      <c r="AK545" s="198" t="s">
        <v>229</v>
      </c>
      <c r="AL545" s="198" t="s">
        <v>229</v>
      </c>
      <c r="AM545" s="198" t="s">
        <v>229</v>
      </c>
    </row>
    <row r="546" spans="15:39">
      <c r="P546" s="61"/>
      <c r="R546" s="58"/>
      <c r="S546" s="58"/>
      <c r="U546" s="58"/>
      <c r="V546" s="115"/>
      <c r="W546" s="115"/>
      <c r="X546" s="58"/>
      <c r="Z546" s="115"/>
      <c r="AA546" s="115"/>
    </row>
    <row r="547" spans="15:39">
      <c r="X547" s="46"/>
    </row>
    <row r="549" spans="15:39">
      <c r="P549" s="52"/>
      <c r="Q549" s="52"/>
      <c r="R549" s="52"/>
      <c r="S549" s="52"/>
      <c r="T549" s="52" t="s">
        <v>367</v>
      </c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</row>
    <row r="550" spans="15:39">
      <c r="P550" s="52"/>
      <c r="Q550" s="52"/>
      <c r="R550" s="52" t="s">
        <v>221</v>
      </c>
      <c r="S550" s="52"/>
      <c r="T550" s="52" t="s">
        <v>343</v>
      </c>
      <c r="U550" s="52" t="s">
        <v>222</v>
      </c>
      <c r="V550" s="52" t="s">
        <v>368</v>
      </c>
      <c r="W550" s="52" t="s">
        <v>369</v>
      </c>
      <c r="X550" s="52" t="s">
        <v>370</v>
      </c>
      <c r="Y550" s="52" t="s">
        <v>371</v>
      </c>
      <c r="Z550" s="52" t="s">
        <v>372</v>
      </c>
      <c r="AA550" s="52" t="s">
        <v>223</v>
      </c>
      <c r="AB550" s="52"/>
      <c r="AC550" s="52"/>
      <c r="AD550" s="52"/>
      <c r="AE550" s="52"/>
      <c r="AF550" s="52"/>
      <c r="AG550" s="52"/>
      <c r="AH550" s="52"/>
    </row>
    <row r="551" spans="15:39">
      <c r="P551" s="52"/>
      <c r="Q551" s="52"/>
      <c r="R551" s="89" t="s">
        <v>15</v>
      </c>
      <c r="S551" s="89"/>
      <c r="T551" s="89" t="s">
        <v>344</v>
      </c>
      <c r="U551" s="89" t="s">
        <v>227</v>
      </c>
      <c r="V551" s="89" t="s">
        <v>226</v>
      </c>
      <c r="W551" s="89" t="s">
        <v>373</v>
      </c>
      <c r="X551" s="89" t="s">
        <v>374</v>
      </c>
      <c r="Y551" s="89" t="s">
        <v>375</v>
      </c>
      <c r="Z551" s="89" t="s">
        <v>376</v>
      </c>
      <c r="AA551" s="89" t="s">
        <v>228</v>
      </c>
      <c r="AB551" s="89" t="s">
        <v>254</v>
      </c>
      <c r="AC551" s="183" t="s">
        <v>217</v>
      </c>
      <c r="AD551" s="52"/>
      <c r="AE551" s="52"/>
      <c r="AF551" s="52"/>
      <c r="AG551" s="52"/>
      <c r="AH551" s="52"/>
    </row>
    <row r="552" spans="15:39">
      <c r="O552">
        <f>$O$69</f>
        <v>1</v>
      </c>
      <c r="P552" s="155" t="e">
        <f>#REF!</f>
        <v>#REF!</v>
      </c>
      <c r="R552" s="117"/>
      <c r="S552" s="117"/>
      <c r="T552" s="117"/>
      <c r="U552" s="117"/>
      <c r="V552" s="117"/>
      <c r="W552" s="117"/>
      <c r="X552" s="117"/>
      <c r="Y552" s="117"/>
      <c r="Z552" s="117"/>
      <c r="AC552" s="35">
        <f t="shared" ref="AC552:AC563" si="214">SUM(R552:AB552)</f>
        <v>0</v>
      </c>
    </row>
    <row r="553" spans="15:39">
      <c r="P553" s="155" t="e">
        <f>#REF!</f>
        <v>#REF!</v>
      </c>
      <c r="R553" s="117"/>
      <c r="S553" s="117"/>
      <c r="T553" s="117"/>
      <c r="U553" s="117"/>
      <c r="V553" s="117"/>
      <c r="W553" s="117"/>
      <c r="X553" s="117"/>
      <c r="Y553" s="117"/>
      <c r="Z553" s="117"/>
      <c r="AC553" s="35">
        <f t="shared" si="214"/>
        <v>0</v>
      </c>
    </row>
    <row r="554" spans="15:39">
      <c r="P554" s="155" t="str">
        <f>$P$69</f>
        <v>March 22</v>
      </c>
      <c r="R554" s="117"/>
      <c r="S554" s="117"/>
      <c r="T554" s="117"/>
      <c r="U554" s="117"/>
      <c r="V554" s="117"/>
      <c r="W554" s="117"/>
      <c r="X554" s="117"/>
      <c r="Y554" s="117"/>
      <c r="Z554" s="117"/>
      <c r="AC554" s="35">
        <f t="shared" si="214"/>
        <v>0</v>
      </c>
    </row>
    <row r="555" spans="15:39">
      <c r="P555" s="155" t="str">
        <f>$P$70</f>
        <v>April</v>
      </c>
      <c r="R555" s="117"/>
      <c r="S555" s="117"/>
      <c r="T555" s="117"/>
      <c r="U555" s="117"/>
      <c r="V555" s="117"/>
      <c r="W555" s="117"/>
      <c r="X555" s="117"/>
      <c r="Y555" s="117"/>
      <c r="Z555" s="117"/>
      <c r="AC555" s="35">
        <f t="shared" si="214"/>
        <v>0</v>
      </c>
    </row>
    <row r="556" spans="15:39">
      <c r="P556" s="155" t="str">
        <f>$P$71</f>
        <v>May</v>
      </c>
      <c r="R556" s="117"/>
      <c r="S556" s="117"/>
      <c r="T556" s="117"/>
      <c r="U556" s="117"/>
      <c r="V556" s="117"/>
      <c r="W556" s="117"/>
      <c r="X556" s="117"/>
      <c r="Y556" s="117"/>
      <c r="Z556" s="117"/>
      <c r="AC556" s="35">
        <f t="shared" si="214"/>
        <v>0</v>
      </c>
    </row>
    <row r="557" spans="15:39">
      <c r="P557" s="155" t="str">
        <f>$P$72</f>
        <v>June</v>
      </c>
      <c r="R557" s="117"/>
      <c r="S557" s="117"/>
      <c r="T557" s="117"/>
      <c r="U557" s="117"/>
      <c r="V557" s="117"/>
      <c r="W557" s="117"/>
      <c r="X557" s="117"/>
      <c r="Y557" s="117"/>
      <c r="Z557" s="117"/>
      <c r="AC557" s="35">
        <f t="shared" si="214"/>
        <v>0</v>
      </c>
    </row>
    <row r="558" spans="15:39">
      <c r="P558" s="155" t="str">
        <f>$P$73</f>
        <v>July</v>
      </c>
      <c r="R558" s="117"/>
      <c r="S558" s="117"/>
      <c r="T558" s="117"/>
      <c r="U558" s="117"/>
      <c r="V558" s="117"/>
      <c r="W558" s="117"/>
      <c r="X558" s="117"/>
      <c r="Y558" s="117"/>
      <c r="Z558" s="117"/>
      <c r="AC558" s="35">
        <f t="shared" si="214"/>
        <v>0</v>
      </c>
    </row>
    <row r="559" spans="15:39">
      <c r="P559" s="155" t="str">
        <f>$P$74</f>
        <v>August</v>
      </c>
      <c r="R559" s="117"/>
      <c r="S559" s="117"/>
      <c r="T559" s="117"/>
      <c r="U559" s="117"/>
      <c r="V559" s="117"/>
      <c r="W559" s="117"/>
      <c r="X559" s="117"/>
      <c r="Y559" s="117"/>
      <c r="Z559" s="117"/>
      <c r="AC559" s="35">
        <f t="shared" si="214"/>
        <v>0</v>
      </c>
    </row>
    <row r="560" spans="15:39">
      <c r="P560" s="155" t="str">
        <f>$P$75</f>
        <v>September</v>
      </c>
      <c r="R560" s="117"/>
      <c r="S560" s="117"/>
      <c r="T560" s="117"/>
      <c r="U560" s="117"/>
      <c r="V560" s="117"/>
      <c r="W560" s="117"/>
      <c r="X560" s="117"/>
      <c r="Y560" s="117"/>
      <c r="Z560" s="117"/>
      <c r="AC560" s="35">
        <f t="shared" si="214"/>
        <v>0</v>
      </c>
    </row>
    <row r="561" spans="12:40">
      <c r="P561" s="155" t="str">
        <f>$P$76</f>
        <v>October</v>
      </c>
      <c r="R561" s="117"/>
      <c r="S561" s="117"/>
      <c r="T561" s="117"/>
      <c r="U561" s="117"/>
      <c r="V561" s="117"/>
      <c r="W561" s="117"/>
      <c r="X561" s="117"/>
      <c r="Y561" s="117"/>
      <c r="Z561" s="117"/>
      <c r="AC561" s="35">
        <f t="shared" si="214"/>
        <v>0</v>
      </c>
    </row>
    <row r="562" spans="12:40">
      <c r="P562" s="155" t="str">
        <f>$P$77</f>
        <v>Novermber</v>
      </c>
      <c r="R562" s="117"/>
      <c r="S562" s="117"/>
      <c r="T562" s="117"/>
      <c r="U562" s="117"/>
      <c r="V562" s="117"/>
      <c r="W562" s="117"/>
      <c r="X562" s="117"/>
      <c r="Y562" s="117"/>
      <c r="Z562" s="117"/>
      <c r="AC562" s="35">
        <f t="shared" si="214"/>
        <v>0</v>
      </c>
    </row>
    <row r="563" spans="12:40">
      <c r="O563">
        <f>$O$80</f>
        <v>12</v>
      </c>
      <c r="P563" s="155" t="str">
        <f>$P$78</f>
        <v>December</v>
      </c>
      <c r="R563" s="117"/>
      <c r="S563" s="117"/>
      <c r="T563" s="117"/>
      <c r="U563" s="117"/>
      <c r="V563" s="117"/>
      <c r="W563" s="117"/>
      <c r="X563" s="117"/>
      <c r="Y563" s="117"/>
      <c r="Z563" s="117"/>
      <c r="AC563" s="35">
        <f t="shared" si="214"/>
        <v>0</v>
      </c>
    </row>
    <row r="564" spans="12:40">
      <c r="R564" s="117"/>
      <c r="S564" s="117"/>
      <c r="T564" s="117"/>
      <c r="U564" s="117"/>
      <c r="V564" s="117"/>
      <c r="W564" s="117"/>
      <c r="X564" s="117"/>
      <c r="Y564" s="117"/>
      <c r="Z564" s="117"/>
    </row>
    <row r="565" spans="12:40" ht="13.5" thickBot="1">
      <c r="P565" t="s">
        <v>108</v>
      </c>
      <c r="R565" s="119">
        <f>SUM(R552:R563)</f>
        <v>0</v>
      </c>
      <c r="S565" s="119"/>
      <c r="T565" s="119">
        <f>SUM(T552:T563)</f>
        <v>0</v>
      </c>
      <c r="U565" s="119">
        <f>SUM(U552:U563)</f>
        <v>0</v>
      </c>
      <c r="V565" s="119">
        <f>SUM(V552:V563)</f>
        <v>0</v>
      </c>
      <c r="W565" s="119">
        <f>SUM(W552:W563)</f>
        <v>0</v>
      </c>
      <c r="X565" s="119">
        <f t="shared" ref="X565:AC565" si="215">SUM(X552:X563)</f>
        <v>0</v>
      </c>
      <c r="Y565" s="119">
        <f t="shared" si="215"/>
        <v>0</v>
      </c>
      <c r="Z565" s="119">
        <f t="shared" si="215"/>
        <v>0</v>
      </c>
      <c r="AA565" s="119">
        <f t="shared" si="215"/>
        <v>0</v>
      </c>
      <c r="AB565" s="119">
        <f t="shared" si="215"/>
        <v>0</v>
      </c>
      <c r="AC565" s="119">
        <f t="shared" si="215"/>
        <v>0</v>
      </c>
    </row>
    <row r="566" spans="12:40" ht="16.5" thickTop="1">
      <c r="P566" s="447" t="s">
        <v>515</v>
      </c>
      <c r="Q566" s="36"/>
      <c r="AC566" s="191"/>
      <c r="AD566" s="191"/>
      <c r="AE566" s="192" t="s">
        <v>382</v>
      </c>
      <c r="AF566" s="191"/>
      <c r="AG566" s="191"/>
      <c r="AH566" s="191"/>
      <c r="AI566" s="191"/>
      <c r="AJ566" s="191"/>
      <c r="AK566" s="191"/>
      <c r="AL566" s="191"/>
      <c r="AM566" s="193"/>
    </row>
    <row r="567" spans="12:40">
      <c r="R567" t="s">
        <v>489</v>
      </c>
      <c r="X567" s="52" t="s">
        <v>9</v>
      </c>
      <c r="AC567" s="193"/>
      <c r="AD567" s="191"/>
      <c r="AE567" s="192" t="s">
        <v>383</v>
      </c>
      <c r="AF567" s="191"/>
      <c r="AG567" s="191"/>
      <c r="AH567" s="193"/>
      <c r="AI567" s="191"/>
      <c r="AJ567" s="191"/>
      <c r="AK567" s="191"/>
      <c r="AL567" s="192" t="s">
        <v>387</v>
      </c>
      <c r="AM567" s="193"/>
    </row>
    <row r="568" spans="12:40">
      <c r="Q568" s="52" t="s">
        <v>261</v>
      </c>
      <c r="R568" s="52" t="s">
        <v>255</v>
      </c>
      <c r="S568" s="52"/>
      <c r="T568" s="52" t="s">
        <v>245</v>
      </c>
      <c r="X568" s="52" t="s">
        <v>15</v>
      </c>
      <c r="Y568" s="52" t="s">
        <v>245</v>
      </c>
      <c r="AC568" s="192" t="s">
        <v>379</v>
      </c>
      <c r="AD568" s="191" t="s">
        <v>263</v>
      </c>
      <c r="AE568" s="192" t="s">
        <v>348</v>
      </c>
      <c r="AF568" s="192" t="s">
        <v>115</v>
      </c>
      <c r="AG568" s="192" t="s">
        <v>384</v>
      </c>
      <c r="AH568" s="192" t="s">
        <v>385</v>
      </c>
      <c r="AI568" s="192" t="s">
        <v>243</v>
      </c>
      <c r="AJ568" s="192" t="s">
        <v>386</v>
      </c>
      <c r="AK568" s="191" t="s">
        <v>140</v>
      </c>
      <c r="AL568" s="192" t="s">
        <v>388</v>
      </c>
      <c r="AM568" s="193"/>
    </row>
    <row r="569" spans="12:40">
      <c r="Q569" s="52" t="s">
        <v>248</v>
      </c>
      <c r="R569" s="52" t="s">
        <v>224</v>
      </c>
      <c r="S569" s="52"/>
      <c r="T569" s="52" t="s">
        <v>224</v>
      </c>
      <c r="U569" s="52" t="s">
        <v>11</v>
      </c>
      <c r="V569" s="52" t="s">
        <v>219</v>
      </c>
      <c r="W569" s="52" t="s">
        <v>220</v>
      </c>
      <c r="X569" s="52" t="s">
        <v>249</v>
      </c>
      <c r="Y569" s="52" t="s">
        <v>250</v>
      </c>
      <c r="Z569" s="52" t="s">
        <v>251</v>
      </c>
      <c r="AA569" s="52" t="s">
        <v>8</v>
      </c>
      <c r="AB569" s="52" t="s">
        <v>252</v>
      </c>
      <c r="AC569" s="192" t="s">
        <v>380</v>
      </c>
      <c r="AD569" s="192" t="s">
        <v>381</v>
      </c>
      <c r="AE569" s="192" t="s">
        <v>379</v>
      </c>
      <c r="AF569" s="192" t="s">
        <v>263</v>
      </c>
      <c r="AG569" s="192" t="s">
        <v>263</v>
      </c>
      <c r="AH569" s="191" t="s">
        <v>207</v>
      </c>
      <c r="AI569" s="192" t="s">
        <v>348</v>
      </c>
      <c r="AJ569" s="192" t="s">
        <v>80</v>
      </c>
      <c r="AK569" s="191" t="s">
        <v>272</v>
      </c>
      <c r="AL569" s="192" t="s">
        <v>389</v>
      </c>
      <c r="AM569" s="191" t="s">
        <v>217</v>
      </c>
    </row>
    <row r="570" spans="12:40">
      <c r="P570" s="122" t="s">
        <v>134</v>
      </c>
      <c r="Q570" s="122"/>
      <c r="R570" s="122" t="s">
        <v>134</v>
      </c>
      <c r="S570" s="122"/>
      <c r="T570" s="122" t="s">
        <v>134</v>
      </c>
      <c r="U570" s="122" t="s">
        <v>134</v>
      </c>
      <c r="V570" s="122" t="s">
        <v>134</v>
      </c>
      <c r="W570" s="122" t="s">
        <v>134</v>
      </c>
      <c r="X570" s="122" t="s">
        <v>134</v>
      </c>
      <c r="Y570" s="122" t="s">
        <v>134</v>
      </c>
      <c r="Z570" s="122" t="s">
        <v>134</v>
      </c>
      <c r="AA570" s="122" t="s">
        <v>134</v>
      </c>
      <c r="AB570" s="122" t="s">
        <v>134</v>
      </c>
      <c r="AC570" s="194" t="s">
        <v>134</v>
      </c>
      <c r="AD570" s="194" t="s">
        <v>134</v>
      </c>
      <c r="AE570" s="194" t="s">
        <v>134</v>
      </c>
      <c r="AF570" s="194" t="s">
        <v>134</v>
      </c>
      <c r="AG570" s="194" t="s">
        <v>134</v>
      </c>
      <c r="AH570" s="194" t="s">
        <v>134</v>
      </c>
      <c r="AI570" s="194" t="s">
        <v>134</v>
      </c>
      <c r="AJ570" s="194" t="s">
        <v>134</v>
      </c>
      <c r="AK570" s="194" t="s">
        <v>134</v>
      </c>
      <c r="AL570" s="194" t="s">
        <v>134</v>
      </c>
      <c r="AM570" s="194" t="s">
        <v>134</v>
      </c>
    </row>
    <row r="571" spans="12:40">
      <c r="V571" s="112"/>
      <c r="W571" s="112"/>
      <c r="X571" s="112"/>
      <c r="Z571" s="112"/>
      <c r="AC571" s="193"/>
      <c r="AD571" s="193"/>
      <c r="AE571" s="193"/>
      <c r="AF571" s="193"/>
      <c r="AG571" s="193"/>
      <c r="AH571" s="193"/>
      <c r="AI571" s="193"/>
      <c r="AJ571" s="193"/>
      <c r="AK571" s="193">
        <v>3.0000000000000001E-3</v>
      </c>
      <c r="AL571" s="193"/>
      <c r="AM571" s="193"/>
    </row>
    <row r="572" spans="12:40">
      <c r="L572" s="312" t="e">
        <f>W572/U572</f>
        <v>#DIV/0!</v>
      </c>
      <c r="M572" s="309" t="e">
        <f>N572/R572</f>
        <v>#DIV/0!</v>
      </c>
      <c r="N572" s="112">
        <f>V572-AC572</f>
        <v>0</v>
      </c>
      <c r="O572">
        <f>$O$69</f>
        <v>1</v>
      </c>
      <c r="R572" s="58"/>
      <c r="S572" s="58"/>
      <c r="T572" s="58"/>
      <c r="U572" s="58"/>
      <c r="V572" s="112"/>
      <c r="W572" s="112"/>
      <c r="X572" s="35"/>
      <c r="Y572" s="112"/>
      <c r="Z572" s="112"/>
      <c r="AA572" s="112"/>
      <c r="AB572" s="112"/>
      <c r="AC572" s="193"/>
      <c r="AD572" s="193"/>
      <c r="AE572" s="193"/>
      <c r="AF572" s="193"/>
      <c r="AG572" s="193"/>
      <c r="AH572" s="195"/>
      <c r="AI572" s="193"/>
      <c r="AJ572" s="193"/>
      <c r="AK572" s="193">
        <f>U572*AK571</f>
        <v>0</v>
      </c>
      <c r="AL572" s="193"/>
      <c r="AM572" s="193">
        <f>SUM(AI572:AL572)</f>
        <v>0</v>
      </c>
      <c r="AN572" s="35">
        <f>AM572-AB572</f>
        <v>0</v>
      </c>
    </row>
    <row r="573" spans="12:40">
      <c r="L573" s="312" t="e">
        <f t="shared" ref="L573:L583" si="216">W573/U573</f>
        <v>#DIV/0!</v>
      </c>
      <c r="M573" s="309" t="e">
        <f t="shared" ref="M573:M583" si="217">N573/R573</f>
        <v>#DIV/0!</v>
      </c>
      <c r="N573" s="112">
        <f t="shared" ref="N573:N583" si="218">V573-AC573</f>
        <v>0</v>
      </c>
      <c r="R573" s="58"/>
      <c r="S573" s="58"/>
      <c r="T573" s="58"/>
      <c r="U573" s="58"/>
      <c r="V573" s="112"/>
      <c r="W573" s="112"/>
      <c r="X573" s="35"/>
      <c r="Y573" s="112"/>
      <c r="Z573" s="112"/>
      <c r="AA573" s="112"/>
      <c r="AB573" s="112"/>
      <c r="AC573" s="193"/>
      <c r="AD573" s="193"/>
      <c r="AE573" s="193"/>
      <c r="AF573" s="193"/>
      <c r="AG573" s="193"/>
      <c r="AH573" s="195"/>
      <c r="AI573" s="193"/>
      <c r="AJ573" s="193"/>
      <c r="AK573" s="193">
        <f>U573*AK571</f>
        <v>0</v>
      </c>
      <c r="AL573" s="193"/>
      <c r="AM573" s="193">
        <f t="shared" ref="AM573:AM583" si="219">SUM(AI573:AL573)</f>
        <v>0</v>
      </c>
      <c r="AN573" s="35">
        <f t="shared" ref="AN573:AN583" si="220">AM573-AB573</f>
        <v>0</v>
      </c>
    </row>
    <row r="574" spans="12:40">
      <c r="L574" s="312" t="e">
        <f t="shared" si="216"/>
        <v>#DIV/0!</v>
      </c>
      <c r="M574" s="309" t="e">
        <f t="shared" si="217"/>
        <v>#DIV/0!</v>
      </c>
      <c r="N574" s="112">
        <f t="shared" si="218"/>
        <v>0</v>
      </c>
      <c r="R574" s="58"/>
      <c r="S574" s="58"/>
      <c r="T574" s="58"/>
      <c r="U574" s="58"/>
      <c r="V574" s="112"/>
      <c r="W574" s="112"/>
      <c r="X574" s="35"/>
      <c r="Y574" s="112"/>
      <c r="Z574" s="112"/>
      <c r="AA574" s="112"/>
      <c r="AB574" s="112"/>
      <c r="AC574" s="193"/>
      <c r="AD574" s="193"/>
      <c r="AE574" s="193"/>
      <c r="AF574" s="193"/>
      <c r="AG574" s="193"/>
      <c r="AH574" s="195"/>
      <c r="AI574" s="193"/>
      <c r="AJ574" s="193"/>
      <c r="AK574" s="193">
        <f>U574*AK571</f>
        <v>0</v>
      </c>
      <c r="AL574" s="193"/>
      <c r="AM574" s="193">
        <f t="shared" si="219"/>
        <v>0</v>
      </c>
      <c r="AN574" s="35">
        <f t="shared" si="220"/>
        <v>0</v>
      </c>
    </row>
    <row r="575" spans="12:40">
      <c r="L575" s="312" t="e">
        <f t="shared" si="216"/>
        <v>#DIV/0!</v>
      </c>
      <c r="M575" s="309" t="e">
        <f t="shared" si="217"/>
        <v>#DIV/0!</v>
      </c>
      <c r="N575" s="112">
        <f t="shared" si="218"/>
        <v>0</v>
      </c>
      <c r="R575" s="58"/>
      <c r="S575" s="58"/>
      <c r="T575" s="58"/>
      <c r="U575" s="58"/>
      <c r="V575" s="112"/>
      <c r="W575" s="112"/>
      <c r="X575" s="35"/>
      <c r="Y575" s="112"/>
      <c r="Z575" s="112"/>
      <c r="AA575" s="112"/>
      <c r="AB575" s="112"/>
      <c r="AC575" s="193"/>
      <c r="AD575" s="193"/>
      <c r="AE575" s="193"/>
      <c r="AF575" s="193"/>
      <c r="AG575" s="193"/>
      <c r="AH575" s="195"/>
      <c r="AI575" s="193"/>
      <c r="AJ575" s="193"/>
      <c r="AK575" s="193">
        <f>U575*AK571</f>
        <v>0</v>
      </c>
      <c r="AL575" s="193"/>
      <c r="AM575" s="193">
        <f t="shared" si="219"/>
        <v>0</v>
      </c>
      <c r="AN575" s="35">
        <f t="shared" si="220"/>
        <v>0</v>
      </c>
    </row>
    <row r="576" spans="12:40">
      <c r="L576" s="312" t="e">
        <f t="shared" si="216"/>
        <v>#DIV/0!</v>
      </c>
      <c r="M576" s="309" t="e">
        <f t="shared" si="217"/>
        <v>#DIV/0!</v>
      </c>
      <c r="N576" s="112">
        <f t="shared" si="218"/>
        <v>0</v>
      </c>
      <c r="R576" s="58"/>
      <c r="S576" s="58"/>
      <c r="T576" s="58"/>
      <c r="U576" s="58"/>
      <c r="V576" s="112"/>
      <c r="W576" s="112"/>
      <c r="X576" s="35"/>
      <c r="Y576" s="112"/>
      <c r="Z576" s="112"/>
      <c r="AA576" s="112"/>
      <c r="AB576" s="112"/>
      <c r="AC576" s="193"/>
      <c r="AD576" s="193"/>
      <c r="AE576" s="193"/>
      <c r="AF576" s="193"/>
      <c r="AG576" s="193"/>
      <c r="AH576" s="195"/>
      <c r="AI576" s="193"/>
      <c r="AJ576" s="193"/>
      <c r="AK576" s="193">
        <f>U576*AK571</f>
        <v>0</v>
      </c>
      <c r="AL576" s="193"/>
      <c r="AM576" s="193">
        <f t="shared" si="219"/>
        <v>0</v>
      </c>
      <c r="AN576" s="35">
        <f t="shared" si="220"/>
        <v>0</v>
      </c>
    </row>
    <row r="577" spans="12:40">
      <c r="L577" s="312" t="e">
        <f t="shared" si="216"/>
        <v>#DIV/0!</v>
      </c>
      <c r="M577" s="309" t="e">
        <f t="shared" si="217"/>
        <v>#DIV/0!</v>
      </c>
      <c r="N577" s="112">
        <f t="shared" si="218"/>
        <v>0</v>
      </c>
      <c r="R577" s="58"/>
      <c r="S577" s="58"/>
      <c r="T577" s="58"/>
      <c r="U577" s="58"/>
      <c r="V577" s="112"/>
      <c r="W577" s="112"/>
      <c r="X577" s="35"/>
      <c r="Y577" s="112"/>
      <c r="Z577" s="112"/>
      <c r="AA577" s="112"/>
      <c r="AB577" s="112"/>
      <c r="AC577" s="193"/>
      <c r="AD577" s="193"/>
      <c r="AE577" s="193"/>
      <c r="AF577" s="193"/>
      <c r="AG577" s="193"/>
      <c r="AH577" s="195"/>
      <c r="AI577" s="193"/>
      <c r="AJ577" s="193"/>
      <c r="AK577" s="193">
        <f>U577*AK571</f>
        <v>0</v>
      </c>
      <c r="AL577" s="193"/>
      <c r="AM577" s="193">
        <f t="shared" si="219"/>
        <v>0</v>
      </c>
      <c r="AN577" s="35">
        <f t="shared" si="220"/>
        <v>0</v>
      </c>
    </row>
    <row r="578" spans="12:40">
      <c r="L578" s="312" t="e">
        <f t="shared" si="216"/>
        <v>#DIV/0!</v>
      </c>
      <c r="M578" s="309" t="e">
        <f t="shared" si="217"/>
        <v>#DIV/0!</v>
      </c>
      <c r="N578" s="112">
        <f t="shared" si="218"/>
        <v>0</v>
      </c>
      <c r="R578" s="58"/>
      <c r="S578" s="58"/>
      <c r="T578" s="58"/>
      <c r="U578" s="58"/>
      <c r="V578" s="112"/>
      <c r="W578" s="112"/>
      <c r="X578" s="35"/>
      <c r="Y578" s="112"/>
      <c r="Z578" s="112"/>
      <c r="AA578" s="112"/>
      <c r="AB578" s="112"/>
      <c r="AC578" s="193"/>
      <c r="AD578" s="193"/>
      <c r="AE578" s="193"/>
      <c r="AF578" s="193"/>
      <c r="AG578" s="193"/>
      <c r="AH578" s="195"/>
      <c r="AI578" s="193"/>
      <c r="AJ578" s="193"/>
      <c r="AK578" s="193">
        <f>U578*AK571</f>
        <v>0</v>
      </c>
      <c r="AL578" s="193"/>
      <c r="AM578" s="193">
        <f t="shared" si="219"/>
        <v>0</v>
      </c>
      <c r="AN578" s="35">
        <f t="shared" si="220"/>
        <v>0</v>
      </c>
    </row>
    <row r="579" spans="12:40">
      <c r="L579" s="312" t="e">
        <f t="shared" si="216"/>
        <v>#DIV/0!</v>
      </c>
      <c r="M579" s="309" t="e">
        <f t="shared" si="217"/>
        <v>#DIV/0!</v>
      </c>
      <c r="N579" s="112">
        <f t="shared" si="218"/>
        <v>0</v>
      </c>
      <c r="R579" s="58"/>
      <c r="S579" s="58"/>
      <c r="T579" s="58"/>
      <c r="U579" s="58"/>
      <c r="V579" s="112"/>
      <c r="W579" s="112"/>
      <c r="X579" s="35"/>
      <c r="Y579" s="112"/>
      <c r="Z579" s="112"/>
      <c r="AA579" s="112"/>
      <c r="AB579" s="112"/>
      <c r="AC579" s="193"/>
      <c r="AD579" s="193"/>
      <c r="AE579" s="193"/>
      <c r="AF579" s="193"/>
      <c r="AG579" s="193"/>
      <c r="AH579" s="195"/>
      <c r="AI579" s="193"/>
      <c r="AJ579" s="193"/>
      <c r="AK579" s="193">
        <f>U579*AK571</f>
        <v>0</v>
      </c>
      <c r="AL579" s="193"/>
      <c r="AM579" s="193">
        <f t="shared" si="219"/>
        <v>0</v>
      </c>
      <c r="AN579" s="35">
        <f t="shared" si="220"/>
        <v>0</v>
      </c>
    </row>
    <row r="580" spans="12:40">
      <c r="L580" s="312" t="e">
        <f t="shared" si="216"/>
        <v>#DIV/0!</v>
      </c>
      <c r="M580" s="309" t="e">
        <f t="shared" si="217"/>
        <v>#DIV/0!</v>
      </c>
      <c r="N580" s="112">
        <f t="shared" si="218"/>
        <v>0</v>
      </c>
      <c r="R580" s="58"/>
      <c r="S580" s="58"/>
      <c r="T580" s="58"/>
      <c r="U580" s="58"/>
      <c r="V580" s="112"/>
      <c r="W580" s="112"/>
      <c r="X580" s="35"/>
      <c r="Y580" s="112"/>
      <c r="Z580" s="112"/>
      <c r="AA580" s="112"/>
      <c r="AB580" s="112"/>
      <c r="AC580" s="193"/>
      <c r="AD580" s="193"/>
      <c r="AE580" s="193"/>
      <c r="AF580" s="193"/>
      <c r="AG580" s="193"/>
      <c r="AH580" s="195"/>
      <c r="AI580" s="193"/>
      <c r="AJ580" s="193"/>
      <c r="AK580" s="193">
        <f>U580*AK571</f>
        <v>0</v>
      </c>
      <c r="AL580" s="193"/>
      <c r="AM580" s="193">
        <f t="shared" si="219"/>
        <v>0</v>
      </c>
      <c r="AN580" s="35">
        <f t="shared" si="220"/>
        <v>0</v>
      </c>
    </row>
    <row r="581" spans="12:40">
      <c r="L581" s="312" t="e">
        <f t="shared" si="216"/>
        <v>#DIV/0!</v>
      </c>
      <c r="M581" s="309" t="e">
        <f t="shared" si="217"/>
        <v>#DIV/0!</v>
      </c>
      <c r="N581" s="112">
        <f t="shared" si="218"/>
        <v>0</v>
      </c>
      <c r="R581" s="58"/>
      <c r="S581" s="58"/>
      <c r="T581" s="58"/>
      <c r="U581" s="58"/>
      <c r="V581" s="112"/>
      <c r="W581" s="112"/>
      <c r="X581" s="35"/>
      <c r="Y581" s="112"/>
      <c r="Z581" s="112"/>
      <c r="AA581" s="112"/>
      <c r="AB581" s="112"/>
      <c r="AC581" s="193"/>
      <c r="AD581" s="193"/>
      <c r="AE581" s="193"/>
      <c r="AF581" s="195"/>
      <c r="AG581" s="195"/>
      <c r="AH581" s="195"/>
      <c r="AI581" s="193"/>
      <c r="AJ581" s="193"/>
      <c r="AK581" s="193">
        <f>U581*AK571</f>
        <v>0</v>
      </c>
      <c r="AL581" s="193"/>
      <c r="AM581" s="193">
        <f t="shared" si="219"/>
        <v>0</v>
      </c>
      <c r="AN581" s="35">
        <f t="shared" si="220"/>
        <v>0</v>
      </c>
    </row>
    <row r="582" spans="12:40">
      <c r="L582" s="312" t="e">
        <f t="shared" si="216"/>
        <v>#DIV/0!</v>
      </c>
      <c r="M582" s="309" t="e">
        <f t="shared" si="217"/>
        <v>#DIV/0!</v>
      </c>
      <c r="N582" s="112">
        <f t="shared" si="218"/>
        <v>0</v>
      </c>
      <c r="R582" s="58"/>
      <c r="S582" s="58"/>
      <c r="T582" s="58"/>
      <c r="U582" s="58"/>
      <c r="V582" s="112"/>
      <c r="W582" s="112"/>
      <c r="X582" s="35"/>
      <c r="Y582" s="112"/>
      <c r="Z582" s="112"/>
      <c r="AA582" s="112"/>
      <c r="AB582" s="112"/>
      <c r="AC582" s="193"/>
      <c r="AD582" s="193"/>
      <c r="AE582" s="193"/>
      <c r="AF582" s="195"/>
      <c r="AG582" s="195"/>
      <c r="AH582" s="195"/>
      <c r="AI582" s="193"/>
      <c r="AJ582" s="193"/>
      <c r="AK582" s="193">
        <f>U582*AK571</f>
        <v>0</v>
      </c>
      <c r="AL582" s="193"/>
      <c r="AM582" s="193">
        <f t="shared" si="219"/>
        <v>0</v>
      </c>
      <c r="AN582" s="35">
        <f t="shared" si="220"/>
        <v>0</v>
      </c>
    </row>
    <row r="583" spans="12:40">
      <c r="L583" s="312" t="e">
        <f t="shared" si="216"/>
        <v>#DIV/0!</v>
      </c>
      <c r="M583" s="309" t="e">
        <f t="shared" si="217"/>
        <v>#DIV/0!</v>
      </c>
      <c r="N583" s="112">
        <f t="shared" si="218"/>
        <v>0</v>
      </c>
      <c r="O583">
        <f>$O$80</f>
        <v>12</v>
      </c>
      <c r="R583" s="58"/>
      <c r="S583" s="58"/>
      <c r="T583" s="58"/>
      <c r="U583" s="58"/>
      <c r="V583" s="112"/>
      <c r="W583" s="112"/>
      <c r="X583" s="35"/>
      <c r="Y583" s="112"/>
      <c r="Z583" s="112"/>
      <c r="AA583" s="112"/>
      <c r="AB583" s="112"/>
      <c r="AC583" s="193"/>
      <c r="AD583" s="193"/>
      <c r="AE583" s="193"/>
      <c r="AF583" s="195"/>
      <c r="AG583" s="195"/>
      <c r="AH583" s="195"/>
      <c r="AI583" s="193"/>
      <c r="AJ583" s="193"/>
      <c r="AK583" s="193">
        <f>U583*AK571</f>
        <v>0</v>
      </c>
      <c r="AL583" s="193"/>
      <c r="AM583" s="193">
        <f t="shared" si="219"/>
        <v>0</v>
      </c>
      <c r="AN583" s="35">
        <f t="shared" si="220"/>
        <v>0</v>
      </c>
    </row>
    <row r="584" spans="12:40">
      <c r="R584" s="124" t="s">
        <v>134</v>
      </c>
      <c r="S584" s="124"/>
      <c r="T584" s="124" t="s">
        <v>134</v>
      </c>
      <c r="U584" s="124" t="s">
        <v>134</v>
      </c>
      <c r="V584" s="125" t="s">
        <v>134</v>
      </c>
      <c r="W584" s="125" t="s">
        <v>134</v>
      </c>
      <c r="X584" s="125" t="s">
        <v>134</v>
      </c>
      <c r="Y584" s="122" t="s">
        <v>134</v>
      </c>
      <c r="Z584" s="125" t="s">
        <v>134</v>
      </c>
      <c r="AA584" s="125" t="s">
        <v>134</v>
      </c>
      <c r="AB584" s="125" t="s">
        <v>134</v>
      </c>
      <c r="AC584" s="193"/>
      <c r="AD584" s="193"/>
      <c r="AE584" s="193"/>
      <c r="AF584" s="193"/>
      <c r="AG584" s="193"/>
      <c r="AH584" s="193"/>
      <c r="AI584" s="193"/>
      <c r="AJ584" s="193"/>
      <c r="AK584" s="193"/>
      <c r="AL584" s="193"/>
      <c r="AM584" s="193"/>
    </row>
    <row r="585" spans="12:40">
      <c r="R585" s="58"/>
      <c r="S585" s="58"/>
      <c r="T585" s="58"/>
      <c r="U585" s="58"/>
      <c r="V585" s="112"/>
      <c r="W585" s="112"/>
      <c r="X585" s="112"/>
      <c r="Z585" s="112"/>
      <c r="AA585" s="112"/>
      <c r="AB585" s="112"/>
      <c r="AC585" s="193"/>
      <c r="AD585" s="193"/>
      <c r="AE585" s="193"/>
      <c r="AF585" s="193"/>
      <c r="AG585" s="193"/>
      <c r="AH585" s="193"/>
      <c r="AI585" s="193"/>
      <c r="AJ585" s="193"/>
      <c r="AK585" s="193"/>
      <c r="AL585" s="193"/>
      <c r="AM585" s="193"/>
    </row>
    <row r="586" spans="12:40">
      <c r="R586" s="58">
        <f t="shared" ref="R586:AB586" si="221">SUM(R572:R583)</f>
        <v>0</v>
      </c>
      <c r="S586" s="58"/>
      <c r="T586" s="58">
        <f t="shared" si="221"/>
        <v>0</v>
      </c>
      <c r="U586" s="58">
        <f t="shared" si="221"/>
        <v>0</v>
      </c>
      <c r="V586" s="112">
        <f t="shared" si="221"/>
        <v>0</v>
      </c>
      <c r="W586" s="112">
        <f t="shared" si="221"/>
        <v>0</v>
      </c>
      <c r="X586" s="112">
        <f t="shared" si="221"/>
        <v>0</v>
      </c>
      <c r="Y586" s="112">
        <f t="shared" si="221"/>
        <v>0</v>
      </c>
      <c r="Z586" s="112">
        <f t="shared" si="221"/>
        <v>0</v>
      </c>
      <c r="AA586" s="112">
        <f t="shared" si="221"/>
        <v>0</v>
      </c>
      <c r="AB586" s="112">
        <f t="shared" si="221"/>
        <v>0</v>
      </c>
      <c r="AC586" s="197">
        <f t="shared" ref="AC586:AM586" si="222">SUM(AC572:AC583)</f>
        <v>0</v>
      </c>
      <c r="AD586" s="197">
        <f t="shared" si="222"/>
        <v>0</v>
      </c>
      <c r="AE586" s="197">
        <f t="shared" si="222"/>
        <v>0</v>
      </c>
      <c r="AF586" s="197">
        <f t="shared" si="222"/>
        <v>0</v>
      </c>
      <c r="AG586" s="197">
        <f t="shared" si="222"/>
        <v>0</v>
      </c>
      <c r="AH586" s="197">
        <f t="shared" si="222"/>
        <v>0</v>
      </c>
      <c r="AI586" s="197">
        <f t="shared" si="222"/>
        <v>0</v>
      </c>
      <c r="AJ586" s="197">
        <f t="shared" si="222"/>
        <v>0</v>
      </c>
      <c r="AK586" s="197">
        <f t="shared" si="222"/>
        <v>0</v>
      </c>
      <c r="AL586" s="197">
        <f t="shared" si="222"/>
        <v>0</v>
      </c>
      <c r="AM586" s="197">
        <f t="shared" si="222"/>
        <v>0</v>
      </c>
    </row>
    <row r="587" spans="12:40">
      <c r="R587" s="124" t="s">
        <v>229</v>
      </c>
      <c r="S587" s="124"/>
      <c r="T587" s="124" t="s">
        <v>229</v>
      </c>
      <c r="U587" s="124" t="s">
        <v>229</v>
      </c>
      <c r="V587" s="125" t="s">
        <v>229</v>
      </c>
      <c r="W587" s="125" t="s">
        <v>229</v>
      </c>
      <c r="X587" s="125" t="s">
        <v>229</v>
      </c>
      <c r="Y587" s="125" t="s">
        <v>229</v>
      </c>
      <c r="Z587" s="125" t="s">
        <v>229</v>
      </c>
      <c r="AA587" s="125" t="s">
        <v>229</v>
      </c>
      <c r="AB587" s="125" t="s">
        <v>229</v>
      </c>
      <c r="AC587" s="198" t="s">
        <v>229</v>
      </c>
      <c r="AD587" s="198" t="s">
        <v>229</v>
      </c>
      <c r="AE587" s="198" t="s">
        <v>229</v>
      </c>
      <c r="AF587" s="198" t="s">
        <v>229</v>
      </c>
      <c r="AG587" s="198" t="s">
        <v>229</v>
      </c>
      <c r="AH587" s="198" t="s">
        <v>229</v>
      </c>
      <c r="AI587" s="198" t="s">
        <v>229</v>
      </c>
      <c r="AJ587" s="198" t="s">
        <v>229</v>
      </c>
      <c r="AK587" s="198" t="s">
        <v>229</v>
      </c>
      <c r="AL587" s="198" t="s">
        <v>229</v>
      </c>
      <c r="AM587" s="198" t="s">
        <v>229</v>
      </c>
    </row>
    <row r="588" spans="12:40">
      <c r="R588">
        <v>52467</v>
      </c>
      <c r="T588">
        <v>10.715</v>
      </c>
      <c r="V588">
        <f>R588*T588</f>
        <v>562183.90500000003</v>
      </c>
      <c r="X588" t="s">
        <v>213</v>
      </c>
    </row>
    <row r="590" spans="12:40">
      <c r="S590" s="52" t="s">
        <v>367</v>
      </c>
    </row>
    <row r="591" spans="12:40">
      <c r="P591" s="52"/>
      <c r="Q591" s="52"/>
      <c r="R591" s="52" t="s">
        <v>221</v>
      </c>
      <c r="S591" s="52" t="s">
        <v>343</v>
      </c>
      <c r="T591" s="52" t="s">
        <v>222</v>
      </c>
      <c r="U591" s="52" t="s">
        <v>371</v>
      </c>
      <c r="V591" s="52" t="s">
        <v>368</v>
      </c>
      <c r="W591" s="52" t="s">
        <v>369</v>
      </c>
      <c r="X591" s="52" t="s">
        <v>370</v>
      </c>
      <c r="Y591" s="52" t="s">
        <v>372</v>
      </c>
      <c r="Z591" s="52"/>
      <c r="AA591" s="52"/>
      <c r="AB591" s="52"/>
      <c r="AD591" s="52"/>
      <c r="AE591" s="52"/>
      <c r="AF591" s="52"/>
      <c r="AG591" s="52"/>
      <c r="AH591" s="52"/>
    </row>
    <row r="592" spans="12:40">
      <c r="P592" s="52"/>
      <c r="Q592" s="52"/>
      <c r="R592" s="89" t="s">
        <v>15</v>
      </c>
      <c r="S592" s="89" t="s">
        <v>344</v>
      </c>
      <c r="T592" s="89" t="s">
        <v>227</v>
      </c>
      <c r="U592" s="89" t="s">
        <v>375</v>
      </c>
      <c r="V592" s="89" t="s">
        <v>226</v>
      </c>
      <c r="W592" s="89" t="s">
        <v>373</v>
      </c>
      <c r="X592" s="89" t="s">
        <v>374</v>
      </c>
      <c r="Y592" s="89" t="s">
        <v>376</v>
      </c>
      <c r="Z592" s="52"/>
      <c r="AA592" s="52"/>
      <c r="AB592" s="52"/>
      <c r="AD592" s="52"/>
      <c r="AE592" s="52"/>
      <c r="AF592" s="52"/>
      <c r="AG592" s="52"/>
      <c r="AH592" s="52"/>
    </row>
    <row r="593" spans="15:39"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183" t="s">
        <v>217</v>
      </c>
      <c r="AD593" s="52"/>
      <c r="AE593" s="52"/>
      <c r="AF593" s="52"/>
      <c r="AG593" s="52"/>
      <c r="AH593" s="52"/>
    </row>
    <row r="594" spans="15:39">
      <c r="O594">
        <f>$O$69</f>
        <v>1</v>
      </c>
      <c r="P594">
        <f t="shared" ref="P594:P605" si="223">P572</f>
        <v>0</v>
      </c>
      <c r="R594" s="117"/>
      <c r="S594" s="117"/>
      <c r="T594" s="117"/>
      <c r="U594" s="117"/>
      <c r="V594" s="117"/>
      <c r="W594" s="117"/>
      <c r="X594" s="117"/>
      <c r="Z594" s="117"/>
      <c r="AA594" s="117"/>
      <c r="AB594" s="35">
        <f t="shared" ref="AB594:AB605" si="224">SUM(R594:AA594)</f>
        <v>0</v>
      </c>
    </row>
    <row r="595" spans="15:39">
      <c r="P595">
        <f t="shared" si="223"/>
        <v>0</v>
      </c>
      <c r="R595" s="117"/>
      <c r="S595" s="117"/>
      <c r="T595" s="117"/>
      <c r="U595" s="117"/>
      <c r="V595" s="117"/>
      <c r="W595" s="117"/>
      <c r="X595" s="117"/>
      <c r="Z595" s="117"/>
      <c r="AA595" s="117"/>
      <c r="AB595" s="35">
        <f t="shared" si="224"/>
        <v>0</v>
      </c>
    </row>
    <row r="596" spans="15:39">
      <c r="P596">
        <f t="shared" si="223"/>
        <v>0</v>
      </c>
      <c r="R596" s="117"/>
      <c r="S596" s="117"/>
      <c r="T596" s="117"/>
      <c r="U596" s="117"/>
      <c r="V596" s="117"/>
      <c r="W596" s="117"/>
      <c r="X596" s="117"/>
      <c r="Z596" s="117"/>
      <c r="AA596" s="117"/>
      <c r="AB596" s="35">
        <f t="shared" si="224"/>
        <v>0</v>
      </c>
    </row>
    <row r="597" spans="15:39">
      <c r="P597">
        <f t="shared" si="223"/>
        <v>0</v>
      </c>
      <c r="R597" s="117"/>
      <c r="S597" s="117"/>
      <c r="T597" s="117"/>
      <c r="U597" s="117"/>
      <c r="V597" s="117"/>
      <c r="W597" s="117"/>
      <c r="X597" s="117"/>
      <c r="Z597" s="117"/>
      <c r="AA597" s="117"/>
      <c r="AB597" s="35">
        <f t="shared" si="224"/>
        <v>0</v>
      </c>
    </row>
    <row r="598" spans="15:39">
      <c r="P598">
        <f t="shared" si="223"/>
        <v>0</v>
      </c>
      <c r="R598" s="117"/>
      <c r="S598" s="117"/>
      <c r="T598" s="117"/>
      <c r="U598" s="117"/>
      <c r="V598" s="117"/>
      <c r="W598" s="117"/>
      <c r="X598" s="117"/>
      <c r="Y598" s="117"/>
      <c r="Z598" s="117"/>
      <c r="AA598" s="117"/>
      <c r="AB598" s="35">
        <f t="shared" si="224"/>
        <v>0</v>
      </c>
    </row>
    <row r="599" spans="15:39">
      <c r="P599">
        <f t="shared" si="223"/>
        <v>0</v>
      </c>
      <c r="R599" s="348"/>
      <c r="S599" s="348"/>
      <c r="T599" s="348"/>
      <c r="U599" s="348"/>
      <c r="V599" s="117"/>
      <c r="W599" s="117"/>
      <c r="X599" s="348"/>
      <c r="Y599" s="348"/>
      <c r="Z599" s="117"/>
      <c r="AA599" s="117"/>
      <c r="AB599" s="35">
        <f t="shared" si="224"/>
        <v>0</v>
      </c>
    </row>
    <row r="600" spans="15:39">
      <c r="P600">
        <f t="shared" si="223"/>
        <v>0</v>
      </c>
      <c r="R600" s="348"/>
      <c r="S600" s="348"/>
      <c r="T600" s="348"/>
      <c r="U600" s="348"/>
      <c r="V600" s="348"/>
      <c r="W600" s="348"/>
      <c r="X600" s="348"/>
      <c r="Y600" s="348"/>
      <c r="Z600" s="117"/>
      <c r="AA600" s="117"/>
      <c r="AB600" s="35">
        <f t="shared" si="224"/>
        <v>0</v>
      </c>
    </row>
    <row r="601" spans="15:39">
      <c r="P601">
        <f t="shared" si="223"/>
        <v>0</v>
      </c>
      <c r="R601" s="348"/>
      <c r="S601" s="348"/>
      <c r="T601" s="348"/>
      <c r="U601" s="348"/>
      <c r="V601" s="348"/>
      <c r="W601" s="348"/>
      <c r="X601" s="348"/>
      <c r="Y601" s="348"/>
      <c r="Z601" s="117"/>
      <c r="AA601" s="117"/>
      <c r="AB601" s="35">
        <f t="shared" si="224"/>
        <v>0</v>
      </c>
    </row>
    <row r="602" spans="15:39">
      <c r="P602">
        <f t="shared" si="223"/>
        <v>0</v>
      </c>
      <c r="R602" s="348"/>
      <c r="S602" s="348"/>
      <c r="T602" s="348"/>
      <c r="U602" s="348"/>
      <c r="V602" s="348"/>
      <c r="W602" s="348"/>
      <c r="X602" s="348"/>
      <c r="Y602" s="348"/>
      <c r="Z602" s="117"/>
      <c r="AA602" s="117"/>
      <c r="AB602" s="35">
        <f t="shared" si="224"/>
        <v>0</v>
      </c>
    </row>
    <row r="603" spans="15:39">
      <c r="P603">
        <f t="shared" si="223"/>
        <v>0</v>
      </c>
      <c r="R603" s="348"/>
      <c r="S603" s="348"/>
      <c r="T603" s="348"/>
      <c r="U603" s="348"/>
      <c r="V603" s="348"/>
      <c r="W603" s="348"/>
      <c r="X603" s="348"/>
      <c r="Y603" s="348"/>
      <c r="Z603" s="117"/>
      <c r="AA603" s="117"/>
      <c r="AB603" s="35">
        <f t="shared" si="224"/>
        <v>0</v>
      </c>
    </row>
    <row r="604" spans="15:39">
      <c r="P604">
        <f t="shared" si="223"/>
        <v>0</v>
      </c>
      <c r="R604" s="117"/>
      <c r="S604" s="117"/>
      <c r="T604" s="117"/>
      <c r="U604" s="117"/>
      <c r="V604" s="117"/>
      <c r="W604" s="117"/>
      <c r="X604" s="117"/>
      <c r="Y604" s="117"/>
      <c r="Z604" s="117"/>
      <c r="AA604" s="117"/>
      <c r="AB604" s="35">
        <f t="shared" si="224"/>
        <v>0</v>
      </c>
    </row>
    <row r="605" spans="15:39">
      <c r="O605">
        <f>$O$80</f>
        <v>12</v>
      </c>
      <c r="P605">
        <f t="shared" si="223"/>
        <v>0</v>
      </c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35">
        <f t="shared" si="224"/>
        <v>0</v>
      </c>
    </row>
    <row r="606" spans="15:39">
      <c r="R606" s="117"/>
      <c r="S606" s="117"/>
      <c r="T606" s="117"/>
      <c r="U606" s="117"/>
      <c r="V606" s="117"/>
      <c r="W606" s="117"/>
      <c r="X606" s="117"/>
      <c r="Y606" s="117"/>
      <c r="Z606" s="117"/>
      <c r="AA606" s="117"/>
    </row>
    <row r="607" spans="15:39" ht="13.5" thickBot="1">
      <c r="P607" t="s">
        <v>108</v>
      </c>
      <c r="R607" s="119">
        <f t="shared" ref="R607" si="225">SUM(R594:R605)</f>
        <v>0</v>
      </c>
      <c r="S607" s="119">
        <f t="shared" ref="S607:Y607" si="226">SUM(S594:S605)</f>
        <v>0</v>
      </c>
      <c r="T607" s="119">
        <f t="shared" si="226"/>
        <v>0</v>
      </c>
      <c r="U607" s="119">
        <f t="shared" si="226"/>
        <v>0</v>
      </c>
      <c r="V607" s="119">
        <f t="shared" si="226"/>
        <v>0</v>
      </c>
      <c r="W607" s="119">
        <f t="shared" si="226"/>
        <v>0</v>
      </c>
      <c r="X607" s="119">
        <f t="shared" si="226"/>
        <v>0</v>
      </c>
      <c r="Y607" s="119">
        <f t="shared" si="226"/>
        <v>0</v>
      </c>
      <c r="Z607" s="117"/>
      <c r="AA607" s="117"/>
      <c r="AB607" s="119">
        <f>SUM(AB594:AB605)</f>
        <v>0</v>
      </c>
    </row>
    <row r="608" spans="15:39" ht="16.5" thickTop="1">
      <c r="P608" s="121" t="s">
        <v>516</v>
      </c>
      <c r="Q608" s="36"/>
      <c r="AB608" s="191"/>
      <c r="AD608" s="191"/>
      <c r="AE608" s="192" t="s">
        <v>382</v>
      </c>
      <c r="AF608" s="191"/>
      <c r="AG608" s="191"/>
      <c r="AH608" s="191"/>
      <c r="AI608" s="191"/>
      <c r="AJ608" s="191"/>
      <c r="AK608" s="191"/>
      <c r="AL608" s="191"/>
      <c r="AM608" s="193"/>
    </row>
    <row r="609" spans="12:40">
      <c r="X609" s="52" t="s">
        <v>9</v>
      </c>
      <c r="AC609" s="193"/>
      <c r="AD609" s="191"/>
      <c r="AE609" s="192" t="s">
        <v>383</v>
      </c>
      <c r="AF609" s="191"/>
      <c r="AG609" s="191"/>
      <c r="AH609" s="193"/>
      <c r="AI609" s="191"/>
      <c r="AJ609" s="191"/>
      <c r="AK609" s="191"/>
      <c r="AL609" s="192" t="s">
        <v>387</v>
      </c>
      <c r="AM609" s="193"/>
    </row>
    <row r="610" spans="12:40">
      <c r="Q610" s="52" t="s">
        <v>261</v>
      </c>
      <c r="R610" s="52" t="s">
        <v>255</v>
      </c>
      <c r="S610" s="52"/>
      <c r="T610" s="52" t="s">
        <v>245</v>
      </c>
      <c r="X610" s="52" t="s">
        <v>15</v>
      </c>
      <c r="Y610" s="52" t="s">
        <v>245</v>
      </c>
      <c r="AC610" s="192" t="s">
        <v>379</v>
      </c>
      <c r="AD610" s="191" t="s">
        <v>263</v>
      </c>
      <c r="AE610" s="192" t="s">
        <v>348</v>
      </c>
      <c r="AF610" s="192" t="s">
        <v>115</v>
      </c>
      <c r="AG610" s="192" t="s">
        <v>384</v>
      </c>
      <c r="AH610" s="192" t="s">
        <v>385</v>
      </c>
      <c r="AI610" s="192" t="s">
        <v>243</v>
      </c>
      <c r="AJ610" s="192" t="s">
        <v>386</v>
      </c>
      <c r="AK610" s="191" t="s">
        <v>140</v>
      </c>
      <c r="AL610" s="192" t="s">
        <v>388</v>
      </c>
      <c r="AM610" s="193"/>
    </row>
    <row r="611" spans="12:40">
      <c r="Q611" s="52" t="s">
        <v>248</v>
      </c>
      <c r="R611" s="52" t="s">
        <v>224</v>
      </c>
      <c r="S611" s="52"/>
      <c r="T611" s="52" t="s">
        <v>224</v>
      </c>
      <c r="U611" s="52" t="s">
        <v>11</v>
      </c>
      <c r="V611" s="52" t="s">
        <v>219</v>
      </c>
      <c r="W611" s="52" t="s">
        <v>220</v>
      </c>
      <c r="X611" s="52" t="s">
        <v>249</v>
      </c>
      <c r="Y611" s="52" t="s">
        <v>250</v>
      </c>
      <c r="Z611" s="52" t="s">
        <v>251</v>
      </c>
      <c r="AA611" s="52" t="s">
        <v>8</v>
      </c>
      <c r="AB611" s="52" t="s">
        <v>252</v>
      </c>
      <c r="AC611" s="192" t="s">
        <v>380</v>
      </c>
      <c r="AD611" s="192" t="s">
        <v>381</v>
      </c>
      <c r="AE611" s="192" t="s">
        <v>379</v>
      </c>
      <c r="AF611" s="192" t="s">
        <v>263</v>
      </c>
      <c r="AG611" s="192" t="s">
        <v>263</v>
      </c>
      <c r="AH611" s="191" t="s">
        <v>207</v>
      </c>
      <c r="AI611" s="192" t="s">
        <v>348</v>
      </c>
      <c r="AJ611" s="192" t="s">
        <v>80</v>
      </c>
      <c r="AK611" s="191" t="s">
        <v>272</v>
      </c>
      <c r="AL611" s="192" t="s">
        <v>389</v>
      </c>
      <c r="AM611" s="191" t="s">
        <v>217</v>
      </c>
    </row>
    <row r="612" spans="12:40">
      <c r="P612" s="122" t="s">
        <v>134</v>
      </c>
      <c r="Q612" s="122"/>
      <c r="R612" s="122" t="s">
        <v>134</v>
      </c>
      <c r="S612" s="122"/>
      <c r="T612" s="122" t="s">
        <v>134</v>
      </c>
      <c r="U612" s="122" t="s">
        <v>134</v>
      </c>
      <c r="V612" s="122" t="s">
        <v>134</v>
      </c>
      <c r="W612" s="122" t="s">
        <v>134</v>
      </c>
      <c r="X612" s="122" t="s">
        <v>134</v>
      </c>
      <c r="Y612" s="122" t="s">
        <v>134</v>
      </c>
      <c r="Z612" s="122" t="s">
        <v>134</v>
      </c>
      <c r="AA612" s="122" t="s">
        <v>134</v>
      </c>
      <c r="AB612" s="122" t="s">
        <v>134</v>
      </c>
      <c r="AC612" s="194" t="s">
        <v>134</v>
      </c>
      <c r="AD612" s="194" t="s">
        <v>134</v>
      </c>
      <c r="AE612" s="194" t="s">
        <v>134</v>
      </c>
      <c r="AF612" s="194" t="s">
        <v>134</v>
      </c>
      <c r="AG612" s="194" t="s">
        <v>134</v>
      </c>
      <c r="AH612" s="194" t="s">
        <v>134</v>
      </c>
      <c r="AI612" s="194" t="s">
        <v>134</v>
      </c>
      <c r="AJ612" s="194" t="s">
        <v>134</v>
      </c>
      <c r="AK612" s="194" t="s">
        <v>134</v>
      </c>
      <c r="AL612" s="194" t="s">
        <v>134</v>
      </c>
      <c r="AM612" s="194" t="s">
        <v>134</v>
      </c>
    </row>
    <row r="613" spans="12:40">
      <c r="V613" s="112"/>
      <c r="W613" s="112"/>
      <c r="X613" s="112"/>
      <c r="Z613" s="112"/>
      <c r="AC613" s="193"/>
      <c r="AD613" s="193"/>
      <c r="AE613" s="193"/>
      <c r="AF613" s="193"/>
      <c r="AG613" s="193"/>
      <c r="AH613" s="193"/>
      <c r="AI613" s="193"/>
      <c r="AJ613" s="193"/>
      <c r="AK613" s="193">
        <v>3.0000000000000001E-3</v>
      </c>
      <c r="AL613" s="193"/>
      <c r="AM613" s="193"/>
    </row>
    <row r="614" spans="12:40">
      <c r="L614" s="312">
        <f>W614/U614</f>
        <v>3.8050001504525276E-2</v>
      </c>
      <c r="M614" s="309">
        <f>N614/R614</f>
        <v>10.714998549463301</v>
      </c>
      <c r="N614" s="112">
        <f>V614-AC614</f>
        <v>36934.6</v>
      </c>
      <c r="O614">
        <f>$O$69</f>
        <v>1</v>
      </c>
      <c r="P614" t="s">
        <v>475</v>
      </c>
      <c r="Q614">
        <v>3150</v>
      </c>
      <c r="R614" s="58">
        <v>3447</v>
      </c>
      <c r="S614" s="58">
        <v>3447</v>
      </c>
      <c r="T614" s="58"/>
      <c r="U614" s="58">
        <v>1794586</v>
      </c>
      <c r="V614" s="112">
        <v>36934.6</v>
      </c>
      <c r="W614" s="112">
        <v>68284</v>
      </c>
      <c r="X614" s="35">
        <f t="shared" ref="X614:X623" si="227">SUM(R636:X636)</f>
        <v>37071.279999999999</v>
      </c>
      <c r="Y614" s="112"/>
      <c r="Z614" s="112">
        <f t="shared" ref="Z614:Z625" si="228">SUM(V614:Y614)</f>
        <v>142289.88</v>
      </c>
      <c r="AA614" s="112">
        <v>147773.64000000001</v>
      </c>
      <c r="AB614" s="112">
        <f t="shared" ref="AB614:AB625" si="229">AA614-Z614</f>
        <v>5483.7600000000093</v>
      </c>
      <c r="AC614" s="193"/>
      <c r="AD614" s="193"/>
      <c r="AE614" s="193"/>
      <c r="AF614" s="193"/>
      <c r="AG614" s="193"/>
      <c r="AH614" s="195"/>
      <c r="AI614" s="193">
        <v>100</v>
      </c>
      <c r="AJ614" s="193"/>
      <c r="AK614" s="193">
        <f>U614*AK613</f>
        <v>5383.7579999999998</v>
      </c>
      <c r="AL614" s="193"/>
      <c r="AM614" s="193">
        <f>SUM(AI614:AL614)</f>
        <v>5483.7579999999998</v>
      </c>
      <c r="AN614" s="35">
        <f>AM614-AB614</f>
        <v>-2.0000000095024006E-3</v>
      </c>
    </row>
    <row r="615" spans="12:40">
      <c r="L615" s="312">
        <f t="shared" ref="L615:L625" si="230">W615/U615</f>
        <v>3.8049998205673938E-2</v>
      </c>
      <c r="M615" s="309">
        <f t="shared" ref="M615:M625" si="231">N615/R615</f>
        <v>10.715001479727729</v>
      </c>
      <c r="N615" s="112">
        <f t="shared" ref="N615:N625" si="232">V615-AC615</f>
        <v>36205.99</v>
      </c>
      <c r="P615" t="s">
        <v>476</v>
      </c>
      <c r="Q615">
        <v>3150</v>
      </c>
      <c r="R615" s="58">
        <v>3379</v>
      </c>
      <c r="S615" s="58">
        <v>3379</v>
      </c>
      <c r="T615" s="58"/>
      <c r="U615" s="58">
        <v>1811265</v>
      </c>
      <c r="V615" s="112">
        <v>36205.99</v>
      </c>
      <c r="W615" s="112">
        <v>68918.63</v>
      </c>
      <c r="X615" s="35">
        <f t="shared" si="227"/>
        <v>31684.750000000004</v>
      </c>
      <c r="Y615" s="112"/>
      <c r="Z615" s="112">
        <f t="shared" si="228"/>
        <v>136809.37</v>
      </c>
      <c r="AA615" s="112">
        <v>142343.17000000001</v>
      </c>
      <c r="AB615" s="112">
        <f t="shared" si="229"/>
        <v>5533.8000000000175</v>
      </c>
      <c r="AC615" s="193"/>
      <c r="AD615" s="193"/>
      <c r="AE615" s="193"/>
      <c r="AF615" s="193"/>
      <c r="AG615" s="193"/>
      <c r="AH615" s="195"/>
      <c r="AI615" s="193">
        <v>100</v>
      </c>
      <c r="AJ615" s="193"/>
      <c r="AK615" s="193">
        <f>U615*AK613</f>
        <v>5433.7950000000001</v>
      </c>
      <c r="AL615" s="193"/>
      <c r="AM615" s="193">
        <f t="shared" ref="AM615:AM625" si="233">SUM(AI615:AL615)</f>
        <v>5533.7950000000001</v>
      </c>
      <c r="AN615" s="35">
        <f t="shared" ref="AN615:AN625" si="234">AM615-AB615</f>
        <v>-5.0000000173895387E-3</v>
      </c>
    </row>
    <row r="616" spans="12:40">
      <c r="L616" s="312">
        <f t="shared" si="230"/>
        <v>3.8049997646834775E-2</v>
      </c>
      <c r="M616" s="309">
        <f t="shared" si="231"/>
        <v>10.714998577524893</v>
      </c>
      <c r="N616" s="112">
        <f t="shared" si="232"/>
        <v>37663.22</v>
      </c>
      <c r="P616" t="s">
        <v>477</v>
      </c>
      <c r="Q616">
        <v>3150</v>
      </c>
      <c r="R616" s="58">
        <v>3515</v>
      </c>
      <c r="S616" s="58">
        <v>3515</v>
      </c>
      <c r="T616" s="58"/>
      <c r="U616" s="58">
        <v>1827326</v>
      </c>
      <c r="V616" s="112">
        <v>37663.22</v>
      </c>
      <c r="W616" s="112">
        <v>69529.75</v>
      </c>
      <c r="X616" s="35">
        <f t="shared" si="227"/>
        <v>34613.259999999995</v>
      </c>
      <c r="Y616" s="112"/>
      <c r="Z616" s="112">
        <f t="shared" si="228"/>
        <v>141806.22999999998</v>
      </c>
      <c r="AA616" s="112">
        <v>147388.21</v>
      </c>
      <c r="AB616" s="112">
        <f t="shared" si="229"/>
        <v>5581.9800000000105</v>
      </c>
      <c r="AC616" s="193"/>
      <c r="AD616" s="193"/>
      <c r="AE616" s="193"/>
      <c r="AF616" s="193"/>
      <c r="AG616" s="193"/>
      <c r="AH616" s="195"/>
      <c r="AI616" s="193">
        <v>100</v>
      </c>
      <c r="AJ616" s="193"/>
      <c r="AK616" s="193">
        <f>U616*AK613</f>
        <v>5481.9780000000001</v>
      </c>
      <c r="AL616" s="193"/>
      <c r="AM616" s="193">
        <f t="shared" si="233"/>
        <v>5581.9780000000001</v>
      </c>
      <c r="AN616" s="35">
        <f t="shared" si="234"/>
        <v>-2.0000000104118953E-3</v>
      </c>
    </row>
    <row r="617" spans="12:40">
      <c r="L617" s="312">
        <f t="shared" si="230"/>
        <v>3.8050001440932957E-2</v>
      </c>
      <c r="M617" s="309">
        <f t="shared" si="231"/>
        <v>10.714998595900028</v>
      </c>
      <c r="N617" s="112">
        <f t="shared" si="232"/>
        <v>38156.11</v>
      </c>
      <c r="P617" t="s">
        <v>478</v>
      </c>
      <c r="Q617">
        <v>3150</v>
      </c>
      <c r="R617" s="58">
        <v>3561</v>
      </c>
      <c r="S617" s="58">
        <v>3561</v>
      </c>
      <c r="T617" s="58"/>
      <c r="U617" s="58">
        <v>1873786</v>
      </c>
      <c r="V617" s="112">
        <v>38156.11</v>
      </c>
      <c r="W617" s="112">
        <v>71297.56</v>
      </c>
      <c r="X617" s="35">
        <f t="shared" si="227"/>
        <v>15362.240000000002</v>
      </c>
      <c r="Y617" s="112"/>
      <c r="Z617" s="112">
        <f t="shared" si="228"/>
        <v>124815.91</v>
      </c>
      <c r="AA617" s="112">
        <v>130537.27</v>
      </c>
      <c r="AB617" s="112">
        <f t="shared" si="229"/>
        <v>5721.3600000000006</v>
      </c>
      <c r="AC617" s="193"/>
      <c r="AD617" s="193"/>
      <c r="AE617" s="193"/>
      <c r="AF617" s="193"/>
      <c r="AG617" s="193"/>
      <c r="AH617" s="195"/>
      <c r="AI617" s="193">
        <v>100</v>
      </c>
      <c r="AJ617" s="193"/>
      <c r="AK617" s="193">
        <f>U617*AK613</f>
        <v>5621.3580000000002</v>
      </c>
      <c r="AL617" s="193"/>
      <c r="AM617" s="193">
        <f t="shared" si="233"/>
        <v>5721.3580000000002</v>
      </c>
      <c r="AN617" s="35">
        <f t="shared" si="234"/>
        <v>-2.0000000004074536E-3</v>
      </c>
    </row>
    <row r="618" spans="12:40">
      <c r="L618" s="312">
        <f t="shared" si="230"/>
        <v>3.8049999809894916E-2</v>
      </c>
      <c r="M618" s="309">
        <f t="shared" si="231"/>
        <v>10.714998577524893</v>
      </c>
      <c r="N618" s="112">
        <f t="shared" si="232"/>
        <v>37663.22</v>
      </c>
      <c r="P618" t="s">
        <v>479</v>
      </c>
      <c r="Q618">
        <v>3150</v>
      </c>
      <c r="R618" s="58">
        <v>3515</v>
      </c>
      <c r="S618" s="58">
        <v>3515</v>
      </c>
      <c r="T618" s="58"/>
      <c r="U618" s="58">
        <v>1841087</v>
      </c>
      <c r="V618" s="112">
        <v>37663.22</v>
      </c>
      <c r="W618" s="112">
        <v>70053.36</v>
      </c>
      <c r="X618" s="35">
        <f t="shared" si="227"/>
        <v>42089.350000000006</v>
      </c>
      <c r="Y618" s="112"/>
      <c r="Z618" s="112">
        <f t="shared" si="228"/>
        <v>149805.93</v>
      </c>
      <c r="AA618" s="112">
        <v>155429.19</v>
      </c>
      <c r="AB618" s="112">
        <f t="shared" si="229"/>
        <v>5623.2600000000093</v>
      </c>
      <c r="AC618" s="193"/>
      <c r="AD618" s="193"/>
      <c r="AE618" s="193"/>
      <c r="AF618" s="193"/>
      <c r="AG618" s="193"/>
      <c r="AH618" s="195"/>
      <c r="AI618" s="193">
        <v>100</v>
      </c>
      <c r="AJ618" s="193"/>
      <c r="AK618" s="193">
        <f>U618*AK613</f>
        <v>5523.2610000000004</v>
      </c>
      <c r="AL618" s="193"/>
      <c r="AM618" s="193">
        <f t="shared" si="233"/>
        <v>5623.2610000000004</v>
      </c>
      <c r="AN618" s="35">
        <f t="shared" si="234"/>
        <v>9.999999911087798E-4</v>
      </c>
    </row>
    <row r="619" spans="12:40">
      <c r="L619" s="312">
        <f t="shared" si="230"/>
        <v>3.8050001493685252E-2</v>
      </c>
      <c r="M619" s="309">
        <f t="shared" si="231"/>
        <v>10.715001431434297</v>
      </c>
      <c r="N619" s="112">
        <f t="shared" si="232"/>
        <v>37427.5</v>
      </c>
      <c r="P619" t="s">
        <v>480</v>
      </c>
      <c r="Q619">
        <v>3150</v>
      </c>
      <c r="R619" s="58">
        <v>3493</v>
      </c>
      <c r="S619" s="58">
        <v>3493</v>
      </c>
      <c r="T619" s="58">
        <v>67</v>
      </c>
      <c r="U619" s="58">
        <v>1974981</v>
      </c>
      <c r="V619" s="112">
        <v>37427.5</v>
      </c>
      <c r="W619" s="112">
        <v>75148.03</v>
      </c>
      <c r="X619" s="35">
        <f t="shared" si="227"/>
        <v>47710.59</v>
      </c>
      <c r="Y619" s="112">
        <v>717.9</v>
      </c>
      <c r="Z619" s="112">
        <f t="shared" si="228"/>
        <v>161004.01999999999</v>
      </c>
      <c r="AA619" s="112">
        <v>167028.96</v>
      </c>
      <c r="AB619" s="112">
        <f t="shared" si="229"/>
        <v>6024.9400000000023</v>
      </c>
      <c r="AC619" s="193"/>
      <c r="AD619" s="193"/>
      <c r="AE619" s="193"/>
      <c r="AF619" s="193"/>
      <c r="AG619" s="193"/>
      <c r="AH619" s="195"/>
      <c r="AI619" s="193">
        <v>100</v>
      </c>
      <c r="AJ619" s="193"/>
      <c r="AK619" s="193">
        <f>U619*AK613</f>
        <v>5924.9430000000002</v>
      </c>
      <c r="AL619" s="193"/>
      <c r="AM619" s="193">
        <f t="shared" si="233"/>
        <v>6024.9430000000002</v>
      </c>
      <c r="AN619" s="35">
        <f t="shared" si="234"/>
        <v>2.9999999978826963E-3</v>
      </c>
    </row>
    <row r="620" spans="12:40">
      <c r="L620" s="312">
        <f t="shared" si="230"/>
        <v>3.80500027531364E-2</v>
      </c>
      <c r="M620" s="309">
        <f t="shared" si="231"/>
        <v>10.715</v>
      </c>
      <c r="N620" s="112">
        <f t="shared" si="232"/>
        <v>37909.67</v>
      </c>
      <c r="P620" t="s">
        <v>481</v>
      </c>
      <c r="Q620">
        <v>3150</v>
      </c>
      <c r="R620" s="58">
        <v>3538</v>
      </c>
      <c r="S620" s="58">
        <v>3538</v>
      </c>
      <c r="T620" s="58"/>
      <c r="U620" s="58">
        <v>1725305</v>
      </c>
      <c r="V620" s="112">
        <v>37909.67</v>
      </c>
      <c r="W620" s="112">
        <v>65647.86</v>
      </c>
      <c r="X620" s="35">
        <f t="shared" si="227"/>
        <v>67652.949999999983</v>
      </c>
      <c r="Y620" s="112"/>
      <c r="Z620" s="112">
        <f t="shared" si="228"/>
        <v>171210.47999999998</v>
      </c>
      <c r="AA620" s="112">
        <v>176486.39</v>
      </c>
      <c r="AB620" s="112">
        <f t="shared" si="229"/>
        <v>5275.9100000000326</v>
      </c>
      <c r="AC620" s="193"/>
      <c r="AD620" s="193"/>
      <c r="AE620" s="193"/>
      <c r="AF620" s="193"/>
      <c r="AG620" s="193"/>
      <c r="AH620" s="195"/>
      <c r="AI620" s="193">
        <v>100</v>
      </c>
      <c r="AJ620" s="193"/>
      <c r="AK620" s="193">
        <f>U620*AK613</f>
        <v>5175.915</v>
      </c>
      <c r="AL620" s="193"/>
      <c r="AM620" s="193">
        <f t="shared" si="233"/>
        <v>5275.915</v>
      </c>
      <c r="AN620" s="35">
        <f t="shared" si="234"/>
        <v>4.9999999673673301E-3</v>
      </c>
    </row>
    <row r="621" spans="12:40">
      <c r="L621" s="312">
        <f t="shared" si="230"/>
        <v>3.8049997632322863E-2</v>
      </c>
      <c r="M621" s="309">
        <f t="shared" si="231"/>
        <v>10.714998536728125</v>
      </c>
      <c r="N621" s="112">
        <f t="shared" si="232"/>
        <v>36613.15</v>
      </c>
      <c r="P621" t="s">
        <v>482</v>
      </c>
      <c r="Q621">
        <v>3150</v>
      </c>
      <c r="R621" s="58">
        <v>3417</v>
      </c>
      <c r="S621" s="58">
        <v>3417</v>
      </c>
      <c r="T621" s="58">
        <v>15</v>
      </c>
      <c r="U621" s="58">
        <v>1816126</v>
      </c>
      <c r="V621" s="112">
        <v>36613.15</v>
      </c>
      <c r="W621" s="112">
        <v>69103.59</v>
      </c>
      <c r="X621" s="35">
        <f t="shared" si="227"/>
        <v>62669.55</v>
      </c>
      <c r="Y621" s="112">
        <v>160.72</v>
      </c>
      <c r="Z621" s="112">
        <f t="shared" si="228"/>
        <v>168547.00999999998</v>
      </c>
      <c r="AA621" s="112">
        <v>174095.39</v>
      </c>
      <c r="AB621" s="112">
        <f t="shared" si="229"/>
        <v>5548.3800000000338</v>
      </c>
      <c r="AC621" s="193"/>
      <c r="AD621" s="193"/>
      <c r="AE621" s="193"/>
      <c r="AF621" s="193"/>
      <c r="AG621" s="193"/>
      <c r="AH621" s="195"/>
      <c r="AI621" s="193">
        <v>100</v>
      </c>
      <c r="AJ621" s="193"/>
      <c r="AK621" s="193">
        <f>U621*AK613</f>
        <v>5448.3779999999997</v>
      </c>
      <c r="AL621" s="193"/>
      <c r="AM621" s="193">
        <f t="shared" si="233"/>
        <v>5548.3779999999997</v>
      </c>
      <c r="AN621" s="35">
        <f t="shared" si="234"/>
        <v>-2.0000000340587576E-3</v>
      </c>
    </row>
    <row r="622" spans="12:40">
      <c r="L622" s="312">
        <f t="shared" si="230"/>
        <v>3.804999811390878E-2</v>
      </c>
      <c r="M622" s="309">
        <f t="shared" si="231"/>
        <v>10.715000000000002</v>
      </c>
      <c r="N622" s="112">
        <f t="shared" si="232"/>
        <v>37181.050000000003</v>
      </c>
      <c r="P622" t="s">
        <v>483</v>
      </c>
      <c r="Q622">
        <v>3150</v>
      </c>
      <c r="R622" s="58">
        <v>3470</v>
      </c>
      <c r="S622" s="58">
        <v>3470</v>
      </c>
      <c r="T622" s="58">
        <v>105</v>
      </c>
      <c r="U622" s="58">
        <v>1617101</v>
      </c>
      <c r="V622" s="112">
        <v>37181.050000000003</v>
      </c>
      <c r="W622" s="112">
        <v>61530.69</v>
      </c>
      <c r="X622" s="35">
        <f t="shared" si="227"/>
        <v>44732.08</v>
      </c>
      <c r="Y622" s="112">
        <v>1125.08</v>
      </c>
      <c r="Z622" s="112">
        <f t="shared" si="228"/>
        <v>144568.9</v>
      </c>
      <c r="AA622" s="112">
        <v>149520.21</v>
      </c>
      <c r="AB622" s="112">
        <f t="shared" si="229"/>
        <v>4951.3099999999977</v>
      </c>
      <c r="AC622" s="193"/>
      <c r="AD622" s="193"/>
      <c r="AE622" s="193"/>
      <c r="AF622" s="193"/>
      <c r="AG622" s="193"/>
      <c r="AH622" s="195"/>
      <c r="AI622" s="193">
        <v>100</v>
      </c>
      <c r="AJ622" s="193"/>
      <c r="AK622" s="193">
        <f>U622*AK613</f>
        <v>4851.3029999999999</v>
      </c>
      <c r="AL622" s="193"/>
      <c r="AM622" s="193">
        <f t="shared" si="233"/>
        <v>4951.3029999999999</v>
      </c>
      <c r="AN622" s="35">
        <f t="shared" si="234"/>
        <v>-6.9999999977881089E-3</v>
      </c>
    </row>
    <row r="623" spans="12:40">
      <c r="L623" s="312">
        <f t="shared" si="230"/>
        <v>3.8050001956011201E-2</v>
      </c>
      <c r="M623" s="309">
        <f t="shared" si="231"/>
        <v>10.715000000000002</v>
      </c>
      <c r="N623" s="112">
        <f t="shared" si="232"/>
        <v>37181.050000000003</v>
      </c>
      <c r="P623" t="s">
        <v>484</v>
      </c>
      <c r="Q623">
        <v>3150</v>
      </c>
      <c r="R623" s="58">
        <v>3470</v>
      </c>
      <c r="S623" s="58">
        <v>3470</v>
      </c>
      <c r="T623" s="58"/>
      <c r="U623" s="58">
        <v>1584858</v>
      </c>
      <c r="V623" s="112">
        <v>37181.050000000003</v>
      </c>
      <c r="W623" s="112">
        <v>60303.85</v>
      </c>
      <c r="X623" s="35">
        <f t="shared" si="227"/>
        <v>39910.340000000004</v>
      </c>
      <c r="Y623" s="112"/>
      <c r="Z623" s="112">
        <f t="shared" si="228"/>
        <v>137395.24</v>
      </c>
      <c r="AA623" s="112">
        <v>142249.81</v>
      </c>
      <c r="AB623" s="112">
        <f t="shared" si="229"/>
        <v>4854.570000000007</v>
      </c>
      <c r="AC623" s="193"/>
      <c r="AD623" s="193"/>
      <c r="AE623" s="193"/>
      <c r="AF623" s="195"/>
      <c r="AG623" s="195"/>
      <c r="AH623" s="195"/>
      <c r="AI623" s="193">
        <v>100</v>
      </c>
      <c r="AJ623" s="193"/>
      <c r="AK623" s="193">
        <f>U623*AK613</f>
        <v>4754.5740000000005</v>
      </c>
      <c r="AL623" s="193"/>
      <c r="AM623" s="193">
        <f t="shared" si="233"/>
        <v>4854.5740000000005</v>
      </c>
      <c r="AN623" s="35">
        <f t="shared" si="234"/>
        <v>3.9999999935389496E-3</v>
      </c>
    </row>
    <row r="624" spans="12:40">
      <c r="L624" s="312">
        <f t="shared" si="230"/>
        <v>3.8049999673445349E-2</v>
      </c>
      <c r="M624" s="309">
        <f t="shared" si="231"/>
        <v>10.715</v>
      </c>
      <c r="N624" s="112">
        <f t="shared" si="232"/>
        <v>38724.01</v>
      </c>
      <c r="P624" s="169" t="s">
        <v>1091</v>
      </c>
      <c r="Q624">
        <v>3150</v>
      </c>
      <c r="R624" s="58">
        <v>3614</v>
      </c>
      <c r="S624" s="58">
        <v>3614</v>
      </c>
      <c r="T624" s="58"/>
      <c r="U624" s="58">
        <v>1684251</v>
      </c>
      <c r="V624" s="112">
        <v>38724.01</v>
      </c>
      <c r="W624" s="112">
        <v>64085.75</v>
      </c>
      <c r="X624" s="35">
        <f t="shared" ref="X624:X625" si="235">SUM(R646:Y646)</f>
        <v>44036.39</v>
      </c>
      <c r="Y624" s="112"/>
      <c r="Z624" s="112">
        <f t="shared" si="228"/>
        <v>146846.15000000002</v>
      </c>
      <c r="AA624" s="112">
        <v>151998.9</v>
      </c>
      <c r="AB624" s="112">
        <f t="shared" si="229"/>
        <v>5152.7499999999709</v>
      </c>
      <c r="AC624" s="193"/>
      <c r="AD624" s="193"/>
      <c r="AE624" s="193"/>
      <c r="AF624" s="195"/>
      <c r="AG624" s="195"/>
      <c r="AH624" s="195"/>
      <c r="AI624" s="193">
        <v>100</v>
      </c>
      <c r="AJ624" s="193"/>
      <c r="AK624" s="193">
        <f>U624*AK613</f>
        <v>5052.7529999999997</v>
      </c>
      <c r="AL624" s="193"/>
      <c r="AM624" s="193">
        <f t="shared" si="233"/>
        <v>5152.7529999999997</v>
      </c>
      <c r="AN624" s="35">
        <f t="shared" si="234"/>
        <v>3.0000000288055162E-3</v>
      </c>
    </row>
    <row r="625" spans="12:40">
      <c r="L625" s="312">
        <f t="shared" si="230"/>
        <v>3.8050001971922216E-2</v>
      </c>
      <c r="M625" s="309">
        <f t="shared" si="231"/>
        <v>10.715001431434297</v>
      </c>
      <c r="N625" s="112">
        <f t="shared" si="232"/>
        <v>37427.5</v>
      </c>
      <c r="O625">
        <f>$O$80</f>
        <v>12</v>
      </c>
      <c r="P625" t="s">
        <v>474</v>
      </c>
      <c r="Q625">
        <v>3150</v>
      </c>
      <c r="R625" s="58">
        <v>3493</v>
      </c>
      <c r="S625" s="58">
        <v>3493</v>
      </c>
      <c r="T625" s="58"/>
      <c r="U625" s="58">
        <v>1673494</v>
      </c>
      <c r="V625" s="112">
        <v>37427.5</v>
      </c>
      <c r="W625" s="112">
        <v>63676.45</v>
      </c>
      <c r="X625" s="35">
        <f t="shared" si="235"/>
        <v>23422.82</v>
      </c>
      <c r="Y625" s="112"/>
      <c r="Z625" s="112">
        <f t="shared" si="228"/>
        <v>124526.76999999999</v>
      </c>
      <c r="AA625" s="112">
        <v>129647.25</v>
      </c>
      <c r="AB625" s="112">
        <f t="shared" si="229"/>
        <v>5120.4800000000105</v>
      </c>
      <c r="AC625" s="193"/>
      <c r="AD625" s="193"/>
      <c r="AE625" s="193"/>
      <c r="AF625" s="195"/>
      <c r="AG625" s="195"/>
      <c r="AH625" s="195"/>
      <c r="AI625" s="193">
        <v>100</v>
      </c>
      <c r="AJ625" s="193"/>
      <c r="AK625" s="193">
        <f>U625*AK613</f>
        <v>5020.482</v>
      </c>
      <c r="AL625" s="193"/>
      <c r="AM625" s="193">
        <f t="shared" si="233"/>
        <v>5120.482</v>
      </c>
      <c r="AN625" s="35">
        <f t="shared" si="234"/>
        <v>1.9999999894935172E-3</v>
      </c>
    </row>
    <row r="626" spans="12:40">
      <c r="R626" s="124" t="s">
        <v>134</v>
      </c>
      <c r="S626" s="124"/>
      <c r="T626" s="124" t="s">
        <v>134</v>
      </c>
      <c r="U626" s="124" t="s">
        <v>134</v>
      </c>
      <c r="V626" s="125" t="s">
        <v>134</v>
      </c>
      <c r="W626" s="125" t="s">
        <v>134</v>
      </c>
      <c r="X626" s="125" t="s">
        <v>134</v>
      </c>
      <c r="Y626" s="122" t="s">
        <v>134</v>
      </c>
      <c r="Z626" s="125" t="s">
        <v>134</v>
      </c>
      <c r="AA626" s="125" t="s">
        <v>134</v>
      </c>
      <c r="AB626" s="125" t="s">
        <v>134</v>
      </c>
      <c r="AC626" s="193"/>
      <c r="AD626" s="193"/>
      <c r="AE626" s="193"/>
      <c r="AF626" s="193"/>
      <c r="AG626" s="193"/>
      <c r="AH626" s="193"/>
      <c r="AI626" s="193"/>
      <c r="AJ626" s="193"/>
      <c r="AK626" s="193"/>
      <c r="AL626" s="193"/>
      <c r="AM626" s="193"/>
    </row>
    <row r="627" spans="12:40">
      <c r="R627" s="58"/>
      <c r="S627" s="58"/>
      <c r="T627" s="58"/>
      <c r="U627" s="58"/>
      <c r="V627" s="112"/>
      <c r="W627" s="112"/>
      <c r="X627" s="112"/>
      <c r="Z627" s="112"/>
      <c r="AA627" s="112"/>
      <c r="AB627" s="112"/>
      <c r="AC627" s="193"/>
      <c r="AD627" s="193"/>
      <c r="AE627" s="193"/>
      <c r="AF627" s="193"/>
      <c r="AG627" s="193"/>
      <c r="AH627" s="193"/>
      <c r="AI627" s="193"/>
      <c r="AJ627" s="193"/>
      <c r="AK627" s="193"/>
      <c r="AL627" s="193"/>
      <c r="AM627" s="193"/>
    </row>
    <row r="628" spans="12:40">
      <c r="R628" s="58">
        <f t="shared" ref="R628:AB628" si="236">SUM(R614:R625)</f>
        <v>41912</v>
      </c>
      <c r="S628" s="58"/>
      <c r="T628" s="58">
        <f t="shared" si="236"/>
        <v>187</v>
      </c>
      <c r="U628" s="58">
        <f t="shared" si="236"/>
        <v>21224166</v>
      </c>
      <c r="V628" s="112">
        <f t="shared" si="236"/>
        <v>449087.07</v>
      </c>
      <c r="W628" s="112">
        <f t="shared" si="236"/>
        <v>807579.5199999999</v>
      </c>
      <c r="X628" s="112">
        <f t="shared" si="236"/>
        <v>490955.60000000003</v>
      </c>
      <c r="Y628" s="112">
        <f t="shared" si="236"/>
        <v>2003.6999999999998</v>
      </c>
      <c r="Z628" s="112">
        <f t="shared" si="236"/>
        <v>1749625.8900000001</v>
      </c>
      <c r="AA628" s="112">
        <f t="shared" si="236"/>
        <v>1814498.3900000001</v>
      </c>
      <c r="AB628" s="112">
        <f t="shared" si="236"/>
        <v>64872.500000000102</v>
      </c>
      <c r="AC628" s="197">
        <f t="shared" ref="AC628:AM628" si="237">SUM(AC614:AC625)</f>
        <v>0</v>
      </c>
      <c r="AD628" s="197">
        <f t="shared" si="237"/>
        <v>0</v>
      </c>
      <c r="AE628" s="197">
        <f t="shared" si="237"/>
        <v>0</v>
      </c>
      <c r="AF628" s="197">
        <f t="shared" si="237"/>
        <v>0</v>
      </c>
      <c r="AG628" s="197">
        <f t="shared" si="237"/>
        <v>0</v>
      </c>
      <c r="AH628" s="197">
        <f t="shared" si="237"/>
        <v>0</v>
      </c>
      <c r="AI628" s="197">
        <f t="shared" si="237"/>
        <v>1200</v>
      </c>
      <c r="AJ628" s="197">
        <f t="shared" si="237"/>
        <v>0</v>
      </c>
      <c r="AK628" s="197">
        <f t="shared" si="237"/>
        <v>63672.497999999992</v>
      </c>
      <c r="AL628" s="197">
        <f t="shared" si="237"/>
        <v>0</v>
      </c>
      <c r="AM628" s="197">
        <f t="shared" si="237"/>
        <v>64872.497999999992</v>
      </c>
    </row>
    <row r="629" spans="12:40">
      <c r="R629" s="124" t="s">
        <v>229</v>
      </c>
      <c r="S629" s="124"/>
      <c r="T629" s="124" t="s">
        <v>229</v>
      </c>
      <c r="U629" s="124" t="s">
        <v>229</v>
      </c>
      <c r="V629" s="125" t="s">
        <v>229</v>
      </c>
      <c r="W629" s="125" t="s">
        <v>229</v>
      </c>
      <c r="X629" s="125" t="s">
        <v>229</v>
      </c>
      <c r="Y629" s="125" t="s">
        <v>229</v>
      </c>
      <c r="Z629" s="125" t="s">
        <v>229</v>
      </c>
      <c r="AA629" s="125" t="s">
        <v>229</v>
      </c>
      <c r="AB629" s="125" t="s">
        <v>229</v>
      </c>
      <c r="AC629" s="198" t="s">
        <v>229</v>
      </c>
      <c r="AD629" s="198" t="s">
        <v>229</v>
      </c>
      <c r="AE629" s="198" t="s">
        <v>229</v>
      </c>
      <c r="AF629" s="198" t="s">
        <v>229</v>
      </c>
      <c r="AG629" s="198" t="s">
        <v>229</v>
      </c>
      <c r="AH629" s="198" t="s">
        <v>229</v>
      </c>
      <c r="AI629" s="198" t="s">
        <v>229</v>
      </c>
      <c r="AJ629" s="198" t="s">
        <v>229</v>
      </c>
      <c r="AK629" s="198" t="s">
        <v>229</v>
      </c>
      <c r="AL629" s="198" t="s">
        <v>229</v>
      </c>
      <c r="AM629" s="198" t="s">
        <v>229</v>
      </c>
    </row>
    <row r="630" spans="12:40">
      <c r="R630" s="58"/>
      <c r="S630" s="58"/>
      <c r="U630" s="58"/>
      <c r="V630" s="115"/>
      <c r="W630" s="115"/>
      <c r="X630" s="115"/>
      <c r="Z630" s="115"/>
      <c r="AA630" s="115"/>
    </row>
    <row r="632" spans="12:40">
      <c r="S632" s="52" t="s">
        <v>367</v>
      </c>
    </row>
    <row r="633" spans="12:40">
      <c r="P633" s="52"/>
      <c r="Q633" s="52"/>
      <c r="R633" s="52" t="s">
        <v>221</v>
      </c>
      <c r="S633" s="52" t="s">
        <v>343</v>
      </c>
      <c r="T633" s="52" t="s">
        <v>222</v>
      </c>
      <c r="U633" s="52" t="s">
        <v>371</v>
      </c>
      <c r="V633" s="52" t="s">
        <v>368</v>
      </c>
      <c r="W633" s="52" t="s">
        <v>369</v>
      </c>
      <c r="X633" s="52" t="s">
        <v>370</v>
      </c>
      <c r="Y633" s="52" t="s">
        <v>372</v>
      </c>
      <c r="Z633" s="52"/>
      <c r="AA633" s="52"/>
      <c r="AB633" s="52"/>
      <c r="AD633" s="52"/>
      <c r="AE633" s="52"/>
      <c r="AF633" s="52"/>
      <c r="AG633" s="52"/>
      <c r="AH633" s="52"/>
    </row>
    <row r="634" spans="12:40">
      <c r="P634" s="52"/>
      <c r="Q634" s="52"/>
      <c r="R634" s="89" t="s">
        <v>15</v>
      </c>
      <c r="S634" s="89" t="s">
        <v>344</v>
      </c>
      <c r="T634" s="89" t="s">
        <v>227</v>
      </c>
      <c r="U634" s="89" t="s">
        <v>375</v>
      </c>
      <c r="V634" s="89" t="s">
        <v>226</v>
      </c>
      <c r="W634" s="89" t="s">
        <v>373</v>
      </c>
      <c r="X634" s="89" t="s">
        <v>374</v>
      </c>
      <c r="Y634" s="89" t="s">
        <v>376</v>
      </c>
      <c r="Z634" s="52"/>
      <c r="AA634" s="52"/>
      <c r="AB634" s="52"/>
      <c r="AD634" s="52"/>
      <c r="AE634" s="52"/>
      <c r="AF634" s="52"/>
      <c r="AG634" s="52"/>
      <c r="AH634" s="52"/>
    </row>
    <row r="635" spans="12:40"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183" t="s">
        <v>217</v>
      </c>
      <c r="AD635" s="52"/>
      <c r="AE635" s="52"/>
      <c r="AF635" s="52"/>
      <c r="AG635" s="52"/>
      <c r="AH635" s="52"/>
    </row>
    <row r="636" spans="12:40">
      <c r="O636">
        <f>$O$69</f>
        <v>1</v>
      </c>
      <c r="P636" t="str">
        <f t="shared" ref="P636:P647" si="238">P614</f>
        <v>MAR</v>
      </c>
      <c r="R636" s="117">
        <v>34409.39</v>
      </c>
      <c r="S636" s="117">
        <v>4473.8999999999996</v>
      </c>
      <c r="T636" s="117">
        <v>7723.57</v>
      </c>
      <c r="U636" s="117">
        <v>-9535.58</v>
      </c>
      <c r="V636" s="117"/>
      <c r="W636" s="117"/>
      <c r="X636" s="117"/>
      <c r="Z636" s="117"/>
      <c r="AA636" s="117"/>
      <c r="AB636" s="35">
        <f t="shared" ref="AB636:AB647" si="239">SUM(R636:AA636)</f>
        <v>37071.279999999999</v>
      </c>
    </row>
    <row r="637" spans="12:40">
      <c r="P637" t="str">
        <f t="shared" si="238"/>
        <v>APR</v>
      </c>
      <c r="R637" s="117">
        <v>27580.13</v>
      </c>
      <c r="S637" s="117">
        <v>4515.4799999999996</v>
      </c>
      <c r="T637" s="117">
        <v>8937.66</v>
      </c>
      <c r="U637" s="117">
        <v>-9348.52</v>
      </c>
      <c r="V637" s="117"/>
      <c r="W637" s="117"/>
      <c r="X637" s="117"/>
      <c r="Z637" s="117"/>
      <c r="AA637" s="117"/>
      <c r="AB637" s="35">
        <f t="shared" si="239"/>
        <v>31684.750000000004</v>
      </c>
    </row>
    <row r="638" spans="12:40">
      <c r="P638" t="str">
        <f t="shared" si="238"/>
        <v>MAY</v>
      </c>
      <c r="R638" s="117">
        <v>33025.26</v>
      </c>
      <c r="S638" s="117">
        <v>4555.5200000000004</v>
      </c>
      <c r="T638" s="117">
        <v>6249.96</v>
      </c>
      <c r="U638" s="117">
        <v>-9217.48</v>
      </c>
      <c r="V638" s="117"/>
      <c r="W638" s="117"/>
      <c r="X638" s="117"/>
      <c r="Z638" s="117"/>
      <c r="AA638" s="117"/>
      <c r="AB638" s="35">
        <f t="shared" si="239"/>
        <v>34613.259999999995</v>
      </c>
    </row>
    <row r="639" spans="12:40">
      <c r="P639" t="str">
        <f t="shared" si="238"/>
        <v>JUN</v>
      </c>
      <c r="R639" s="348">
        <v>11606.23</v>
      </c>
      <c r="S639" s="348">
        <v>4671.3500000000004</v>
      </c>
      <c r="T639" s="348">
        <v>8028.96</v>
      </c>
      <c r="U639" s="348">
        <v>-8944.2999999999993</v>
      </c>
      <c r="V639" s="117"/>
      <c r="W639" s="117"/>
      <c r="X639" s="117"/>
      <c r="Z639" s="117"/>
      <c r="AA639" s="117"/>
      <c r="AB639" s="35">
        <f t="shared" si="239"/>
        <v>15362.240000000002</v>
      </c>
    </row>
    <row r="640" spans="12:40">
      <c r="P640" t="str">
        <f t="shared" si="238"/>
        <v>JUL</v>
      </c>
      <c r="R640" s="117">
        <v>37679.69</v>
      </c>
      <c r="S640" s="117">
        <v>4589.83</v>
      </c>
      <c r="T640" s="117">
        <v>6855.18</v>
      </c>
      <c r="U640" s="117">
        <v>-7035.35</v>
      </c>
      <c r="V640" s="117"/>
      <c r="W640" s="117"/>
      <c r="X640" s="117"/>
      <c r="Y640" s="117"/>
      <c r="Z640" s="117"/>
      <c r="AA640" s="117"/>
      <c r="AB640" s="35">
        <f t="shared" si="239"/>
        <v>42089.350000000006</v>
      </c>
    </row>
    <row r="641" spans="12:40">
      <c r="P641" t="str">
        <f t="shared" si="238"/>
        <v>AUG</v>
      </c>
      <c r="R641" s="348">
        <v>43878.15</v>
      </c>
      <c r="S641" s="348">
        <v>4923.63</v>
      </c>
      <c r="T641" s="348">
        <v>7664.43</v>
      </c>
      <c r="U641" s="348">
        <v>-8755.6200000000008</v>
      </c>
      <c r="V641" s="117"/>
      <c r="W641" s="117"/>
      <c r="X641" s="348"/>
      <c r="Y641" s="348"/>
      <c r="Z641" s="117"/>
      <c r="AA641" s="117"/>
      <c r="AB641" s="35">
        <f t="shared" si="239"/>
        <v>47710.59</v>
      </c>
    </row>
    <row r="642" spans="12:40">
      <c r="P642" t="str">
        <f t="shared" si="238"/>
        <v>SEP</v>
      </c>
      <c r="R642" s="348">
        <v>59799.07</v>
      </c>
      <c r="S642" s="348">
        <v>10384.61</v>
      </c>
      <c r="T642" s="348">
        <v>5323.12</v>
      </c>
      <c r="U642" s="348">
        <v>-7853.85</v>
      </c>
      <c r="V642" s="117"/>
      <c r="W642" s="117"/>
      <c r="X642" s="117"/>
      <c r="Y642" s="348"/>
      <c r="Z642" s="117"/>
      <c r="AA642" s="117"/>
      <c r="AB642" s="35">
        <f t="shared" si="239"/>
        <v>67652.949999999983</v>
      </c>
    </row>
    <row r="643" spans="12:40">
      <c r="P643" t="str">
        <f t="shared" si="238"/>
        <v>OCT</v>
      </c>
      <c r="R643" s="348">
        <v>52438.82</v>
      </c>
      <c r="S643" s="348">
        <v>10931.26</v>
      </c>
      <c r="T643" s="348">
        <v>7033.88</v>
      </c>
      <c r="U643" s="348">
        <v>-7734.41</v>
      </c>
      <c r="V643" s="348"/>
      <c r="W643" s="348"/>
      <c r="X643" s="348"/>
      <c r="Y643" s="348"/>
      <c r="Z643" s="117"/>
      <c r="AA643" s="117"/>
      <c r="AB643" s="35">
        <f t="shared" si="239"/>
        <v>62669.55</v>
      </c>
    </row>
    <row r="644" spans="12:40">
      <c r="P644" t="str">
        <f t="shared" si="238"/>
        <v>NOV</v>
      </c>
      <c r="R644" s="117">
        <v>38001.870000000003</v>
      </c>
      <c r="S644" s="117">
        <v>9733.33</v>
      </c>
      <c r="T644" s="117">
        <v>4830.21</v>
      </c>
      <c r="U644" s="117">
        <v>-7833.33</v>
      </c>
      <c r="V644" s="348"/>
      <c r="W644" s="348"/>
      <c r="X644" s="348"/>
      <c r="Y644" s="348"/>
      <c r="Z644" s="117"/>
      <c r="AA644" s="117"/>
      <c r="AB644" s="35">
        <f t="shared" si="239"/>
        <v>44732.08</v>
      </c>
    </row>
    <row r="645" spans="12:40">
      <c r="P645" t="str">
        <f t="shared" si="238"/>
        <v>DEC</v>
      </c>
      <c r="R645" s="117">
        <v>31746.29</v>
      </c>
      <c r="S645" s="117">
        <v>9539.26</v>
      </c>
      <c r="T645" s="117">
        <v>5647.79</v>
      </c>
      <c r="U645" s="117">
        <v>-7023</v>
      </c>
      <c r="V645" s="348"/>
      <c r="W645" s="348"/>
      <c r="X645" s="348"/>
      <c r="Y645" s="348"/>
      <c r="Z645" s="117"/>
      <c r="AA645" s="117"/>
      <c r="AB645" s="35">
        <f t="shared" si="239"/>
        <v>39910.340000000004</v>
      </c>
    </row>
    <row r="646" spans="12:40">
      <c r="P646" t="str">
        <f t="shared" si="238"/>
        <v>Jan 2023</v>
      </c>
      <c r="R646" s="117">
        <v>24398.06</v>
      </c>
      <c r="S646" s="117">
        <v>10137.51</v>
      </c>
      <c r="T646" s="117">
        <v>14601.81</v>
      </c>
      <c r="U646" s="117">
        <v>-5100.99</v>
      </c>
      <c r="V646" s="117"/>
      <c r="W646" s="117"/>
      <c r="X646" s="117"/>
      <c r="Y646" s="117"/>
      <c r="Z646" s="117"/>
      <c r="AA646" s="117"/>
      <c r="AB646" s="35">
        <f t="shared" si="239"/>
        <v>44036.39</v>
      </c>
    </row>
    <row r="647" spans="12:40">
      <c r="O647">
        <f>$O$80</f>
        <v>12</v>
      </c>
      <c r="P647" t="str">
        <f t="shared" si="238"/>
        <v>FEB</v>
      </c>
      <c r="R647" s="117">
        <v>13106.81</v>
      </c>
      <c r="S647" s="117">
        <v>10072.76</v>
      </c>
      <c r="T647" s="117">
        <v>6245.82</v>
      </c>
      <c r="U647" s="117">
        <v>-6002.57</v>
      </c>
      <c r="V647" s="117"/>
      <c r="W647" s="117"/>
      <c r="X647" s="117"/>
      <c r="Y647" s="117"/>
      <c r="Z647" s="117"/>
      <c r="AA647" s="117"/>
      <c r="AB647" s="35">
        <f t="shared" si="239"/>
        <v>23422.82</v>
      </c>
    </row>
    <row r="648" spans="12:40">
      <c r="R648" s="117"/>
      <c r="S648" s="117"/>
      <c r="T648" s="117"/>
      <c r="U648" s="117"/>
      <c r="V648" s="117"/>
      <c r="W648" s="117"/>
      <c r="X648" s="117"/>
      <c r="Y648" s="117"/>
      <c r="Z648" s="117"/>
      <c r="AA648" s="117"/>
    </row>
    <row r="649" spans="12:40" ht="13.5" thickBot="1">
      <c r="P649" t="s">
        <v>108</v>
      </c>
      <c r="R649" s="119">
        <f t="shared" ref="R649" si="240">SUM(R636:R647)</f>
        <v>407669.76999999996</v>
      </c>
      <c r="S649" s="119">
        <f t="shared" ref="S649:Y649" si="241">SUM(S636:S647)</f>
        <v>88528.44</v>
      </c>
      <c r="T649" s="119">
        <f t="shared" si="241"/>
        <v>89142.389999999985</v>
      </c>
      <c r="U649" s="119">
        <f t="shared" si="241"/>
        <v>-94385</v>
      </c>
      <c r="V649" s="119">
        <f t="shared" si="241"/>
        <v>0</v>
      </c>
      <c r="W649" s="119">
        <f t="shared" si="241"/>
        <v>0</v>
      </c>
      <c r="X649" s="119">
        <f t="shared" si="241"/>
        <v>0</v>
      </c>
      <c r="Y649" s="119">
        <f t="shared" si="241"/>
        <v>0</v>
      </c>
      <c r="Z649" s="117"/>
      <c r="AA649" s="117"/>
      <c r="AB649" s="119">
        <f>SUM(AB636:AB647)</f>
        <v>490955.60000000003</v>
      </c>
    </row>
    <row r="650" spans="12:40" ht="16.5" thickTop="1">
      <c r="P650" s="447" t="s">
        <v>377</v>
      </c>
      <c r="Q650" s="36"/>
      <c r="AC650" s="191"/>
      <c r="AD650" s="191"/>
      <c r="AE650" s="192" t="s">
        <v>382</v>
      </c>
      <c r="AF650" s="191"/>
      <c r="AG650" s="191"/>
      <c r="AH650" s="191"/>
      <c r="AI650" s="191"/>
      <c r="AJ650" s="191"/>
      <c r="AK650" s="191"/>
      <c r="AL650" s="191"/>
      <c r="AM650" s="193"/>
    </row>
    <row r="651" spans="12:40">
      <c r="R651" t="s">
        <v>517</v>
      </c>
      <c r="X651" s="52" t="s">
        <v>9</v>
      </c>
      <c r="AC651" s="193"/>
      <c r="AD651" s="191"/>
      <c r="AE651" s="192" t="s">
        <v>383</v>
      </c>
      <c r="AF651" s="191"/>
      <c r="AG651" s="191"/>
      <c r="AH651" s="193"/>
      <c r="AI651" s="191"/>
      <c r="AJ651" s="191"/>
      <c r="AK651" s="191"/>
      <c r="AL651" s="192" t="s">
        <v>387</v>
      </c>
      <c r="AM651" s="193"/>
    </row>
    <row r="652" spans="12:40">
      <c r="Q652" s="52" t="s">
        <v>261</v>
      </c>
      <c r="R652" s="52" t="s">
        <v>255</v>
      </c>
      <c r="S652" s="52"/>
      <c r="T652" s="52" t="s">
        <v>245</v>
      </c>
      <c r="X652" s="52" t="s">
        <v>15</v>
      </c>
      <c r="Y652" s="52" t="s">
        <v>245</v>
      </c>
      <c r="AC652" s="192" t="s">
        <v>379</v>
      </c>
      <c r="AD652" s="191" t="s">
        <v>263</v>
      </c>
      <c r="AE652" s="192" t="s">
        <v>348</v>
      </c>
      <c r="AF652" s="192" t="s">
        <v>115</v>
      </c>
      <c r="AG652" s="192" t="s">
        <v>384</v>
      </c>
      <c r="AH652" s="192" t="s">
        <v>385</v>
      </c>
      <c r="AI652" s="192" t="s">
        <v>243</v>
      </c>
      <c r="AJ652" s="192" t="s">
        <v>386</v>
      </c>
      <c r="AK652" s="191" t="s">
        <v>140</v>
      </c>
      <c r="AL652" s="192" t="s">
        <v>388</v>
      </c>
      <c r="AM652" s="193"/>
    </row>
    <row r="653" spans="12:40">
      <c r="Q653" s="52" t="s">
        <v>248</v>
      </c>
      <c r="R653" s="52" t="s">
        <v>224</v>
      </c>
      <c r="S653" s="52"/>
      <c r="T653" s="52" t="s">
        <v>224</v>
      </c>
      <c r="U653" s="52" t="s">
        <v>11</v>
      </c>
      <c r="V653" s="52" t="s">
        <v>219</v>
      </c>
      <c r="W653" s="52" t="s">
        <v>220</v>
      </c>
      <c r="X653" s="52" t="s">
        <v>249</v>
      </c>
      <c r="Y653" s="52" t="s">
        <v>250</v>
      </c>
      <c r="Z653" s="52" t="s">
        <v>251</v>
      </c>
      <c r="AA653" s="52" t="s">
        <v>8</v>
      </c>
      <c r="AB653" s="52" t="s">
        <v>252</v>
      </c>
      <c r="AC653" s="192" t="s">
        <v>380</v>
      </c>
      <c r="AD653" s="192" t="s">
        <v>381</v>
      </c>
      <c r="AE653" s="192" t="s">
        <v>379</v>
      </c>
      <c r="AF653" s="192" t="s">
        <v>263</v>
      </c>
      <c r="AG653" s="192" t="s">
        <v>263</v>
      </c>
      <c r="AH653" s="191" t="s">
        <v>207</v>
      </c>
      <c r="AI653" s="192" t="s">
        <v>348</v>
      </c>
      <c r="AJ653" s="192" t="s">
        <v>80</v>
      </c>
      <c r="AK653" s="191" t="s">
        <v>272</v>
      </c>
      <c r="AL653" s="192" t="s">
        <v>389</v>
      </c>
      <c r="AM653" s="191" t="s">
        <v>217</v>
      </c>
    </row>
    <row r="654" spans="12:40">
      <c r="P654" s="122" t="s">
        <v>134</v>
      </c>
      <c r="Q654" s="122"/>
      <c r="R654" s="122" t="s">
        <v>134</v>
      </c>
      <c r="S654" s="122"/>
      <c r="T654" s="122" t="s">
        <v>134</v>
      </c>
      <c r="U654" s="122" t="s">
        <v>134</v>
      </c>
      <c r="V654" s="122" t="s">
        <v>134</v>
      </c>
      <c r="W654" s="122" t="s">
        <v>134</v>
      </c>
      <c r="X654" s="122" t="s">
        <v>134</v>
      </c>
      <c r="Y654" s="122" t="s">
        <v>134</v>
      </c>
      <c r="Z654" s="122" t="s">
        <v>134</v>
      </c>
      <c r="AA654" s="122" t="s">
        <v>134</v>
      </c>
      <c r="AB654" s="122" t="s">
        <v>134</v>
      </c>
      <c r="AC654" s="194" t="s">
        <v>134</v>
      </c>
      <c r="AD654" s="194" t="s">
        <v>134</v>
      </c>
      <c r="AE654" s="194" t="s">
        <v>134</v>
      </c>
      <c r="AF654" s="194" t="s">
        <v>134</v>
      </c>
      <c r="AG654" s="194" t="s">
        <v>134</v>
      </c>
      <c r="AH654" s="194" t="s">
        <v>134</v>
      </c>
      <c r="AI654" s="194" t="s">
        <v>134</v>
      </c>
      <c r="AJ654" s="194" t="s">
        <v>134</v>
      </c>
      <c r="AK654" s="194" t="s">
        <v>134</v>
      </c>
      <c r="AL654" s="194" t="s">
        <v>134</v>
      </c>
      <c r="AM654" s="194" t="s">
        <v>134</v>
      </c>
    </row>
    <row r="655" spans="12:40">
      <c r="V655" s="112"/>
      <c r="W655" s="112"/>
      <c r="X655" s="112"/>
      <c r="Z655" s="112"/>
      <c r="AC655" s="193"/>
      <c r="AD655" s="193"/>
      <c r="AE655" s="193"/>
      <c r="AF655" s="193"/>
      <c r="AG655" s="193"/>
      <c r="AH655" s="193"/>
      <c r="AI655" s="193"/>
      <c r="AJ655" s="193"/>
      <c r="AK655" s="193">
        <v>3.0000000000000001E-3</v>
      </c>
      <c r="AL655" s="193"/>
      <c r="AM655" s="193"/>
    </row>
    <row r="656" spans="12:40">
      <c r="L656" s="312" t="e">
        <f>W656/U656</f>
        <v>#DIV/0!</v>
      </c>
      <c r="M656" s="309" t="e">
        <f>N656/R656</f>
        <v>#DIV/0!</v>
      </c>
      <c r="N656" s="112">
        <f>V656-AC656</f>
        <v>0</v>
      </c>
      <c r="O656">
        <f>$O$69</f>
        <v>1</v>
      </c>
      <c r="P656" s="349"/>
      <c r="R656" s="448"/>
      <c r="S656" s="448"/>
      <c r="T656" s="58"/>
      <c r="U656" s="58"/>
      <c r="V656" s="112"/>
      <c r="W656" s="112"/>
      <c r="X656" s="35"/>
      <c r="Y656" s="112"/>
      <c r="Z656" s="112"/>
      <c r="AA656" s="112"/>
      <c r="AB656" s="112"/>
      <c r="AC656" s="193"/>
      <c r="AD656" s="193"/>
      <c r="AE656" s="193"/>
      <c r="AF656" s="193"/>
      <c r="AG656" s="193"/>
      <c r="AH656" s="195"/>
      <c r="AI656" s="193"/>
      <c r="AJ656" s="193"/>
      <c r="AK656" s="193">
        <f>U656*AK655</f>
        <v>0</v>
      </c>
      <c r="AL656" s="193"/>
      <c r="AM656" s="193">
        <f>SUM(AI656:AL656)</f>
        <v>0</v>
      </c>
      <c r="AN656" s="35">
        <f>AM656-AB656</f>
        <v>0</v>
      </c>
    </row>
    <row r="657" spans="12:40">
      <c r="L657" s="312" t="e">
        <f t="shared" ref="L657:L667" si="242">W657/U657</f>
        <v>#DIV/0!</v>
      </c>
      <c r="M657" s="309" t="e">
        <f t="shared" ref="M657:M667" si="243">N657/R657</f>
        <v>#DIV/0!</v>
      </c>
      <c r="N657" s="112">
        <f t="shared" ref="N657:N667" si="244">V657-AC657</f>
        <v>0</v>
      </c>
      <c r="R657" s="448"/>
      <c r="S657" s="448"/>
      <c r="T657" s="58"/>
      <c r="U657" s="58"/>
      <c r="V657" s="112"/>
      <c r="W657" s="112"/>
      <c r="X657" s="35"/>
      <c r="Y657" s="112"/>
      <c r="Z657" s="112"/>
      <c r="AA657" s="112"/>
      <c r="AB657" s="112"/>
      <c r="AC657" s="193"/>
      <c r="AD657" s="193"/>
      <c r="AE657" s="193"/>
      <c r="AF657" s="193"/>
      <c r="AG657" s="193"/>
      <c r="AH657" s="195"/>
      <c r="AI657" s="193"/>
      <c r="AJ657" s="193"/>
      <c r="AK657" s="193">
        <f>U657*AK655</f>
        <v>0</v>
      </c>
      <c r="AL657" s="193"/>
      <c r="AM657" s="193">
        <f t="shared" ref="AM657:AM667" si="245">SUM(AI657:AL657)</f>
        <v>0</v>
      </c>
      <c r="AN657" s="35">
        <f t="shared" ref="AN657:AN667" si="246">AM657-AB657</f>
        <v>0</v>
      </c>
    </row>
    <row r="658" spans="12:40">
      <c r="L658" s="312" t="e">
        <f t="shared" si="242"/>
        <v>#DIV/0!</v>
      </c>
      <c r="M658" s="309" t="e">
        <f t="shared" si="243"/>
        <v>#DIV/0!</v>
      </c>
      <c r="N658" s="112">
        <f t="shared" si="244"/>
        <v>0</v>
      </c>
      <c r="R658" s="448"/>
      <c r="S658" s="448"/>
      <c r="T658" s="58"/>
      <c r="U658" s="58"/>
      <c r="V658" s="112"/>
      <c r="W658" s="112"/>
      <c r="X658" s="35"/>
      <c r="Y658" s="112"/>
      <c r="Z658" s="112"/>
      <c r="AA658" s="112"/>
      <c r="AB658" s="112"/>
      <c r="AC658" s="193"/>
      <c r="AD658" s="193"/>
      <c r="AE658" s="193"/>
      <c r="AF658" s="193"/>
      <c r="AG658" s="193"/>
      <c r="AH658" s="195"/>
      <c r="AI658" s="193"/>
      <c r="AJ658" s="193"/>
      <c r="AK658" s="193">
        <f>U658*AK655</f>
        <v>0</v>
      </c>
      <c r="AL658" s="193"/>
      <c r="AM658" s="193">
        <f t="shared" si="245"/>
        <v>0</v>
      </c>
      <c r="AN658" s="35">
        <f t="shared" si="246"/>
        <v>0</v>
      </c>
    </row>
    <row r="659" spans="12:40">
      <c r="L659" s="312" t="e">
        <f t="shared" si="242"/>
        <v>#DIV/0!</v>
      </c>
      <c r="M659" s="309" t="e">
        <f t="shared" si="243"/>
        <v>#DIV/0!</v>
      </c>
      <c r="N659" s="112">
        <f t="shared" si="244"/>
        <v>0</v>
      </c>
      <c r="R659" s="448"/>
      <c r="S659" s="448"/>
      <c r="T659" s="58"/>
      <c r="U659" s="58"/>
      <c r="V659" s="112"/>
      <c r="W659" s="112"/>
      <c r="X659" s="35"/>
      <c r="Y659" s="112"/>
      <c r="Z659" s="112"/>
      <c r="AA659" s="112"/>
      <c r="AB659" s="112"/>
      <c r="AC659" s="193"/>
      <c r="AD659" s="193"/>
      <c r="AE659" s="193"/>
      <c r="AF659" s="193"/>
      <c r="AG659" s="193"/>
      <c r="AH659" s="195"/>
      <c r="AI659" s="193"/>
      <c r="AJ659" s="193"/>
      <c r="AK659" s="193">
        <f>U659*AK655</f>
        <v>0</v>
      </c>
      <c r="AL659" s="193"/>
      <c r="AM659" s="193">
        <f t="shared" si="245"/>
        <v>0</v>
      </c>
      <c r="AN659" s="35">
        <f t="shared" si="246"/>
        <v>0</v>
      </c>
    </row>
    <row r="660" spans="12:40">
      <c r="L660" s="312" t="e">
        <f t="shared" si="242"/>
        <v>#DIV/0!</v>
      </c>
      <c r="M660" s="309" t="e">
        <f t="shared" si="243"/>
        <v>#DIV/0!</v>
      </c>
      <c r="N660" s="112">
        <f t="shared" si="244"/>
        <v>0</v>
      </c>
      <c r="R660" s="448"/>
      <c r="S660" s="448"/>
      <c r="T660" s="58"/>
      <c r="U660" s="58"/>
      <c r="V660" s="112"/>
      <c r="W660" s="112"/>
      <c r="X660" s="35"/>
      <c r="Y660" s="112"/>
      <c r="Z660" s="112"/>
      <c r="AA660" s="112"/>
      <c r="AB660" s="112"/>
      <c r="AC660" s="193"/>
      <c r="AD660" s="193"/>
      <c r="AE660" s="193"/>
      <c r="AF660" s="193"/>
      <c r="AG660" s="193"/>
      <c r="AH660" s="195"/>
      <c r="AI660" s="193"/>
      <c r="AJ660" s="193"/>
      <c r="AK660" s="193">
        <f>U660*AK655</f>
        <v>0</v>
      </c>
      <c r="AL660" s="193"/>
      <c r="AM660" s="193">
        <f t="shared" si="245"/>
        <v>0</v>
      </c>
      <c r="AN660" s="35">
        <f t="shared" si="246"/>
        <v>0</v>
      </c>
    </row>
    <row r="661" spans="12:40">
      <c r="L661" s="312" t="e">
        <f t="shared" si="242"/>
        <v>#DIV/0!</v>
      </c>
      <c r="M661" s="309" t="e">
        <f t="shared" si="243"/>
        <v>#DIV/0!</v>
      </c>
      <c r="N661" s="112">
        <f t="shared" si="244"/>
        <v>0</v>
      </c>
      <c r="R661" s="448"/>
      <c r="S661" s="448"/>
      <c r="T661" s="58"/>
      <c r="U661" s="58"/>
      <c r="V661" s="112"/>
      <c r="W661" s="112"/>
      <c r="X661" s="35"/>
      <c r="Y661" s="112"/>
      <c r="Z661" s="112"/>
      <c r="AA661" s="112"/>
      <c r="AB661" s="112"/>
      <c r="AC661" s="193"/>
      <c r="AD661" s="193"/>
      <c r="AE661" s="193"/>
      <c r="AF661" s="193"/>
      <c r="AG661" s="193"/>
      <c r="AH661" s="195"/>
      <c r="AI661" s="193"/>
      <c r="AJ661" s="193"/>
      <c r="AK661" s="193">
        <f>U661*AK655</f>
        <v>0</v>
      </c>
      <c r="AL661" s="193"/>
      <c r="AM661" s="193">
        <f t="shared" si="245"/>
        <v>0</v>
      </c>
      <c r="AN661" s="35">
        <f t="shared" si="246"/>
        <v>0</v>
      </c>
    </row>
    <row r="662" spans="12:40">
      <c r="L662" s="312" t="e">
        <f t="shared" si="242"/>
        <v>#DIV/0!</v>
      </c>
      <c r="M662" s="309" t="e">
        <f t="shared" si="243"/>
        <v>#DIV/0!</v>
      </c>
      <c r="N662" s="112">
        <f t="shared" si="244"/>
        <v>0</v>
      </c>
      <c r="R662" s="448"/>
      <c r="S662" s="448"/>
      <c r="T662" s="58"/>
      <c r="U662" s="58"/>
      <c r="V662" s="112"/>
      <c r="W662" s="112"/>
      <c r="X662" s="35"/>
      <c r="Y662" s="112"/>
      <c r="Z662" s="112"/>
      <c r="AA662" s="112"/>
      <c r="AB662" s="112"/>
      <c r="AC662" s="193"/>
      <c r="AD662" s="193"/>
      <c r="AE662" s="193"/>
      <c r="AF662" s="193"/>
      <c r="AG662" s="193"/>
      <c r="AH662" s="195"/>
      <c r="AI662" s="193"/>
      <c r="AJ662" s="193"/>
      <c r="AK662" s="193">
        <f>U662*AK655</f>
        <v>0</v>
      </c>
      <c r="AL662" s="193"/>
      <c r="AM662" s="193">
        <f t="shared" si="245"/>
        <v>0</v>
      </c>
      <c r="AN662" s="35">
        <f t="shared" si="246"/>
        <v>0</v>
      </c>
    </row>
    <row r="663" spans="12:40">
      <c r="L663" s="312" t="e">
        <f t="shared" si="242"/>
        <v>#DIV/0!</v>
      </c>
      <c r="M663" s="309" t="e">
        <f t="shared" si="243"/>
        <v>#DIV/0!</v>
      </c>
      <c r="N663" s="112">
        <f t="shared" si="244"/>
        <v>0</v>
      </c>
      <c r="R663" s="448"/>
      <c r="S663" s="448"/>
      <c r="T663" s="58"/>
      <c r="U663" s="58"/>
      <c r="V663" s="112"/>
      <c r="W663" s="112"/>
      <c r="X663" s="35"/>
      <c r="Y663" s="112"/>
      <c r="Z663" s="112"/>
      <c r="AA663" s="112"/>
      <c r="AB663" s="112"/>
      <c r="AC663" s="193"/>
      <c r="AD663" s="193"/>
      <c r="AE663" s="193"/>
      <c r="AF663" s="193"/>
      <c r="AG663" s="193"/>
      <c r="AH663" s="195"/>
      <c r="AI663" s="193"/>
      <c r="AJ663" s="193"/>
      <c r="AK663" s="193">
        <f>U663*AK655</f>
        <v>0</v>
      </c>
      <c r="AL663" s="193"/>
      <c r="AM663" s="193">
        <f t="shared" si="245"/>
        <v>0</v>
      </c>
      <c r="AN663" s="35">
        <f t="shared" si="246"/>
        <v>0</v>
      </c>
    </row>
    <row r="664" spans="12:40">
      <c r="L664" s="312" t="e">
        <f t="shared" si="242"/>
        <v>#DIV/0!</v>
      </c>
      <c r="M664" s="309" t="e">
        <f t="shared" si="243"/>
        <v>#DIV/0!</v>
      </c>
      <c r="N664" s="112">
        <f t="shared" si="244"/>
        <v>0</v>
      </c>
      <c r="R664" s="448"/>
      <c r="S664" s="448"/>
      <c r="T664" s="58"/>
      <c r="U664" s="58"/>
      <c r="V664" s="112"/>
      <c r="W664" s="112"/>
      <c r="X664" s="35"/>
      <c r="Y664" s="112"/>
      <c r="Z664" s="112"/>
      <c r="AA664" s="112"/>
      <c r="AB664" s="112"/>
      <c r="AC664" s="193"/>
      <c r="AD664" s="193"/>
      <c r="AE664" s="193"/>
      <c r="AF664" s="193"/>
      <c r="AG664" s="193"/>
      <c r="AH664" s="195"/>
      <c r="AI664" s="193"/>
      <c r="AJ664" s="193"/>
      <c r="AK664" s="193">
        <f>U664*AK655</f>
        <v>0</v>
      </c>
      <c r="AL664" s="193"/>
      <c r="AM664" s="193">
        <f t="shared" si="245"/>
        <v>0</v>
      </c>
      <c r="AN664" s="35">
        <f t="shared" si="246"/>
        <v>0</v>
      </c>
    </row>
    <row r="665" spans="12:40">
      <c r="L665" s="312" t="e">
        <f t="shared" si="242"/>
        <v>#DIV/0!</v>
      </c>
      <c r="M665" s="309" t="e">
        <f t="shared" si="243"/>
        <v>#DIV/0!</v>
      </c>
      <c r="N665" s="112">
        <f t="shared" si="244"/>
        <v>0</v>
      </c>
      <c r="R665" s="448"/>
      <c r="S665" s="448"/>
      <c r="T665" s="58"/>
      <c r="U665" s="58"/>
      <c r="V665" s="112"/>
      <c r="W665" s="112"/>
      <c r="X665" s="35"/>
      <c r="Y665" s="112"/>
      <c r="Z665" s="112"/>
      <c r="AA665" s="112"/>
      <c r="AB665" s="112"/>
      <c r="AC665" s="193"/>
      <c r="AD665" s="193"/>
      <c r="AE665" s="193"/>
      <c r="AF665" s="195"/>
      <c r="AG665" s="195"/>
      <c r="AH665" s="195"/>
      <c r="AI665" s="193"/>
      <c r="AJ665" s="193"/>
      <c r="AK665" s="193">
        <f>U665*AK655</f>
        <v>0</v>
      </c>
      <c r="AL665" s="193"/>
      <c r="AM665" s="193">
        <f t="shared" si="245"/>
        <v>0</v>
      </c>
      <c r="AN665" s="35">
        <f t="shared" si="246"/>
        <v>0</v>
      </c>
    </row>
    <row r="666" spans="12:40">
      <c r="L666" s="312" t="e">
        <f t="shared" si="242"/>
        <v>#DIV/0!</v>
      </c>
      <c r="M666" s="309" t="e">
        <f t="shared" si="243"/>
        <v>#DIV/0!</v>
      </c>
      <c r="N666" s="112">
        <f t="shared" si="244"/>
        <v>0</v>
      </c>
      <c r="R666" s="448"/>
      <c r="S666" s="448"/>
      <c r="T666" s="58"/>
      <c r="U666" s="58"/>
      <c r="V666" s="112"/>
      <c r="W666" s="112"/>
      <c r="X666" s="35"/>
      <c r="Y666" s="112"/>
      <c r="Z666" s="112"/>
      <c r="AA666" s="112"/>
      <c r="AB666" s="112"/>
      <c r="AC666" s="193"/>
      <c r="AD666" s="193"/>
      <c r="AE666" s="193"/>
      <c r="AF666" s="195"/>
      <c r="AG666" s="195"/>
      <c r="AH666" s="195"/>
      <c r="AI666" s="193"/>
      <c r="AJ666" s="193"/>
      <c r="AK666" s="193">
        <f>U666*AK655</f>
        <v>0</v>
      </c>
      <c r="AL666" s="193"/>
      <c r="AM666" s="193">
        <f t="shared" si="245"/>
        <v>0</v>
      </c>
      <c r="AN666" s="35">
        <f t="shared" si="246"/>
        <v>0</v>
      </c>
    </row>
    <row r="667" spans="12:40">
      <c r="L667" s="312" t="e">
        <f t="shared" si="242"/>
        <v>#DIV/0!</v>
      </c>
      <c r="M667" s="309" t="e">
        <f t="shared" si="243"/>
        <v>#DIV/0!</v>
      </c>
      <c r="N667" s="112">
        <f t="shared" si="244"/>
        <v>0</v>
      </c>
      <c r="O667">
        <f>$O$80</f>
        <v>12</v>
      </c>
      <c r="R667" s="448"/>
      <c r="S667" s="448"/>
      <c r="T667" s="58"/>
      <c r="U667" s="58"/>
      <c r="V667" s="112"/>
      <c r="W667" s="112"/>
      <c r="X667" s="35"/>
      <c r="Y667" s="112"/>
      <c r="Z667" s="112"/>
      <c r="AA667" s="112"/>
      <c r="AB667" s="112"/>
      <c r="AC667" s="193"/>
      <c r="AD667" s="193"/>
      <c r="AE667" s="193"/>
      <c r="AF667" s="195"/>
      <c r="AG667" s="195"/>
      <c r="AH667" s="195"/>
      <c r="AI667" s="193"/>
      <c r="AJ667" s="193"/>
      <c r="AK667" s="193">
        <f>U667*AK655</f>
        <v>0</v>
      </c>
      <c r="AL667" s="193"/>
      <c r="AM667" s="193">
        <f t="shared" si="245"/>
        <v>0</v>
      </c>
      <c r="AN667" s="35">
        <f t="shared" si="246"/>
        <v>0</v>
      </c>
    </row>
    <row r="668" spans="12:40">
      <c r="R668" s="124" t="s">
        <v>134</v>
      </c>
      <c r="S668" s="124"/>
      <c r="T668" s="124" t="s">
        <v>134</v>
      </c>
      <c r="U668" s="124" t="s">
        <v>134</v>
      </c>
      <c r="V668" s="125" t="s">
        <v>134</v>
      </c>
      <c r="W668" s="125" t="s">
        <v>134</v>
      </c>
      <c r="X668" s="125" t="s">
        <v>134</v>
      </c>
      <c r="Y668" s="122" t="s">
        <v>134</v>
      </c>
      <c r="Z668" s="125" t="s">
        <v>134</v>
      </c>
      <c r="AA668" s="125" t="s">
        <v>134</v>
      </c>
      <c r="AB668" s="125" t="s">
        <v>134</v>
      </c>
      <c r="AC668" s="193"/>
      <c r="AD668" s="193"/>
      <c r="AE668" s="193"/>
      <c r="AF668" s="193"/>
      <c r="AG668" s="193"/>
      <c r="AH668" s="193"/>
      <c r="AI668" s="193"/>
      <c r="AJ668" s="193"/>
      <c r="AK668" s="193"/>
      <c r="AL668" s="193"/>
      <c r="AM668" s="193"/>
    </row>
    <row r="669" spans="12:40">
      <c r="R669" s="58"/>
      <c r="S669" s="58"/>
      <c r="T669" s="58"/>
      <c r="U669" s="58"/>
      <c r="V669" s="112"/>
      <c r="W669" s="112"/>
      <c r="X669" s="112"/>
      <c r="Z669" s="112"/>
      <c r="AA669" s="112"/>
      <c r="AB669" s="112"/>
      <c r="AC669" s="193"/>
      <c r="AD669" s="193"/>
      <c r="AE669" s="193"/>
      <c r="AF669" s="193"/>
      <c r="AG669" s="193"/>
      <c r="AH669" s="193"/>
      <c r="AI669" s="193"/>
      <c r="AJ669" s="193"/>
      <c r="AK669" s="193"/>
      <c r="AL669" s="193"/>
      <c r="AM669" s="193"/>
    </row>
    <row r="670" spans="12:40">
      <c r="R670" s="58">
        <f t="shared" ref="R670:AB670" si="247">SUM(R656:R667)</f>
        <v>0</v>
      </c>
      <c r="S670" s="58"/>
      <c r="T670" s="58">
        <f t="shared" si="247"/>
        <v>0</v>
      </c>
      <c r="U670" s="58">
        <f t="shared" si="247"/>
        <v>0</v>
      </c>
      <c r="V670" s="112">
        <f t="shared" si="247"/>
        <v>0</v>
      </c>
      <c r="W670" s="112">
        <f t="shared" si="247"/>
        <v>0</v>
      </c>
      <c r="X670" s="112">
        <f t="shared" si="247"/>
        <v>0</v>
      </c>
      <c r="Y670" s="112">
        <f t="shared" si="247"/>
        <v>0</v>
      </c>
      <c r="Z670" s="112">
        <f t="shared" si="247"/>
        <v>0</v>
      </c>
      <c r="AA670" s="112">
        <f t="shared" si="247"/>
        <v>0</v>
      </c>
      <c r="AB670" s="112">
        <f t="shared" si="247"/>
        <v>0</v>
      </c>
      <c r="AC670" s="197">
        <f t="shared" ref="AC670:AM670" si="248">SUM(AC656:AC667)</f>
        <v>0</v>
      </c>
      <c r="AD670" s="197">
        <f t="shared" si="248"/>
        <v>0</v>
      </c>
      <c r="AE670" s="197">
        <f t="shared" si="248"/>
        <v>0</v>
      </c>
      <c r="AF670" s="197">
        <f t="shared" si="248"/>
        <v>0</v>
      </c>
      <c r="AG670" s="197">
        <f t="shared" si="248"/>
        <v>0</v>
      </c>
      <c r="AH670" s="197">
        <f t="shared" si="248"/>
        <v>0</v>
      </c>
      <c r="AI670" s="197">
        <f t="shared" si="248"/>
        <v>0</v>
      </c>
      <c r="AJ670" s="197">
        <f t="shared" si="248"/>
        <v>0</v>
      </c>
      <c r="AK670" s="197">
        <f t="shared" si="248"/>
        <v>0</v>
      </c>
      <c r="AL670" s="197">
        <f t="shared" si="248"/>
        <v>0</v>
      </c>
      <c r="AM670" s="197">
        <f t="shared" si="248"/>
        <v>0</v>
      </c>
    </row>
    <row r="671" spans="12:40">
      <c r="R671" s="124" t="s">
        <v>229</v>
      </c>
      <c r="S671" s="124"/>
      <c r="T671" s="124" t="s">
        <v>229</v>
      </c>
      <c r="U671" s="124" t="s">
        <v>229</v>
      </c>
      <c r="V671" s="125" t="s">
        <v>229</v>
      </c>
      <c r="W671" s="125" t="s">
        <v>229</v>
      </c>
      <c r="X671" s="125" t="s">
        <v>229</v>
      </c>
      <c r="Y671" s="125" t="s">
        <v>229</v>
      </c>
      <c r="Z671" s="125" t="s">
        <v>229</v>
      </c>
      <c r="AA671" s="125" t="s">
        <v>229</v>
      </c>
      <c r="AB671" s="125" t="s">
        <v>229</v>
      </c>
      <c r="AC671" s="198" t="s">
        <v>229</v>
      </c>
      <c r="AD671" s="198" t="s">
        <v>229</v>
      </c>
      <c r="AE671" s="198" t="s">
        <v>229</v>
      </c>
      <c r="AF671" s="198" t="s">
        <v>229</v>
      </c>
      <c r="AG671" s="198" t="s">
        <v>229</v>
      </c>
      <c r="AH671" s="198" t="s">
        <v>229</v>
      </c>
      <c r="AI671" s="198" t="s">
        <v>229</v>
      </c>
      <c r="AJ671" s="198" t="s">
        <v>229</v>
      </c>
      <c r="AK671" s="198" t="s">
        <v>229</v>
      </c>
      <c r="AL671" s="198" t="s">
        <v>229</v>
      </c>
      <c r="AM671" s="198" t="s">
        <v>229</v>
      </c>
    </row>
    <row r="672" spans="12:40">
      <c r="X672" t="s">
        <v>213</v>
      </c>
    </row>
    <row r="674" spans="15:34">
      <c r="S674" s="52" t="s">
        <v>367</v>
      </c>
    </row>
    <row r="675" spans="15:34">
      <c r="P675" s="52"/>
      <c r="Q675" s="52"/>
      <c r="R675" s="52" t="s">
        <v>221</v>
      </c>
      <c r="S675" s="52" t="s">
        <v>343</v>
      </c>
      <c r="T675" s="52" t="s">
        <v>222</v>
      </c>
      <c r="U675" s="52" t="s">
        <v>371</v>
      </c>
      <c r="V675" s="52" t="s">
        <v>368</v>
      </c>
      <c r="W675" s="52" t="s">
        <v>369</v>
      </c>
      <c r="X675" s="52" t="s">
        <v>370</v>
      </c>
      <c r="Y675" s="52" t="s">
        <v>372</v>
      </c>
      <c r="Z675" s="52"/>
      <c r="AA675" s="52"/>
      <c r="AB675" s="52"/>
      <c r="AD675" s="52"/>
      <c r="AE675" s="52"/>
      <c r="AF675" s="52"/>
      <c r="AG675" s="52"/>
      <c r="AH675" s="52"/>
    </row>
    <row r="676" spans="15:34">
      <c r="P676" s="52"/>
      <c r="Q676" s="52"/>
      <c r="R676" s="89" t="s">
        <v>15</v>
      </c>
      <c r="S676" s="89" t="s">
        <v>344</v>
      </c>
      <c r="T676" s="89" t="s">
        <v>227</v>
      </c>
      <c r="U676" s="89" t="s">
        <v>375</v>
      </c>
      <c r="V676" s="89" t="s">
        <v>226</v>
      </c>
      <c r="W676" s="89" t="s">
        <v>373</v>
      </c>
      <c r="X676" s="89" t="s">
        <v>374</v>
      </c>
      <c r="Y676" s="89" t="s">
        <v>376</v>
      </c>
      <c r="Z676" s="52"/>
      <c r="AA676" s="52"/>
      <c r="AB676" s="52"/>
      <c r="AD676" s="52"/>
      <c r="AE676" s="52"/>
      <c r="AF676" s="52"/>
      <c r="AG676" s="52"/>
      <c r="AH676" s="52"/>
    </row>
    <row r="677" spans="15:34"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183" t="s">
        <v>217</v>
      </c>
      <c r="AD677" s="52"/>
      <c r="AE677" s="52"/>
      <c r="AF677" s="52"/>
      <c r="AG677" s="52"/>
      <c r="AH677" s="52"/>
    </row>
    <row r="678" spans="15:34">
      <c r="O678">
        <f>$O$69</f>
        <v>1</v>
      </c>
      <c r="P678" s="350">
        <f t="shared" ref="P678:P689" si="249">P656</f>
        <v>0</v>
      </c>
      <c r="R678" s="117"/>
      <c r="S678" s="117"/>
      <c r="T678" s="117"/>
      <c r="U678" s="117"/>
      <c r="V678" s="117"/>
      <c r="W678" s="117"/>
      <c r="X678" s="117"/>
      <c r="Z678" s="117"/>
      <c r="AA678" s="117"/>
      <c r="AB678" s="35">
        <f t="shared" ref="AB678:AB689" si="250">SUM(R678:AA678)</f>
        <v>0</v>
      </c>
    </row>
    <row r="679" spans="15:34">
      <c r="P679">
        <f t="shared" si="249"/>
        <v>0</v>
      </c>
      <c r="R679" s="117"/>
      <c r="S679" s="117"/>
      <c r="T679" s="117"/>
      <c r="U679" s="117"/>
      <c r="V679" s="117"/>
      <c r="W679" s="117"/>
      <c r="X679" s="117"/>
      <c r="Z679" s="117"/>
      <c r="AA679" s="117"/>
      <c r="AB679" s="35">
        <f t="shared" si="250"/>
        <v>0</v>
      </c>
    </row>
    <row r="680" spans="15:34">
      <c r="P680">
        <f t="shared" si="249"/>
        <v>0</v>
      </c>
      <c r="R680" s="117"/>
      <c r="S680" s="117"/>
      <c r="T680" s="117"/>
      <c r="U680" s="117"/>
      <c r="V680" s="117"/>
      <c r="W680" s="117"/>
      <c r="X680" s="117"/>
      <c r="Z680" s="117"/>
      <c r="AA680" s="117"/>
      <c r="AB680" s="35">
        <f t="shared" si="250"/>
        <v>0</v>
      </c>
    </row>
    <row r="681" spans="15:34">
      <c r="P681">
        <f t="shared" si="249"/>
        <v>0</v>
      </c>
      <c r="R681" s="117"/>
      <c r="S681" s="117"/>
      <c r="T681" s="117"/>
      <c r="U681" s="117"/>
      <c r="V681" s="117"/>
      <c r="W681" s="117"/>
      <c r="X681" s="117"/>
      <c r="Z681" s="117"/>
      <c r="AA681" s="117"/>
      <c r="AB681" s="35">
        <f t="shared" si="250"/>
        <v>0</v>
      </c>
    </row>
    <row r="682" spans="15:34">
      <c r="P682">
        <f t="shared" si="249"/>
        <v>0</v>
      </c>
      <c r="R682" s="117"/>
      <c r="S682" s="117"/>
      <c r="T682" s="117"/>
      <c r="U682" s="117"/>
      <c r="V682" s="117"/>
      <c r="W682" s="117"/>
      <c r="X682" s="117"/>
      <c r="Y682" s="117"/>
      <c r="Z682" s="117"/>
      <c r="AA682" s="117"/>
      <c r="AB682" s="35">
        <f t="shared" si="250"/>
        <v>0</v>
      </c>
    </row>
    <row r="683" spans="15:34">
      <c r="P683">
        <f t="shared" si="249"/>
        <v>0</v>
      </c>
      <c r="R683" s="348"/>
      <c r="S683" s="348"/>
      <c r="T683" s="348"/>
      <c r="U683" s="348"/>
      <c r="V683" s="117"/>
      <c r="W683" s="117"/>
      <c r="X683" s="348"/>
      <c r="Y683" s="348"/>
      <c r="Z683" s="117"/>
      <c r="AA683" s="117"/>
      <c r="AB683" s="35">
        <f t="shared" si="250"/>
        <v>0</v>
      </c>
    </row>
    <row r="684" spans="15:34">
      <c r="P684">
        <f t="shared" si="249"/>
        <v>0</v>
      </c>
      <c r="R684" s="348"/>
      <c r="S684" s="348"/>
      <c r="T684" s="348"/>
      <c r="U684" s="348"/>
      <c r="V684" s="348"/>
      <c r="W684" s="348"/>
      <c r="X684" s="348"/>
      <c r="Y684" s="348"/>
      <c r="Z684" s="117"/>
      <c r="AA684" s="117"/>
      <c r="AB684" s="35">
        <f t="shared" si="250"/>
        <v>0</v>
      </c>
    </row>
    <row r="685" spans="15:34">
      <c r="P685">
        <f t="shared" si="249"/>
        <v>0</v>
      </c>
      <c r="R685" s="348"/>
      <c r="S685" s="348"/>
      <c r="T685" s="348"/>
      <c r="U685" s="348"/>
      <c r="V685" s="348"/>
      <c r="W685" s="348"/>
      <c r="X685" s="348"/>
      <c r="Y685" s="348"/>
      <c r="Z685" s="117"/>
      <c r="AA685" s="117"/>
      <c r="AB685" s="35">
        <f t="shared" si="250"/>
        <v>0</v>
      </c>
    </row>
    <row r="686" spans="15:34">
      <c r="P686">
        <f t="shared" si="249"/>
        <v>0</v>
      </c>
      <c r="R686" s="348"/>
      <c r="S686" s="348"/>
      <c r="T686" s="348"/>
      <c r="U686" s="348"/>
      <c r="V686" s="348"/>
      <c r="W686" s="348"/>
      <c r="X686" s="348"/>
      <c r="Y686" s="348"/>
      <c r="Z686" s="117"/>
      <c r="AA686" s="117"/>
      <c r="AB686" s="35">
        <f t="shared" si="250"/>
        <v>0</v>
      </c>
    </row>
    <row r="687" spans="15:34">
      <c r="P687">
        <f t="shared" si="249"/>
        <v>0</v>
      </c>
      <c r="R687" s="348"/>
      <c r="S687" s="348"/>
      <c r="T687" s="348"/>
      <c r="U687" s="348"/>
      <c r="V687" s="348"/>
      <c r="W687" s="348"/>
      <c r="X687" s="348"/>
      <c r="Y687" s="348"/>
      <c r="Z687" s="117"/>
      <c r="AA687" s="117"/>
      <c r="AB687" s="35">
        <f t="shared" si="250"/>
        <v>0</v>
      </c>
    </row>
    <row r="688" spans="15:34">
      <c r="P688">
        <f t="shared" si="249"/>
        <v>0</v>
      </c>
      <c r="R688" s="117"/>
      <c r="S688" s="117"/>
      <c r="T688" s="117"/>
      <c r="U688" s="117"/>
      <c r="V688" s="117"/>
      <c r="W688" s="117"/>
      <c r="X688" s="117"/>
      <c r="Y688" s="117"/>
      <c r="Z688" s="117"/>
      <c r="AA688" s="117"/>
      <c r="AB688" s="35">
        <f t="shared" si="250"/>
        <v>0</v>
      </c>
    </row>
    <row r="689" spans="12:40">
      <c r="O689">
        <f>$O$80</f>
        <v>12</v>
      </c>
      <c r="P689">
        <f t="shared" si="249"/>
        <v>0</v>
      </c>
      <c r="R689" s="117"/>
      <c r="S689" s="117"/>
      <c r="T689" s="117"/>
      <c r="U689" s="117"/>
      <c r="V689" s="117"/>
      <c r="W689" s="117"/>
      <c r="X689" s="117"/>
      <c r="Y689" s="117"/>
      <c r="Z689" s="117"/>
      <c r="AA689" s="117"/>
      <c r="AB689" s="35">
        <f t="shared" si="250"/>
        <v>0</v>
      </c>
    </row>
    <row r="690" spans="12:40"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</row>
    <row r="691" spans="12:40" ht="13.5" thickBot="1">
      <c r="P691" t="s">
        <v>108</v>
      </c>
      <c r="R691" s="119">
        <f t="shared" ref="R691" si="251">SUM(R678:R689)</f>
        <v>0</v>
      </c>
      <c r="S691" s="119">
        <f t="shared" ref="S691:Y691" si="252">SUM(S678:S689)</f>
        <v>0</v>
      </c>
      <c r="T691" s="119">
        <f t="shared" si="252"/>
        <v>0</v>
      </c>
      <c r="U691" s="119">
        <f t="shared" si="252"/>
        <v>0</v>
      </c>
      <c r="V691" s="119">
        <f t="shared" si="252"/>
        <v>0</v>
      </c>
      <c r="W691" s="119">
        <f t="shared" si="252"/>
        <v>0</v>
      </c>
      <c r="X691" s="119">
        <f t="shared" si="252"/>
        <v>0</v>
      </c>
      <c r="Y691" s="119">
        <f t="shared" si="252"/>
        <v>0</v>
      </c>
      <c r="Z691" s="117"/>
      <c r="AA691" s="117"/>
      <c r="AB691" s="119">
        <f>SUM(AB678:AB689)</f>
        <v>0</v>
      </c>
    </row>
    <row r="692" spans="12:40" ht="16.5" thickTop="1">
      <c r="P692" s="447" t="s">
        <v>378</v>
      </c>
      <c r="Q692" s="36"/>
      <c r="R692" s="36"/>
      <c r="S692" s="36"/>
      <c r="T692">
        <f>2678.75</f>
        <v>2678.75</v>
      </c>
      <c r="U692">
        <v>10.715</v>
      </c>
      <c r="V692">
        <f>T692/U692</f>
        <v>250</v>
      </c>
      <c r="AC692" s="191"/>
      <c r="AD692" s="191"/>
      <c r="AE692" s="192" t="s">
        <v>382</v>
      </c>
      <c r="AF692" s="191"/>
      <c r="AG692" s="191"/>
      <c r="AH692" s="191"/>
      <c r="AI692" s="191"/>
      <c r="AJ692" s="191"/>
      <c r="AK692" s="191"/>
      <c r="AL692" s="191"/>
      <c r="AM692" s="193"/>
    </row>
    <row r="693" spans="12:40">
      <c r="R693" t="s">
        <v>518</v>
      </c>
      <c r="X693" s="52" t="s">
        <v>9</v>
      </c>
      <c r="AC693" s="193"/>
      <c r="AD693" s="191"/>
      <c r="AE693" s="192" t="s">
        <v>383</v>
      </c>
      <c r="AF693" s="191"/>
      <c r="AG693" s="191"/>
      <c r="AH693" s="193"/>
      <c r="AI693" s="191"/>
      <c r="AJ693" s="191"/>
      <c r="AK693" s="191"/>
      <c r="AL693" s="192" t="s">
        <v>387</v>
      </c>
      <c r="AM693" s="193"/>
    </row>
    <row r="694" spans="12:40">
      <c r="Q694" s="52" t="s">
        <v>261</v>
      </c>
      <c r="R694" s="52" t="s">
        <v>255</v>
      </c>
      <c r="S694" s="52"/>
      <c r="T694" s="52" t="s">
        <v>245</v>
      </c>
      <c r="X694" s="52" t="s">
        <v>15</v>
      </c>
      <c r="Y694" s="52" t="s">
        <v>245</v>
      </c>
      <c r="AC694" s="192" t="s">
        <v>379</v>
      </c>
      <c r="AD694" s="191" t="s">
        <v>263</v>
      </c>
      <c r="AE694" s="192" t="s">
        <v>348</v>
      </c>
      <c r="AF694" s="192" t="s">
        <v>115</v>
      </c>
      <c r="AG694" s="192" t="s">
        <v>384</v>
      </c>
      <c r="AH694" s="192" t="s">
        <v>385</v>
      </c>
      <c r="AI694" s="192" t="s">
        <v>243</v>
      </c>
      <c r="AJ694" s="192" t="s">
        <v>386</v>
      </c>
      <c r="AK694" s="191" t="s">
        <v>140</v>
      </c>
      <c r="AL694" s="192" t="s">
        <v>388</v>
      </c>
      <c r="AM694" s="193"/>
    </row>
    <row r="695" spans="12:40">
      <c r="Q695" s="52" t="s">
        <v>248</v>
      </c>
      <c r="R695" s="52" t="s">
        <v>224</v>
      </c>
      <c r="S695" s="52"/>
      <c r="T695" s="52" t="s">
        <v>224</v>
      </c>
      <c r="U695" s="52" t="s">
        <v>11</v>
      </c>
      <c r="V695" s="52" t="s">
        <v>219</v>
      </c>
      <c r="W695" s="52" t="s">
        <v>220</v>
      </c>
      <c r="X695" s="52" t="s">
        <v>249</v>
      </c>
      <c r="Y695" s="52" t="s">
        <v>250</v>
      </c>
      <c r="Z695" s="52" t="s">
        <v>251</v>
      </c>
      <c r="AA695" s="52" t="s">
        <v>8</v>
      </c>
      <c r="AB695" s="52" t="s">
        <v>252</v>
      </c>
      <c r="AC695" s="192" t="s">
        <v>380</v>
      </c>
      <c r="AD695" s="192" t="s">
        <v>381</v>
      </c>
      <c r="AE695" s="192" t="s">
        <v>379</v>
      </c>
      <c r="AF695" s="192" t="s">
        <v>263</v>
      </c>
      <c r="AG695" s="192" t="s">
        <v>263</v>
      </c>
      <c r="AH695" s="191" t="s">
        <v>207</v>
      </c>
      <c r="AI695" s="192" t="s">
        <v>348</v>
      </c>
      <c r="AJ695" s="192" t="s">
        <v>80</v>
      </c>
      <c r="AK695" s="191" t="s">
        <v>272</v>
      </c>
      <c r="AL695" s="192" t="s">
        <v>389</v>
      </c>
      <c r="AM695" s="191" t="s">
        <v>217</v>
      </c>
    </row>
    <row r="696" spans="12:40">
      <c r="P696" s="122" t="s">
        <v>134</v>
      </c>
      <c r="Q696" s="122"/>
      <c r="R696" s="122" t="s">
        <v>134</v>
      </c>
      <c r="S696" s="122"/>
      <c r="T696" s="122" t="s">
        <v>134</v>
      </c>
      <c r="U696" s="122" t="s">
        <v>134</v>
      </c>
      <c r="V696" s="122" t="s">
        <v>134</v>
      </c>
      <c r="W696" s="122" t="s">
        <v>134</v>
      </c>
      <c r="X696" s="122" t="s">
        <v>134</v>
      </c>
      <c r="Y696" s="122" t="s">
        <v>134</v>
      </c>
      <c r="Z696" s="122" t="s">
        <v>134</v>
      </c>
      <c r="AA696" s="122" t="s">
        <v>134</v>
      </c>
      <c r="AB696" s="122" t="s">
        <v>134</v>
      </c>
      <c r="AC696" s="194" t="s">
        <v>134</v>
      </c>
      <c r="AD696" s="194" t="s">
        <v>134</v>
      </c>
      <c r="AE696" s="194" t="s">
        <v>134</v>
      </c>
      <c r="AF696" s="194" t="s">
        <v>134</v>
      </c>
      <c r="AG696" s="194" t="s">
        <v>134</v>
      </c>
      <c r="AH696" s="194" t="s">
        <v>134</v>
      </c>
      <c r="AI696" s="194" t="s">
        <v>134</v>
      </c>
      <c r="AJ696" s="194" t="s">
        <v>134</v>
      </c>
      <c r="AK696" s="194" t="s">
        <v>134</v>
      </c>
      <c r="AL696" s="194" t="s">
        <v>134</v>
      </c>
      <c r="AM696" s="194" t="s">
        <v>134</v>
      </c>
    </row>
    <row r="697" spans="12:40">
      <c r="V697" s="112"/>
      <c r="W697" s="112"/>
      <c r="X697" s="112"/>
      <c r="Z697" s="112"/>
      <c r="AC697" s="193"/>
      <c r="AD697" s="193"/>
      <c r="AE697" s="193"/>
      <c r="AF697" s="193"/>
      <c r="AG697" s="193"/>
      <c r="AH697" s="193"/>
      <c r="AI697" s="193"/>
      <c r="AJ697" s="193"/>
      <c r="AK697" s="193">
        <v>3.0000000000000001E-3</v>
      </c>
      <c r="AL697" s="193"/>
      <c r="AM697" s="193"/>
    </row>
    <row r="698" spans="12:40">
      <c r="L698" s="312" t="e">
        <f>W698/U698</f>
        <v>#DIV/0!</v>
      </c>
      <c r="M698" s="309" t="e">
        <f>N698/R698</f>
        <v>#DIV/0!</v>
      </c>
      <c r="N698" s="112">
        <f>V698-AC698</f>
        <v>0</v>
      </c>
      <c r="O698">
        <f>$O$69</f>
        <v>1</v>
      </c>
      <c r="P698" s="349"/>
      <c r="R698" s="440"/>
      <c r="S698" s="440"/>
      <c r="T698" s="58"/>
      <c r="U698" s="58"/>
      <c r="V698" s="112"/>
      <c r="W698" s="112"/>
      <c r="X698" s="35"/>
      <c r="Y698" s="112"/>
      <c r="Z698" s="112"/>
      <c r="AA698" s="112"/>
      <c r="AB698" s="112"/>
      <c r="AC698" s="193"/>
      <c r="AD698" s="193"/>
      <c r="AE698" s="193"/>
      <c r="AF698" s="193"/>
      <c r="AG698" s="193"/>
      <c r="AH698" s="195"/>
      <c r="AI698" s="193"/>
      <c r="AJ698" s="193"/>
      <c r="AK698" s="193">
        <f>U698*AK697</f>
        <v>0</v>
      </c>
      <c r="AL698" s="193"/>
      <c r="AM698" s="193">
        <f>SUM(AI698:AL698)</f>
        <v>0</v>
      </c>
      <c r="AN698" s="35">
        <f>AM698-AB698</f>
        <v>0</v>
      </c>
    </row>
    <row r="699" spans="12:40">
      <c r="L699" s="312" t="e">
        <f t="shared" ref="L699:L709" si="253">W699/U699</f>
        <v>#DIV/0!</v>
      </c>
      <c r="M699" s="309" t="e">
        <f t="shared" ref="M699:M709" si="254">N699/R699</f>
        <v>#DIV/0!</v>
      </c>
      <c r="N699" s="112">
        <f t="shared" ref="N699:N709" si="255">V699-AC699</f>
        <v>0</v>
      </c>
      <c r="R699" s="440"/>
      <c r="S699" s="440"/>
      <c r="T699" s="58"/>
      <c r="U699" s="58"/>
      <c r="V699" s="112"/>
      <c r="W699" s="112"/>
      <c r="X699" s="35"/>
      <c r="Y699" s="112"/>
      <c r="Z699" s="112"/>
      <c r="AA699" s="112"/>
      <c r="AB699" s="112"/>
      <c r="AC699" s="193"/>
      <c r="AD699" s="193"/>
      <c r="AE699" s="193"/>
      <c r="AF699" s="193"/>
      <c r="AG699" s="193"/>
      <c r="AH699" s="195"/>
      <c r="AI699" s="193"/>
      <c r="AJ699" s="193"/>
      <c r="AK699" s="193">
        <f>U699*AK697</f>
        <v>0</v>
      </c>
      <c r="AL699" s="193"/>
      <c r="AM699" s="193">
        <f t="shared" ref="AM699:AM709" si="256">SUM(AI699:AL699)</f>
        <v>0</v>
      </c>
      <c r="AN699" s="35">
        <f t="shared" ref="AN699:AN709" si="257">AM699-AB699</f>
        <v>0</v>
      </c>
    </row>
    <row r="700" spans="12:40">
      <c r="L700" s="312" t="e">
        <f t="shared" si="253"/>
        <v>#DIV/0!</v>
      </c>
      <c r="M700" s="309" t="e">
        <f t="shared" si="254"/>
        <v>#DIV/0!</v>
      </c>
      <c r="N700" s="112">
        <f t="shared" si="255"/>
        <v>0</v>
      </c>
      <c r="R700" s="440"/>
      <c r="S700" s="440"/>
      <c r="T700" s="58"/>
      <c r="U700" s="58"/>
      <c r="V700" s="112"/>
      <c r="W700" s="112"/>
      <c r="X700" s="35"/>
      <c r="Y700" s="112"/>
      <c r="Z700" s="112"/>
      <c r="AA700" s="112"/>
      <c r="AB700" s="112"/>
      <c r="AC700" s="193"/>
      <c r="AD700" s="193"/>
      <c r="AE700" s="193"/>
      <c r="AF700" s="193"/>
      <c r="AG700" s="193"/>
      <c r="AH700" s="195"/>
      <c r="AI700" s="193"/>
      <c r="AJ700" s="193"/>
      <c r="AK700" s="193">
        <f>U700*AK697</f>
        <v>0</v>
      </c>
      <c r="AL700" s="193"/>
      <c r="AM700" s="193">
        <f t="shared" si="256"/>
        <v>0</v>
      </c>
      <c r="AN700" s="35">
        <f t="shared" si="257"/>
        <v>0</v>
      </c>
    </row>
    <row r="701" spans="12:40">
      <c r="L701" s="312" t="e">
        <f t="shared" si="253"/>
        <v>#DIV/0!</v>
      </c>
      <c r="M701" s="309" t="e">
        <f t="shared" si="254"/>
        <v>#DIV/0!</v>
      </c>
      <c r="N701" s="112">
        <f t="shared" si="255"/>
        <v>0</v>
      </c>
      <c r="R701" s="440"/>
      <c r="S701" s="440"/>
      <c r="T701" s="58"/>
      <c r="U701" s="58"/>
      <c r="V701" s="112"/>
      <c r="W701" s="112"/>
      <c r="X701" s="35"/>
      <c r="Y701" s="112"/>
      <c r="Z701" s="112"/>
      <c r="AA701" s="112"/>
      <c r="AB701" s="112"/>
      <c r="AC701" s="193"/>
      <c r="AD701" s="193"/>
      <c r="AE701" s="193"/>
      <c r="AF701" s="193"/>
      <c r="AG701" s="193"/>
      <c r="AH701" s="195"/>
      <c r="AI701" s="193"/>
      <c r="AJ701" s="193"/>
      <c r="AK701" s="193">
        <f>U701*AK697</f>
        <v>0</v>
      </c>
      <c r="AL701" s="193"/>
      <c r="AM701" s="193">
        <f t="shared" si="256"/>
        <v>0</v>
      </c>
      <c r="AN701" s="35">
        <f t="shared" si="257"/>
        <v>0</v>
      </c>
    </row>
    <row r="702" spans="12:40">
      <c r="L702" s="312" t="e">
        <f t="shared" si="253"/>
        <v>#DIV/0!</v>
      </c>
      <c r="M702" s="309" t="e">
        <f t="shared" si="254"/>
        <v>#DIV/0!</v>
      </c>
      <c r="N702" s="112">
        <f t="shared" si="255"/>
        <v>0</v>
      </c>
      <c r="R702" s="440"/>
      <c r="S702" s="440"/>
      <c r="T702" s="58"/>
      <c r="U702" s="58"/>
      <c r="V702" s="112"/>
      <c r="W702" s="112"/>
      <c r="X702" s="35"/>
      <c r="Y702" s="112"/>
      <c r="Z702" s="112"/>
      <c r="AA702" s="112"/>
      <c r="AB702" s="112"/>
      <c r="AC702" s="193"/>
      <c r="AD702" s="193"/>
      <c r="AE702" s="193"/>
      <c r="AF702" s="193"/>
      <c r="AG702" s="193"/>
      <c r="AH702" s="195"/>
      <c r="AI702" s="193"/>
      <c r="AJ702" s="193"/>
      <c r="AK702" s="193">
        <f>U702*AK697</f>
        <v>0</v>
      </c>
      <c r="AL702" s="193"/>
      <c r="AM702" s="193">
        <f t="shared" si="256"/>
        <v>0</v>
      </c>
      <c r="AN702" s="35">
        <f t="shared" si="257"/>
        <v>0</v>
      </c>
    </row>
    <row r="703" spans="12:40">
      <c r="L703" s="312" t="e">
        <f t="shared" si="253"/>
        <v>#DIV/0!</v>
      </c>
      <c r="M703" s="309" t="e">
        <f t="shared" si="254"/>
        <v>#DIV/0!</v>
      </c>
      <c r="N703" s="112">
        <f t="shared" si="255"/>
        <v>0</v>
      </c>
      <c r="R703" s="440"/>
      <c r="S703" s="440"/>
      <c r="T703" s="58"/>
      <c r="U703" s="58"/>
      <c r="V703" s="112"/>
      <c r="W703" s="112"/>
      <c r="X703" s="35"/>
      <c r="Y703" s="112"/>
      <c r="Z703" s="112"/>
      <c r="AA703" s="112"/>
      <c r="AB703" s="112"/>
      <c r="AC703" s="193"/>
      <c r="AD703" s="193"/>
      <c r="AE703" s="193"/>
      <c r="AF703" s="193"/>
      <c r="AG703" s="193"/>
      <c r="AH703" s="195"/>
      <c r="AI703" s="193"/>
      <c r="AJ703" s="193"/>
      <c r="AK703" s="193">
        <f>U703*AK697</f>
        <v>0</v>
      </c>
      <c r="AL703" s="193"/>
      <c r="AM703" s="193">
        <f t="shared" si="256"/>
        <v>0</v>
      </c>
      <c r="AN703" s="35">
        <f t="shared" si="257"/>
        <v>0</v>
      </c>
    </row>
    <row r="704" spans="12:40">
      <c r="L704" s="312" t="e">
        <f t="shared" si="253"/>
        <v>#DIV/0!</v>
      </c>
      <c r="M704" s="309" t="e">
        <f t="shared" si="254"/>
        <v>#DIV/0!</v>
      </c>
      <c r="N704" s="112">
        <f t="shared" si="255"/>
        <v>0</v>
      </c>
      <c r="R704" s="440"/>
      <c r="S704" s="440"/>
      <c r="T704" s="58"/>
      <c r="U704" s="58"/>
      <c r="V704" s="112"/>
      <c r="W704" s="112"/>
      <c r="X704" s="35"/>
      <c r="Y704" s="112"/>
      <c r="Z704" s="112"/>
      <c r="AA704" s="112"/>
      <c r="AB704" s="112"/>
      <c r="AC704" s="193"/>
      <c r="AD704" s="193"/>
      <c r="AE704" s="193"/>
      <c r="AF704" s="193"/>
      <c r="AG704" s="193"/>
      <c r="AH704" s="195"/>
      <c r="AI704" s="193"/>
      <c r="AJ704" s="193"/>
      <c r="AK704" s="193">
        <f>U704*AK697</f>
        <v>0</v>
      </c>
      <c r="AL704" s="193"/>
      <c r="AM704" s="193">
        <f t="shared" si="256"/>
        <v>0</v>
      </c>
      <c r="AN704" s="35">
        <f t="shared" si="257"/>
        <v>0</v>
      </c>
    </row>
    <row r="705" spans="12:40">
      <c r="L705" s="312" t="e">
        <f t="shared" si="253"/>
        <v>#DIV/0!</v>
      </c>
      <c r="M705" s="309" t="e">
        <f t="shared" si="254"/>
        <v>#DIV/0!</v>
      </c>
      <c r="N705" s="112">
        <f t="shared" si="255"/>
        <v>0</v>
      </c>
      <c r="R705" s="440"/>
      <c r="S705" s="440"/>
      <c r="T705" s="58"/>
      <c r="U705" s="58"/>
      <c r="V705" s="112"/>
      <c r="W705" s="112"/>
      <c r="X705" s="35"/>
      <c r="Y705" s="112"/>
      <c r="Z705" s="112"/>
      <c r="AA705" s="112"/>
      <c r="AB705" s="112"/>
      <c r="AC705" s="193"/>
      <c r="AD705" s="193"/>
      <c r="AE705" s="193"/>
      <c r="AF705" s="193"/>
      <c r="AG705" s="193"/>
      <c r="AH705" s="195"/>
      <c r="AI705" s="193"/>
      <c r="AJ705" s="193"/>
      <c r="AK705" s="193">
        <f>U705*AK697</f>
        <v>0</v>
      </c>
      <c r="AL705" s="193"/>
      <c r="AM705" s="193">
        <f t="shared" si="256"/>
        <v>0</v>
      </c>
      <c r="AN705" s="35">
        <f t="shared" si="257"/>
        <v>0</v>
      </c>
    </row>
    <row r="706" spans="12:40">
      <c r="L706" s="312" t="e">
        <f t="shared" si="253"/>
        <v>#DIV/0!</v>
      </c>
      <c r="M706" s="309" t="e">
        <f t="shared" si="254"/>
        <v>#DIV/0!</v>
      </c>
      <c r="N706" s="112">
        <f t="shared" si="255"/>
        <v>0</v>
      </c>
      <c r="R706" s="440"/>
      <c r="S706" s="440"/>
      <c r="T706" s="58"/>
      <c r="U706" s="58"/>
      <c r="V706" s="112"/>
      <c r="W706" s="112"/>
      <c r="X706" s="35"/>
      <c r="Y706" s="112"/>
      <c r="Z706" s="112"/>
      <c r="AA706" s="112"/>
      <c r="AB706" s="112"/>
      <c r="AC706" s="193"/>
      <c r="AD706" s="193"/>
      <c r="AE706" s="193"/>
      <c r="AF706" s="193"/>
      <c r="AG706" s="193"/>
      <c r="AH706" s="195"/>
      <c r="AI706" s="193"/>
      <c r="AJ706" s="193"/>
      <c r="AK706" s="193">
        <f>U706*AK697</f>
        <v>0</v>
      </c>
      <c r="AL706" s="193"/>
      <c r="AM706" s="193">
        <f t="shared" si="256"/>
        <v>0</v>
      </c>
      <c r="AN706" s="35">
        <f t="shared" si="257"/>
        <v>0</v>
      </c>
    </row>
    <row r="707" spans="12:40">
      <c r="L707" s="312" t="e">
        <f t="shared" si="253"/>
        <v>#DIV/0!</v>
      </c>
      <c r="M707" s="309" t="e">
        <f t="shared" si="254"/>
        <v>#DIV/0!</v>
      </c>
      <c r="N707" s="112">
        <f t="shared" si="255"/>
        <v>0</v>
      </c>
      <c r="R707" s="440"/>
      <c r="S707" s="440"/>
      <c r="T707" s="58"/>
      <c r="U707" s="58"/>
      <c r="V707" s="112"/>
      <c r="W707" s="112"/>
      <c r="X707" s="35"/>
      <c r="Y707" s="112"/>
      <c r="Z707" s="112"/>
      <c r="AA707" s="112"/>
      <c r="AB707" s="112"/>
      <c r="AC707" s="193"/>
      <c r="AD707" s="193"/>
      <c r="AE707" s="193"/>
      <c r="AF707" s="195"/>
      <c r="AG707" s="195"/>
      <c r="AH707" s="195"/>
      <c r="AI707" s="193"/>
      <c r="AJ707" s="193"/>
      <c r="AK707" s="193">
        <f>U707*AK697</f>
        <v>0</v>
      </c>
      <c r="AL707" s="193"/>
      <c r="AM707" s="193">
        <f t="shared" si="256"/>
        <v>0</v>
      </c>
      <c r="AN707" s="35">
        <f t="shared" si="257"/>
        <v>0</v>
      </c>
    </row>
    <row r="708" spans="12:40">
      <c r="L708" s="312" t="e">
        <f t="shared" si="253"/>
        <v>#DIV/0!</v>
      </c>
      <c r="M708" s="309" t="e">
        <f t="shared" si="254"/>
        <v>#DIV/0!</v>
      </c>
      <c r="N708" s="112">
        <f t="shared" si="255"/>
        <v>0</v>
      </c>
      <c r="R708" s="440"/>
      <c r="S708" s="440"/>
      <c r="T708" s="58"/>
      <c r="U708" s="58"/>
      <c r="V708" s="112"/>
      <c r="W708" s="112"/>
      <c r="X708" s="35"/>
      <c r="Y708" s="112"/>
      <c r="Z708" s="112"/>
      <c r="AA708" s="112"/>
      <c r="AB708" s="112"/>
      <c r="AC708" s="193"/>
      <c r="AD708" s="193"/>
      <c r="AE708" s="193"/>
      <c r="AF708" s="195"/>
      <c r="AG708" s="195"/>
      <c r="AH708" s="195"/>
      <c r="AI708" s="193"/>
      <c r="AJ708" s="193"/>
      <c r="AK708" s="193">
        <f>U708*AK697</f>
        <v>0</v>
      </c>
      <c r="AL708" s="193"/>
      <c r="AM708" s="193">
        <f t="shared" si="256"/>
        <v>0</v>
      </c>
      <c r="AN708" s="35">
        <f t="shared" si="257"/>
        <v>0</v>
      </c>
    </row>
    <row r="709" spans="12:40">
      <c r="L709" s="312" t="e">
        <f t="shared" si="253"/>
        <v>#DIV/0!</v>
      </c>
      <c r="M709" s="309" t="e">
        <f t="shared" si="254"/>
        <v>#DIV/0!</v>
      </c>
      <c r="N709" s="112">
        <f t="shared" si="255"/>
        <v>0</v>
      </c>
      <c r="O709">
        <f>$O$80</f>
        <v>12</v>
      </c>
      <c r="R709" s="440"/>
      <c r="S709" s="440"/>
      <c r="T709" s="58"/>
      <c r="U709" s="58"/>
      <c r="V709" s="112"/>
      <c r="W709" s="112"/>
      <c r="X709" s="35"/>
      <c r="Y709" s="112"/>
      <c r="Z709" s="112"/>
      <c r="AA709" s="112"/>
      <c r="AB709" s="112"/>
      <c r="AC709" s="193"/>
      <c r="AD709" s="193"/>
      <c r="AE709" s="193"/>
      <c r="AF709" s="195"/>
      <c r="AG709" s="195"/>
      <c r="AH709" s="195"/>
      <c r="AI709" s="193"/>
      <c r="AJ709" s="193"/>
      <c r="AK709" s="193">
        <f>U709*AK697</f>
        <v>0</v>
      </c>
      <c r="AL709" s="193"/>
      <c r="AM709" s="193">
        <f t="shared" si="256"/>
        <v>0</v>
      </c>
      <c r="AN709" s="35">
        <f t="shared" si="257"/>
        <v>0</v>
      </c>
    </row>
    <row r="710" spans="12:40">
      <c r="R710" s="124" t="s">
        <v>134</v>
      </c>
      <c r="S710" s="124"/>
      <c r="T710" s="124" t="s">
        <v>134</v>
      </c>
      <c r="U710" s="124" t="s">
        <v>134</v>
      </c>
      <c r="V710" s="125" t="s">
        <v>134</v>
      </c>
      <c r="W710" s="125" t="s">
        <v>134</v>
      </c>
      <c r="X710" s="125" t="s">
        <v>134</v>
      </c>
      <c r="Y710" s="122" t="s">
        <v>134</v>
      </c>
      <c r="Z710" s="125" t="s">
        <v>134</v>
      </c>
      <c r="AA710" s="125" t="s">
        <v>134</v>
      </c>
      <c r="AB710" s="125" t="s">
        <v>134</v>
      </c>
      <c r="AC710" s="193"/>
      <c r="AD710" s="193"/>
      <c r="AE710" s="193"/>
      <c r="AF710" s="193"/>
      <c r="AG710" s="193"/>
      <c r="AH710" s="193"/>
      <c r="AI710" s="193"/>
      <c r="AJ710" s="193"/>
      <c r="AK710" s="193"/>
      <c r="AL710" s="193"/>
      <c r="AM710" s="193"/>
    </row>
    <row r="711" spans="12:40">
      <c r="R711" s="58"/>
      <c r="S711" s="58"/>
      <c r="T711" s="58"/>
      <c r="U711" s="58"/>
      <c r="V711" s="112"/>
      <c r="W711" s="112"/>
      <c r="X711" s="112"/>
      <c r="Z711" s="112"/>
      <c r="AA711" s="112"/>
      <c r="AB711" s="112"/>
      <c r="AC711" s="193"/>
      <c r="AD711" s="193"/>
      <c r="AE711" s="193"/>
      <c r="AF711" s="193"/>
      <c r="AG711" s="193"/>
      <c r="AH711" s="193"/>
      <c r="AI711" s="193"/>
      <c r="AJ711" s="193"/>
      <c r="AK711" s="193"/>
      <c r="AL711" s="193"/>
      <c r="AM711" s="193"/>
    </row>
    <row r="712" spans="12:40">
      <c r="R712" s="58">
        <f t="shared" ref="R712:AB712" si="258">SUM(R698:R709)</f>
        <v>0</v>
      </c>
      <c r="S712" s="58"/>
      <c r="T712" s="58">
        <f t="shared" si="258"/>
        <v>0</v>
      </c>
      <c r="U712" s="58">
        <f t="shared" si="258"/>
        <v>0</v>
      </c>
      <c r="V712" s="112">
        <f t="shared" si="258"/>
        <v>0</v>
      </c>
      <c r="W712" s="112">
        <f t="shared" si="258"/>
        <v>0</v>
      </c>
      <c r="X712" s="112">
        <f t="shared" si="258"/>
        <v>0</v>
      </c>
      <c r="Y712" s="112">
        <f t="shared" si="258"/>
        <v>0</v>
      </c>
      <c r="Z712" s="112">
        <f t="shared" si="258"/>
        <v>0</v>
      </c>
      <c r="AA712" s="112">
        <f t="shared" si="258"/>
        <v>0</v>
      </c>
      <c r="AB712" s="112">
        <f t="shared" si="258"/>
        <v>0</v>
      </c>
      <c r="AC712" s="197">
        <f t="shared" ref="AC712:AM712" si="259">SUM(AC698:AC709)</f>
        <v>0</v>
      </c>
      <c r="AD712" s="197">
        <f t="shared" si="259"/>
        <v>0</v>
      </c>
      <c r="AE712" s="197">
        <f t="shared" si="259"/>
        <v>0</v>
      </c>
      <c r="AF712" s="197">
        <f t="shared" si="259"/>
        <v>0</v>
      </c>
      <c r="AG712" s="197">
        <f t="shared" si="259"/>
        <v>0</v>
      </c>
      <c r="AH712" s="197">
        <f t="shared" si="259"/>
        <v>0</v>
      </c>
      <c r="AI712" s="197">
        <f t="shared" si="259"/>
        <v>0</v>
      </c>
      <c r="AJ712" s="197">
        <f t="shared" si="259"/>
        <v>0</v>
      </c>
      <c r="AK712" s="197">
        <f t="shared" si="259"/>
        <v>0</v>
      </c>
      <c r="AL712" s="197">
        <f t="shared" si="259"/>
        <v>0</v>
      </c>
      <c r="AM712" s="197">
        <f t="shared" si="259"/>
        <v>0</v>
      </c>
    </row>
    <row r="713" spans="12:40">
      <c r="R713" s="124" t="s">
        <v>229</v>
      </c>
      <c r="S713" s="124"/>
      <c r="T713" s="124" t="s">
        <v>229</v>
      </c>
      <c r="U713" s="124" t="s">
        <v>229</v>
      </c>
      <c r="V713" s="125" t="s">
        <v>229</v>
      </c>
      <c r="W713" s="125" t="s">
        <v>229</v>
      </c>
      <c r="X713" s="125" t="s">
        <v>229</v>
      </c>
      <c r="Y713" s="125" t="s">
        <v>229</v>
      </c>
      <c r="Z713" s="125" t="s">
        <v>229</v>
      </c>
      <c r="AA713" s="125" t="s">
        <v>229</v>
      </c>
      <c r="AB713" s="125" t="s">
        <v>229</v>
      </c>
      <c r="AC713" s="198" t="s">
        <v>229</v>
      </c>
      <c r="AD713" s="198" t="s">
        <v>229</v>
      </c>
      <c r="AE713" s="198" t="s">
        <v>229</v>
      </c>
      <c r="AF713" s="198" t="s">
        <v>229</v>
      </c>
      <c r="AG713" s="198" t="s">
        <v>229</v>
      </c>
      <c r="AH713" s="198" t="s">
        <v>229</v>
      </c>
      <c r="AI713" s="198" t="s">
        <v>229</v>
      </c>
      <c r="AJ713" s="198" t="s">
        <v>229</v>
      </c>
      <c r="AK713" s="198" t="s">
        <v>229</v>
      </c>
      <c r="AL713" s="198" t="s">
        <v>229</v>
      </c>
      <c r="AM713" s="198" t="s">
        <v>229</v>
      </c>
    </row>
    <row r="716" spans="12:40">
      <c r="S716" s="52" t="s">
        <v>367</v>
      </c>
    </row>
    <row r="717" spans="12:40">
      <c r="P717" s="52"/>
      <c r="Q717" s="52"/>
      <c r="R717" s="52" t="s">
        <v>221</v>
      </c>
      <c r="S717" s="52" t="s">
        <v>343</v>
      </c>
      <c r="T717" s="52" t="s">
        <v>222</v>
      </c>
      <c r="U717" s="52" t="s">
        <v>371</v>
      </c>
      <c r="V717" s="52" t="s">
        <v>368</v>
      </c>
      <c r="W717" s="52" t="s">
        <v>369</v>
      </c>
      <c r="X717" s="52" t="s">
        <v>370</v>
      </c>
      <c r="Y717" s="52" t="s">
        <v>372</v>
      </c>
      <c r="Z717" s="52"/>
      <c r="AA717" s="52"/>
      <c r="AB717" s="52"/>
      <c r="AD717" s="52"/>
      <c r="AE717" s="52"/>
      <c r="AF717" s="52"/>
      <c r="AG717" s="52"/>
      <c r="AH717" s="52"/>
    </row>
    <row r="718" spans="12:40">
      <c r="P718" s="52"/>
      <c r="Q718" s="52"/>
      <c r="R718" s="89" t="s">
        <v>15</v>
      </c>
      <c r="S718" s="89" t="s">
        <v>344</v>
      </c>
      <c r="T718" s="89" t="s">
        <v>227</v>
      </c>
      <c r="U718" s="89" t="s">
        <v>375</v>
      </c>
      <c r="V718" s="89" t="s">
        <v>226</v>
      </c>
      <c r="W718" s="89" t="s">
        <v>373</v>
      </c>
      <c r="X718" s="89" t="s">
        <v>374</v>
      </c>
      <c r="Y718" s="89" t="s">
        <v>376</v>
      </c>
      <c r="Z718" s="52"/>
      <c r="AA718" s="52"/>
      <c r="AB718" s="52"/>
      <c r="AD718" s="52"/>
      <c r="AE718" s="52"/>
      <c r="AF718" s="52"/>
      <c r="AG718" s="52"/>
      <c r="AH718" s="52"/>
    </row>
    <row r="719" spans="12:40"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183" t="s">
        <v>217</v>
      </c>
      <c r="AD719" s="52"/>
      <c r="AE719" s="52"/>
      <c r="AF719" s="52"/>
      <c r="AG719" s="52"/>
      <c r="AH719" s="52"/>
    </row>
    <row r="720" spans="12:40">
      <c r="O720">
        <f>$O$69</f>
        <v>1</v>
      </c>
      <c r="P720" s="349">
        <f t="shared" ref="P720:P731" si="260">P698</f>
        <v>0</v>
      </c>
      <c r="R720" s="117"/>
      <c r="S720" s="117"/>
      <c r="T720" s="117"/>
      <c r="U720" s="117"/>
      <c r="V720" s="117"/>
      <c r="W720" s="117"/>
      <c r="X720" s="117"/>
      <c r="Z720" s="117"/>
      <c r="AA720" s="117"/>
      <c r="AB720" s="35">
        <f t="shared" ref="AB720:AB731" si="261">SUM(R720:AA720)</f>
        <v>0</v>
      </c>
    </row>
    <row r="721" spans="15:39">
      <c r="P721">
        <f t="shared" si="260"/>
        <v>0</v>
      </c>
      <c r="R721" s="117"/>
      <c r="S721" s="117"/>
      <c r="T721" s="117"/>
      <c r="U721" s="117"/>
      <c r="V721" s="117"/>
      <c r="W721" s="117"/>
      <c r="X721" s="117"/>
      <c r="Z721" s="117"/>
      <c r="AA721" s="117"/>
      <c r="AB721" s="35">
        <f t="shared" si="261"/>
        <v>0</v>
      </c>
    </row>
    <row r="722" spans="15:39">
      <c r="P722">
        <f t="shared" si="260"/>
        <v>0</v>
      </c>
      <c r="R722" s="117"/>
      <c r="S722" s="117"/>
      <c r="T722" s="117"/>
      <c r="U722" s="117"/>
      <c r="V722" s="117"/>
      <c r="W722" s="117"/>
      <c r="X722" s="117"/>
      <c r="Z722" s="117"/>
      <c r="AA722" s="117"/>
      <c r="AB722" s="35">
        <f t="shared" si="261"/>
        <v>0</v>
      </c>
    </row>
    <row r="723" spans="15:39">
      <c r="P723">
        <f t="shared" si="260"/>
        <v>0</v>
      </c>
      <c r="R723" s="117"/>
      <c r="S723" s="117"/>
      <c r="T723" s="117"/>
      <c r="U723" s="117"/>
      <c r="V723" s="117"/>
      <c r="W723" s="117"/>
      <c r="X723" s="117"/>
      <c r="Z723" s="117"/>
      <c r="AA723" s="117"/>
      <c r="AB723" s="35">
        <f t="shared" si="261"/>
        <v>0</v>
      </c>
    </row>
    <row r="724" spans="15:39">
      <c r="P724">
        <f t="shared" si="260"/>
        <v>0</v>
      </c>
      <c r="R724" s="117"/>
      <c r="S724" s="117"/>
      <c r="T724" s="117"/>
      <c r="U724" s="117"/>
      <c r="V724" s="117"/>
      <c r="W724" s="117"/>
      <c r="X724" s="117"/>
      <c r="Y724" s="117"/>
      <c r="Z724" s="117"/>
      <c r="AA724" s="117"/>
      <c r="AB724" s="35">
        <f t="shared" si="261"/>
        <v>0</v>
      </c>
    </row>
    <row r="725" spans="15:39">
      <c r="P725">
        <f t="shared" si="260"/>
        <v>0</v>
      </c>
      <c r="R725" s="348"/>
      <c r="S725" s="348"/>
      <c r="T725" s="348"/>
      <c r="U725" s="348"/>
      <c r="V725" s="117"/>
      <c r="W725" s="117"/>
      <c r="X725" s="348"/>
      <c r="Y725" s="348"/>
      <c r="Z725" s="117"/>
      <c r="AA725" s="117"/>
      <c r="AB725" s="35">
        <f t="shared" si="261"/>
        <v>0</v>
      </c>
    </row>
    <row r="726" spans="15:39">
      <c r="P726">
        <f t="shared" si="260"/>
        <v>0</v>
      </c>
      <c r="R726" s="348"/>
      <c r="S726" s="348"/>
      <c r="T726" s="348"/>
      <c r="U726" s="348"/>
      <c r="V726" s="348"/>
      <c r="W726" s="348"/>
      <c r="X726" s="348"/>
      <c r="Y726" s="348"/>
      <c r="Z726" s="117"/>
      <c r="AA726" s="117"/>
      <c r="AB726" s="35">
        <f t="shared" si="261"/>
        <v>0</v>
      </c>
    </row>
    <row r="727" spans="15:39">
      <c r="P727">
        <f t="shared" si="260"/>
        <v>0</v>
      </c>
      <c r="R727" s="348"/>
      <c r="S727" s="348"/>
      <c r="T727" s="348"/>
      <c r="U727" s="348"/>
      <c r="V727" s="348"/>
      <c r="W727" s="348"/>
      <c r="X727" s="348"/>
      <c r="Y727" s="348"/>
      <c r="Z727" s="117"/>
      <c r="AA727" s="117"/>
      <c r="AB727" s="35">
        <f t="shared" si="261"/>
        <v>0</v>
      </c>
    </row>
    <row r="728" spans="15:39">
      <c r="P728">
        <f t="shared" si="260"/>
        <v>0</v>
      </c>
      <c r="R728" s="348"/>
      <c r="S728" s="348"/>
      <c r="T728" s="348"/>
      <c r="U728" s="348"/>
      <c r="V728" s="348"/>
      <c r="W728" s="348"/>
      <c r="X728" s="348"/>
      <c r="Y728" s="348"/>
      <c r="Z728" s="117"/>
      <c r="AA728" s="117"/>
      <c r="AB728" s="35">
        <f t="shared" si="261"/>
        <v>0</v>
      </c>
    </row>
    <row r="729" spans="15:39">
      <c r="P729">
        <f t="shared" si="260"/>
        <v>0</v>
      </c>
      <c r="R729" s="348"/>
      <c r="S729" s="348"/>
      <c r="T729" s="348"/>
      <c r="U729" s="348"/>
      <c r="V729" s="348"/>
      <c r="W729" s="348"/>
      <c r="X729" s="348"/>
      <c r="Y729" s="348"/>
      <c r="Z729" s="117"/>
      <c r="AA729" s="117"/>
      <c r="AB729" s="35">
        <f t="shared" si="261"/>
        <v>0</v>
      </c>
    </row>
    <row r="730" spans="15:39">
      <c r="P730">
        <f t="shared" si="260"/>
        <v>0</v>
      </c>
      <c r="R730" s="117"/>
      <c r="S730" s="117"/>
      <c r="T730" s="117"/>
      <c r="U730" s="117"/>
      <c r="V730" s="117"/>
      <c r="W730" s="117"/>
      <c r="X730" s="117"/>
      <c r="Y730" s="117"/>
      <c r="Z730" s="117"/>
      <c r="AA730" s="117"/>
      <c r="AB730" s="35">
        <f t="shared" si="261"/>
        <v>0</v>
      </c>
    </row>
    <row r="731" spans="15:39">
      <c r="O731">
        <f>$O$80</f>
        <v>12</v>
      </c>
      <c r="P731">
        <f t="shared" si="260"/>
        <v>0</v>
      </c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35">
        <f t="shared" si="261"/>
        <v>0</v>
      </c>
    </row>
    <row r="732" spans="15:39"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35"/>
    </row>
    <row r="733" spans="15:39" ht="13.5" thickBot="1">
      <c r="P733" t="s">
        <v>108</v>
      </c>
      <c r="R733" s="119">
        <f t="shared" ref="R733" si="262">SUM(R720:R731)</f>
        <v>0</v>
      </c>
      <c r="S733" s="119">
        <f t="shared" ref="S733:Y733" si="263">SUM(S720:S731)</f>
        <v>0</v>
      </c>
      <c r="T733" s="119">
        <f t="shared" si="263"/>
        <v>0</v>
      </c>
      <c r="U733" s="119">
        <f t="shared" si="263"/>
        <v>0</v>
      </c>
      <c r="V733" s="119">
        <f t="shared" si="263"/>
        <v>0</v>
      </c>
      <c r="W733" s="119">
        <f t="shared" si="263"/>
        <v>0</v>
      </c>
      <c r="X733" s="119">
        <f t="shared" si="263"/>
        <v>0</v>
      </c>
      <c r="Y733" s="119">
        <f t="shared" si="263"/>
        <v>0</v>
      </c>
      <c r="Z733" s="117"/>
      <c r="AA733" s="117"/>
      <c r="AB733" s="119">
        <f>SUM(AB720:AB731)</f>
        <v>0</v>
      </c>
    </row>
    <row r="734" spans="15:39" ht="16.5" thickTop="1">
      <c r="P734" s="121" t="s">
        <v>519</v>
      </c>
      <c r="Q734" s="36"/>
      <c r="AC734" s="191"/>
      <c r="AD734" s="191"/>
      <c r="AE734" s="192" t="s">
        <v>382</v>
      </c>
      <c r="AF734" s="191"/>
      <c r="AG734" s="191"/>
      <c r="AH734" s="191"/>
      <c r="AI734" s="191"/>
      <c r="AJ734" s="191"/>
      <c r="AK734" s="191"/>
      <c r="AL734" s="191"/>
      <c r="AM734" s="193"/>
    </row>
    <row r="735" spans="15:39">
      <c r="X735" s="52" t="s">
        <v>9</v>
      </c>
      <c r="AC735" s="193"/>
      <c r="AD735" s="191"/>
      <c r="AE735" s="192" t="s">
        <v>383</v>
      </c>
      <c r="AF735" s="191"/>
      <c r="AG735" s="191"/>
      <c r="AH735" s="193"/>
      <c r="AI735" s="191"/>
      <c r="AJ735" s="191"/>
      <c r="AK735" s="191"/>
      <c r="AL735" s="192" t="s">
        <v>387</v>
      </c>
      <c r="AM735" s="193"/>
    </row>
    <row r="736" spans="15:39">
      <c r="Q736" s="52" t="s">
        <v>261</v>
      </c>
      <c r="R736" s="52" t="s">
        <v>255</v>
      </c>
      <c r="S736" s="52"/>
      <c r="T736" s="52" t="s">
        <v>245</v>
      </c>
      <c r="X736" s="52" t="s">
        <v>15</v>
      </c>
      <c r="Y736" s="52" t="s">
        <v>245</v>
      </c>
      <c r="AC736" s="192" t="s">
        <v>379</v>
      </c>
      <c r="AD736" s="191" t="s">
        <v>263</v>
      </c>
      <c r="AE736" s="192" t="s">
        <v>348</v>
      </c>
      <c r="AF736" s="192" t="s">
        <v>115</v>
      </c>
      <c r="AG736" s="192" t="s">
        <v>384</v>
      </c>
      <c r="AH736" s="192" t="s">
        <v>385</v>
      </c>
      <c r="AI736" s="192" t="s">
        <v>243</v>
      </c>
      <c r="AJ736" s="192" t="s">
        <v>386</v>
      </c>
      <c r="AK736" s="191" t="s">
        <v>140</v>
      </c>
      <c r="AL736" s="192" t="s">
        <v>388</v>
      </c>
      <c r="AM736" s="193"/>
    </row>
    <row r="737" spans="12:42">
      <c r="Q737" s="52" t="s">
        <v>248</v>
      </c>
      <c r="R737" s="52" t="s">
        <v>224</v>
      </c>
      <c r="S737" s="52"/>
      <c r="T737" s="52" t="s">
        <v>224</v>
      </c>
      <c r="U737" s="52" t="s">
        <v>11</v>
      </c>
      <c r="V737" s="52" t="s">
        <v>219</v>
      </c>
      <c r="W737" s="52" t="s">
        <v>220</v>
      </c>
      <c r="X737" s="52" t="s">
        <v>249</v>
      </c>
      <c r="Y737" s="52" t="s">
        <v>250</v>
      </c>
      <c r="Z737" s="52" t="s">
        <v>251</v>
      </c>
      <c r="AA737" s="52" t="s">
        <v>8</v>
      </c>
      <c r="AB737" s="52" t="s">
        <v>252</v>
      </c>
      <c r="AC737" s="192" t="s">
        <v>380</v>
      </c>
      <c r="AD737" s="192" t="s">
        <v>381</v>
      </c>
      <c r="AE737" s="192" t="s">
        <v>379</v>
      </c>
      <c r="AF737" s="192" t="s">
        <v>263</v>
      </c>
      <c r="AG737" s="192" t="s">
        <v>263</v>
      </c>
      <c r="AH737" s="191" t="s">
        <v>207</v>
      </c>
      <c r="AI737" s="192" t="s">
        <v>348</v>
      </c>
      <c r="AJ737" s="192" t="s">
        <v>80</v>
      </c>
      <c r="AK737" s="191" t="s">
        <v>272</v>
      </c>
      <c r="AL737" s="192" t="s">
        <v>389</v>
      </c>
      <c r="AM737" s="191" t="s">
        <v>217</v>
      </c>
    </row>
    <row r="738" spans="12:42">
      <c r="P738" s="122" t="s">
        <v>134</v>
      </c>
      <c r="Q738" s="122"/>
      <c r="R738" s="122" t="s">
        <v>134</v>
      </c>
      <c r="S738" s="122"/>
      <c r="T738" s="122" t="s">
        <v>134</v>
      </c>
      <c r="U738" s="122" t="s">
        <v>134</v>
      </c>
      <c r="V738" s="122" t="s">
        <v>134</v>
      </c>
      <c r="W738" s="122" t="s">
        <v>134</v>
      </c>
      <c r="X738" s="122" t="s">
        <v>134</v>
      </c>
      <c r="Y738" s="122" t="s">
        <v>134</v>
      </c>
      <c r="Z738" s="122" t="s">
        <v>134</v>
      </c>
      <c r="AA738" s="122" t="s">
        <v>134</v>
      </c>
      <c r="AB738" s="122" t="s">
        <v>134</v>
      </c>
      <c r="AC738" s="194" t="s">
        <v>134</v>
      </c>
      <c r="AD738" s="194" t="s">
        <v>134</v>
      </c>
      <c r="AE738" s="194" t="s">
        <v>134</v>
      </c>
      <c r="AF738" s="194" t="s">
        <v>134</v>
      </c>
      <c r="AG738" s="194" t="s">
        <v>134</v>
      </c>
      <c r="AH738" s="194" t="s">
        <v>134</v>
      </c>
      <c r="AI738" s="194" t="s">
        <v>134</v>
      </c>
      <c r="AJ738" s="194" t="s">
        <v>134</v>
      </c>
      <c r="AK738" s="194" t="s">
        <v>134</v>
      </c>
      <c r="AL738" s="194" t="s">
        <v>134</v>
      </c>
      <c r="AM738" s="194" t="s">
        <v>134</v>
      </c>
    </row>
    <row r="739" spans="12:42">
      <c r="V739" s="112"/>
      <c r="W739" s="112"/>
      <c r="X739" s="112"/>
      <c r="Z739" s="112"/>
      <c r="AC739" s="193"/>
      <c r="AD739" s="193"/>
      <c r="AE739" s="193"/>
      <c r="AF739" s="193"/>
      <c r="AG739" s="193"/>
      <c r="AH739" s="193"/>
      <c r="AI739" s="193"/>
      <c r="AJ739" s="193"/>
      <c r="AK739" s="193">
        <v>3.0000000000000001E-3</v>
      </c>
      <c r="AL739" s="193"/>
      <c r="AM739" s="193"/>
    </row>
    <row r="740" spans="12:42">
      <c r="L740" s="312">
        <f>W740/U740</f>
        <v>3.8050000627882892E-2</v>
      </c>
      <c r="M740" s="309">
        <f>N740/R740</f>
        <v>10.715</v>
      </c>
      <c r="N740" s="112">
        <f>V740-AC740</f>
        <v>81819.740000000005</v>
      </c>
      <c r="O740">
        <f>$O$69</f>
        <v>1</v>
      </c>
      <c r="P740" t="s">
        <v>475</v>
      </c>
      <c r="Q740">
        <v>4080</v>
      </c>
      <c r="R740" s="58">
        <v>7636</v>
      </c>
      <c r="S740" s="58">
        <v>7636</v>
      </c>
      <c r="T740" s="58"/>
      <c r="U740" s="58">
        <v>4539063</v>
      </c>
      <c r="V740" s="112">
        <v>81819.740000000005</v>
      </c>
      <c r="W740" s="112">
        <v>172711.35</v>
      </c>
      <c r="X740" s="35">
        <f t="shared" ref="X740:X749" si="264">SUM(R762:X762)</f>
        <v>93143.02</v>
      </c>
      <c r="Y740" s="112"/>
      <c r="Z740" s="112">
        <f t="shared" ref="Z740:Z751" si="265">SUM(V740:Y740)</f>
        <v>347674.11000000004</v>
      </c>
      <c r="AA740" s="112">
        <v>362162.17</v>
      </c>
      <c r="AB740" s="112">
        <f t="shared" ref="AB740:AB751" si="266">AA740-Z740</f>
        <v>14488.059999999939</v>
      </c>
      <c r="AC740" s="193"/>
      <c r="AD740" s="193"/>
      <c r="AE740" s="193"/>
      <c r="AF740" s="193"/>
      <c r="AG740" s="193"/>
      <c r="AH740" s="195"/>
      <c r="AI740" s="193">
        <v>100</v>
      </c>
      <c r="AJ740">
        <v>770.87</v>
      </c>
      <c r="AK740" s="193">
        <f>U740*AK739</f>
        <v>13617.189</v>
      </c>
      <c r="AL740" s="193"/>
      <c r="AM740" s="193">
        <f>SUM(AI740:AL740)</f>
        <v>14488.059000000001</v>
      </c>
      <c r="AN740" s="35">
        <f>AM740-AB740</f>
        <v>-9.9999993835808709E-4</v>
      </c>
      <c r="AP740" s="112"/>
    </row>
    <row r="741" spans="12:42">
      <c r="L741" s="312">
        <f t="shared" ref="L741:L751" si="267">W741/U741</f>
        <v>3.8050000917066611E-2</v>
      </c>
      <c r="M741" s="309">
        <f t="shared" ref="M741:M751" si="268">N741/R741</f>
        <v>10.714999301578432</v>
      </c>
      <c r="N741" s="112">
        <f t="shared" ref="N741:N751" si="269">V741-AC741</f>
        <v>76708.679999999993</v>
      </c>
      <c r="P741" t="s">
        <v>476</v>
      </c>
      <c r="Q741">
        <v>4080</v>
      </c>
      <c r="R741" s="58">
        <v>7159</v>
      </c>
      <c r="S741" s="58">
        <v>7159</v>
      </c>
      <c r="T741" s="58"/>
      <c r="U741" s="58">
        <v>4089125</v>
      </c>
      <c r="V741" s="112">
        <v>76708.679999999993</v>
      </c>
      <c r="W741" s="112">
        <v>155591.21</v>
      </c>
      <c r="X741" s="35">
        <f t="shared" si="264"/>
        <v>71204.12</v>
      </c>
      <c r="Y741" s="112"/>
      <c r="Z741" s="112">
        <f t="shared" si="265"/>
        <v>303504.01</v>
      </c>
      <c r="AA741" s="112">
        <v>316642.25</v>
      </c>
      <c r="AB741" s="112">
        <f t="shared" si="266"/>
        <v>13138.239999999991</v>
      </c>
      <c r="AC741" s="193"/>
      <c r="AD741" s="193"/>
      <c r="AE741" s="193"/>
      <c r="AF741" s="193"/>
      <c r="AG741" s="193"/>
      <c r="AH741" s="195"/>
      <c r="AI741" s="193">
        <v>100</v>
      </c>
      <c r="AJ741">
        <v>770.87</v>
      </c>
      <c r="AK741" s="193">
        <f>U741*AK739</f>
        <v>12267.375</v>
      </c>
      <c r="AL741" s="193"/>
      <c r="AM741" s="193">
        <f t="shared" ref="AM741:AM751" si="270">SUM(AI741:AL741)</f>
        <v>13138.245000000001</v>
      </c>
      <c r="AN741" s="35">
        <f t="shared" ref="AN741:AN751" si="271">AM741-AB741</f>
        <v>5.0000000101135811E-3</v>
      </c>
      <c r="AP741" s="112"/>
    </row>
    <row r="742" spans="12:42">
      <c r="L742" s="312">
        <f t="shared" si="267"/>
        <v>3.8050000355896584E-2</v>
      </c>
      <c r="M742" s="309">
        <f t="shared" si="268"/>
        <v>10.714999330566341</v>
      </c>
      <c r="N742" s="112">
        <f t="shared" si="269"/>
        <v>80030.33</v>
      </c>
      <c r="P742" t="s">
        <v>477</v>
      </c>
      <c r="Q742">
        <v>4080</v>
      </c>
      <c r="R742" s="58">
        <v>7469</v>
      </c>
      <c r="S742" s="58">
        <v>7469</v>
      </c>
      <c r="T742" s="58"/>
      <c r="U742" s="58">
        <v>4495688</v>
      </c>
      <c r="V742" s="112">
        <v>80030.33</v>
      </c>
      <c r="W742" s="112">
        <v>171060.93</v>
      </c>
      <c r="X742" s="35">
        <f t="shared" si="264"/>
        <v>84602.74</v>
      </c>
      <c r="Y742" s="112"/>
      <c r="Z742" s="112">
        <f t="shared" si="265"/>
        <v>335694</v>
      </c>
      <c r="AA742" s="112">
        <v>350051.93</v>
      </c>
      <c r="AB742" s="112">
        <f t="shared" si="266"/>
        <v>14357.929999999993</v>
      </c>
      <c r="AC742" s="193"/>
      <c r="AD742" s="193"/>
      <c r="AE742" s="193"/>
      <c r="AF742" s="193"/>
      <c r="AG742" s="193"/>
      <c r="AH742" s="195"/>
      <c r="AI742" s="193">
        <v>100</v>
      </c>
      <c r="AJ742">
        <v>770.87</v>
      </c>
      <c r="AK742" s="193">
        <f>U742*AK739</f>
        <v>13487.064</v>
      </c>
      <c r="AL742" s="193"/>
      <c r="AM742" s="193">
        <f t="shared" si="270"/>
        <v>14357.934000000001</v>
      </c>
      <c r="AN742" s="35">
        <f t="shared" si="271"/>
        <v>4.0000000080908649E-3</v>
      </c>
      <c r="AP742" s="112"/>
    </row>
    <row r="743" spans="12:42">
      <c r="L743" s="312">
        <f t="shared" si="267"/>
        <v>3.805E-2</v>
      </c>
      <c r="M743" s="309">
        <f t="shared" si="268"/>
        <v>10.715000663393925</v>
      </c>
      <c r="N743" s="112">
        <f t="shared" si="269"/>
        <v>80758.960000000006</v>
      </c>
      <c r="P743" t="s">
        <v>478</v>
      </c>
      <c r="Q743">
        <v>4080</v>
      </c>
      <c r="R743" s="58">
        <v>7537</v>
      </c>
      <c r="S743" s="58">
        <v>7537</v>
      </c>
      <c r="T743" s="58"/>
      <c r="U743" s="58">
        <v>4608000</v>
      </c>
      <c r="V743" s="112">
        <v>80758.960000000006</v>
      </c>
      <c r="W743" s="112">
        <v>175334.39999999999</v>
      </c>
      <c r="X743" s="35">
        <f t="shared" si="264"/>
        <v>36943.78</v>
      </c>
      <c r="Y743" s="112"/>
      <c r="Z743" s="112">
        <f t="shared" si="265"/>
        <v>293037.14</v>
      </c>
      <c r="AA743" s="112">
        <v>307732.01</v>
      </c>
      <c r="AB743" s="112">
        <f t="shared" si="266"/>
        <v>14694.869999999995</v>
      </c>
      <c r="AC743" s="193"/>
      <c r="AD743" s="193"/>
      <c r="AE743" s="193"/>
      <c r="AF743" s="193"/>
      <c r="AG743" s="193"/>
      <c r="AH743" s="195"/>
      <c r="AI743" s="193">
        <v>100</v>
      </c>
      <c r="AJ743">
        <v>770.87</v>
      </c>
      <c r="AK743" s="193">
        <f>U743*AK739</f>
        <v>13824</v>
      </c>
      <c r="AL743" s="193"/>
      <c r="AM743" s="193">
        <f t="shared" si="270"/>
        <v>14694.87</v>
      </c>
      <c r="AN743" s="35">
        <f t="shared" si="271"/>
        <v>0</v>
      </c>
      <c r="AP743" s="112"/>
    </row>
    <row r="744" spans="12:42">
      <c r="L744" s="312">
        <f t="shared" si="267"/>
        <v>3.8050000781229658E-2</v>
      </c>
      <c r="M744" s="309">
        <f t="shared" si="268"/>
        <v>10.714999362813815</v>
      </c>
      <c r="N744" s="112">
        <f t="shared" si="269"/>
        <v>84080.6</v>
      </c>
      <c r="P744" t="s">
        <v>479</v>
      </c>
      <c r="Q744">
        <v>4080</v>
      </c>
      <c r="R744" s="58">
        <v>7847</v>
      </c>
      <c r="S744" s="58">
        <v>7847</v>
      </c>
      <c r="T744" s="58"/>
      <c r="U744" s="58">
        <v>4800125</v>
      </c>
      <c r="V744" s="112">
        <v>84080.6</v>
      </c>
      <c r="W744" s="112">
        <v>182644.76</v>
      </c>
      <c r="X744" s="35">
        <f t="shared" si="264"/>
        <v>109090.06000000001</v>
      </c>
      <c r="Y744" s="112"/>
      <c r="Z744" s="112">
        <f t="shared" si="265"/>
        <v>375815.42</v>
      </c>
      <c r="AA744" s="112">
        <v>391086.66</v>
      </c>
      <c r="AB744" s="112">
        <f t="shared" si="266"/>
        <v>15271.239999999991</v>
      </c>
      <c r="AC744" s="193"/>
      <c r="AD744" s="193"/>
      <c r="AE744" s="193"/>
      <c r="AF744" s="193"/>
      <c r="AG744" s="193"/>
      <c r="AH744" s="195"/>
      <c r="AI744" s="193">
        <v>100</v>
      </c>
      <c r="AJ744">
        <v>770.87</v>
      </c>
      <c r="AK744" s="193">
        <f>U744*AK739</f>
        <v>14400.375</v>
      </c>
      <c r="AL744" s="193"/>
      <c r="AM744" s="193">
        <f t="shared" si="270"/>
        <v>15271.245000000001</v>
      </c>
      <c r="AN744" s="35">
        <f t="shared" si="271"/>
        <v>5.0000000101135811E-3</v>
      </c>
      <c r="AP744" s="112"/>
    </row>
    <row r="745" spans="12:42">
      <c r="L745" s="312">
        <f t="shared" si="267"/>
        <v>3.8050000694471113E-2</v>
      </c>
      <c r="M745" s="309">
        <f t="shared" si="268"/>
        <v>10.715000648424327</v>
      </c>
      <c r="N745" s="112">
        <f t="shared" si="269"/>
        <v>82623.37</v>
      </c>
      <c r="P745" t="s">
        <v>480</v>
      </c>
      <c r="Q745">
        <v>4080</v>
      </c>
      <c r="R745" s="58">
        <v>7711</v>
      </c>
      <c r="S745" s="58">
        <v>7711</v>
      </c>
      <c r="T745" s="58"/>
      <c r="U745" s="58">
        <v>4895812</v>
      </c>
      <c r="V745" s="112">
        <v>82623.37</v>
      </c>
      <c r="W745" s="112">
        <v>186285.65</v>
      </c>
      <c r="X745" s="35">
        <f t="shared" si="264"/>
        <v>117738.25</v>
      </c>
      <c r="Y745" s="112"/>
      <c r="Z745" s="112">
        <f t="shared" si="265"/>
        <v>386647.27</v>
      </c>
      <c r="AA745" s="112">
        <v>402205.57</v>
      </c>
      <c r="AB745" s="112">
        <f t="shared" si="266"/>
        <v>15558.299999999988</v>
      </c>
      <c r="AC745" s="193"/>
      <c r="AD745" s="193"/>
      <c r="AE745" s="193"/>
      <c r="AF745" s="193"/>
      <c r="AG745" s="193"/>
      <c r="AH745" s="195"/>
      <c r="AI745" s="193">
        <v>100</v>
      </c>
      <c r="AJ745">
        <v>770.87</v>
      </c>
      <c r="AK745" s="193">
        <f>U745*AK739</f>
        <v>14687.436</v>
      </c>
      <c r="AL745" s="193"/>
      <c r="AM745" s="193">
        <f t="shared" si="270"/>
        <v>15558.306</v>
      </c>
      <c r="AN745" s="35">
        <f t="shared" si="271"/>
        <v>6.0000000121362973E-3</v>
      </c>
      <c r="AP745" s="112"/>
    </row>
    <row r="746" spans="12:42">
      <c r="L746" s="312">
        <f t="shared" si="267"/>
        <v>3.8049999546275949E-2</v>
      </c>
      <c r="M746" s="309">
        <f t="shared" si="268"/>
        <v>10.715000000000002</v>
      </c>
      <c r="N746" s="112">
        <f t="shared" si="269"/>
        <v>85698.57</v>
      </c>
      <c r="P746" t="s">
        <v>481</v>
      </c>
      <c r="Q746">
        <v>4080</v>
      </c>
      <c r="R746" s="58">
        <v>7998</v>
      </c>
      <c r="S746" s="58">
        <v>7998</v>
      </c>
      <c r="T746" s="58"/>
      <c r="U746" s="58">
        <v>4738563</v>
      </c>
      <c r="V746" s="112">
        <v>85698.57</v>
      </c>
      <c r="W746" s="112">
        <v>180302.32</v>
      </c>
      <c r="X746" s="35">
        <f t="shared" si="264"/>
        <v>185244.94</v>
      </c>
      <c r="Y746" s="112"/>
      <c r="Z746" s="112">
        <f t="shared" si="265"/>
        <v>451245.83</v>
      </c>
      <c r="AA746" s="112">
        <v>466332.39</v>
      </c>
      <c r="AB746" s="112">
        <f t="shared" si="266"/>
        <v>15086.559999999998</v>
      </c>
      <c r="AC746" s="193"/>
      <c r="AD746" s="193"/>
      <c r="AE746" s="193"/>
      <c r="AF746" s="193"/>
      <c r="AG746" s="193"/>
      <c r="AH746" s="195"/>
      <c r="AI746" s="193">
        <v>100</v>
      </c>
      <c r="AJ746">
        <v>770.87</v>
      </c>
      <c r="AK746" s="193">
        <f>U746*AK739</f>
        <v>14215.689</v>
      </c>
      <c r="AL746" s="193"/>
      <c r="AM746" s="193">
        <f t="shared" si="270"/>
        <v>15086.559000000001</v>
      </c>
      <c r="AN746" s="35">
        <f t="shared" si="271"/>
        <v>-9.9999999656574801E-4</v>
      </c>
      <c r="AP746" s="112"/>
    </row>
    <row r="747" spans="12:42">
      <c r="L747" s="312">
        <f t="shared" si="267"/>
        <v>3.8050000261103424E-2</v>
      </c>
      <c r="M747" s="309">
        <f t="shared" si="268"/>
        <v>10.715</v>
      </c>
      <c r="N747" s="112">
        <f t="shared" si="269"/>
        <v>80683.95</v>
      </c>
      <c r="P747" t="s">
        <v>482</v>
      </c>
      <c r="Q747">
        <v>4080</v>
      </c>
      <c r="R747" s="58">
        <v>7530</v>
      </c>
      <c r="S747" s="58">
        <v>7530</v>
      </c>
      <c r="T747" s="58"/>
      <c r="U747" s="58">
        <v>4787375</v>
      </c>
      <c r="V747" s="112">
        <v>80683.95</v>
      </c>
      <c r="W747" s="112">
        <v>182159.62</v>
      </c>
      <c r="X747" s="35">
        <f t="shared" si="264"/>
        <v>164540.76</v>
      </c>
      <c r="Y747" s="112"/>
      <c r="Z747" s="112">
        <f t="shared" si="265"/>
        <v>427384.33</v>
      </c>
      <c r="AA747" s="112">
        <v>442617.32</v>
      </c>
      <c r="AB747" s="112">
        <f t="shared" si="266"/>
        <v>15232.989999999991</v>
      </c>
      <c r="AC747" s="193"/>
      <c r="AD747" s="193"/>
      <c r="AE747" s="193"/>
      <c r="AF747" s="193"/>
      <c r="AG747" s="193"/>
      <c r="AH747" s="195"/>
      <c r="AI747" s="193">
        <v>100</v>
      </c>
      <c r="AJ747">
        <v>770.87</v>
      </c>
      <c r="AK747" s="193">
        <f>U747*AK739</f>
        <v>14362.125</v>
      </c>
      <c r="AL747" s="193"/>
      <c r="AM747" s="193">
        <f t="shared" si="270"/>
        <v>15232.995000000001</v>
      </c>
      <c r="AN747" s="35">
        <f t="shared" si="271"/>
        <v>5.0000000101135811E-3</v>
      </c>
      <c r="AP747" s="112"/>
    </row>
    <row r="748" spans="12:42">
      <c r="L748" s="312">
        <f t="shared" si="267"/>
        <v>3.805000088419936E-2</v>
      </c>
      <c r="M748" s="309">
        <f t="shared" si="268"/>
        <v>10.715</v>
      </c>
      <c r="N748" s="112">
        <f t="shared" si="269"/>
        <v>82548.36</v>
      </c>
      <c r="P748" t="s">
        <v>483</v>
      </c>
      <c r="Q748">
        <v>4080</v>
      </c>
      <c r="R748" s="58">
        <v>7704</v>
      </c>
      <c r="S748" s="58">
        <v>7704</v>
      </c>
      <c r="T748" s="58"/>
      <c r="U748" s="58">
        <v>4241125</v>
      </c>
      <c r="V748" s="112">
        <v>82548.36</v>
      </c>
      <c r="W748" s="112">
        <v>161374.81</v>
      </c>
      <c r="X748" s="35">
        <f t="shared" si="264"/>
        <v>116824.17000000001</v>
      </c>
      <c r="Y748" s="112"/>
      <c r="Z748" s="112">
        <f t="shared" si="265"/>
        <v>360747.33999999997</v>
      </c>
      <c r="AA748" s="112">
        <v>374341.58</v>
      </c>
      <c r="AB748" s="112">
        <f t="shared" si="266"/>
        <v>13594.240000000049</v>
      </c>
      <c r="AC748" s="193"/>
      <c r="AD748" s="193"/>
      <c r="AE748" s="193"/>
      <c r="AF748" s="193"/>
      <c r="AG748" s="193"/>
      <c r="AH748" s="195"/>
      <c r="AI748" s="193">
        <v>100</v>
      </c>
      <c r="AJ748">
        <v>770.87</v>
      </c>
      <c r="AK748" s="193">
        <f>U748*AK739</f>
        <v>12723.375</v>
      </c>
      <c r="AL748" s="193"/>
      <c r="AM748" s="193">
        <f t="shared" si="270"/>
        <v>13594.245000000001</v>
      </c>
      <c r="AN748" s="35">
        <f t="shared" si="271"/>
        <v>4.9999999519059202E-3</v>
      </c>
      <c r="AP748" s="112"/>
    </row>
    <row r="749" spans="12:42">
      <c r="L749" s="312">
        <f t="shared" si="267"/>
        <v>3.8049999400946506E-2</v>
      </c>
      <c r="M749" s="309">
        <f t="shared" si="268"/>
        <v>10.714999360368427</v>
      </c>
      <c r="N749" s="112">
        <f t="shared" si="269"/>
        <v>83759.149999999994</v>
      </c>
      <c r="P749" t="s">
        <v>484</v>
      </c>
      <c r="Q749">
        <v>4080</v>
      </c>
      <c r="R749" s="58">
        <v>7817</v>
      </c>
      <c r="S749" s="58">
        <v>7817</v>
      </c>
      <c r="T749" s="58"/>
      <c r="U749" s="58">
        <v>4173250</v>
      </c>
      <c r="V749" s="112">
        <v>83759.149999999994</v>
      </c>
      <c r="W749" s="112">
        <v>158792.16</v>
      </c>
      <c r="X749" s="35">
        <f t="shared" si="264"/>
        <v>104516.25</v>
      </c>
      <c r="Y749" s="112"/>
      <c r="Z749" s="112">
        <f t="shared" si="265"/>
        <v>347067.56</v>
      </c>
      <c r="AA749" s="112">
        <v>360458.18</v>
      </c>
      <c r="AB749" s="112">
        <f t="shared" si="266"/>
        <v>13390.619999999995</v>
      </c>
      <c r="AC749" s="193"/>
      <c r="AD749" s="193"/>
      <c r="AE749" s="193"/>
      <c r="AF749" s="195"/>
      <c r="AG749" s="195"/>
      <c r="AH749" s="195"/>
      <c r="AI749" s="193">
        <v>100</v>
      </c>
      <c r="AJ749">
        <v>770.87</v>
      </c>
      <c r="AK749" s="193">
        <f>U749*AK739</f>
        <v>12519.75</v>
      </c>
      <c r="AL749" s="193"/>
      <c r="AM749" s="193">
        <f t="shared" si="270"/>
        <v>13390.62</v>
      </c>
      <c r="AN749" s="35">
        <f t="shared" si="271"/>
        <v>0</v>
      </c>
      <c r="AP749" s="112"/>
    </row>
    <row r="750" spans="12:42">
      <c r="L750" s="312">
        <f t="shared" si="267"/>
        <v>3.8049999210339289E-2</v>
      </c>
      <c r="M750" s="309">
        <f t="shared" si="268"/>
        <v>10.715000644579089</v>
      </c>
      <c r="N750" s="112">
        <f t="shared" si="269"/>
        <v>83116.259999999995</v>
      </c>
      <c r="P750" s="169" t="s">
        <v>1091</v>
      </c>
      <c r="Q750">
        <v>4080</v>
      </c>
      <c r="R750" s="58">
        <v>7757</v>
      </c>
      <c r="S750" s="58">
        <v>7757</v>
      </c>
      <c r="T750" s="58"/>
      <c r="U750" s="58">
        <v>4748875</v>
      </c>
      <c r="V750" s="112">
        <v>83116.259999999995</v>
      </c>
      <c r="W750" s="112">
        <v>180694.69</v>
      </c>
      <c r="X750" s="35">
        <f t="shared" ref="X750:X751" si="272">SUM(R772:Y772)</f>
        <v>121392.45999999999</v>
      </c>
      <c r="Y750" s="112"/>
      <c r="Z750" s="112">
        <f t="shared" si="265"/>
        <v>385203.41000000003</v>
      </c>
      <c r="AA750" s="112">
        <v>400320.91</v>
      </c>
      <c r="AB750" s="112">
        <f t="shared" si="266"/>
        <v>15117.499999999942</v>
      </c>
      <c r="AC750" s="193"/>
      <c r="AD750" s="193"/>
      <c r="AE750" s="193"/>
      <c r="AF750" s="195"/>
      <c r="AG750" s="195"/>
      <c r="AH750" s="195"/>
      <c r="AI750" s="193">
        <v>100</v>
      </c>
      <c r="AJ750">
        <v>770.87</v>
      </c>
      <c r="AK750" s="193">
        <f>U750*AK739</f>
        <v>14246.625</v>
      </c>
      <c r="AL750" s="193"/>
      <c r="AM750" s="193">
        <f t="shared" si="270"/>
        <v>15117.495000000001</v>
      </c>
      <c r="AN750" s="35">
        <f t="shared" si="271"/>
        <v>-4.9999999409919837E-3</v>
      </c>
      <c r="AP750" s="112"/>
    </row>
    <row r="751" spans="12:42">
      <c r="L751" s="312">
        <f t="shared" si="267"/>
        <v>3.8050000504643071E-2</v>
      </c>
      <c r="M751" s="309">
        <f t="shared" si="268"/>
        <v>10.715000628693574</v>
      </c>
      <c r="N751" s="112">
        <f t="shared" si="269"/>
        <v>85216.4</v>
      </c>
      <c r="O751">
        <f>$O$80</f>
        <v>12</v>
      </c>
      <c r="P751" t="s">
        <v>474</v>
      </c>
      <c r="Q751">
        <v>4080</v>
      </c>
      <c r="R751" s="58">
        <v>7953</v>
      </c>
      <c r="S751" s="58">
        <v>7953</v>
      </c>
      <c r="T751" s="58"/>
      <c r="U751" s="58">
        <v>4260437</v>
      </c>
      <c r="V751" s="112">
        <v>85216.4</v>
      </c>
      <c r="W751" s="112">
        <v>162109.63</v>
      </c>
      <c r="X751" s="35">
        <f t="shared" si="272"/>
        <v>59124.639999999992</v>
      </c>
      <c r="Y751" s="112"/>
      <c r="Z751" s="112">
        <f t="shared" si="265"/>
        <v>306450.67</v>
      </c>
      <c r="AA751" s="112">
        <v>320102.84999999998</v>
      </c>
      <c r="AB751" s="112">
        <f t="shared" si="266"/>
        <v>13652.179999999993</v>
      </c>
      <c r="AC751" s="193"/>
      <c r="AD751" s="193"/>
      <c r="AE751" s="193"/>
      <c r="AF751" s="195"/>
      <c r="AG751" s="195"/>
      <c r="AH751" s="195"/>
      <c r="AI751" s="193">
        <v>100</v>
      </c>
      <c r="AJ751">
        <v>770.87</v>
      </c>
      <c r="AK751" s="193">
        <f>U751*AK739</f>
        <v>12781.311</v>
      </c>
      <c r="AL751" s="193"/>
      <c r="AM751" s="193">
        <f t="shared" si="270"/>
        <v>13652.181</v>
      </c>
      <c r="AN751" s="35">
        <f t="shared" si="271"/>
        <v>1.0000000074796844E-3</v>
      </c>
      <c r="AP751" s="112"/>
    </row>
    <row r="752" spans="12:42">
      <c r="R752" s="124" t="s">
        <v>134</v>
      </c>
      <c r="S752" s="124"/>
      <c r="T752" s="124" t="s">
        <v>134</v>
      </c>
      <c r="U752" s="124" t="s">
        <v>134</v>
      </c>
      <c r="V752" s="125" t="s">
        <v>134</v>
      </c>
      <c r="W752" s="125" t="s">
        <v>134</v>
      </c>
      <c r="X752" s="125" t="s">
        <v>134</v>
      </c>
      <c r="Y752" s="122" t="s">
        <v>134</v>
      </c>
      <c r="Z752" s="125" t="s">
        <v>134</v>
      </c>
      <c r="AA752" s="125" t="s">
        <v>134</v>
      </c>
      <c r="AB752" s="125" t="s">
        <v>134</v>
      </c>
      <c r="AC752" s="193"/>
      <c r="AD752" s="193"/>
      <c r="AE752" s="193"/>
      <c r="AF752" s="193"/>
      <c r="AG752" s="193"/>
      <c r="AH752" s="193"/>
      <c r="AI752" s="193"/>
      <c r="AJ752" s="193"/>
      <c r="AK752" s="193"/>
      <c r="AL752" s="193"/>
      <c r="AM752" s="193"/>
    </row>
    <row r="753" spans="15:43">
      <c r="R753" s="58"/>
      <c r="S753" s="58"/>
      <c r="T753" s="58"/>
      <c r="U753" s="58"/>
      <c r="V753" s="112"/>
      <c r="W753" s="112"/>
      <c r="X753" s="112"/>
      <c r="Z753" s="112"/>
      <c r="AA753" s="112"/>
      <c r="AB753" s="112"/>
      <c r="AC753" s="193"/>
      <c r="AD753" s="193"/>
      <c r="AE753" s="193"/>
      <c r="AF753" s="193"/>
      <c r="AG753" s="193"/>
      <c r="AH753" s="193"/>
      <c r="AI753" s="193"/>
      <c r="AJ753" s="193"/>
      <c r="AK753" s="193"/>
      <c r="AL753" s="193"/>
      <c r="AM753" s="193"/>
    </row>
    <row r="754" spans="15:43">
      <c r="R754" s="58">
        <f t="shared" ref="R754:AB754" si="273">SUM(R740:R751)</f>
        <v>92118</v>
      </c>
      <c r="S754" s="58">
        <f t="shared" si="273"/>
        <v>92118</v>
      </c>
      <c r="T754" s="58">
        <f t="shared" si="273"/>
        <v>0</v>
      </c>
      <c r="U754" s="58">
        <f t="shared" si="273"/>
        <v>54377438</v>
      </c>
      <c r="V754" s="112">
        <f t="shared" si="273"/>
        <v>987044.37</v>
      </c>
      <c r="W754" s="112">
        <f t="shared" si="273"/>
        <v>2069061.5300000003</v>
      </c>
      <c r="X754" s="112">
        <f t="shared" si="273"/>
        <v>1264365.19</v>
      </c>
      <c r="Y754" s="112">
        <f t="shared" si="273"/>
        <v>0</v>
      </c>
      <c r="Z754" s="112">
        <f t="shared" si="273"/>
        <v>4320471.0900000008</v>
      </c>
      <c r="AA754" s="112">
        <f t="shared" si="273"/>
        <v>4494053.82</v>
      </c>
      <c r="AB754" s="112">
        <f t="shared" si="273"/>
        <v>173582.72999999986</v>
      </c>
      <c r="AC754" s="197">
        <f t="shared" ref="AC754:AM754" si="274">SUM(AC740:AC751)</f>
        <v>0</v>
      </c>
      <c r="AD754" s="197">
        <f t="shared" si="274"/>
        <v>0</v>
      </c>
      <c r="AE754" s="197">
        <f t="shared" si="274"/>
        <v>0</v>
      </c>
      <c r="AF754" s="197">
        <f t="shared" si="274"/>
        <v>0</v>
      </c>
      <c r="AG754" s="197">
        <f t="shared" si="274"/>
        <v>0</v>
      </c>
      <c r="AH754" s="197">
        <f t="shared" si="274"/>
        <v>0</v>
      </c>
      <c r="AI754" s="197">
        <f t="shared" si="274"/>
        <v>1200</v>
      </c>
      <c r="AJ754" s="197">
        <f t="shared" si="274"/>
        <v>9250.44</v>
      </c>
      <c r="AK754" s="197">
        <f t="shared" si="274"/>
        <v>163132.31399999998</v>
      </c>
      <c r="AL754" s="197">
        <f t="shared" si="274"/>
        <v>0</v>
      </c>
      <c r="AM754" s="197">
        <f t="shared" si="274"/>
        <v>173582.75399999999</v>
      </c>
      <c r="AN754" s="112"/>
      <c r="AO754" s="112"/>
      <c r="AP754" s="112"/>
      <c r="AQ754" s="112"/>
    </row>
    <row r="755" spans="15:43">
      <c r="R755" s="124" t="s">
        <v>229</v>
      </c>
      <c r="S755" s="124"/>
      <c r="T755" s="124" t="s">
        <v>229</v>
      </c>
      <c r="U755" s="124" t="s">
        <v>229</v>
      </c>
      <c r="V755" s="125" t="s">
        <v>229</v>
      </c>
      <c r="W755" s="125" t="s">
        <v>229</v>
      </c>
      <c r="X755" s="125" t="s">
        <v>229</v>
      </c>
      <c r="Y755" s="125" t="s">
        <v>229</v>
      </c>
      <c r="Z755" s="125" t="s">
        <v>229</v>
      </c>
      <c r="AA755" s="125" t="s">
        <v>229</v>
      </c>
      <c r="AB755" s="125" t="s">
        <v>229</v>
      </c>
      <c r="AC755" s="198" t="s">
        <v>229</v>
      </c>
      <c r="AD755" s="198" t="s">
        <v>229</v>
      </c>
      <c r="AE755" s="198" t="s">
        <v>229</v>
      </c>
      <c r="AF755" s="198" t="s">
        <v>229</v>
      </c>
      <c r="AG755" s="198" t="s">
        <v>229</v>
      </c>
      <c r="AH755" s="198" t="s">
        <v>229</v>
      </c>
      <c r="AI755" s="198" t="s">
        <v>229</v>
      </c>
      <c r="AJ755" s="198" t="s">
        <v>229</v>
      </c>
      <c r="AK755" s="198" t="s">
        <v>229</v>
      </c>
      <c r="AL755" s="198" t="s">
        <v>229</v>
      </c>
      <c r="AM755" s="198" t="s">
        <v>229</v>
      </c>
    </row>
    <row r="758" spans="15:43">
      <c r="S758" s="52" t="s">
        <v>367</v>
      </c>
    </row>
    <row r="759" spans="15:43">
      <c r="P759" s="52"/>
      <c r="Q759" s="52"/>
      <c r="R759" s="52" t="s">
        <v>221</v>
      </c>
      <c r="S759" s="52" t="s">
        <v>343</v>
      </c>
      <c r="T759" s="52" t="s">
        <v>222</v>
      </c>
      <c r="U759" s="52" t="s">
        <v>371</v>
      </c>
      <c r="V759" s="52" t="s">
        <v>368</v>
      </c>
      <c r="W759" s="52" t="s">
        <v>369</v>
      </c>
      <c r="X759" s="52" t="s">
        <v>370</v>
      </c>
      <c r="Y759" s="52" t="s">
        <v>372</v>
      </c>
      <c r="Z759" s="52"/>
      <c r="AA759" s="52"/>
      <c r="AB759" s="52"/>
      <c r="AD759" s="52"/>
      <c r="AE759" s="52"/>
      <c r="AF759" s="52"/>
      <c r="AG759" s="52"/>
      <c r="AH759" s="52"/>
    </row>
    <row r="760" spans="15:43">
      <c r="P760" s="52"/>
      <c r="Q760" s="52"/>
      <c r="R760" s="89" t="s">
        <v>15</v>
      </c>
      <c r="S760" s="89" t="s">
        <v>344</v>
      </c>
      <c r="T760" s="89" t="s">
        <v>227</v>
      </c>
      <c r="U760" s="89" t="s">
        <v>375</v>
      </c>
      <c r="V760" s="89" t="s">
        <v>226</v>
      </c>
      <c r="W760" s="89" t="s">
        <v>373</v>
      </c>
      <c r="X760" s="89" t="s">
        <v>374</v>
      </c>
      <c r="Y760" s="89" t="s">
        <v>376</v>
      </c>
      <c r="Z760" s="52"/>
      <c r="AA760" s="52"/>
      <c r="AB760" s="52"/>
      <c r="AD760" s="52"/>
      <c r="AE760" s="52"/>
      <c r="AF760" s="52"/>
      <c r="AG760" s="52"/>
      <c r="AH760" s="52"/>
    </row>
    <row r="761" spans="15:43"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183" t="s">
        <v>217</v>
      </c>
      <c r="AD761" s="52"/>
      <c r="AE761" s="52"/>
      <c r="AF761" s="52"/>
      <c r="AG761" s="52"/>
      <c r="AH761" s="52"/>
    </row>
    <row r="762" spans="15:43">
      <c r="O762">
        <f>$O$69</f>
        <v>1</v>
      </c>
      <c r="P762" t="str">
        <f t="shared" ref="P762:P773" si="275">P740</f>
        <v>MAR</v>
      </c>
      <c r="R762" s="117">
        <v>87031.99</v>
      </c>
      <c r="S762" s="117">
        <v>11315.88</v>
      </c>
      <c r="T762" s="117">
        <v>18913.59</v>
      </c>
      <c r="U762" s="117">
        <v>-24118.44</v>
      </c>
      <c r="V762" s="117"/>
      <c r="W762" s="117"/>
      <c r="X762" s="117"/>
      <c r="Z762" s="117"/>
      <c r="AA762" s="117"/>
      <c r="AB762" s="35">
        <f t="shared" ref="AB762:AB773" si="276">SUM(R762:AA762)</f>
        <v>93143.02</v>
      </c>
    </row>
    <row r="763" spans="15:43">
      <c r="P763" t="str">
        <f t="shared" si="275"/>
        <v>APR</v>
      </c>
      <c r="R763" s="117">
        <v>62265.11</v>
      </c>
      <c r="S763" s="117">
        <v>10194.19</v>
      </c>
      <c r="T763" s="117">
        <v>19850.099999999999</v>
      </c>
      <c r="U763" s="117">
        <v>-21105.279999999999</v>
      </c>
      <c r="V763" s="117"/>
      <c r="W763" s="117"/>
      <c r="X763" s="117"/>
      <c r="Z763" s="117"/>
      <c r="AA763" s="117"/>
      <c r="AB763" s="35">
        <f t="shared" si="276"/>
        <v>71204.12</v>
      </c>
    </row>
    <row r="764" spans="15:43">
      <c r="P764" t="str">
        <f t="shared" si="275"/>
        <v>MAY</v>
      </c>
      <c r="R764" s="117">
        <v>81250.570000000007</v>
      </c>
      <c r="S764" s="117">
        <v>11207.75</v>
      </c>
      <c r="T764" s="117">
        <v>14831.22</v>
      </c>
      <c r="U764" s="117">
        <v>-22686.799999999999</v>
      </c>
      <c r="V764" s="117"/>
      <c r="W764" s="117"/>
      <c r="X764" s="117"/>
      <c r="Z764" s="117"/>
      <c r="AA764" s="117"/>
      <c r="AB764" s="35">
        <f t="shared" si="276"/>
        <v>84602.74</v>
      </c>
    </row>
    <row r="765" spans="15:43">
      <c r="P765" t="str">
        <f t="shared" si="275"/>
        <v>JUN</v>
      </c>
      <c r="R765" s="348">
        <v>28541.95</v>
      </c>
      <c r="S765" s="348">
        <v>11487.74</v>
      </c>
      <c r="T765" s="348">
        <v>18909.849999999999</v>
      </c>
      <c r="U765" s="348">
        <v>-21995.759999999998</v>
      </c>
      <c r="V765" s="117"/>
      <c r="W765" s="117"/>
      <c r="X765" s="117"/>
      <c r="Z765" s="117"/>
      <c r="AA765" s="117"/>
      <c r="AB765" s="35">
        <f t="shared" si="276"/>
        <v>36943.78</v>
      </c>
    </row>
    <row r="766" spans="15:43">
      <c r="P766" t="str">
        <f t="shared" si="275"/>
        <v>JUL</v>
      </c>
      <c r="R766" s="348">
        <v>98239.360000000001</v>
      </c>
      <c r="S766" s="348">
        <v>11966.71</v>
      </c>
      <c r="T766" s="348">
        <v>17227.82</v>
      </c>
      <c r="U766" s="348">
        <v>-18343.830000000002</v>
      </c>
      <c r="V766" s="117"/>
      <c r="W766" s="117"/>
      <c r="X766" s="117"/>
      <c r="Y766" s="117"/>
      <c r="Z766" s="117"/>
      <c r="AA766" s="117"/>
      <c r="AB766" s="35">
        <f t="shared" si="276"/>
        <v>109090.06000000001</v>
      </c>
    </row>
    <row r="767" spans="15:43">
      <c r="P767" t="str">
        <f t="shared" si="275"/>
        <v>AUG</v>
      </c>
      <c r="R767" s="348">
        <v>108770.26</v>
      </c>
      <c r="S767" s="348">
        <v>12205.26</v>
      </c>
      <c r="T767" s="348">
        <v>18517.13</v>
      </c>
      <c r="U767" s="348">
        <v>-21754.400000000001</v>
      </c>
      <c r="V767" s="117"/>
      <c r="W767" s="117"/>
      <c r="X767" s="348"/>
      <c r="Y767" s="348"/>
      <c r="Z767" s="117"/>
      <c r="AA767" s="117"/>
      <c r="AB767" s="35">
        <f t="shared" si="276"/>
        <v>117738.25</v>
      </c>
    </row>
    <row r="768" spans="15:43">
      <c r="P768" t="str">
        <f t="shared" si="275"/>
        <v>SEP</v>
      </c>
      <c r="R768" s="348">
        <v>164238.59</v>
      </c>
      <c r="S768" s="348">
        <v>28521.41</v>
      </c>
      <c r="T768" s="348">
        <v>14055.6</v>
      </c>
      <c r="U768" s="348">
        <v>-21570.66</v>
      </c>
      <c r="V768" s="348"/>
      <c r="W768" s="348"/>
      <c r="X768" s="348"/>
      <c r="Y768" s="348"/>
      <c r="Z768" s="117"/>
      <c r="AA768" s="117"/>
      <c r="AB768" s="35">
        <f t="shared" si="276"/>
        <v>185244.94</v>
      </c>
    </row>
    <row r="769" spans="12:40">
      <c r="P769" t="str">
        <f t="shared" si="275"/>
        <v>OCT</v>
      </c>
      <c r="R769" s="348">
        <v>138230.67000000001</v>
      </c>
      <c r="S769" s="348">
        <v>28815.21</v>
      </c>
      <c r="T769" s="348">
        <v>17883.07</v>
      </c>
      <c r="U769" s="348">
        <v>-20388.189999999999</v>
      </c>
      <c r="V769" s="348"/>
      <c r="W769" s="348"/>
      <c r="X769" s="348"/>
      <c r="Y769" s="348"/>
      <c r="Z769" s="117"/>
      <c r="AA769" s="117"/>
      <c r="AB769" s="35">
        <f t="shared" si="276"/>
        <v>164540.76</v>
      </c>
    </row>
    <row r="770" spans="12:40">
      <c r="P770" t="str">
        <f t="shared" si="275"/>
        <v>NOV</v>
      </c>
      <c r="R770" s="117">
        <v>99666.44</v>
      </c>
      <c r="S770" s="117">
        <v>25527.33</v>
      </c>
      <c r="T770" s="117">
        <v>12174.46</v>
      </c>
      <c r="U770" s="117">
        <v>-20544.060000000001</v>
      </c>
      <c r="V770" s="348"/>
      <c r="W770" s="348"/>
      <c r="X770" s="348"/>
      <c r="Y770" s="348"/>
      <c r="Z770" s="117"/>
      <c r="AA770" s="117"/>
      <c r="AB770" s="35">
        <f t="shared" si="276"/>
        <v>116824.17000000001</v>
      </c>
    </row>
    <row r="771" spans="12:40">
      <c r="P771" t="str">
        <f t="shared" si="275"/>
        <v>DEC</v>
      </c>
      <c r="R771" s="117">
        <v>83594.37</v>
      </c>
      <c r="S771" s="117">
        <v>25118.79</v>
      </c>
      <c r="T771" s="117">
        <v>14296.05</v>
      </c>
      <c r="U771" s="117">
        <v>-18492.96</v>
      </c>
      <c r="V771" s="348"/>
      <c r="W771" s="348"/>
      <c r="X771" s="348"/>
      <c r="Y771" s="348"/>
      <c r="Z771" s="117"/>
      <c r="AA771" s="117"/>
      <c r="AB771" s="35">
        <f t="shared" si="276"/>
        <v>104516.25</v>
      </c>
    </row>
    <row r="772" spans="12:40">
      <c r="P772" t="str">
        <f t="shared" si="275"/>
        <v>Jan 2023</v>
      </c>
      <c r="R772" s="117">
        <v>68792.2</v>
      </c>
      <c r="S772" s="117">
        <v>28583.48</v>
      </c>
      <c r="T772" s="117">
        <v>38399.4</v>
      </c>
      <c r="U772" s="117">
        <v>-14382.62</v>
      </c>
      <c r="V772" s="117"/>
      <c r="W772" s="117"/>
      <c r="X772" s="117"/>
      <c r="Y772" s="117"/>
      <c r="Z772" s="117"/>
      <c r="AA772" s="117"/>
      <c r="AB772" s="35">
        <f t="shared" si="276"/>
        <v>121392.45999999999</v>
      </c>
    </row>
    <row r="773" spans="12:40">
      <c r="O773">
        <f>$O$80</f>
        <v>12</v>
      </c>
      <c r="P773" t="str">
        <f t="shared" si="275"/>
        <v>FEB</v>
      </c>
      <c r="R773" s="117">
        <v>33367.74</v>
      </c>
      <c r="S773" s="117">
        <v>25643.57</v>
      </c>
      <c r="T773" s="117">
        <v>15394.87</v>
      </c>
      <c r="U773" s="117">
        <v>-15281.54</v>
      </c>
      <c r="V773" s="117"/>
      <c r="W773" s="117"/>
      <c r="X773" s="117"/>
      <c r="Y773" s="117"/>
      <c r="Z773" s="117"/>
      <c r="AA773" s="117"/>
      <c r="AB773" s="35">
        <f t="shared" si="276"/>
        <v>59124.639999999992</v>
      </c>
    </row>
    <row r="774" spans="12:40"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35"/>
    </row>
    <row r="775" spans="12:40" ht="13.5" thickBot="1">
      <c r="P775" t="s">
        <v>108</v>
      </c>
      <c r="R775" s="119">
        <f t="shared" ref="R775" si="277">SUM(R762:R773)</f>
        <v>1053989.2500000002</v>
      </c>
      <c r="S775" s="119">
        <f t="shared" ref="S775:Y775" si="278">SUM(S762:S773)</f>
        <v>230587.32</v>
      </c>
      <c r="T775" s="119">
        <f t="shared" si="278"/>
        <v>220453.16</v>
      </c>
      <c r="U775" s="119">
        <f t="shared" si="278"/>
        <v>-240664.54</v>
      </c>
      <c r="V775" s="119">
        <f t="shared" si="278"/>
        <v>0</v>
      </c>
      <c r="W775" s="119">
        <f t="shared" si="278"/>
        <v>0</v>
      </c>
      <c r="X775" s="119">
        <f t="shared" si="278"/>
        <v>0</v>
      </c>
      <c r="Y775" s="119">
        <f t="shared" si="278"/>
        <v>0</v>
      </c>
      <c r="Z775" s="117"/>
      <c r="AA775" s="117"/>
      <c r="AB775" s="119">
        <f>SUM(AB762:AB773)</f>
        <v>1264365.19</v>
      </c>
    </row>
    <row r="776" spans="12:40" ht="16.5" thickTop="1">
      <c r="P776" s="121" t="s">
        <v>520</v>
      </c>
      <c r="Q776" s="36"/>
      <c r="AC776" s="191"/>
      <c r="AD776" s="191"/>
      <c r="AE776" s="192" t="s">
        <v>382</v>
      </c>
      <c r="AF776" s="191"/>
      <c r="AG776" s="191"/>
      <c r="AH776" s="191"/>
      <c r="AI776" s="191"/>
      <c r="AJ776" s="191"/>
      <c r="AK776" s="191"/>
      <c r="AL776" s="191"/>
      <c r="AM776" s="193"/>
    </row>
    <row r="777" spans="12:40">
      <c r="X777" s="52" t="s">
        <v>9</v>
      </c>
      <c r="AC777" s="193"/>
      <c r="AD777" s="191"/>
      <c r="AE777" s="192" t="s">
        <v>383</v>
      </c>
      <c r="AF777" s="191"/>
      <c r="AG777" s="191"/>
      <c r="AH777" s="193"/>
      <c r="AI777" s="191"/>
      <c r="AJ777" s="191"/>
      <c r="AK777" s="191"/>
      <c r="AL777" s="192" t="s">
        <v>387</v>
      </c>
      <c r="AM777" s="193"/>
    </row>
    <row r="778" spans="12:40">
      <c r="Q778" s="52" t="s">
        <v>244</v>
      </c>
      <c r="R778" s="52" t="s">
        <v>255</v>
      </c>
      <c r="S778" s="52"/>
      <c r="T778" s="52" t="s">
        <v>245</v>
      </c>
      <c r="X778" s="52" t="s">
        <v>15</v>
      </c>
      <c r="Y778" s="52" t="s">
        <v>245</v>
      </c>
      <c r="AC778" s="192" t="s">
        <v>379</v>
      </c>
      <c r="AD778" s="191" t="s">
        <v>263</v>
      </c>
      <c r="AE778" s="192" t="s">
        <v>348</v>
      </c>
      <c r="AF778" s="192" t="s">
        <v>115</v>
      </c>
      <c r="AG778" s="192" t="s">
        <v>384</v>
      </c>
      <c r="AH778" s="192" t="s">
        <v>385</v>
      </c>
      <c r="AI778" s="192" t="s">
        <v>243</v>
      </c>
      <c r="AJ778" s="192" t="s">
        <v>386</v>
      </c>
      <c r="AK778" s="191" t="s">
        <v>140</v>
      </c>
      <c r="AL778" s="192" t="s">
        <v>388</v>
      </c>
      <c r="AM778" s="193"/>
    </row>
    <row r="779" spans="12:40">
      <c r="Q779" s="52" t="s">
        <v>248</v>
      </c>
      <c r="R779" s="52" t="s">
        <v>224</v>
      </c>
      <c r="S779" s="52"/>
      <c r="T779" s="52" t="s">
        <v>224</v>
      </c>
      <c r="U779" s="52" t="s">
        <v>11</v>
      </c>
      <c r="V779" s="52" t="s">
        <v>219</v>
      </c>
      <c r="W779" s="52" t="s">
        <v>220</v>
      </c>
      <c r="X779" s="52" t="s">
        <v>249</v>
      </c>
      <c r="Y779" s="52" t="s">
        <v>250</v>
      </c>
      <c r="Z779" s="52" t="s">
        <v>251</v>
      </c>
      <c r="AA779" s="52" t="s">
        <v>8</v>
      </c>
      <c r="AB779" s="52" t="s">
        <v>252</v>
      </c>
      <c r="AC779" s="192" t="s">
        <v>380</v>
      </c>
      <c r="AD779" s="192" t="s">
        <v>381</v>
      </c>
      <c r="AE779" s="192" t="s">
        <v>379</v>
      </c>
      <c r="AF779" s="192" t="s">
        <v>263</v>
      </c>
      <c r="AG779" s="192" t="s">
        <v>263</v>
      </c>
      <c r="AH779" s="191" t="s">
        <v>207</v>
      </c>
      <c r="AI779" s="192" t="s">
        <v>348</v>
      </c>
      <c r="AJ779" s="192" t="s">
        <v>80</v>
      </c>
      <c r="AK779" s="191" t="s">
        <v>272</v>
      </c>
      <c r="AL779" s="192" t="s">
        <v>389</v>
      </c>
      <c r="AM779" s="191" t="s">
        <v>217</v>
      </c>
    </row>
    <row r="780" spans="12:40">
      <c r="P780" s="122" t="s">
        <v>134</v>
      </c>
      <c r="Q780" s="122"/>
      <c r="R780" s="122" t="s">
        <v>134</v>
      </c>
      <c r="S780" s="122"/>
      <c r="T780" s="122" t="s">
        <v>134</v>
      </c>
      <c r="U780" s="122" t="s">
        <v>134</v>
      </c>
      <c r="V780" s="122" t="s">
        <v>134</v>
      </c>
      <c r="W780" s="122" t="s">
        <v>134</v>
      </c>
      <c r="X780" s="122" t="s">
        <v>134</v>
      </c>
      <c r="Y780" s="122" t="s">
        <v>134</v>
      </c>
      <c r="Z780" s="122" t="s">
        <v>134</v>
      </c>
      <c r="AA780" s="122" t="s">
        <v>134</v>
      </c>
      <c r="AB780" s="122" t="s">
        <v>134</v>
      </c>
      <c r="AC780" s="194" t="s">
        <v>134</v>
      </c>
      <c r="AD780" s="194" t="s">
        <v>134</v>
      </c>
      <c r="AE780" s="194" t="s">
        <v>134</v>
      </c>
      <c r="AF780" s="194" t="s">
        <v>134</v>
      </c>
      <c r="AG780" s="194" t="s">
        <v>134</v>
      </c>
      <c r="AH780" s="194" t="s">
        <v>134</v>
      </c>
      <c r="AI780" s="194" t="s">
        <v>134</v>
      </c>
      <c r="AJ780" s="194" t="s">
        <v>134</v>
      </c>
      <c r="AK780" s="194" t="s">
        <v>134</v>
      </c>
      <c r="AL780" s="194" t="s">
        <v>134</v>
      </c>
      <c r="AM780" s="194" t="s">
        <v>134</v>
      </c>
    </row>
    <row r="781" spans="12:40">
      <c r="V781" s="112"/>
      <c r="W781" s="112"/>
      <c r="X781" s="112"/>
      <c r="Z781" s="112"/>
      <c r="AC781" s="193"/>
      <c r="AD781" s="193"/>
      <c r="AE781" s="193"/>
      <c r="AF781" s="193"/>
      <c r="AG781" s="193"/>
      <c r="AH781" s="193"/>
      <c r="AI781" s="193"/>
      <c r="AJ781" s="193"/>
      <c r="AK781" s="193">
        <v>3.0000000000000001E-3</v>
      </c>
      <c r="AL781" s="193"/>
      <c r="AM781" s="193"/>
    </row>
    <row r="782" spans="12:40">
      <c r="L782" s="312">
        <f>W782/U782</f>
        <v>3.8049999837084549E-2</v>
      </c>
      <c r="M782" s="309">
        <f>N782/R782</f>
        <v>10.714999513476696</v>
      </c>
      <c r="N782" s="112">
        <f>V782-AC782</f>
        <v>110118.05</v>
      </c>
      <c r="O782">
        <f>$O$69</f>
        <v>1</v>
      </c>
      <c r="P782" t="s">
        <v>475</v>
      </c>
      <c r="Q782">
        <v>8400</v>
      </c>
      <c r="R782" s="58">
        <v>10277</v>
      </c>
      <c r="S782" s="58">
        <v>10277</v>
      </c>
      <c r="T782" s="58"/>
      <c r="U782" s="58">
        <v>5524338</v>
      </c>
      <c r="V782" s="112">
        <v>110118.05</v>
      </c>
      <c r="W782" s="112">
        <v>210201.06</v>
      </c>
      <c r="X782" s="35">
        <f>AB804</f>
        <v>113926.01000000001</v>
      </c>
      <c r="Y782" s="112"/>
      <c r="Z782" s="112">
        <f t="shared" ref="Z782:Z793" si="279">SUM(V782:Y782)</f>
        <v>434245.12</v>
      </c>
      <c r="AA782" s="112">
        <v>464650.54</v>
      </c>
      <c r="AB782" s="112">
        <f t="shared" ref="AB782:AB793" si="280">AA782-Z782</f>
        <v>30405.419999999984</v>
      </c>
      <c r="AC782" s="193"/>
      <c r="AD782" s="193"/>
      <c r="AE782" s="193"/>
      <c r="AF782" s="193"/>
      <c r="AG782" s="193"/>
      <c r="AH782" s="195"/>
      <c r="AI782" s="193">
        <v>100</v>
      </c>
      <c r="AJ782">
        <v>13732.41</v>
      </c>
      <c r="AK782" s="193">
        <f>U782*AK781</f>
        <v>16573.013999999999</v>
      </c>
      <c r="AM782" s="199">
        <f t="shared" ref="AM782:AM793" si="281">SUM(AI782:AK782)</f>
        <v>30405.423999999999</v>
      </c>
      <c r="AN782" s="35">
        <f>AM782-AB782</f>
        <v>4.0000000153668225E-3</v>
      </c>
    </row>
    <row r="783" spans="12:40">
      <c r="L783" s="312">
        <f t="shared" ref="L783:L793" si="282">W783/U783</f>
        <v>3.8050000886178471E-2</v>
      </c>
      <c r="M783" s="309">
        <f t="shared" ref="M783:M793" si="283">N783/R783</f>
        <v>10.714999544253031</v>
      </c>
      <c r="N783" s="112">
        <f t="shared" ref="N783:N793" si="284">V783-AC783</f>
        <v>117554.26</v>
      </c>
      <c r="P783" t="s">
        <v>476</v>
      </c>
      <c r="Q783">
        <v>8400</v>
      </c>
      <c r="R783" s="58">
        <v>10971</v>
      </c>
      <c r="S783" s="58">
        <v>10971</v>
      </c>
      <c r="T783" s="58"/>
      <c r="U783" s="58">
        <v>5190828</v>
      </c>
      <c r="V783" s="112">
        <v>117554.26</v>
      </c>
      <c r="W783" s="112">
        <v>197511.01</v>
      </c>
      <c r="X783" s="35">
        <f t="shared" ref="X783:X791" si="285">AB805</f>
        <v>91702.42</v>
      </c>
      <c r="Y783" s="112"/>
      <c r="Z783" s="112">
        <f t="shared" si="279"/>
        <v>406767.69</v>
      </c>
      <c r="AA783" s="112">
        <v>436172.58</v>
      </c>
      <c r="AB783" s="112">
        <f t="shared" si="280"/>
        <v>29404.890000000014</v>
      </c>
      <c r="AC783" s="193"/>
      <c r="AD783" s="193"/>
      <c r="AE783" s="193"/>
      <c r="AF783" s="193"/>
      <c r="AG783" s="193"/>
      <c r="AH783" s="195"/>
      <c r="AI783" s="193">
        <v>100</v>
      </c>
      <c r="AJ783">
        <v>13732.41</v>
      </c>
      <c r="AK783" s="193">
        <f>U783*AK781</f>
        <v>15572.484</v>
      </c>
      <c r="AM783" s="199">
        <f t="shared" si="281"/>
        <v>29404.894</v>
      </c>
      <c r="AN783" s="35">
        <f t="shared" ref="AN783:AN793" si="286">AM783-AB783</f>
        <v>3.999999986262992E-3</v>
      </c>
    </row>
    <row r="784" spans="12:40">
      <c r="L784" s="312">
        <f t="shared" si="282"/>
        <v>3.804999952953006E-2</v>
      </c>
      <c r="M784" s="309">
        <f t="shared" si="283"/>
        <v>10.715</v>
      </c>
      <c r="N784" s="112">
        <f t="shared" si="284"/>
        <v>128730.01</v>
      </c>
      <c r="P784" t="s">
        <v>477</v>
      </c>
      <c r="Q784">
        <v>8400</v>
      </c>
      <c r="R784" s="58">
        <v>12014</v>
      </c>
      <c r="S784" s="58">
        <v>12014</v>
      </c>
      <c r="T784" s="58"/>
      <c r="U784" s="58">
        <v>5951496</v>
      </c>
      <c r="V784" s="112">
        <v>128730.01</v>
      </c>
      <c r="W784" s="112">
        <v>226454.42</v>
      </c>
      <c r="X784" s="35">
        <f t="shared" si="285"/>
        <v>112976.96000000001</v>
      </c>
      <c r="Y784" s="112"/>
      <c r="Z784" s="112">
        <f t="shared" si="279"/>
        <v>468161.39</v>
      </c>
      <c r="AA784" s="112">
        <v>499848.29</v>
      </c>
      <c r="AB784" s="112">
        <f t="shared" si="280"/>
        <v>31686.899999999965</v>
      </c>
      <c r="AC784" s="193"/>
      <c r="AD784" s="193"/>
      <c r="AE784" s="193"/>
      <c r="AF784" s="193"/>
      <c r="AG784" s="193"/>
      <c r="AH784" s="195"/>
      <c r="AI784" s="193">
        <v>100</v>
      </c>
      <c r="AJ784">
        <v>13732.41</v>
      </c>
      <c r="AK784" s="193">
        <f>U784*AK781</f>
        <v>17854.488000000001</v>
      </c>
      <c r="AM784" s="199">
        <f t="shared" si="281"/>
        <v>31686.898000000001</v>
      </c>
      <c r="AN784" s="35">
        <f t="shared" si="286"/>
        <v>-1.9999999640276656E-3</v>
      </c>
    </row>
    <row r="785" spans="12:40">
      <c r="L785" s="312">
        <f t="shared" si="282"/>
        <v>3.805000054091396E-2</v>
      </c>
      <c r="M785" s="309">
        <f t="shared" si="283"/>
        <v>10.715000396919901</v>
      </c>
      <c r="N785" s="112">
        <f t="shared" si="284"/>
        <v>134976.85999999999</v>
      </c>
      <c r="P785" t="s">
        <v>478</v>
      </c>
      <c r="Q785">
        <v>8400</v>
      </c>
      <c r="R785" s="58">
        <v>12597</v>
      </c>
      <c r="S785" s="58">
        <v>12597</v>
      </c>
      <c r="T785" s="58"/>
      <c r="U785" s="58">
        <v>6470530</v>
      </c>
      <c r="V785" s="112">
        <v>134976.85999999999</v>
      </c>
      <c r="W785" s="112">
        <v>246203.67</v>
      </c>
      <c r="X785" s="35">
        <f t="shared" si="285"/>
        <v>53254.040000000008</v>
      </c>
      <c r="Y785" s="112"/>
      <c r="Z785" s="112">
        <f t="shared" si="279"/>
        <v>434434.57000000007</v>
      </c>
      <c r="AA785" s="112">
        <v>467678.57</v>
      </c>
      <c r="AB785" s="112">
        <f t="shared" si="280"/>
        <v>33243.999999999942</v>
      </c>
      <c r="AC785" s="193"/>
      <c r="AD785" s="193"/>
      <c r="AE785" s="193"/>
      <c r="AF785" s="193"/>
      <c r="AG785" s="193"/>
      <c r="AH785" s="195"/>
      <c r="AI785" s="193">
        <v>100</v>
      </c>
      <c r="AJ785">
        <v>13732.41</v>
      </c>
      <c r="AK785" s="193">
        <f>U785*AK781</f>
        <v>19411.59</v>
      </c>
      <c r="AM785" s="199">
        <f t="shared" si="281"/>
        <v>33244</v>
      </c>
      <c r="AN785" s="35">
        <f t="shared" si="286"/>
        <v>5.8207660913467407E-11</v>
      </c>
    </row>
    <row r="786" spans="12:40">
      <c r="L786" s="312">
        <f t="shared" si="282"/>
        <v>3.8049999739800063E-2</v>
      </c>
      <c r="M786" s="309">
        <f t="shared" si="283"/>
        <v>10.714999617649307</v>
      </c>
      <c r="N786" s="112">
        <f t="shared" si="284"/>
        <v>140120.04999999999</v>
      </c>
      <c r="P786" t="s">
        <v>479</v>
      </c>
      <c r="Q786">
        <v>8400</v>
      </c>
      <c r="R786" s="58">
        <v>13077</v>
      </c>
      <c r="S786" s="58">
        <v>13077</v>
      </c>
      <c r="T786" s="58"/>
      <c r="U786" s="58">
        <v>7109917</v>
      </c>
      <c r="V786" s="112">
        <v>140120.04999999999</v>
      </c>
      <c r="W786" s="112">
        <v>270532.34000000003</v>
      </c>
      <c r="X786" s="35">
        <f t="shared" si="285"/>
        <v>162294.21</v>
      </c>
      <c r="Y786" s="112"/>
      <c r="Z786" s="112">
        <f t="shared" si="279"/>
        <v>572946.6</v>
      </c>
      <c r="AA786" s="112">
        <v>608108.76</v>
      </c>
      <c r="AB786" s="112">
        <f t="shared" si="280"/>
        <v>35162.160000000033</v>
      </c>
      <c r="AC786" s="193"/>
      <c r="AD786" s="193"/>
      <c r="AE786" s="193"/>
      <c r="AF786" s="193"/>
      <c r="AG786" s="193"/>
      <c r="AH786" s="195"/>
      <c r="AI786" s="193">
        <v>100</v>
      </c>
      <c r="AJ786">
        <v>13732.41</v>
      </c>
      <c r="AK786" s="193">
        <f>U786*AK781</f>
        <v>21329.751</v>
      </c>
      <c r="AM786" s="199">
        <f t="shared" si="281"/>
        <v>35162.161</v>
      </c>
      <c r="AN786" s="35">
        <f t="shared" si="286"/>
        <v>9.9999996746191755E-4</v>
      </c>
    </row>
    <row r="787" spans="12:40">
      <c r="L787" s="312">
        <f t="shared" si="282"/>
        <v>3.8050000420784512E-2</v>
      </c>
      <c r="M787" s="309">
        <f t="shared" si="283"/>
        <v>10.714999610500897</v>
      </c>
      <c r="N787" s="112">
        <f t="shared" si="284"/>
        <v>137548.45000000001</v>
      </c>
      <c r="P787" t="s">
        <v>480</v>
      </c>
      <c r="Q787">
        <v>8400</v>
      </c>
      <c r="R787" s="58">
        <v>12837</v>
      </c>
      <c r="S787" s="58">
        <v>12837</v>
      </c>
      <c r="T787" s="58"/>
      <c r="U787" s="58">
        <v>7129540</v>
      </c>
      <c r="V787" s="112">
        <v>137548.45000000001</v>
      </c>
      <c r="W787" s="112">
        <v>271279</v>
      </c>
      <c r="X787" s="35">
        <f t="shared" si="285"/>
        <v>172249.56</v>
      </c>
      <c r="Y787" s="112"/>
      <c r="Z787" s="112">
        <f t="shared" si="279"/>
        <v>581077.01</v>
      </c>
      <c r="AA787" s="112">
        <v>616298.04</v>
      </c>
      <c r="AB787" s="112">
        <f t="shared" si="280"/>
        <v>35221.030000000028</v>
      </c>
      <c r="AC787" s="193"/>
      <c r="AD787" s="193"/>
      <c r="AE787" s="193"/>
      <c r="AF787" s="193"/>
      <c r="AG787" s="193"/>
      <c r="AH787" s="195"/>
      <c r="AI787" s="193">
        <v>100</v>
      </c>
      <c r="AJ787">
        <v>13732.41</v>
      </c>
      <c r="AK787" s="193">
        <f>U787*AK781</f>
        <v>21388.62</v>
      </c>
      <c r="AM787" s="199">
        <f t="shared" si="281"/>
        <v>35221.03</v>
      </c>
      <c r="AN787" s="35">
        <f t="shared" si="286"/>
        <v>0</v>
      </c>
    </row>
    <row r="788" spans="12:40">
      <c r="L788" s="312">
        <f t="shared" si="282"/>
        <v>3.8050000509037084E-2</v>
      </c>
      <c r="M788" s="309">
        <f t="shared" si="283"/>
        <v>10.71500038618985</v>
      </c>
      <c r="N788" s="112">
        <f t="shared" si="284"/>
        <v>138727.10999999999</v>
      </c>
      <c r="P788" t="s">
        <v>481</v>
      </c>
      <c r="Q788">
        <v>8400</v>
      </c>
      <c r="R788" s="58">
        <v>12947</v>
      </c>
      <c r="S788" s="58">
        <v>12947</v>
      </c>
      <c r="T788" s="58"/>
      <c r="U788" s="58">
        <v>6581053</v>
      </c>
      <c r="V788" s="112">
        <v>138727.10999999999</v>
      </c>
      <c r="W788" s="112">
        <v>250409.07</v>
      </c>
      <c r="X788" s="35">
        <f t="shared" si="285"/>
        <v>257877.29999999996</v>
      </c>
      <c r="Y788" s="112"/>
      <c r="Z788" s="112">
        <f t="shared" si="279"/>
        <v>647013.48</v>
      </c>
      <c r="AA788" s="112">
        <v>680589.05</v>
      </c>
      <c r="AB788" s="112">
        <f t="shared" si="280"/>
        <v>33575.570000000065</v>
      </c>
      <c r="AC788" s="193"/>
      <c r="AD788" s="193"/>
      <c r="AE788" s="193"/>
      <c r="AF788" s="193"/>
      <c r="AG788" s="193"/>
      <c r="AH788" s="195"/>
      <c r="AI788" s="193">
        <v>100</v>
      </c>
      <c r="AJ788">
        <v>13732.41</v>
      </c>
      <c r="AK788" s="193">
        <f>U788*AK781</f>
        <v>19743.159</v>
      </c>
      <c r="AM788" s="199">
        <f t="shared" si="281"/>
        <v>33575.569000000003</v>
      </c>
      <c r="AN788" s="35">
        <f t="shared" si="286"/>
        <v>-1.0000000620493665E-3</v>
      </c>
    </row>
    <row r="789" spans="12:40">
      <c r="L789" s="312">
        <f t="shared" si="282"/>
        <v>3.8049999278296831E-2</v>
      </c>
      <c r="M789" s="309">
        <f t="shared" si="283"/>
        <v>10.715000433238021</v>
      </c>
      <c r="N789" s="112">
        <f t="shared" si="284"/>
        <v>123661.82</v>
      </c>
      <c r="P789" t="s">
        <v>482</v>
      </c>
      <c r="Q789">
        <v>8400</v>
      </c>
      <c r="R789" s="58">
        <v>11541</v>
      </c>
      <c r="S789" s="58">
        <v>11541</v>
      </c>
      <c r="T789" s="58"/>
      <c r="U789" s="58">
        <v>6304531</v>
      </c>
      <c r="V789" s="112">
        <v>123661.82</v>
      </c>
      <c r="W789" s="112">
        <v>239887.4</v>
      </c>
      <c r="X789" s="35">
        <f t="shared" si="285"/>
        <v>217409.16999999998</v>
      </c>
      <c r="Y789" s="112"/>
      <c r="Z789" s="112">
        <f t="shared" si="279"/>
        <v>580958.3899999999</v>
      </c>
      <c r="AA789" s="112">
        <v>613704.4</v>
      </c>
      <c r="AB789" s="112">
        <f t="shared" si="280"/>
        <v>32746.010000000126</v>
      </c>
      <c r="AC789" s="193"/>
      <c r="AD789" s="193"/>
      <c r="AE789" s="193"/>
      <c r="AF789" s="193"/>
      <c r="AG789" s="193"/>
      <c r="AH789" s="195"/>
      <c r="AI789" s="193">
        <v>100</v>
      </c>
      <c r="AJ789">
        <v>13732.41</v>
      </c>
      <c r="AK789" s="193">
        <f>U789*AK781</f>
        <v>18913.593000000001</v>
      </c>
      <c r="AM789" s="199">
        <f t="shared" si="281"/>
        <v>32746.003000000001</v>
      </c>
      <c r="AN789" s="35">
        <f t="shared" si="286"/>
        <v>-7.0000001251173671E-3</v>
      </c>
    </row>
    <row r="790" spans="12:40">
      <c r="L790" s="312">
        <f t="shared" si="282"/>
        <v>3.8050000320765838E-2</v>
      </c>
      <c r="M790" s="309">
        <f t="shared" si="283"/>
        <v>10.715</v>
      </c>
      <c r="N790" s="112">
        <f t="shared" si="284"/>
        <v>119150.8</v>
      </c>
      <c r="P790" t="s">
        <v>483</v>
      </c>
      <c r="Q790">
        <v>8400</v>
      </c>
      <c r="R790" s="58">
        <v>11120</v>
      </c>
      <c r="S790" s="58">
        <v>11120</v>
      </c>
      <c r="T790" s="58"/>
      <c r="U790" s="58">
        <v>6079201</v>
      </c>
      <c r="V790" s="112">
        <v>119150.8</v>
      </c>
      <c r="W790" s="112">
        <v>231313.6</v>
      </c>
      <c r="X790" s="35">
        <f t="shared" si="285"/>
        <v>167477.69999999998</v>
      </c>
      <c r="Y790" s="112"/>
      <c r="Z790" s="112">
        <f t="shared" si="279"/>
        <v>517942.1</v>
      </c>
      <c r="AA790" s="112">
        <v>550012.11</v>
      </c>
      <c r="AB790" s="112">
        <f t="shared" si="280"/>
        <v>32070.010000000009</v>
      </c>
      <c r="AC790" s="193"/>
      <c r="AD790" s="193"/>
      <c r="AE790" s="193"/>
      <c r="AF790" s="193"/>
      <c r="AG790" s="193"/>
      <c r="AH790" s="195"/>
      <c r="AI790" s="193">
        <v>100</v>
      </c>
      <c r="AJ790">
        <v>13732.41</v>
      </c>
      <c r="AK790" s="193">
        <f>U790*AK781</f>
        <v>18237.602999999999</v>
      </c>
      <c r="AM790" s="199">
        <f t="shared" si="281"/>
        <v>32070.012999999999</v>
      </c>
      <c r="AN790" s="35">
        <f t="shared" si="286"/>
        <v>2.999999989697244E-3</v>
      </c>
    </row>
    <row r="791" spans="12:40">
      <c r="L791" s="312">
        <f t="shared" si="282"/>
        <v>3.8049999353545805E-2</v>
      </c>
      <c r="M791" s="309">
        <f t="shared" si="283"/>
        <v>10.715</v>
      </c>
      <c r="N791" s="112">
        <f t="shared" si="284"/>
        <v>113171.83</v>
      </c>
      <c r="P791" t="s">
        <v>484</v>
      </c>
      <c r="Q791">
        <v>8400</v>
      </c>
      <c r="R791" s="58">
        <v>10562</v>
      </c>
      <c r="S791" s="58">
        <v>10562</v>
      </c>
      <c r="T791" s="58"/>
      <c r="U791" s="58">
        <v>5800875</v>
      </c>
      <c r="V791" s="112">
        <v>113171.83</v>
      </c>
      <c r="W791" s="112">
        <v>220723.29</v>
      </c>
      <c r="X791" s="35">
        <f t="shared" si="285"/>
        <v>145146.57999999999</v>
      </c>
      <c r="Y791" s="112"/>
      <c r="Z791" s="112">
        <f t="shared" si="279"/>
        <v>479041.69999999995</v>
      </c>
      <c r="AA791" s="112">
        <v>510276.74</v>
      </c>
      <c r="AB791" s="112">
        <f t="shared" si="280"/>
        <v>31235.040000000037</v>
      </c>
      <c r="AC791" s="193"/>
      <c r="AD791" s="193"/>
      <c r="AE791" s="193"/>
      <c r="AF791" s="195"/>
      <c r="AG791" s="195"/>
      <c r="AH791" s="195"/>
      <c r="AI791" s="193">
        <v>100</v>
      </c>
      <c r="AJ791">
        <v>13732.41</v>
      </c>
      <c r="AK791" s="193">
        <f>U791*AK781</f>
        <v>17402.625</v>
      </c>
      <c r="AM791" s="199">
        <f t="shared" si="281"/>
        <v>31235.035</v>
      </c>
      <c r="AN791" s="35">
        <f t="shared" si="286"/>
        <v>-5.0000000373984221E-3</v>
      </c>
    </row>
    <row r="792" spans="12:40">
      <c r="L792" s="312">
        <f t="shared" si="282"/>
        <v>3.8050000818202881E-2</v>
      </c>
      <c r="M792" s="309">
        <f t="shared" si="283"/>
        <v>10.715</v>
      </c>
      <c r="N792" s="112">
        <f t="shared" si="284"/>
        <v>116364.9</v>
      </c>
      <c r="P792" t="s">
        <v>671</v>
      </c>
      <c r="Q792">
        <v>8400</v>
      </c>
      <c r="R792" s="58">
        <v>10860</v>
      </c>
      <c r="S792" s="58">
        <v>10860</v>
      </c>
      <c r="U792" s="58">
        <v>5683187</v>
      </c>
      <c r="V792" s="112">
        <v>116364.9</v>
      </c>
      <c r="W792" s="112">
        <v>216245.27</v>
      </c>
      <c r="X792" s="35">
        <f t="shared" ref="X792:X793" si="287">SUM(R814:Y814)</f>
        <v>147071.97999999998</v>
      </c>
      <c r="Y792" s="112"/>
      <c r="Z792" s="112">
        <f t="shared" si="279"/>
        <v>479682.14999999997</v>
      </c>
      <c r="AA792" s="112">
        <v>510564.12</v>
      </c>
      <c r="AB792" s="112">
        <f t="shared" si="280"/>
        <v>30881.97000000003</v>
      </c>
      <c r="AC792" s="193"/>
      <c r="AD792" s="193"/>
      <c r="AE792" s="193"/>
      <c r="AF792" s="195"/>
      <c r="AG792" s="195"/>
      <c r="AH792" s="195"/>
      <c r="AI792" s="193">
        <v>100</v>
      </c>
      <c r="AJ792">
        <v>13732.41</v>
      </c>
      <c r="AK792" s="193">
        <f>U792*AK781</f>
        <v>17049.561000000002</v>
      </c>
      <c r="AM792" s="199">
        <f t="shared" si="281"/>
        <v>30881.971000000001</v>
      </c>
      <c r="AN792" s="313">
        <f t="shared" si="286"/>
        <v>9.9999997109989636E-4</v>
      </c>
    </row>
    <row r="793" spans="12:40">
      <c r="L793" s="312">
        <f t="shared" si="282"/>
        <v>3.8049999872358131E-2</v>
      </c>
      <c r="M793" s="309">
        <f t="shared" si="283"/>
        <v>10.715</v>
      </c>
      <c r="N793" s="112">
        <f t="shared" si="284"/>
        <v>125258.35</v>
      </c>
      <c r="O793">
        <f>$O$80</f>
        <v>12</v>
      </c>
      <c r="P793" t="s">
        <v>474</v>
      </c>
      <c r="Q793">
        <v>8400</v>
      </c>
      <c r="R793" s="58">
        <v>11690</v>
      </c>
      <c r="S793" s="58">
        <v>11690</v>
      </c>
      <c r="T793" s="58"/>
      <c r="U793" s="58">
        <v>5875815</v>
      </c>
      <c r="V793" s="112">
        <v>125258.35</v>
      </c>
      <c r="W793" s="112">
        <v>223574.76</v>
      </c>
      <c r="X793" s="35">
        <f t="shared" si="287"/>
        <v>81930.75</v>
      </c>
      <c r="Y793" s="112"/>
      <c r="Z793" s="112">
        <f t="shared" si="279"/>
        <v>430763.86</v>
      </c>
      <c r="AA793" s="112">
        <v>462223.72</v>
      </c>
      <c r="AB793" s="112">
        <f t="shared" si="280"/>
        <v>31459.859999999986</v>
      </c>
      <c r="AC793" s="193"/>
      <c r="AD793" s="193"/>
      <c r="AE793" s="193"/>
      <c r="AF793" s="195"/>
      <c r="AG793" s="195"/>
      <c r="AH793" s="195"/>
      <c r="AI793" s="193">
        <v>100</v>
      </c>
      <c r="AJ793">
        <v>13732.41</v>
      </c>
      <c r="AK793" s="193">
        <f>U793*AK781</f>
        <v>17627.445</v>
      </c>
      <c r="AM793" s="199">
        <f t="shared" si="281"/>
        <v>31459.855</v>
      </c>
      <c r="AN793" s="35">
        <f t="shared" si="286"/>
        <v>-4.9999999864667188E-3</v>
      </c>
    </row>
    <row r="794" spans="12:40">
      <c r="R794" s="124" t="s">
        <v>134</v>
      </c>
      <c r="S794" s="124"/>
      <c r="T794" s="124" t="s">
        <v>134</v>
      </c>
      <c r="U794" s="124" t="s">
        <v>134</v>
      </c>
      <c r="V794" s="125" t="s">
        <v>134</v>
      </c>
      <c r="W794" s="125" t="s">
        <v>134</v>
      </c>
      <c r="X794" s="125" t="s">
        <v>134</v>
      </c>
      <c r="Y794" s="122" t="s">
        <v>134</v>
      </c>
      <c r="Z794" s="125" t="s">
        <v>134</v>
      </c>
      <c r="AA794" s="125" t="s">
        <v>134</v>
      </c>
      <c r="AB794" s="125" t="s">
        <v>134</v>
      </c>
      <c r="AC794" s="193"/>
      <c r="AD794" s="193"/>
      <c r="AE794" s="193"/>
      <c r="AF794" s="193"/>
      <c r="AG794" s="193"/>
      <c r="AH794" s="193"/>
      <c r="AI794" s="193"/>
      <c r="AJ794" s="193"/>
      <c r="AK794" s="193"/>
      <c r="AL794" s="193"/>
      <c r="AM794" s="193"/>
    </row>
    <row r="795" spans="12:40">
      <c r="R795" s="58"/>
      <c r="S795" s="58"/>
      <c r="T795" s="58"/>
      <c r="U795" s="58"/>
      <c r="V795" s="112"/>
      <c r="W795" s="112"/>
      <c r="X795" s="112"/>
      <c r="Z795" s="112"/>
      <c r="AA795" s="112"/>
      <c r="AB795" s="112"/>
      <c r="AC795" s="193"/>
      <c r="AD795" s="193"/>
      <c r="AE795" s="193"/>
      <c r="AF795" s="193"/>
      <c r="AG795" s="193"/>
      <c r="AH795" s="193"/>
      <c r="AI795" s="193"/>
      <c r="AJ795" s="193"/>
      <c r="AK795" s="193"/>
      <c r="AL795" s="193"/>
      <c r="AM795" s="193"/>
    </row>
    <row r="796" spans="12:40">
      <c r="R796" s="58">
        <f>SUM(R782:R793)</f>
        <v>140493</v>
      </c>
      <c r="S796" s="58"/>
      <c r="T796" s="58">
        <f>SUM(T783:T793)</f>
        <v>0</v>
      </c>
      <c r="U796" s="58">
        <f>SUM(U782:U793)</f>
        <v>73701311</v>
      </c>
      <c r="V796" s="112">
        <f>SUM(V782:V793)</f>
        <v>1505382.49</v>
      </c>
      <c r="W796" s="112">
        <f t="shared" ref="W796:AB796" si="288">SUM(W782:W793)</f>
        <v>2804334.8899999997</v>
      </c>
      <c r="X796" s="112">
        <f t="shared" si="288"/>
        <v>1723316.68</v>
      </c>
      <c r="Y796" s="112">
        <f t="shared" si="288"/>
        <v>0</v>
      </c>
      <c r="Z796" s="112">
        <f t="shared" si="288"/>
        <v>6033034.0600000005</v>
      </c>
      <c r="AA796" s="112">
        <f t="shared" si="288"/>
        <v>6420126.9200000009</v>
      </c>
      <c r="AB796" s="112">
        <f t="shared" si="288"/>
        <v>387092.86000000022</v>
      </c>
      <c r="AC796" s="197">
        <f t="shared" ref="AC796:AM796" si="289">SUM(AC782:AC793)</f>
        <v>0</v>
      </c>
      <c r="AD796" s="197">
        <f t="shared" si="289"/>
        <v>0</v>
      </c>
      <c r="AE796" s="197">
        <f t="shared" si="289"/>
        <v>0</v>
      </c>
      <c r="AF796" s="197">
        <f t="shared" si="289"/>
        <v>0</v>
      </c>
      <c r="AG796" s="197">
        <f t="shared" si="289"/>
        <v>0</v>
      </c>
      <c r="AH796" s="197">
        <f t="shared" si="289"/>
        <v>0</v>
      </c>
      <c r="AI796" s="197">
        <f t="shared" si="289"/>
        <v>1200</v>
      </c>
      <c r="AJ796" s="197">
        <f>SUM(AJ782:AJ793)</f>
        <v>164788.92000000001</v>
      </c>
      <c r="AK796" s="197">
        <f t="shared" si="289"/>
        <v>221103.93300000002</v>
      </c>
      <c r="AL796" s="197"/>
      <c r="AM796" s="197">
        <f t="shared" si="289"/>
        <v>387092.853</v>
      </c>
    </row>
    <row r="797" spans="12:40">
      <c r="R797" s="124" t="s">
        <v>229</v>
      </c>
      <c r="S797" s="124"/>
      <c r="T797" s="124" t="s">
        <v>229</v>
      </c>
      <c r="U797" s="124" t="s">
        <v>229</v>
      </c>
      <c r="V797" s="125" t="s">
        <v>229</v>
      </c>
      <c r="W797" s="125" t="s">
        <v>229</v>
      </c>
      <c r="X797" s="125" t="s">
        <v>229</v>
      </c>
      <c r="Y797" s="125" t="s">
        <v>229</v>
      </c>
      <c r="Z797" s="125" t="s">
        <v>229</v>
      </c>
      <c r="AA797" s="125" t="s">
        <v>229</v>
      </c>
      <c r="AB797" s="125" t="s">
        <v>229</v>
      </c>
      <c r="AC797" s="198" t="s">
        <v>229</v>
      </c>
      <c r="AD797" s="198" t="s">
        <v>229</v>
      </c>
      <c r="AE797" s="198" t="s">
        <v>229</v>
      </c>
      <c r="AF797" s="198" t="s">
        <v>229</v>
      </c>
      <c r="AG797" s="198" t="s">
        <v>229</v>
      </c>
      <c r="AH797" s="198" t="s">
        <v>229</v>
      </c>
      <c r="AI797" s="198" t="s">
        <v>229</v>
      </c>
      <c r="AJ797" s="198" t="s">
        <v>229</v>
      </c>
      <c r="AK797" s="198" t="s">
        <v>229</v>
      </c>
      <c r="AL797" s="198" t="s">
        <v>229</v>
      </c>
      <c r="AM797" s="198" t="s">
        <v>229</v>
      </c>
    </row>
    <row r="798" spans="12:40">
      <c r="R798" s="58"/>
      <c r="S798" s="58"/>
      <c r="U798" s="58"/>
      <c r="V798" s="115"/>
      <c r="W798" s="115"/>
      <c r="X798" s="115"/>
      <c r="Z798" s="115"/>
      <c r="AA798" s="115"/>
    </row>
    <row r="800" spans="12:40">
      <c r="S800" s="52" t="s">
        <v>367</v>
      </c>
    </row>
    <row r="801" spans="15:28">
      <c r="P801" s="52"/>
      <c r="Q801" s="52"/>
      <c r="R801" s="52" t="s">
        <v>221</v>
      </c>
      <c r="S801" s="52" t="s">
        <v>343</v>
      </c>
      <c r="T801" s="52" t="s">
        <v>222</v>
      </c>
      <c r="U801" s="52" t="s">
        <v>371</v>
      </c>
      <c r="V801" s="52" t="s">
        <v>368</v>
      </c>
      <c r="W801" s="52" t="s">
        <v>369</v>
      </c>
      <c r="X801" s="52" t="s">
        <v>370</v>
      </c>
      <c r="Y801" s="52" t="s">
        <v>372</v>
      </c>
      <c r="Z801" s="52"/>
      <c r="AA801" s="52"/>
      <c r="AB801" s="52"/>
    </row>
    <row r="802" spans="15:28">
      <c r="P802" s="52"/>
      <c r="Q802" s="52"/>
      <c r="R802" s="89" t="s">
        <v>15</v>
      </c>
      <c r="S802" s="89" t="s">
        <v>344</v>
      </c>
      <c r="T802" s="89" t="s">
        <v>227</v>
      </c>
      <c r="U802" s="89" t="s">
        <v>375</v>
      </c>
      <c r="V802" s="89" t="s">
        <v>226</v>
      </c>
      <c r="W802" s="89" t="s">
        <v>373</v>
      </c>
      <c r="X802" s="89" t="s">
        <v>374</v>
      </c>
      <c r="Y802" s="89" t="s">
        <v>376</v>
      </c>
      <c r="Z802" s="52"/>
      <c r="AA802" s="52"/>
      <c r="AB802" s="52"/>
    </row>
    <row r="803" spans="15:28"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183" t="s">
        <v>217</v>
      </c>
    </row>
    <row r="804" spans="15:28">
      <c r="O804">
        <f>$O$69</f>
        <v>1</v>
      </c>
      <c r="P804" t="str">
        <f>[2]Tyson!A9</f>
        <v>MAR</v>
      </c>
      <c r="R804" s="117">
        <v>105923.66</v>
      </c>
      <c r="S804" s="117">
        <v>13772.17</v>
      </c>
      <c r="T804" s="117">
        <v>23583.9</v>
      </c>
      <c r="U804" s="117">
        <v>-29353.72</v>
      </c>
      <c r="V804" s="117"/>
      <c r="W804" s="117"/>
      <c r="X804" s="117"/>
      <c r="Z804" s="117"/>
      <c r="AA804" s="117"/>
      <c r="AB804" s="35">
        <f t="shared" ref="AB804:AB813" si="290">SUM(R804:AA804)</f>
        <v>113926.01000000001</v>
      </c>
    </row>
    <row r="805" spans="15:28">
      <c r="P805" t="str">
        <f>[2]Tyson!A10</f>
        <v>APR</v>
      </c>
      <c r="R805" s="117">
        <v>79040.740000000005</v>
      </c>
      <c r="S805" s="117">
        <v>12940.73</v>
      </c>
      <c r="T805" s="117">
        <v>26512.47</v>
      </c>
      <c r="U805" s="117">
        <v>-26791.52</v>
      </c>
      <c r="V805" s="117"/>
      <c r="W805" s="117"/>
      <c r="X805" s="117"/>
      <c r="Z805" s="117"/>
      <c r="AA805" s="117"/>
      <c r="AB805" s="35">
        <f t="shared" si="290"/>
        <v>91702.42</v>
      </c>
    </row>
    <row r="806" spans="15:28">
      <c r="P806" t="str">
        <f>[2]Tyson!A11</f>
        <v>MAY</v>
      </c>
      <c r="R806" s="117">
        <v>107561.39</v>
      </c>
      <c r="S806" s="117">
        <v>14837.08</v>
      </c>
      <c r="T806" s="117">
        <v>20617.509999999998</v>
      </c>
      <c r="U806" s="117">
        <v>-30039.02</v>
      </c>
      <c r="V806" s="117"/>
      <c r="W806" s="117"/>
      <c r="X806" s="117"/>
      <c r="Z806" s="117"/>
      <c r="AA806" s="117"/>
      <c r="AB806" s="35">
        <f t="shared" si="290"/>
        <v>112976.96000000001</v>
      </c>
    </row>
    <row r="807" spans="15:28">
      <c r="P807" t="str">
        <f>[2]Tyson!A12</f>
        <v>JUN</v>
      </c>
      <c r="R807" s="348">
        <v>40078.46</v>
      </c>
      <c r="S807" s="348">
        <v>16131.03</v>
      </c>
      <c r="T807" s="348">
        <v>27930.89</v>
      </c>
      <c r="U807" s="348">
        <v>-30886.34</v>
      </c>
      <c r="V807" s="117"/>
      <c r="W807" s="117"/>
      <c r="X807" s="117"/>
      <c r="Z807" s="117"/>
      <c r="AA807" s="117"/>
      <c r="AB807" s="35">
        <f t="shared" si="290"/>
        <v>53254.040000000008</v>
      </c>
    </row>
    <row r="808" spans="15:28">
      <c r="P808" t="str">
        <f>[2]Tyson!A13</f>
        <v>JUL</v>
      </c>
      <c r="R808" s="348">
        <v>145511.56</v>
      </c>
      <c r="S808" s="348">
        <v>17725.02</v>
      </c>
      <c r="T808" s="348">
        <v>26229.85</v>
      </c>
      <c r="U808" s="348">
        <v>-27172.22</v>
      </c>
      <c r="V808" s="117"/>
      <c r="W808" s="117"/>
      <c r="X808" s="117"/>
      <c r="Y808" s="117"/>
      <c r="Z808" s="117"/>
      <c r="AA808" s="117"/>
      <c r="AB808" s="35">
        <f t="shared" si="290"/>
        <v>162294.21</v>
      </c>
    </row>
    <row r="809" spans="15:28">
      <c r="P809" t="str">
        <f>[2]Tyson!A14</f>
        <v>AUG</v>
      </c>
      <c r="R809" s="348">
        <v>158396.99</v>
      </c>
      <c r="S809" s="348">
        <v>17773.939999999999</v>
      </c>
      <c r="T809" s="348">
        <v>27783.84</v>
      </c>
      <c r="U809" s="348">
        <v>-31705.21</v>
      </c>
      <c r="V809" s="117"/>
      <c r="W809" s="117"/>
      <c r="X809" s="348"/>
      <c r="Y809" s="348"/>
      <c r="Z809" s="117"/>
      <c r="AA809" s="117"/>
      <c r="AB809" s="35">
        <f t="shared" si="290"/>
        <v>172249.56</v>
      </c>
    </row>
    <row r="810" spans="15:28">
      <c r="P810" t="str">
        <f>[2]Tyson!A15</f>
        <v>SEP</v>
      </c>
      <c r="R810" s="348">
        <v>228099.3</v>
      </c>
      <c r="S810" s="348">
        <v>39611.360000000001</v>
      </c>
      <c r="T810" s="348">
        <v>20124.599999999999</v>
      </c>
      <c r="U810" s="348">
        <v>-29957.96</v>
      </c>
      <c r="V810" s="348"/>
      <c r="W810" s="348"/>
      <c r="X810" s="348"/>
      <c r="Y810" s="348"/>
      <c r="Z810" s="117"/>
      <c r="AA810" s="117"/>
      <c r="AB810" s="35">
        <f t="shared" si="290"/>
        <v>257877.29999999996</v>
      </c>
    </row>
    <row r="811" spans="15:28">
      <c r="P811" t="str">
        <f>[2]Tyson!A16</f>
        <v>OCT</v>
      </c>
      <c r="R811" s="348">
        <v>182037.03</v>
      </c>
      <c r="S811" s="348">
        <v>37946.97</v>
      </c>
      <c r="T811" s="348">
        <v>24274.53</v>
      </c>
      <c r="U811" s="348">
        <v>-26849.360000000001</v>
      </c>
      <c r="V811" s="348"/>
      <c r="W811" s="348"/>
      <c r="X811" s="348"/>
      <c r="Y811" s="348"/>
      <c r="Z811" s="117"/>
      <c r="AA811" s="117"/>
      <c r="AB811" s="35">
        <f t="shared" si="290"/>
        <v>217409.16999999998</v>
      </c>
    </row>
    <row r="812" spans="15:28">
      <c r="P812" t="str">
        <f>[2]Tyson!A17</f>
        <v>NOV</v>
      </c>
      <c r="R812" s="117">
        <v>142861.22</v>
      </c>
      <c r="S812" s="117">
        <v>36590.71</v>
      </c>
      <c r="T812" s="117">
        <v>17478.05</v>
      </c>
      <c r="U812" s="117">
        <v>-29452.28</v>
      </c>
      <c r="V812" s="348"/>
      <c r="W812" s="348"/>
      <c r="X812" s="348"/>
      <c r="Y812" s="348"/>
      <c r="Z812" s="117"/>
      <c r="AA812" s="117"/>
      <c r="AB812" s="35">
        <f t="shared" si="290"/>
        <v>167477.69999999998</v>
      </c>
    </row>
    <row r="813" spans="15:28">
      <c r="P813" t="str">
        <f>[2]Tyson!A18</f>
        <v>DEC</v>
      </c>
      <c r="R813" s="117">
        <v>116197.33</v>
      </c>
      <c r="S813" s="117">
        <v>34915.47</v>
      </c>
      <c r="T813" s="117">
        <v>19739.25</v>
      </c>
      <c r="U813" s="117">
        <v>-25705.47</v>
      </c>
      <c r="V813" s="348"/>
      <c r="W813" s="348"/>
      <c r="X813" s="348"/>
      <c r="Y813" s="348"/>
      <c r="Z813" s="117"/>
      <c r="AA813" s="117"/>
      <c r="AB813" s="35">
        <f t="shared" si="290"/>
        <v>145146.57999999999</v>
      </c>
    </row>
    <row r="814" spans="15:28">
      <c r="P814" t="str">
        <f t="shared" ref="P814:P815" si="291">P792</f>
        <v>JAN 2023</v>
      </c>
      <c r="R814" s="117">
        <v>82326.649999999994</v>
      </c>
      <c r="S814" s="117">
        <v>34207.1</v>
      </c>
      <c r="T814" s="117">
        <v>47750.55</v>
      </c>
      <c r="U814" s="117">
        <v>-17212.32</v>
      </c>
      <c r="V814" s="117"/>
      <c r="W814" s="117"/>
      <c r="X814" s="117"/>
      <c r="Y814" s="117"/>
      <c r="Z814" s="117"/>
      <c r="AA814" s="117"/>
      <c r="AB814" s="35">
        <f>SUM(R814:AA814)</f>
        <v>147071.97999999998</v>
      </c>
    </row>
    <row r="815" spans="15:28">
      <c r="O815">
        <f>$O$80</f>
        <v>12</v>
      </c>
      <c r="P815" t="str">
        <f t="shared" si="291"/>
        <v>FEB</v>
      </c>
      <c r="R815" s="117">
        <v>46019.38</v>
      </c>
      <c r="S815" s="117">
        <v>35366.53</v>
      </c>
      <c r="T815" s="117">
        <v>21620.5</v>
      </c>
      <c r="U815" s="117">
        <v>-21075.66</v>
      </c>
      <c r="V815" s="117"/>
      <c r="W815" s="117"/>
      <c r="X815" s="117"/>
      <c r="Y815" s="117"/>
      <c r="Z815" s="117"/>
      <c r="AA815" s="117"/>
      <c r="AB815" s="35">
        <f>SUM(R815:AA815)</f>
        <v>81930.75</v>
      </c>
    </row>
    <row r="816" spans="15:28"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35"/>
    </row>
    <row r="817" spans="12:40" ht="13.5" thickBot="1">
      <c r="P817" t="s">
        <v>108</v>
      </c>
      <c r="R817" s="119">
        <f t="shared" ref="R817:Y817" si="292">SUM(R804:R815)</f>
        <v>1434053.71</v>
      </c>
      <c r="S817" s="119">
        <f t="shared" si="292"/>
        <v>311818.11</v>
      </c>
      <c r="T817" s="119">
        <f t="shared" si="292"/>
        <v>303645.94</v>
      </c>
      <c r="U817" s="119">
        <f t="shared" si="292"/>
        <v>-326201.07999999996</v>
      </c>
      <c r="V817" s="119">
        <f t="shared" si="292"/>
        <v>0</v>
      </c>
      <c r="W817" s="119">
        <f t="shared" si="292"/>
        <v>0</v>
      </c>
      <c r="X817" s="119">
        <f t="shared" si="292"/>
        <v>0</v>
      </c>
      <c r="Y817" s="119">
        <f t="shared" si="292"/>
        <v>0</v>
      </c>
      <c r="Z817" s="117"/>
      <c r="AA817" s="117"/>
      <c r="AB817" s="119">
        <f>SUM(AB804:AB815)</f>
        <v>1723316.68</v>
      </c>
    </row>
    <row r="818" spans="12:40" ht="16.5" thickTop="1">
      <c r="P818" s="121" t="s">
        <v>1120</v>
      </c>
      <c r="Q818" s="36"/>
      <c r="AC818" s="191"/>
      <c r="AD818" s="191"/>
      <c r="AE818" s="192" t="s">
        <v>382</v>
      </c>
      <c r="AF818" s="191"/>
      <c r="AG818" s="191"/>
      <c r="AH818" s="191"/>
      <c r="AI818" s="191"/>
      <c r="AJ818" s="191"/>
      <c r="AK818" s="191"/>
      <c r="AL818" s="191"/>
      <c r="AM818" s="193"/>
    </row>
    <row r="819" spans="12:40">
      <c r="X819" s="52" t="s">
        <v>9</v>
      </c>
      <c r="AC819" s="193"/>
      <c r="AD819" s="191"/>
      <c r="AE819" s="192" t="s">
        <v>383</v>
      </c>
      <c r="AF819" s="191"/>
      <c r="AG819" s="191"/>
      <c r="AH819" s="193"/>
      <c r="AI819" s="191"/>
      <c r="AJ819" s="191"/>
      <c r="AK819" s="191"/>
      <c r="AL819" s="192" t="s">
        <v>387</v>
      </c>
      <c r="AM819" s="193"/>
    </row>
    <row r="820" spans="12:40">
      <c r="P820" t="s">
        <v>213</v>
      </c>
      <c r="Q820" s="52" t="s">
        <v>261</v>
      </c>
      <c r="R820" s="52" t="s">
        <v>255</v>
      </c>
      <c r="S820" s="52"/>
      <c r="T820" s="52" t="s">
        <v>245</v>
      </c>
      <c r="X820" s="52" t="s">
        <v>15</v>
      </c>
      <c r="Y820" s="52" t="s">
        <v>245</v>
      </c>
      <c r="AC820" s="192" t="s">
        <v>379</v>
      </c>
      <c r="AD820" s="191" t="s">
        <v>263</v>
      </c>
      <c r="AE820" s="192" t="s">
        <v>348</v>
      </c>
      <c r="AF820" s="192" t="s">
        <v>115</v>
      </c>
      <c r="AG820" s="192" t="s">
        <v>384</v>
      </c>
      <c r="AH820" s="192" t="s">
        <v>385</v>
      </c>
      <c r="AI820" s="192" t="s">
        <v>243</v>
      </c>
      <c r="AJ820" s="192" t="s">
        <v>386</v>
      </c>
      <c r="AK820" s="191" t="s">
        <v>140</v>
      </c>
      <c r="AL820" s="192" t="s">
        <v>388</v>
      </c>
      <c r="AM820" s="193"/>
    </row>
    <row r="821" spans="12:40">
      <c r="Q821" s="52" t="s">
        <v>248</v>
      </c>
      <c r="R821" s="52" t="s">
        <v>224</v>
      </c>
      <c r="S821" s="52"/>
      <c r="T821" s="52" t="s">
        <v>224</v>
      </c>
      <c r="U821" s="52" t="s">
        <v>11</v>
      </c>
      <c r="V821" s="52" t="s">
        <v>219</v>
      </c>
      <c r="W821" s="52" t="s">
        <v>220</v>
      </c>
      <c r="X821" s="52" t="s">
        <v>249</v>
      </c>
      <c r="Y821" s="52" t="s">
        <v>250</v>
      </c>
      <c r="Z821" s="52" t="s">
        <v>251</v>
      </c>
      <c r="AA821" s="52" t="s">
        <v>8</v>
      </c>
      <c r="AB821" s="52" t="s">
        <v>252</v>
      </c>
      <c r="AC821" s="192" t="s">
        <v>380</v>
      </c>
      <c r="AD821" s="192" t="s">
        <v>381</v>
      </c>
      <c r="AE821" s="192" t="s">
        <v>379</v>
      </c>
      <c r="AF821" s="192" t="s">
        <v>263</v>
      </c>
      <c r="AG821" s="192" t="s">
        <v>263</v>
      </c>
      <c r="AH821" s="191" t="s">
        <v>207</v>
      </c>
      <c r="AI821" s="192" t="s">
        <v>348</v>
      </c>
      <c r="AJ821" s="192" t="s">
        <v>80</v>
      </c>
      <c r="AK821" s="191" t="s">
        <v>272</v>
      </c>
      <c r="AL821" s="192" t="s">
        <v>389</v>
      </c>
      <c r="AM821" s="191" t="s">
        <v>217</v>
      </c>
    </row>
    <row r="822" spans="12:40">
      <c r="P822" s="122" t="s">
        <v>134</v>
      </c>
      <c r="Q822" s="122"/>
      <c r="R822" s="122" t="s">
        <v>134</v>
      </c>
      <c r="S822" s="122"/>
      <c r="T822" s="122" t="s">
        <v>134</v>
      </c>
      <c r="U822" s="122" t="s">
        <v>134</v>
      </c>
      <c r="V822" s="122" t="s">
        <v>134</v>
      </c>
      <c r="W822" s="122" t="s">
        <v>134</v>
      </c>
      <c r="X822" s="122" t="s">
        <v>134</v>
      </c>
      <c r="Y822" s="122" t="s">
        <v>134</v>
      </c>
      <c r="Z822" s="122" t="s">
        <v>134</v>
      </c>
      <c r="AA822" s="122" t="s">
        <v>134</v>
      </c>
      <c r="AB822" s="122" t="s">
        <v>134</v>
      </c>
      <c r="AC822" s="194" t="s">
        <v>134</v>
      </c>
      <c r="AD822" s="194" t="s">
        <v>134</v>
      </c>
      <c r="AE822" s="194" t="s">
        <v>134</v>
      </c>
      <c r="AF822" s="194" t="s">
        <v>134</v>
      </c>
      <c r="AG822" s="194" t="s">
        <v>134</v>
      </c>
      <c r="AH822" s="194" t="s">
        <v>134</v>
      </c>
      <c r="AI822" s="194" t="s">
        <v>134</v>
      </c>
      <c r="AJ822" s="194" t="s">
        <v>134</v>
      </c>
      <c r="AK822" s="194" t="s">
        <v>134</v>
      </c>
      <c r="AL822" s="194" t="s">
        <v>134</v>
      </c>
      <c r="AM822" s="194" t="s">
        <v>134</v>
      </c>
    </row>
    <row r="823" spans="12:40">
      <c r="V823" s="112"/>
      <c r="W823" s="112"/>
      <c r="X823" s="112"/>
      <c r="Z823" s="112"/>
      <c r="AC823" s="193"/>
      <c r="AD823" s="193"/>
      <c r="AE823" s="193"/>
      <c r="AF823" s="193"/>
      <c r="AG823" s="193"/>
      <c r="AH823" s="193"/>
      <c r="AI823" s="193"/>
      <c r="AJ823" s="193"/>
      <c r="AK823" s="193">
        <v>3.0000000000000001E-3</v>
      </c>
      <c r="AL823" s="193"/>
      <c r="AM823" s="193"/>
    </row>
    <row r="824" spans="12:40">
      <c r="L824" s="312">
        <f>W824/U824</f>
        <v>3.8050003024878744E-2</v>
      </c>
      <c r="M824" s="309">
        <f>N824/R824</f>
        <v>10.715002221235007</v>
      </c>
      <c r="N824" s="112">
        <f>V824-AC824</f>
        <v>24119.47</v>
      </c>
      <c r="O824">
        <f>$O$69</f>
        <v>1</v>
      </c>
      <c r="P824" t="s">
        <v>475</v>
      </c>
      <c r="Q824">
        <v>1200</v>
      </c>
      <c r="R824" s="58">
        <v>2251</v>
      </c>
      <c r="S824" s="58">
        <v>2251</v>
      </c>
      <c r="T824" s="58"/>
      <c r="U824" s="58">
        <v>1124012</v>
      </c>
      <c r="V824" s="112">
        <v>24119.47</v>
      </c>
      <c r="W824" s="112">
        <v>42768.66</v>
      </c>
      <c r="X824" s="35">
        <f t="shared" ref="X824:X833" si="293">SUM(R846:X846)</f>
        <v>23271.89</v>
      </c>
      <c r="Y824" s="112"/>
      <c r="Z824" s="112">
        <f t="shared" ref="Z824:Z827" si="294">SUM(V824:Y824)</f>
        <v>90160.02</v>
      </c>
      <c r="AA824" s="112">
        <v>95487.41</v>
      </c>
      <c r="AB824" s="112">
        <f t="shared" ref="AB824:AB835" si="295">AA824-Z824</f>
        <v>5327.3899999999994</v>
      </c>
      <c r="AC824" s="193"/>
      <c r="AD824" s="193"/>
      <c r="AE824" s="193"/>
      <c r="AF824" s="193"/>
      <c r="AG824" s="193"/>
      <c r="AH824" s="195"/>
      <c r="AI824" s="193">
        <v>100</v>
      </c>
      <c r="AJ824">
        <v>1855.36</v>
      </c>
      <c r="AK824" s="193">
        <f>U824*AK823</f>
        <v>3372.0360000000001</v>
      </c>
      <c r="AL824" s="193"/>
      <c r="AM824" s="199">
        <f>SUM(AI824:AL824)</f>
        <v>5327.3959999999997</v>
      </c>
      <c r="AN824" s="35">
        <f>AM824-AB824</f>
        <v>6.0000000003128662E-3</v>
      </c>
    </row>
    <row r="825" spans="12:40">
      <c r="L825" s="312">
        <f t="shared" ref="L825:L835" si="296">W825/U825</f>
        <v>3.8050001771929715E-2</v>
      </c>
      <c r="M825" s="309">
        <f t="shared" ref="M825:M835" si="297">N825/R825</f>
        <v>10.715</v>
      </c>
      <c r="N825" s="112">
        <f t="shared" ref="N825:N835" si="298">V825-AC825</f>
        <v>21965.75</v>
      </c>
      <c r="P825" t="s">
        <v>476</v>
      </c>
      <c r="Q825">
        <v>1200</v>
      </c>
      <c r="R825" s="58">
        <v>2050</v>
      </c>
      <c r="S825" s="58">
        <v>2050</v>
      </c>
      <c r="T825" s="58"/>
      <c r="U825" s="58">
        <v>959406</v>
      </c>
      <c r="V825" s="112">
        <v>21965.75</v>
      </c>
      <c r="W825" s="112">
        <v>36505.4</v>
      </c>
      <c r="X825" s="35">
        <f t="shared" si="293"/>
        <v>16964.640000000003</v>
      </c>
      <c r="Y825" s="112"/>
      <c r="Z825" s="112">
        <f t="shared" si="294"/>
        <v>75435.790000000008</v>
      </c>
      <c r="AA825" s="112">
        <v>80269.37</v>
      </c>
      <c r="AB825" s="112">
        <f t="shared" si="295"/>
        <v>4833.5799999999872</v>
      </c>
      <c r="AC825" s="193"/>
      <c r="AD825" s="193"/>
      <c r="AE825" s="193"/>
      <c r="AF825" s="193"/>
      <c r="AG825" s="193"/>
      <c r="AH825" s="195"/>
      <c r="AI825" s="193">
        <v>100</v>
      </c>
      <c r="AJ825">
        <v>1855.36</v>
      </c>
      <c r="AK825" s="193">
        <f>U825*AK823</f>
        <v>2878.2179999999998</v>
      </c>
      <c r="AL825" s="193"/>
      <c r="AM825" s="199">
        <f t="shared" ref="AM825:AM835" si="299">SUM(AI825:AL825)</f>
        <v>4833.5779999999995</v>
      </c>
      <c r="AN825" s="35">
        <f t="shared" ref="AN825:AN835" si="300">AM825-AB825</f>
        <v>-1.9999999876745278E-3</v>
      </c>
    </row>
    <row r="826" spans="12:40">
      <c r="L826" s="312">
        <f t="shared" si="296"/>
        <v>3.8049999055867124E-2</v>
      </c>
      <c r="M826" s="309">
        <f t="shared" si="297"/>
        <v>10.715</v>
      </c>
      <c r="N826" s="112">
        <f t="shared" si="298"/>
        <v>20915.68</v>
      </c>
      <c r="P826" t="s">
        <v>477</v>
      </c>
      <c r="Q826">
        <v>1200</v>
      </c>
      <c r="R826" s="58">
        <v>1952</v>
      </c>
      <c r="S826" s="58">
        <v>1952</v>
      </c>
      <c r="T826" s="58"/>
      <c r="U826" s="58">
        <v>900297</v>
      </c>
      <c r="V826" s="112">
        <v>20915.68</v>
      </c>
      <c r="W826" s="112">
        <v>34256.300000000003</v>
      </c>
      <c r="X826" s="35">
        <f t="shared" si="293"/>
        <v>17157.03</v>
      </c>
      <c r="Y826" s="112"/>
      <c r="Z826" s="112">
        <f t="shared" si="294"/>
        <v>72329.010000000009</v>
      </c>
      <c r="AA826" s="112">
        <v>76985.259999999995</v>
      </c>
      <c r="AB826" s="112">
        <f t="shared" si="295"/>
        <v>4656.2499999999854</v>
      </c>
      <c r="AC826" s="193"/>
      <c r="AD826" s="193"/>
      <c r="AE826" s="193"/>
      <c r="AF826" s="193"/>
      <c r="AG826" s="193"/>
      <c r="AH826" s="195"/>
      <c r="AI826" s="193">
        <v>100</v>
      </c>
      <c r="AJ826">
        <v>1855.36</v>
      </c>
      <c r="AK826" s="193">
        <f>U826*AK823</f>
        <v>2700.8910000000001</v>
      </c>
      <c r="AL826" s="193"/>
      <c r="AM826" s="199">
        <f t="shared" si="299"/>
        <v>4656.2510000000002</v>
      </c>
      <c r="AN826" s="35">
        <f t="shared" si="300"/>
        <v>1.000000014755642E-3</v>
      </c>
    </row>
    <row r="827" spans="12:40">
      <c r="L827" s="312">
        <f t="shared" si="296"/>
        <v>3.8049997422704811E-2</v>
      </c>
      <c r="M827" s="309">
        <f t="shared" si="297"/>
        <v>10.715</v>
      </c>
      <c r="N827" s="112">
        <f t="shared" si="298"/>
        <v>21494.29</v>
      </c>
      <c r="P827" t="s">
        <v>478</v>
      </c>
      <c r="Q827">
        <v>1200</v>
      </c>
      <c r="R827" s="58">
        <v>2006</v>
      </c>
      <c r="S827" s="58">
        <v>2006</v>
      </c>
      <c r="T827" s="58"/>
      <c r="U827" s="58">
        <v>950609</v>
      </c>
      <c r="V827" s="112">
        <v>21494.29</v>
      </c>
      <c r="W827" s="112">
        <v>36170.67</v>
      </c>
      <c r="X827" s="35">
        <f t="shared" si="293"/>
        <v>7930.0299999999979</v>
      </c>
      <c r="Y827" s="112"/>
      <c r="Z827" s="112">
        <f t="shared" si="294"/>
        <v>65594.989999999991</v>
      </c>
      <c r="AA827" s="112">
        <v>70402.179999999993</v>
      </c>
      <c r="AB827" s="112">
        <f t="shared" si="295"/>
        <v>4807.1900000000023</v>
      </c>
      <c r="AC827" s="193"/>
      <c r="AD827" s="193"/>
      <c r="AE827" s="193"/>
      <c r="AF827" s="193"/>
      <c r="AG827" s="193"/>
      <c r="AH827" s="195"/>
      <c r="AI827" s="193">
        <v>100</v>
      </c>
      <c r="AJ827">
        <v>1855.36</v>
      </c>
      <c r="AK827" s="193">
        <f>U827*AK823</f>
        <v>2851.8270000000002</v>
      </c>
      <c r="AL827" s="193"/>
      <c r="AM827" s="199">
        <f t="shared" si="299"/>
        <v>4807.1869999999999</v>
      </c>
      <c r="AN827" s="35">
        <f t="shared" si="300"/>
        <v>-3.0000000024301698E-3</v>
      </c>
    </row>
    <row r="828" spans="12:40">
      <c r="L828" s="312">
        <f t="shared" si="296"/>
        <v>3.8049996453326303E-2</v>
      </c>
      <c r="M828" s="309">
        <f t="shared" si="297"/>
        <v>10.714997513674788</v>
      </c>
      <c r="N828" s="112">
        <f t="shared" si="298"/>
        <v>21547.86</v>
      </c>
      <c r="P828" t="s">
        <v>479</v>
      </c>
      <c r="Q828">
        <v>1200</v>
      </c>
      <c r="R828" s="58">
        <v>2011</v>
      </c>
      <c r="S828" s="58">
        <v>2011</v>
      </c>
      <c r="T828" s="58"/>
      <c r="U828" s="58">
        <v>944547</v>
      </c>
      <c r="V828" s="112">
        <v>21547.86</v>
      </c>
      <c r="W828" s="112">
        <v>35940.01</v>
      </c>
      <c r="X828" s="35">
        <f t="shared" si="293"/>
        <v>21695.09</v>
      </c>
      <c r="Y828" s="112"/>
      <c r="Z828" s="112">
        <f t="shared" ref="Z828:Z832" si="301">SUM(V828:Y828)</f>
        <v>79182.960000000006</v>
      </c>
      <c r="AA828" s="112">
        <v>83971.96</v>
      </c>
      <c r="AB828" s="112">
        <f t="shared" si="295"/>
        <v>4789</v>
      </c>
      <c r="AC828" s="193"/>
      <c r="AD828" s="193"/>
      <c r="AE828" s="193"/>
      <c r="AF828" s="193"/>
      <c r="AG828" s="193"/>
      <c r="AH828" s="195"/>
      <c r="AI828" s="193">
        <v>100</v>
      </c>
      <c r="AJ828">
        <v>1855.36</v>
      </c>
      <c r="AK828" s="193">
        <f>U828*AK823</f>
        <v>2833.6410000000001</v>
      </c>
      <c r="AL828" s="193"/>
      <c r="AM828" s="199">
        <f t="shared" si="299"/>
        <v>4789.0010000000002</v>
      </c>
      <c r="AN828" s="35">
        <f t="shared" si="300"/>
        <v>1.0000000002037268E-3</v>
      </c>
    </row>
    <row r="829" spans="12:40">
      <c r="L829" s="312">
        <f t="shared" si="296"/>
        <v>3.8049999271855262E-2</v>
      </c>
      <c r="M829" s="309">
        <f t="shared" si="297"/>
        <v>10.715</v>
      </c>
      <c r="N829" s="112">
        <f t="shared" si="298"/>
        <v>23272.98</v>
      </c>
      <c r="P829" t="s">
        <v>480</v>
      </c>
      <c r="Q829">
        <v>1200</v>
      </c>
      <c r="R829" s="58">
        <v>2172</v>
      </c>
      <c r="S829" s="58">
        <v>2172</v>
      </c>
      <c r="T829" s="58"/>
      <c r="U829" s="58">
        <v>1030015</v>
      </c>
      <c r="V829" s="112">
        <v>23272.98</v>
      </c>
      <c r="W829" s="112">
        <v>39192.07</v>
      </c>
      <c r="X829" s="35">
        <f t="shared" si="293"/>
        <v>25064.15</v>
      </c>
      <c r="Y829" s="112"/>
      <c r="Z829" s="112">
        <f t="shared" si="301"/>
        <v>87529.200000000012</v>
      </c>
      <c r="AA829" s="112">
        <v>92574.61</v>
      </c>
      <c r="AB829" s="112">
        <f t="shared" si="295"/>
        <v>5045.4099999999889</v>
      </c>
      <c r="AC829" s="193"/>
      <c r="AD829" s="193"/>
      <c r="AE829" s="193"/>
      <c r="AF829" s="193"/>
      <c r="AG829" s="193"/>
      <c r="AH829" s="195"/>
      <c r="AI829" s="193">
        <v>100</v>
      </c>
      <c r="AJ829">
        <v>1855.36</v>
      </c>
      <c r="AK829" s="193">
        <f>U829*AK823</f>
        <v>3090.0450000000001</v>
      </c>
      <c r="AL829" s="193"/>
      <c r="AM829" s="199">
        <f t="shared" si="299"/>
        <v>5045.4049999999997</v>
      </c>
      <c r="AN829" s="35">
        <f t="shared" si="300"/>
        <v>-4.9999999891952029E-3</v>
      </c>
    </row>
    <row r="830" spans="12:40">
      <c r="L830" s="312">
        <f t="shared" si="296"/>
        <v>3.8049996468163823E-2</v>
      </c>
      <c r="M830" s="309">
        <f t="shared" si="297"/>
        <v>10.715</v>
      </c>
      <c r="N830" s="112">
        <f t="shared" si="298"/>
        <v>23744.44</v>
      </c>
      <c r="P830" t="s">
        <v>481</v>
      </c>
      <c r="Q830">
        <v>1200</v>
      </c>
      <c r="R830" s="58">
        <v>2216</v>
      </c>
      <c r="S830" s="58">
        <v>2216</v>
      </c>
      <c r="T830" s="58"/>
      <c r="U830" s="58">
        <v>976829</v>
      </c>
      <c r="V830" s="112">
        <v>23744.44</v>
      </c>
      <c r="W830" s="112">
        <v>37168.339999999997</v>
      </c>
      <c r="X830" s="35">
        <f t="shared" si="293"/>
        <v>38373.449999999997</v>
      </c>
      <c r="Y830" s="112"/>
      <c r="Z830" s="112">
        <f t="shared" si="301"/>
        <v>99286.23</v>
      </c>
      <c r="AA830" s="112">
        <v>104172.08</v>
      </c>
      <c r="AB830" s="112">
        <f t="shared" si="295"/>
        <v>4885.8500000000058</v>
      </c>
      <c r="AC830" s="193"/>
      <c r="AD830" s="193"/>
      <c r="AE830" s="193"/>
      <c r="AF830" s="193"/>
      <c r="AG830" s="193"/>
      <c r="AH830" s="195"/>
      <c r="AI830" s="193">
        <v>100</v>
      </c>
      <c r="AJ830">
        <v>1855.36</v>
      </c>
      <c r="AK830" s="193">
        <f>U830*AK823</f>
        <v>2930.4870000000001</v>
      </c>
      <c r="AL830" s="193"/>
      <c r="AM830" s="199">
        <f t="shared" si="299"/>
        <v>4885.8469999999998</v>
      </c>
      <c r="AN830" s="35">
        <f t="shared" si="300"/>
        <v>-3.0000000060681487E-3</v>
      </c>
    </row>
    <row r="831" spans="12:40">
      <c r="L831" s="312">
        <f t="shared" si="296"/>
        <v>3.8049997753548705E-2</v>
      </c>
      <c r="M831" s="309">
        <f t="shared" si="297"/>
        <v>10.714997973246859</v>
      </c>
      <c r="N831" s="112">
        <f t="shared" si="298"/>
        <v>26433.9</v>
      </c>
      <c r="P831" t="s">
        <v>482</v>
      </c>
      <c r="Q831">
        <v>1200</v>
      </c>
      <c r="R831" s="58">
        <v>2467</v>
      </c>
      <c r="S831" s="58">
        <v>2467</v>
      </c>
      <c r="T831" s="58"/>
      <c r="U831" s="58">
        <v>1090609</v>
      </c>
      <c r="V831" s="112">
        <v>26433.9</v>
      </c>
      <c r="W831" s="112">
        <v>41497.67</v>
      </c>
      <c r="X831" s="35">
        <f t="shared" si="293"/>
        <v>37818.94</v>
      </c>
      <c r="Y831" s="112"/>
      <c r="Z831" s="112">
        <f>SUM(V831:Y831)</f>
        <v>105750.51000000001</v>
      </c>
      <c r="AA831" s="112">
        <v>110977.7</v>
      </c>
      <c r="AB831" s="112">
        <f t="shared" si="295"/>
        <v>5227.1899999999878</v>
      </c>
      <c r="AC831" s="193"/>
      <c r="AD831" s="193"/>
      <c r="AE831" s="193"/>
      <c r="AF831" s="193"/>
      <c r="AG831" s="193"/>
      <c r="AH831" s="195"/>
      <c r="AI831" s="193">
        <v>100</v>
      </c>
      <c r="AJ831">
        <v>1855.36</v>
      </c>
      <c r="AK831" s="193">
        <f>U831*AK823</f>
        <v>3271.8270000000002</v>
      </c>
      <c r="AL831" s="193"/>
      <c r="AM831" s="199">
        <f t="shared" si="299"/>
        <v>5227.1869999999999</v>
      </c>
      <c r="AN831" s="35">
        <f t="shared" si="300"/>
        <v>-2.9999999878782546E-3</v>
      </c>
    </row>
    <row r="832" spans="12:40">
      <c r="L832" s="312">
        <f t="shared" si="296"/>
        <v>3.8050005426792571E-2</v>
      </c>
      <c r="M832" s="309">
        <f t="shared" si="297"/>
        <v>10.715</v>
      </c>
      <c r="N832" s="112">
        <f t="shared" si="298"/>
        <v>24451.63</v>
      </c>
      <c r="P832" t="s">
        <v>483</v>
      </c>
      <c r="Q832">
        <v>1200</v>
      </c>
      <c r="R832" s="58">
        <v>2282</v>
      </c>
      <c r="S832" s="58">
        <v>2282</v>
      </c>
      <c r="T832" s="58"/>
      <c r="U832" s="58">
        <v>912141</v>
      </c>
      <c r="V832" s="112">
        <v>24451.63</v>
      </c>
      <c r="W832" s="112">
        <v>34706.97</v>
      </c>
      <c r="X832" s="35">
        <f t="shared" si="293"/>
        <v>25346.85</v>
      </c>
      <c r="Y832" s="112"/>
      <c r="Z832" s="112">
        <f t="shared" si="301"/>
        <v>84505.450000000012</v>
      </c>
      <c r="AA832" s="112">
        <v>89197.23</v>
      </c>
      <c r="AB832" s="112">
        <f t="shared" si="295"/>
        <v>4691.7799999999843</v>
      </c>
      <c r="AC832" s="193"/>
      <c r="AD832" s="193"/>
      <c r="AE832" s="193"/>
      <c r="AF832" s="193"/>
      <c r="AG832" s="193"/>
      <c r="AH832" s="195"/>
      <c r="AI832" s="193">
        <v>100</v>
      </c>
      <c r="AJ832">
        <v>1855.36</v>
      </c>
      <c r="AK832" s="193">
        <f>U832*AK823</f>
        <v>2736.4230000000002</v>
      </c>
      <c r="AL832" s="193"/>
      <c r="AM832" s="199">
        <f t="shared" si="299"/>
        <v>4691.7830000000004</v>
      </c>
      <c r="AN832" s="35">
        <f t="shared" si="300"/>
        <v>3.0000000160725904E-3</v>
      </c>
    </row>
    <row r="833" spans="12:40">
      <c r="L833" s="312">
        <f t="shared" si="296"/>
        <v>3.8050004180951585E-2</v>
      </c>
      <c r="M833" s="309">
        <f t="shared" si="297"/>
        <v>10.714997776789684</v>
      </c>
      <c r="N833" s="112">
        <f t="shared" si="298"/>
        <v>24098.03</v>
      </c>
      <c r="P833" t="s">
        <v>484</v>
      </c>
      <c r="Q833">
        <v>1200</v>
      </c>
      <c r="R833" s="58">
        <v>2249</v>
      </c>
      <c r="S833" s="58">
        <v>2249</v>
      </c>
      <c r="T833" s="58"/>
      <c r="U833" s="58">
        <v>920843</v>
      </c>
      <c r="V833" s="112">
        <v>24098.03</v>
      </c>
      <c r="W833" s="112">
        <v>35038.080000000002</v>
      </c>
      <c r="X833" s="35">
        <f t="shared" si="293"/>
        <v>23290.469999999998</v>
      </c>
      <c r="Y833" s="112"/>
      <c r="Z833" s="112">
        <f>SUM(V833:Y833)</f>
        <v>82426.58</v>
      </c>
      <c r="AA833" s="112">
        <v>87144.47</v>
      </c>
      <c r="AB833" s="112">
        <f t="shared" si="295"/>
        <v>4717.8899999999994</v>
      </c>
      <c r="AC833" s="193"/>
      <c r="AD833" s="193"/>
      <c r="AE833" s="193"/>
      <c r="AF833" s="195"/>
      <c r="AG833" s="195"/>
      <c r="AH833" s="195"/>
      <c r="AI833" s="193">
        <v>100</v>
      </c>
      <c r="AJ833">
        <v>1855.36</v>
      </c>
      <c r="AK833" s="193">
        <f>U833*AK823</f>
        <v>2762.529</v>
      </c>
      <c r="AL833" s="193"/>
      <c r="AM833" s="199">
        <f t="shared" si="299"/>
        <v>4717.8890000000001</v>
      </c>
      <c r="AN833" s="35">
        <f t="shared" si="300"/>
        <v>-9.9999999929423211E-4</v>
      </c>
    </row>
    <row r="834" spans="12:40">
      <c r="L834" s="312">
        <f t="shared" si="296"/>
        <v>3.8049997053591668E-2</v>
      </c>
      <c r="M834" s="309">
        <f t="shared" si="297"/>
        <v>10.714997740623588</v>
      </c>
      <c r="N834" s="112">
        <f t="shared" si="298"/>
        <v>23712.29</v>
      </c>
      <c r="P834" s="169" t="s">
        <v>1091</v>
      </c>
      <c r="Q834">
        <v>1200</v>
      </c>
      <c r="R834" s="58">
        <v>2213</v>
      </c>
      <c r="S834" s="58">
        <v>2213</v>
      </c>
      <c r="T834" s="123"/>
      <c r="U834" s="58">
        <v>1001219</v>
      </c>
      <c r="V834" s="112">
        <v>23712.29</v>
      </c>
      <c r="W834" s="112">
        <v>38096.379999999997</v>
      </c>
      <c r="X834" s="35">
        <f t="shared" ref="X834:X835" si="302">SUM(R856:Y856)</f>
        <v>26251.47</v>
      </c>
      <c r="Y834" s="112"/>
      <c r="Z834" s="112">
        <f t="shared" ref="Z834:Z835" si="303">SUM(V834:Y834)</f>
        <v>88060.14</v>
      </c>
      <c r="AA834" s="112">
        <v>93019.16</v>
      </c>
      <c r="AB834" s="112">
        <f t="shared" si="295"/>
        <v>4959.0200000000041</v>
      </c>
      <c r="AC834" s="193"/>
      <c r="AD834" s="193"/>
      <c r="AE834" s="193"/>
      <c r="AF834" s="195"/>
      <c r="AG834" s="195"/>
      <c r="AH834" s="195"/>
      <c r="AI834" s="193">
        <v>100</v>
      </c>
      <c r="AJ834">
        <v>1855.36</v>
      </c>
      <c r="AK834" s="193">
        <f>U834*AK823</f>
        <v>3003.6570000000002</v>
      </c>
      <c r="AL834" s="193"/>
      <c r="AM834" s="199">
        <f t="shared" si="299"/>
        <v>4959.0169999999998</v>
      </c>
      <c r="AN834" s="35">
        <f t="shared" si="300"/>
        <v>-3.0000000042491592E-3</v>
      </c>
    </row>
    <row r="835" spans="12:40">
      <c r="L835" s="312">
        <f t="shared" si="296"/>
        <v>3.8050000399332318E-2</v>
      </c>
      <c r="M835" s="309">
        <f t="shared" si="297"/>
        <v>10.715</v>
      </c>
      <c r="N835" s="112">
        <f t="shared" si="298"/>
        <v>24537.35</v>
      </c>
      <c r="O835">
        <f>$O$80</f>
        <v>12</v>
      </c>
      <c r="P835" t="s">
        <v>474</v>
      </c>
      <c r="Q835">
        <v>1200</v>
      </c>
      <c r="R835" s="58">
        <v>2290</v>
      </c>
      <c r="S835" s="58">
        <v>2290</v>
      </c>
      <c r="T835" s="123"/>
      <c r="U835" s="58">
        <v>1001672</v>
      </c>
      <c r="V835" s="112">
        <v>24537.35</v>
      </c>
      <c r="W835" s="112">
        <v>38113.620000000003</v>
      </c>
      <c r="X835" s="35">
        <f t="shared" si="302"/>
        <v>14127.050000000001</v>
      </c>
      <c r="Y835" s="112"/>
      <c r="Z835" s="112">
        <f t="shared" si="303"/>
        <v>76778.02</v>
      </c>
      <c r="AA835" s="112">
        <v>81738.399999999994</v>
      </c>
      <c r="AB835" s="112">
        <f t="shared" si="295"/>
        <v>4960.3799999999901</v>
      </c>
      <c r="AC835" s="193"/>
      <c r="AD835" s="193"/>
      <c r="AE835" s="193"/>
      <c r="AF835" s="195"/>
      <c r="AG835" s="195"/>
      <c r="AH835" s="195"/>
      <c r="AI835" s="193">
        <v>100</v>
      </c>
      <c r="AJ835">
        <v>1855.36</v>
      </c>
      <c r="AK835" s="193">
        <f>U835*AK823</f>
        <v>3005.0160000000001</v>
      </c>
      <c r="AL835" s="193"/>
      <c r="AM835" s="199">
        <f t="shared" si="299"/>
        <v>4960.3760000000002</v>
      </c>
      <c r="AN835" s="35">
        <f t="shared" si="300"/>
        <v>-3.9999999899009708E-3</v>
      </c>
    </row>
    <row r="836" spans="12:40">
      <c r="R836" s="124" t="s">
        <v>134</v>
      </c>
      <c r="S836" s="124"/>
      <c r="T836" s="124" t="s">
        <v>134</v>
      </c>
      <c r="U836" s="124" t="s">
        <v>134</v>
      </c>
      <c r="V836" s="125" t="s">
        <v>134</v>
      </c>
      <c r="W836" s="125" t="s">
        <v>134</v>
      </c>
      <c r="X836" s="125" t="s">
        <v>134</v>
      </c>
      <c r="Y836" s="122" t="s">
        <v>134</v>
      </c>
      <c r="Z836" s="125" t="s">
        <v>134</v>
      </c>
      <c r="AA836" s="125" t="s">
        <v>134</v>
      </c>
      <c r="AB836" s="125" t="s">
        <v>134</v>
      </c>
      <c r="AC836" s="193"/>
      <c r="AD836" s="193"/>
      <c r="AE836" s="193"/>
      <c r="AF836" s="193"/>
      <c r="AG836" s="193"/>
      <c r="AH836" s="193"/>
      <c r="AI836" s="193"/>
      <c r="AJ836" s="193"/>
      <c r="AK836" s="193"/>
      <c r="AL836" s="193"/>
      <c r="AM836" s="193"/>
    </row>
    <row r="837" spans="12:40">
      <c r="R837" s="58"/>
      <c r="S837" s="58"/>
      <c r="T837" s="58"/>
      <c r="U837" s="58"/>
      <c r="V837" s="112"/>
      <c r="W837" s="112"/>
      <c r="X837" s="112"/>
      <c r="Z837" s="112"/>
      <c r="AA837" s="112"/>
      <c r="AB837" s="112"/>
      <c r="AC837" s="193"/>
      <c r="AD837" s="193"/>
      <c r="AE837" s="193"/>
      <c r="AF837" s="193"/>
      <c r="AG837" s="193"/>
      <c r="AH837" s="193"/>
      <c r="AI837" s="193"/>
      <c r="AJ837" s="193"/>
      <c r="AK837" s="193"/>
      <c r="AL837" s="193"/>
      <c r="AM837" s="193"/>
    </row>
    <row r="838" spans="12:40">
      <c r="R838" s="58">
        <f t="shared" ref="R838:AB838" si="304">SUM(R824:R835)</f>
        <v>26159</v>
      </c>
      <c r="S838" s="58"/>
      <c r="T838" s="58">
        <f t="shared" si="304"/>
        <v>0</v>
      </c>
      <c r="U838" s="58">
        <f t="shared" si="304"/>
        <v>11812199</v>
      </c>
      <c r="V838" s="112">
        <f t="shared" si="304"/>
        <v>280293.67</v>
      </c>
      <c r="W838" s="112">
        <f t="shared" si="304"/>
        <v>449454.17</v>
      </c>
      <c r="X838" s="112">
        <f t="shared" si="304"/>
        <v>277291.06</v>
      </c>
      <c r="Y838" s="112">
        <f t="shared" si="304"/>
        <v>0</v>
      </c>
      <c r="Z838" s="112">
        <f t="shared" si="304"/>
        <v>1007038.9000000001</v>
      </c>
      <c r="AA838" s="112">
        <f t="shared" si="304"/>
        <v>1065939.8299999998</v>
      </c>
      <c r="AB838" s="112">
        <f t="shared" si="304"/>
        <v>58900.929999999935</v>
      </c>
      <c r="AC838" s="197">
        <f t="shared" ref="AC838:AM838" si="305">SUM(AC824:AC835)</f>
        <v>0</v>
      </c>
      <c r="AD838" s="197">
        <f t="shared" si="305"/>
        <v>0</v>
      </c>
      <c r="AE838" s="197">
        <f t="shared" si="305"/>
        <v>0</v>
      </c>
      <c r="AF838" s="197">
        <f t="shared" si="305"/>
        <v>0</v>
      </c>
      <c r="AG838" s="197">
        <f t="shared" si="305"/>
        <v>0</v>
      </c>
      <c r="AH838" s="197">
        <f t="shared" si="305"/>
        <v>0</v>
      </c>
      <c r="AI838" s="197">
        <f t="shared" si="305"/>
        <v>1200</v>
      </c>
      <c r="AJ838" s="197">
        <f t="shared" si="305"/>
        <v>22264.320000000003</v>
      </c>
      <c r="AK838" s="197">
        <f t="shared" si="305"/>
        <v>35436.597000000002</v>
      </c>
      <c r="AL838" s="197">
        <f t="shared" si="305"/>
        <v>0</v>
      </c>
      <c r="AM838" s="197">
        <f t="shared" si="305"/>
        <v>58900.917000000001</v>
      </c>
    </row>
    <row r="839" spans="12:40">
      <c r="R839" s="124" t="s">
        <v>229</v>
      </c>
      <c r="S839" s="124"/>
      <c r="T839" s="124" t="s">
        <v>229</v>
      </c>
      <c r="U839" s="124" t="s">
        <v>229</v>
      </c>
      <c r="V839" s="125" t="s">
        <v>229</v>
      </c>
      <c r="W839" s="125" t="s">
        <v>229</v>
      </c>
      <c r="X839" s="125" t="s">
        <v>229</v>
      </c>
      <c r="Y839" s="125" t="s">
        <v>229</v>
      </c>
      <c r="Z839" s="125" t="s">
        <v>229</v>
      </c>
      <c r="AA839" s="125" t="s">
        <v>229</v>
      </c>
      <c r="AB839" s="125" t="s">
        <v>229</v>
      </c>
      <c r="AC839" s="198" t="s">
        <v>229</v>
      </c>
      <c r="AD839" s="198" t="s">
        <v>229</v>
      </c>
      <c r="AE839" s="198" t="s">
        <v>229</v>
      </c>
      <c r="AF839" s="198" t="s">
        <v>229</v>
      </c>
      <c r="AG839" s="198" t="s">
        <v>229</v>
      </c>
      <c r="AH839" s="198" t="s">
        <v>229</v>
      </c>
      <c r="AI839" s="198" t="s">
        <v>229</v>
      </c>
      <c r="AJ839" s="198" t="s">
        <v>229</v>
      </c>
      <c r="AK839" s="198" t="s">
        <v>229</v>
      </c>
      <c r="AL839" s="198" t="s">
        <v>229</v>
      </c>
      <c r="AM839" s="198" t="s">
        <v>229</v>
      </c>
    </row>
    <row r="842" spans="12:40">
      <c r="S842" s="52" t="s">
        <v>367</v>
      </c>
    </row>
    <row r="843" spans="12:40">
      <c r="P843" s="52"/>
      <c r="Q843" s="52"/>
      <c r="R843" s="52" t="s">
        <v>221</v>
      </c>
      <c r="S843" s="52" t="s">
        <v>343</v>
      </c>
      <c r="T843" s="52" t="s">
        <v>222</v>
      </c>
      <c r="U843" s="52" t="s">
        <v>371</v>
      </c>
      <c r="V843" s="52" t="s">
        <v>368</v>
      </c>
      <c r="W843" s="52" t="s">
        <v>369</v>
      </c>
      <c r="X843" s="52" t="s">
        <v>370</v>
      </c>
      <c r="Y843" s="52" t="s">
        <v>372</v>
      </c>
      <c r="Z843" s="52"/>
      <c r="AA843" s="52"/>
      <c r="AB843" s="52"/>
    </row>
    <row r="844" spans="12:40">
      <c r="P844" s="52"/>
      <c r="Q844" s="52"/>
      <c r="R844" s="89" t="s">
        <v>15</v>
      </c>
      <c r="S844" s="89" t="s">
        <v>344</v>
      </c>
      <c r="T844" s="89" t="s">
        <v>227</v>
      </c>
      <c r="U844" s="89" t="s">
        <v>375</v>
      </c>
      <c r="V844" s="89" t="s">
        <v>226</v>
      </c>
      <c r="W844" s="89" t="s">
        <v>373</v>
      </c>
      <c r="X844" s="89" t="s">
        <v>374</v>
      </c>
      <c r="Y844" s="89" t="s">
        <v>376</v>
      </c>
      <c r="Z844" s="52"/>
      <c r="AA844" s="52"/>
      <c r="AB844" s="52"/>
    </row>
    <row r="845" spans="12:40"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183" t="s">
        <v>217</v>
      </c>
    </row>
    <row r="846" spans="12:40">
      <c r="O846">
        <f>$O$69</f>
        <v>1</v>
      </c>
      <c r="P846" t="str">
        <f t="shared" ref="P846:P857" si="306">P824</f>
        <v>MAR</v>
      </c>
      <c r="R846" s="117">
        <v>21551.81</v>
      </c>
      <c r="S846" s="117">
        <v>2802.16</v>
      </c>
      <c r="T846" s="117">
        <v>4890.3900000000003</v>
      </c>
      <c r="U846" s="117">
        <v>-5972.47</v>
      </c>
      <c r="V846" s="117"/>
      <c r="W846" s="117"/>
      <c r="X846" s="117"/>
      <c r="Z846" s="117"/>
      <c r="AA846" s="117"/>
      <c r="AB846" s="35">
        <f t="shared" ref="AB846:AB857" si="307">SUM(R846:AA846)</f>
        <v>23271.89</v>
      </c>
    </row>
    <row r="847" spans="12:40">
      <c r="P847" t="str">
        <f t="shared" si="306"/>
        <v>APR</v>
      </c>
      <c r="R847" s="117">
        <v>14608.88</v>
      </c>
      <c r="S847" s="117">
        <v>2391.8000000000002</v>
      </c>
      <c r="T847" s="117">
        <v>4915.76</v>
      </c>
      <c r="U847" s="117">
        <v>-4951.8</v>
      </c>
      <c r="V847" s="117"/>
      <c r="W847" s="117"/>
      <c r="X847" s="117"/>
      <c r="Z847" s="117"/>
      <c r="AA847" s="117"/>
      <c r="AB847" s="35">
        <f t="shared" si="307"/>
        <v>16964.640000000003</v>
      </c>
    </row>
    <row r="848" spans="12:40">
      <c r="P848" t="str">
        <f t="shared" si="306"/>
        <v>MAY</v>
      </c>
      <c r="R848" s="117">
        <v>16271.07</v>
      </c>
      <c r="S848" s="117">
        <v>2244.44</v>
      </c>
      <c r="T848" s="117">
        <v>3181.13</v>
      </c>
      <c r="U848" s="117">
        <v>-4539.6099999999997</v>
      </c>
      <c r="V848" s="117"/>
      <c r="W848" s="117"/>
      <c r="X848" s="117"/>
      <c r="Z848" s="117"/>
      <c r="AA848" s="117"/>
      <c r="AB848" s="35">
        <f t="shared" si="307"/>
        <v>17157.03</v>
      </c>
    </row>
    <row r="849" spans="15:28">
      <c r="P849" t="str">
        <f t="shared" si="306"/>
        <v>JUN</v>
      </c>
      <c r="R849" s="348">
        <v>5888.07</v>
      </c>
      <c r="S849" s="348">
        <v>2369.87</v>
      </c>
      <c r="T849" s="348">
        <v>4209.71</v>
      </c>
      <c r="U849" s="348">
        <v>-4537.62</v>
      </c>
      <c r="V849" s="117"/>
      <c r="W849" s="117"/>
      <c r="X849" s="117"/>
      <c r="Z849" s="117"/>
      <c r="AA849" s="117"/>
      <c r="AB849" s="35">
        <f t="shared" si="307"/>
        <v>7930.0299999999979</v>
      </c>
    </row>
    <row r="850" spans="15:28">
      <c r="P850" t="str">
        <f t="shared" si="306"/>
        <v>JUL</v>
      </c>
      <c r="R850" s="348">
        <v>19331.099999999999</v>
      </c>
      <c r="S850" s="348">
        <v>2354.7600000000002</v>
      </c>
      <c r="T850" s="348">
        <v>3618.67</v>
      </c>
      <c r="U850" s="348">
        <v>-3609.44</v>
      </c>
      <c r="V850" s="117"/>
      <c r="W850" s="117"/>
      <c r="X850" s="117"/>
      <c r="Y850" s="117"/>
      <c r="Z850" s="117"/>
      <c r="AA850" s="117"/>
      <c r="AB850" s="35">
        <f t="shared" si="307"/>
        <v>21695.09</v>
      </c>
    </row>
    <row r="851" spans="15:28">
      <c r="P851" t="str">
        <f t="shared" si="306"/>
        <v>AUG</v>
      </c>
      <c r="R851" s="348">
        <v>22883.84</v>
      </c>
      <c r="S851" s="348">
        <v>2567.83</v>
      </c>
      <c r="T851" s="348">
        <v>4175.51</v>
      </c>
      <c r="U851" s="348">
        <v>-4563.03</v>
      </c>
      <c r="V851" s="117"/>
      <c r="W851" s="117"/>
      <c r="X851" s="348"/>
      <c r="Y851" s="348"/>
      <c r="Z851" s="117"/>
      <c r="AA851" s="117"/>
      <c r="AB851" s="35">
        <f t="shared" si="307"/>
        <v>25064.15</v>
      </c>
    </row>
    <row r="852" spans="15:28">
      <c r="P852" t="str">
        <f t="shared" si="306"/>
        <v>SEP</v>
      </c>
      <c r="R852" s="348">
        <v>33856.89</v>
      </c>
      <c r="S852" s="348">
        <v>5879.53</v>
      </c>
      <c r="T852" s="348">
        <v>3083.71</v>
      </c>
      <c r="U852" s="348">
        <v>-4446.68</v>
      </c>
      <c r="V852" s="348"/>
      <c r="W852" s="348"/>
      <c r="X852" s="348"/>
      <c r="Y852" s="348"/>
      <c r="Z852" s="117"/>
      <c r="AA852" s="117"/>
      <c r="AB852" s="35">
        <f t="shared" si="307"/>
        <v>38373.449999999997</v>
      </c>
    </row>
    <row r="853" spans="15:28">
      <c r="P853" t="str">
        <f t="shared" si="306"/>
        <v>OCT</v>
      </c>
      <c r="R853" s="348">
        <v>31490.240000000002</v>
      </c>
      <c r="S853" s="348">
        <v>6564.38</v>
      </c>
      <c r="T853" s="348">
        <v>4408.9399999999996</v>
      </c>
      <c r="U853" s="348">
        <v>-4644.62</v>
      </c>
      <c r="V853" s="348"/>
      <c r="W853" s="348"/>
      <c r="X853" s="348"/>
      <c r="Y853" s="348"/>
      <c r="Z853" s="117"/>
      <c r="AA853" s="117"/>
      <c r="AB853" s="35">
        <f t="shared" si="307"/>
        <v>37818.94</v>
      </c>
    </row>
    <row r="854" spans="15:28">
      <c r="P854" t="str">
        <f t="shared" si="306"/>
        <v>NOV</v>
      </c>
      <c r="R854" s="117">
        <v>21435.31</v>
      </c>
      <c r="S854" s="117">
        <v>5490.18</v>
      </c>
      <c r="T854" s="117">
        <v>2839.28</v>
      </c>
      <c r="U854" s="117">
        <v>-4417.92</v>
      </c>
      <c r="V854" s="348"/>
      <c r="W854" s="348"/>
      <c r="X854" s="348"/>
      <c r="Y854" s="348"/>
      <c r="Z854" s="117"/>
      <c r="AA854" s="117"/>
      <c r="AB854" s="35">
        <f t="shared" si="307"/>
        <v>25346.85</v>
      </c>
    </row>
    <row r="855" spans="15:28">
      <c r="P855" t="str">
        <f t="shared" si="306"/>
        <v>DEC</v>
      </c>
      <c r="R855" s="117">
        <v>18445.41</v>
      </c>
      <c r="S855" s="117">
        <v>5542.55</v>
      </c>
      <c r="T855" s="117">
        <v>3383.05</v>
      </c>
      <c r="U855" s="117">
        <v>-4080.54</v>
      </c>
      <c r="V855" s="348"/>
      <c r="W855" s="348"/>
      <c r="X855" s="348"/>
      <c r="Y855" s="348"/>
      <c r="Z855" s="117"/>
      <c r="AA855" s="117"/>
      <c r="AB855" s="35">
        <f t="shared" si="307"/>
        <v>23290.469999999998</v>
      </c>
    </row>
    <row r="856" spans="15:28">
      <c r="P856" t="str">
        <f t="shared" si="306"/>
        <v>Jan 2023</v>
      </c>
      <c r="R856" s="117">
        <v>14503.66</v>
      </c>
      <c r="S856" s="117">
        <v>6026.34</v>
      </c>
      <c r="T856" s="117">
        <v>8753.7999999999993</v>
      </c>
      <c r="U856" s="117">
        <v>-3032.33</v>
      </c>
      <c r="V856" s="117"/>
      <c r="W856" s="117"/>
      <c r="X856" s="117"/>
      <c r="Y856" s="117"/>
      <c r="Z856" s="117"/>
      <c r="AA856" s="117"/>
      <c r="AB856" s="35">
        <f t="shared" si="307"/>
        <v>26251.47</v>
      </c>
    </row>
    <row r="857" spans="15:28">
      <c r="O857">
        <f>$O$80</f>
        <v>12</v>
      </c>
      <c r="P857" t="str">
        <f t="shared" si="306"/>
        <v>FEB</v>
      </c>
      <c r="R857" s="117">
        <v>7845.1</v>
      </c>
      <c r="S857" s="117">
        <v>6029.06</v>
      </c>
      <c r="T857" s="117">
        <v>3845.74</v>
      </c>
      <c r="U857" s="117">
        <v>-3592.85</v>
      </c>
      <c r="V857" s="117"/>
      <c r="W857" s="117"/>
      <c r="X857" s="117"/>
      <c r="Y857" s="117"/>
      <c r="Z857" s="117"/>
      <c r="AA857" s="117"/>
      <c r="AB857" s="35">
        <f t="shared" si="307"/>
        <v>14127.050000000001</v>
      </c>
    </row>
    <row r="858" spans="15:28"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35"/>
    </row>
    <row r="859" spans="15:28" ht="13.5" thickBot="1">
      <c r="P859" t="s">
        <v>108</v>
      </c>
      <c r="R859" s="119">
        <f t="shared" ref="R859" si="308">SUM(R846:R857)</f>
        <v>228111.37999999998</v>
      </c>
      <c r="S859" s="119">
        <f t="shared" ref="S859:Y859" si="309">SUM(S846:S857)</f>
        <v>50262.899999999994</v>
      </c>
      <c r="T859" s="119">
        <f t="shared" si="309"/>
        <v>51305.69000000001</v>
      </c>
      <c r="U859" s="119">
        <f t="shared" si="309"/>
        <v>-52388.909999999996</v>
      </c>
      <c r="V859" s="119">
        <f t="shared" si="309"/>
        <v>0</v>
      </c>
      <c r="W859" s="119">
        <f t="shared" si="309"/>
        <v>0</v>
      </c>
      <c r="X859" s="119">
        <f t="shared" si="309"/>
        <v>0</v>
      </c>
      <c r="Y859" s="119">
        <f t="shared" si="309"/>
        <v>0</v>
      </c>
      <c r="Z859" s="117"/>
      <c r="AA859" s="117"/>
      <c r="AB859" s="119">
        <f>SUM(AB846:AB857)</f>
        <v>277291.06</v>
      </c>
    </row>
    <row r="860" spans="15:28" ht="13.5" thickTop="1"/>
  </sheetData>
  <mergeCells count="6">
    <mergeCell ref="C8:E8"/>
    <mergeCell ref="G8:J8"/>
    <mergeCell ref="K8:M8"/>
    <mergeCell ref="A1:M1"/>
    <mergeCell ref="A2:M2"/>
    <mergeCell ref="A3:M3"/>
  </mergeCells>
  <phoneticPr fontId="10" type="noConversion"/>
  <pageMargins left="0.5" right="0.5" top="0.25" bottom="0.5" header="0.5" footer="0.5"/>
  <pageSetup scale="90" orientation="landscape" r:id="rId1"/>
  <headerFooter alignWithMargins="0">
    <oddFooter>&amp;C&amp;14Exhibit 9, Page 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141"/>
  <sheetViews>
    <sheetView topLeftCell="B1" zoomScale="110" zoomScaleNormal="110" workbookViewId="0">
      <selection activeCell="A2" sqref="A2:R2"/>
    </sheetView>
  </sheetViews>
  <sheetFormatPr defaultRowHeight="12.75"/>
  <cols>
    <col min="1" max="1" width="6.5703125" bestFit="1" customWidth="1"/>
    <col min="3" max="3" width="39.85546875" bestFit="1" customWidth="1"/>
    <col min="4" max="5" width="9.42578125" bestFit="1" customWidth="1"/>
    <col min="6" max="6" width="10.28515625" bestFit="1" customWidth="1"/>
    <col min="7" max="7" width="9.140625" customWidth="1"/>
    <col min="8" max="8" width="11.42578125" bestFit="1" customWidth="1"/>
    <col min="9" max="9" width="10.28515625" bestFit="1" customWidth="1"/>
    <col min="10" max="10" width="10.140625" bestFit="1" customWidth="1"/>
    <col min="11" max="11" width="1.7109375" customWidth="1"/>
    <col min="12" max="12" width="10.140625" bestFit="1" customWidth="1"/>
    <col min="13" max="13" width="1.5703125" customWidth="1"/>
    <col min="14" max="14" width="10.140625" bestFit="1" customWidth="1"/>
    <col min="15" max="15" width="1.5703125" customWidth="1"/>
    <col min="16" max="16" width="9.140625" bestFit="1" customWidth="1"/>
    <col min="17" max="17" width="1.28515625" customWidth="1"/>
    <col min="19" max="19" width="12.28515625" bestFit="1" customWidth="1"/>
    <col min="20" max="20" width="14.28515625" bestFit="1" customWidth="1"/>
    <col min="21" max="21" width="26" bestFit="1" customWidth="1"/>
    <col min="22" max="22" width="12.28515625" bestFit="1" customWidth="1"/>
    <col min="24" max="24" width="12.28515625" bestFit="1" customWidth="1"/>
    <col min="26" max="26" width="12.5703125" bestFit="1" customWidth="1"/>
    <col min="28" max="28" width="12.5703125" bestFit="1" customWidth="1"/>
    <col min="29" max="29" width="9.5703125" bestFit="1" customWidth="1"/>
    <col min="30" max="30" width="12.5703125" bestFit="1" customWidth="1"/>
    <col min="31" max="31" width="10.5703125" bestFit="1" customWidth="1"/>
    <col min="32" max="32" width="12.5703125" bestFit="1" customWidth="1"/>
    <col min="33" max="33" width="13.140625" bestFit="1" customWidth="1"/>
    <col min="34" max="34" width="12.5703125" bestFit="1" customWidth="1"/>
    <col min="35" max="35" width="10.5703125" bestFit="1" customWidth="1"/>
    <col min="36" max="38" width="12.5703125" bestFit="1" customWidth="1"/>
    <col min="39" max="39" width="9.7109375" bestFit="1" customWidth="1"/>
    <col min="40" max="40" width="12.5703125" bestFit="1" customWidth="1"/>
    <col min="42" max="42" width="12.5703125" bestFit="1" customWidth="1"/>
    <col min="44" max="44" width="12.5703125" bestFit="1" customWidth="1"/>
    <col min="45" max="45" width="7.7109375" customWidth="1"/>
  </cols>
  <sheetData>
    <row r="1" spans="1:45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378"/>
    </row>
    <row r="2" spans="1:45">
      <c r="A2" s="497" t="s">
        <v>1165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385"/>
    </row>
    <row r="3" spans="1:45">
      <c r="A3" s="498" t="s">
        <v>1169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V3">
        <v>2023</v>
      </c>
      <c r="Z3">
        <v>2022</v>
      </c>
    </row>
    <row r="4" spans="1:4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T4" t="s">
        <v>457</v>
      </c>
      <c r="U4" t="s">
        <v>457</v>
      </c>
      <c r="V4" t="s">
        <v>523</v>
      </c>
      <c r="W4" t="s">
        <v>523</v>
      </c>
      <c r="X4" t="s">
        <v>522</v>
      </c>
      <c r="Y4" t="s">
        <v>522</v>
      </c>
      <c r="Z4" t="s">
        <v>461</v>
      </c>
      <c r="AA4" t="s">
        <v>461</v>
      </c>
      <c r="AB4" t="s">
        <v>460</v>
      </c>
      <c r="AC4" t="s">
        <v>460</v>
      </c>
      <c r="AD4" t="s">
        <v>459</v>
      </c>
      <c r="AE4" t="s">
        <v>459</v>
      </c>
      <c r="AF4" t="s">
        <v>458</v>
      </c>
      <c r="AG4" t="s">
        <v>458</v>
      </c>
      <c r="AH4" t="s">
        <v>526</v>
      </c>
      <c r="AI4" t="s">
        <v>526</v>
      </c>
      <c r="AJ4" t="s">
        <v>655</v>
      </c>
      <c r="AK4" t="s">
        <v>655</v>
      </c>
      <c r="AL4" t="s">
        <v>525</v>
      </c>
      <c r="AM4" t="s">
        <v>525</v>
      </c>
      <c r="AN4" t="s">
        <v>656</v>
      </c>
      <c r="AO4" t="s">
        <v>656</v>
      </c>
      <c r="AP4" t="s">
        <v>657</v>
      </c>
      <c r="AQ4" t="s">
        <v>657</v>
      </c>
      <c r="AR4" t="s">
        <v>524</v>
      </c>
      <c r="AS4" t="s">
        <v>524</v>
      </c>
    </row>
    <row r="5" spans="1:45">
      <c r="A5" s="177" t="s">
        <v>64</v>
      </c>
      <c r="B5" s="155"/>
      <c r="C5" s="160" t="s">
        <v>1</v>
      </c>
      <c r="D5" s="160" t="s">
        <v>2</v>
      </c>
      <c r="E5" s="160" t="s">
        <v>3</v>
      </c>
      <c r="F5" s="160" t="s">
        <v>4</v>
      </c>
      <c r="G5" s="160" t="s">
        <v>5</v>
      </c>
      <c r="H5" s="160" t="s">
        <v>6</v>
      </c>
      <c r="I5" s="160" t="s">
        <v>28</v>
      </c>
      <c r="J5" s="160" t="s">
        <v>7</v>
      </c>
      <c r="K5" s="155"/>
      <c r="L5" s="160" t="s">
        <v>29</v>
      </c>
      <c r="M5" s="155"/>
      <c r="N5" s="169" t="s">
        <v>50</v>
      </c>
      <c r="O5" s="155"/>
      <c r="P5" s="160" t="s">
        <v>30</v>
      </c>
      <c r="Q5" s="155"/>
      <c r="R5" s="160" t="s">
        <v>51</v>
      </c>
    </row>
    <row r="6" spans="1:45">
      <c r="A6" s="177" t="s">
        <v>36</v>
      </c>
      <c r="B6" s="84" t="s">
        <v>76</v>
      </c>
      <c r="C6" s="84" t="s">
        <v>77</v>
      </c>
      <c r="D6" s="16" t="s">
        <v>78</v>
      </c>
      <c r="E6" s="16" t="s">
        <v>41</v>
      </c>
      <c r="F6" s="84" t="s">
        <v>79</v>
      </c>
      <c r="G6" s="497" t="s">
        <v>80</v>
      </c>
      <c r="H6" s="497"/>
      <c r="I6" s="497"/>
      <c r="J6" s="497" t="s">
        <v>81</v>
      </c>
      <c r="K6" s="497"/>
      <c r="L6" s="497"/>
      <c r="M6" s="497"/>
      <c r="N6" s="497"/>
      <c r="O6" s="84"/>
      <c r="P6" s="497" t="s">
        <v>82</v>
      </c>
      <c r="Q6" s="497"/>
      <c r="R6" s="497"/>
    </row>
    <row r="7" spans="1:45">
      <c r="A7" s="155"/>
      <c r="B7" s="84" t="s">
        <v>36</v>
      </c>
      <c r="C7" s="156"/>
      <c r="D7" s="84" t="s">
        <v>36</v>
      </c>
      <c r="E7" s="84" t="s">
        <v>36</v>
      </c>
      <c r="F7" s="84" t="s">
        <v>36</v>
      </c>
      <c r="G7" s="84" t="s">
        <v>78</v>
      </c>
      <c r="H7" s="16" t="s">
        <v>41</v>
      </c>
      <c r="I7" s="84" t="s">
        <v>79</v>
      </c>
      <c r="J7" s="84" t="s">
        <v>78</v>
      </c>
      <c r="K7" s="84"/>
      <c r="L7" s="16" t="s">
        <v>41</v>
      </c>
      <c r="M7" s="84"/>
      <c r="N7" s="84" t="s">
        <v>79</v>
      </c>
      <c r="O7" s="16"/>
      <c r="P7" s="84" t="s">
        <v>83</v>
      </c>
      <c r="Q7" s="84"/>
      <c r="R7" s="84" t="s">
        <v>84</v>
      </c>
    </row>
    <row r="8" spans="1:45">
      <c r="A8" s="156">
        <v>1</v>
      </c>
      <c r="B8" s="180">
        <v>450</v>
      </c>
      <c r="C8" s="155" t="s">
        <v>85</v>
      </c>
      <c r="D8" s="156"/>
      <c r="E8" s="156"/>
      <c r="F8" s="265"/>
      <c r="G8" s="253">
        <v>0.05</v>
      </c>
      <c r="H8" s="253">
        <v>0.05</v>
      </c>
      <c r="I8" s="253">
        <v>0.05</v>
      </c>
      <c r="J8" s="266">
        <f>T8</f>
        <v>686579.91999999993</v>
      </c>
      <c r="K8" s="266"/>
      <c r="L8" s="266">
        <f>J8</f>
        <v>686579.91999999993</v>
      </c>
      <c r="M8" s="266"/>
      <c r="N8" s="266">
        <f>L8</f>
        <v>686579.91999999993</v>
      </c>
      <c r="O8" s="266"/>
      <c r="P8" s="266">
        <f>N8-J8</f>
        <v>0</v>
      </c>
      <c r="Q8" s="223"/>
      <c r="R8" s="232">
        <f>+P8/L8</f>
        <v>0</v>
      </c>
      <c r="T8" s="30">
        <f>V8+X8+Z8+AB8+AD8+AF8+AH8+AJ8+AL8+AN8+AP8+AR8</f>
        <v>686579.91999999993</v>
      </c>
      <c r="V8" s="60">
        <v>11966.67</v>
      </c>
      <c r="W8" s="60"/>
      <c r="X8" s="60">
        <v>57845.85</v>
      </c>
      <c r="Z8" s="60">
        <v>67719.070000000007</v>
      </c>
      <c r="AB8">
        <v>50417.25</v>
      </c>
      <c r="AD8">
        <v>68014.95</v>
      </c>
      <c r="AF8">
        <v>75659.03</v>
      </c>
      <c r="AH8">
        <v>76776.45</v>
      </c>
      <c r="AJ8">
        <v>66972.55</v>
      </c>
      <c r="AL8">
        <v>55474</v>
      </c>
      <c r="AN8">
        <v>44031.72</v>
      </c>
      <c r="AP8">
        <v>47882.57</v>
      </c>
      <c r="AR8">
        <v>63819.81</v>
      </c>
    </row>
    <row r="9" spans="1:45">
      <c r="A9" s="156">
        <f>A8+1</f>
        <v>2</v>
      </c>
      <c r="B9" s="180">
        <v>450.23</v>
      </c>
      <c r="C9" s="155" t="s">
        <v>86</v>
      </c>
      <c r="D9" s="156"/>
      <c r="E9" s="156"/>
      <c r="F9" s="265"/>
      <c r="G9" s="253">
        <v>0.05</v>
      </c>
      <c r="H9" s="253">
        <v>0.05</v>
      </c>
      <c r="I9" s="253">
        <v>0.05</v>
      </c>
      <c r="J9" s="266">
        <v>0</v>
      </c>
      <c r="K9" s="266"/>
      <c r="L9" s="266">
        <v>0</v>
      </c>
      <c r="M9" s="266"/>
      <c r="N9" s="266">
        <v>0</v>
      </c>
      <c r="O9" s="266"/>
      <c r="P9" s="266">
        <f t="shared" ref="P9:P11" si="0">N9-J9</f>
        <v>0</v>
      </c>
      <c r="Q9" s="223"/>
      <c r="R9" s="232" t="e">
        <f>+P9/L9</f>
        <v>#DIV/0!</v>
      </c>
      <c r="W9" s="37"/>
    </row>
    <row r="10" spans="1:45">
      <c r="A10" s="156">
        <f t="shared" ref="A10:A66" si="1">A9+1</f>
        <v>3</v>
      </c>
      <c r="B10" s="180">
        <v>450.24</v>
      </c>
      <c r="C10" s="155" t="s">
        <v>87</v>
      </c>
      <c r="D10" s="156"/>
      <c r="E10" s="156"/>
      <c r="F10" s="265"/>
      <c r="G10" s="253">
        <v>0.05</v>
      </c>
      <c r="H10" s="253">
        <v>0.05</v>
      </c>
      <c r="I10" s="253">
        <v>0.05</v>
      </c>
      <c r="J10" s="267">
        <v>0</v>
      </c>
      <c r="K10" s="267"/>
      <c r="L10" s="267">
        <v>0</v>
      </c>
      <c r="M10" s="267"/>
      <c r="N10" s="267">
        <v>0</v>
      </c>
      <c r="O10" s="267"/>
      <c r="P10" s="266">
        <f t="shared" si="0"/>
        <v>0</v>
      </c>
      <c r="Q10" s="223"/>
      <c r="R10" s="271" t="e">
        <f>+P10/L10</f>
        <v>#DIV/0!</v>
      </c>
      <c r="W10" s="37"/>
    </row>
    <row r="11" spans="1:45">
      <c r="A11" s="156">
        <f t="shared" si="1"/>
        <v>4</v>
      </c>
      <c r="B11" s="180"/>
      <c r="C11" s="155" t="s">
        <v>88</v>
      </c>
      <c r="D11" s="156"/>
      <c r="E11" s="156"/>
      <c r="F11" s="265"/>
      <c r="G11" s="253"/>
      <c r="H11" s="253"/>
      <c r="I11" s="253"/>
      <c r="J11" s="268">
        <f>SUM(J8:J10)</f>
        <v>686579.91999999993</v>
      </c>
      <c r="K11" s="268"/>
      <c r="L11" s="268">
        <f>SUM(L8:L10)</f>
        <v>686579.91999999993</v>
      </c>
      <c r="M11" s="268"/>
      <c r="N11" s="268">
        <f>SUM(N8:N10)</f>
        <v>686579.91999999993</v>
      </c>
      <c r="O11" s="268"/>
      <c r="P11" s="266">
        <f t="shared" si="0"/>
        <v>0</v>
      </c>
      <c r="Q11" s="223"/>
      <c r="R11" s="232">
        <f>+P11/L11</f>
        <v>0</v>
      </c>
      <c r="S11" s="30"/>
      <c r="W11" s="37"/>
    </row>
    <row r="12" spans="1:45">
      <c r="A12" s="156">
        <f t="shared" si="1"/>
        <v>5</v>
      </c>
      <c r="B12" s="180"/>
      <c r="C12" s="155" t="s">
        <v>89</v>
      </c>
      <c r="D12" s="156"/>
      <c r="E12" s="156"/>
      <c r="F12" s="265"/>
      <c r="G12" s="253"/>
      <c r="H12" s="253"/>
      <c r="I12" s="253"/>
      <c r="J12" s="266"/>
      <c r="K12" s="266"/>
      <c r="L12" s="266"/>
      <c r="M12" s="266"/>
      <c r="N12" s="266"/>
      <c r="O12" s="266"/>
      <c r="P12" s="266"/>
      <c r="Q12" s="223"/>
      <c r="R12" s="232"/>
      <c r="T12" t="s">
        <v>527</v>
      </c>
    </row>
    <row r="13" spans="1:45">
      <c r="A13" s="156">
        <f t="shared" si="1"/>
        <v>6</v>
      </c>
      <c r="B13" s="180">
        <v>451</v>
      </c>
      <c r="C13" s="155" t="s">
        <v>648</v>
      </c>
      <c r="D13" s="352">
        <f t="shared" ref="D13:D20" si="2">U13</f>
        <v>17</v>
      </c>
      <c r="E13" s="352">
        <v>17</v>
      </c>
      <c r="F13" s="352">
        <v>17</v>
      </c>
      <c r="G13" s="269">
        <v>5.75</v>
      </c>
      <c r="H13" s="269">
        <v>5.75</v>
      </c>
      <c r="I13" s="269">
        <v>6.5</v>
      </c>
      <c r="J13" s="272">
        <f t="shared" ref="J13:J20" si="3">D13*G13</f>
        <v>97.75</v>
      </c>
      <c r="K13" s="266"/>
      <c r="L13" s="266">
        <f t="shared" ref="L13:L25" si="4">E13*H13</f>
        <v>97.75</v>
      </c>
      <c r="M13" s="266"/>
      <c r="N13" s="266">
        <f t="shared" ref="N13:N25" si="5">F13*I13</f>
        <v>110.5</v>
      </c>
      <c r="O13" s="266"/>
      <c r="P13" s="266">
        <f>N13-J13</f>
        <v>12.75</v>
      </c>
      <c r="Q13" s="223"/>
      <c r="R13" s="232">
        <f t="shared" ref="R13:R26" si="6">+P13/L13</f>
        <v>0.13043478260869565</v>
      </c>
      <c r="S13" s="30">
        <f>T13+T14</f>
        <v>104.25</v>
      </c>
      <c r="T13" s="30">
        <f t="shared" ref="T13:T23" si="7">V13+X13+Z13+AB13+AD13+AF13+AH13+AJ13+AL13+AN13+AP13+AR13</f>
        <v>97.75</v>
      </c>
      <c r="U13" s="30">
        <f t="shared" ref="T13:U29" si="8">W13+Y13+AA13+AC13+AE13+AG13+AI13+AK13+AM13+AO13+AQ13+AS13</f>
        <v>17</v>
      </c>
      <c r="V13">
        <v>0</v>
      </c>
      <c r="W13" s="117">
        <f>V13/G13</f>
        <v>0</v>
      </c>
      <c r="X13">
        <v>11.5</v>
      </c>
      <c r="Y13" s="117">
        <f t="shared" ref="Y13:Y20" si="9">X13/G13</f>
        <v>2</v>
      </c>
      <c r="AA13" s="117">
        <f>Z13/G13</f>
        <v>0</v>
      </c>
      <c r="AB13">
        <f>32-3.25</f>
        <v>28.75</v>
      </c>
      <c r="AC13" s="117">
        <f>AB13/G13</f>
        <v>5</v>
      </c>
      <c r="AD13">
        <v>23</v>
      </c>
      <c r="AE13" s="117">
        <f>AD13/G13</f>
        <v>4</v>
      </c>
      <c r="AF13">
        <v>11.5</v>
      </c>
      <c r="AG13" s="117">
        <f>AF13/G13</f>
        <v>2</v>
      </c>
      <c r="AK13" s="117"/>
      <c r="AL13">
        <v>5.75</v>
      </c>
      <c r="AM13" s="117">
        <f>AL13/G13</f>
        <v>1</v>
      </c>
      <c r="AN13">
        <v>5.75</v>
      </c>
      <c r="AO13" s="117">
        <f>AN13/G13</f>
        <v>1</v>
      </c>
      <c r="AP13">
        <v>11.5</v>
      </c>
      <c r="AQ13" s="117">
        <f>AP13/G13</f>
        <v>2</v>
      </c>
      <c r="AR13">
        <v>0</v>
      </c>
      <c r="AS13" s="117">
        <f>AR13/G13</f>
        <v>0</v>
      </c>
    </row>
    <row r="14" spans="1:45">
      <c r="A14" s="156">
        <f t="shared" si="1"/>
        <v>7</v>
      </c>
      <c r="B14" s="180">
        <v>451</v>
      </c>
      <c r="C14" s="155" t="s">
        <v>413</v>
      </c>
      <c r="D14" s="352">
        <f t="shared" si="2"/>
        <v>2</v>
      </c>
      <c r="E14" s="352">
        <v>2</v>
      </c>
      <c r="F14" s="352">
        <v>2</v>
      </c>
      <c r="G14" s="269">
        <v>3.25</v>
      </c>
      <c r="H14" s="269">
        <v>3.25</v>
      </c>
      <c r="I14" s="269">
        <v>3.25</v>
      </c>
      <c r="J14" s="272">
        <f t="shared" si="3"/>
        <v>6.5</v>
      </c>
      <c r="K14" s="266"/>
      <c r="L14" s="266">
        <f t="shared" si="4"/>
        <v>6.5</v>
      </c>
      <c r="M14" s="266"/>
      <c r="N14" s="266">
        <f>F14*I14</f>
        <v>6.5</v>
      </c>
      <c r="O14" s="266"/>
      <c r="P14" s="266">
        <f t="shared" ref="P14:P28" si="10">N14-J14</f>
        <v>0</v>
      </c>
      <c r="Q14" s="223"/>
      <c r="R14" s="232">
        <f>+P14/L14</f>
        <v>0</v>
      </c>
      <c r="T14" s="30">
        <f t="shared" si="7"/>
        <v>6.5</v>
      </c>
      <c r="U14" s="30">
        <f t="shared" si="8"/>
        <v>2</v>
      </c>
      <c r="V14">
        <v>3.25</v>
      </c>
      <c r="W14" s="117">
        <f>V14/G14</f>
        <v>1</v>
      </c>
      <c r="Y14" s="117">
        <f t="shared" si="9"/>
        <v>0</v>
      </c>
      <c r="AA14" s="117"/>
      <c r="AB14">
        <v>3.25</v>
      </c>
      <c r="AC14" s="117">
        <f>AB14/G14</f>
        <v>1</v>
      </c>
      <c r="AE14" s="117"/>
      <c r="AG14" s="117"/>
      <c r="AI14" s="117"/>
      <c r="AK14" s="117"/>
      <c r="AM14" s="117"/>
      <c r="AO14" s="117"/>
      <c r="AQ14" s="117"/>
      <c r="AS14" s="35"/>
    </row>
    <row r="15" spans="1:45">
      <c r="A15" s="156">
        <f t="shared" si="1"/>
        <v>8</v>
      </c>
      <c r="B15" s="180">
        <v>451.1</v>
      </c>
      <c r="C15" s="155" t="s">
        <v>90</v>
      </c>
      <c r="D15" s="352">
        <f t="shared" si="2"/>
        <v>57</v>
      </c>
      <c r="E15" s="352">
        <v>57</v>
      </c>
      <c r="F15" s="352">
        <v>57</v>
      </c>
      <c r="G15" s="269">
        <v>5.75</v>
      </c>
      <c r="H15" s="269">
        <v>5.75</v>
      </c>
      <c r="I15" s="269">
        <v>6.5</v>
      </c>
      <c r="J15" s="272">
        <f t="shared" si="3"/>
        <v>327.75</v>
      </c>
      <c r="K15" s="266"/>
      <c r="L15" s="266">
        <f t="shared" si="4"/>
        <v>327.75</v>
      </c>
      <c r="M15" s="266"/>
      <c r="N15" s="266">
        <f t="shared" si="5"/>
        <v>370.5</v>
      </c>
      <c r="O15" s="266"/>
      <c r="P15" s="266">
        <f t="shared" si="10"/>
        <v>42.75</v>
      </c>
      <c r="Q15" s="223"/>
      <c r="R15" s="232">
        <f t="shared" si="6"/>
        <v>0.13043478260869565</v>
      </c>
      <c r="T15" s="30">
        <f t="shared" si="7"/>
        <v>327.75</v>
      </c>
      <c r="U15" s="30">
        <f t="shared" si="8"/>
        <v>57</v>
      </c>
      <c r="V15">
        <f>5.75+5.75+5.75+5.75</f>
        <v>23</v>
      </c>
      <c r="W15" s="117">
        <f t="shared" ref="W15:W20" si="11">V15/G15</f>
        <v>4</v>
      </c>
      <c r="Y15" s="117">
        <f t="shared" si="9"/>
        <v>0</v>
      </c>
      <c r="Z15" s="60">
        <v>5.75</v>
      </c>
      <c r="AA15" s="117">
        <f>Z15/G15</f>
        <v>1</v>
      </c>
      <c r="AB15">
        <f>5*5.75</f>
        <v>28.75</v>
      </c>
      <c r="AC15" s="117">
        <f>AB15/G15</f>
        <v>5</v>
      </c>
      <c r="AD15">
        <f>3*5.75</f>
        <v>17.25</v>
      </c>
      <c r="AE15" s="117">
        <f>AD15/G15</f>
        <v>3</v>
      </c>
      <c r="AF15">
        <f>9*5.75</f>
        <v>51.75</v>
      </c>
      <c r="AG15" s="117">
        <f>AF15/G15</f>
        <v>9</v>
      </c>
      <c r="AH15">
        <f>4*5.75</f>
        <v>23</v>
      </c>
      <c r="AI15" s="117">
        <f>AH15/G15</f>
        <v>4</v>
      </c>
      <c r="AJ15">
        <f>5*5.75</f>
        <v>28.75</v>
      </c>
      <c r="AK15" s="117">
        <f>AJ15/G15</f>
        <v>5</v>
      </c>
      <c r="AL15">
        <f>5.75+5.75</f>
        <v>11.5</v>
      </c>
      <c r="AM15" s="117">
        <f>AL15/G15</f>
        <v>2</v>
      </c>
      <c r="AN15">
        <f>11*5.75</f>
        <v>63.25</v>
      </c>
      <c r="AO15" s="117">
        <f>AN15/G15</f>
        <v>11</v>
      </c>
      <c r="AP15">
        <f>11*5.75</f>
        <v>63.25</v>
      </c>
      <c r="AQ15" s="117">
        <f>AP15/G15</f>
        <v>11</v>
      </c>
      <c r="AR15">
        <f>2*5.75</f>
        <v>11.5</v>
      </c>
      <c r="AS15" s="117">
        <f t="shared" ref="AS15:AS20" si="12">AR15/G15</f>
        <v>2</v>
      </c>
    </row>
    <row r="16" spans="1:45">
      <c r="A16" s="156">
        <f t="shared" si="1"/>
        <v>9</v>
      </c>
      <c r="B16" s="180">
        <v>451.1</v>
      </c>
      <c r="C16" s="155" t="s">
        <v>412</v>
      </c>
      <c r="D16" s="352">
        <f t="shared" si="2"/>
        <v>1380</v>
      </c>
      <c r="E16" s="352">
        <v>1380</v>
      </c>
      <c r="F16" s="352">
        <v>1380</v>
      </c>
      <c r="G16" s="269">
        <v>3.25</v>
      </c>
      <c r="H16" s="269">
        <v>3.25</v>
      </c>
      <c r="I16" s="269">
        <v>3.25</v>
      </c>
      <c r="J16" s="272">
        <f t="shared" si="3"/>
        <v>4485</v>
      </c>
      <c r="K16" s="266"/>
      <c r="L16" s="266">
        <f t="shared" si="4"/>
        <v>4485</v>
      </c>
      <c r="M16" s="266"/>
      <c r="N16" s="266">
        <f t="shared" si="5"/>
        <v>4485</v>
      </c>
      <c r="O16" s="266"/>
      <c r="P16" s="266">
        <f t="shared" si="10"/>
        <v>0</v>
      </c>
      <c r="Q16" s="223"/>
      <c r="R16" s="232"/>
      <c r="S16" s="30">
        <f>T16+T17+T18+T15</f>
        <v>22436.07</v>
      </c>
      <c r="T16" s="30">
        <f t="shared" si="7"/>
        <v>4485</v>
      </c>
      <c r="U16" s="30">
        <f t="shared" si="8"/>
        <v>1380</v>
      </c>
      <c r="V16">
        <f>247.25-5.75-5.75-5.75-5.75</f>
        <v>224.25</v>
      </c>
      <c r="W16" s="117">
        <f t="shared" si="11"/>
        <v>69</v>
      </c>
      <c r="X16" s="34">
        <v>299</v>
      </c>
      <c r="Y16" s="117">
        <f t="shared" si="9"/>
        <v>92</v>
      </c>
      <c r="Z16" s="39">
        <f>230-5.75</f>
        <v>224.25</v>
      </c>
      <c r="AA16" s="117">
        <f>Z16/G16</f>
        <v>69</v>
      </c>
      <c r="AB16">
        <f>327.75-5.75-5.75-5.75-5.75-5.75</f>
        <v>299</v>
      </c>
      <c r="AC16" s="117">
        <f>AB16/G16</f>
        <v>92</v>
      </c>
      <c r="AD16">
        <f>540.5-5.75-5.75-5.75</f>
        <v>523.25</v>
      </c>
      <c r="AE16" s="117">
        <f t="shared" ref="AE16:AE17" si="13">AD16/G16</f>
        <v>161</v>
      </c>
      <c r="AF16">
        <f>575-5.75-5.75-5.75-5.75-5.75-5.75-5.75-5.75-5.75</f>
        <v>523.25</v>
      </c>
      <c r="AG16" s="117">
        <f t="shared" ref="AG16:AG17" si="14">AF16/G16</f>
        <v>161</v>
      </c>
      <c r="AH16">
        <f>621-5.75-5.75-5.75-5.75</f>
        <v>598</v>
      </c>
      <c r="AI16" s="117">
        <f t="shared" ref="AI16:AI17" si="15">AH16/G16</f>
        <v>184</v>
      </c>
      <c r="AJ16">
        <f>402.5-5.75-5.75-5.75-5.75-5.75</f>
        <v>373.75</v>
      </c>
      <c r="AK16" s="117">
        <f t="shared" ref="AK16:AK17" si="16">AJ16/G16</f>
        <v>115</v>
      </c>
      <c r="AL16">
        <f>310.5-5.75-5.75</f>
        <v>299</v>
      </c>
      <c r="AM16" s="117">
        <f t="shared" ref="AM16:AM17" si="17">AL16/G16</f>
        <v>92</v>
      </c>
      <c r="AN16">
        <f>287.5-5.75-5.75-5.75-5.75-5.75-5.75-5.75-5.75-5.75-5.75-5.75</f>
        <v>224.25</v>
      </c>
      <c r="AO16" s="117">
        <f t="shared" ref="AO16:AO17" si="18">AN16/G16</f>
        <v>69</v>
      </c>
      <c r="AP16">
        <f>437-5.75-5.75-5.75-5.75-5.75-5.75-5.75-5.75-5.75-5.75-5.75</f>
        <v>373.75</v>
      </c>
      <c r="AQ16" s="117">
        <f>AP16/G16</f>
        <v>115</v>
      </c>
      <c r="AR16">
        <f>534.75-5.75-5.75</f>
        <v>523.25</v>
      </c>
      <c r="AS16" s="117">
        <f t="shared" si="12"/>
        <v>161</v>
      </c>
    </row>
    <row r="17" spans="1:45">
      <c r="A17" s="156">
        <f t="shared" si="1"/>
        <v>10</v>
      </c>
      <c r="B17" s="180">
        <v>451.1</v>
      </c>
      <c r="C17" s="155" t="s">
        <v>91</v>
      </c>
      <c r="D17" s="352">
        <f t="shared" si="2"/>
        <v>13</v>
      </c>
      <c r="E17" s="352">
        <v>13</v>
      </c>
      <c r="F17" s="352">
        <v>13</v>
      </c>
      <c r="G17" s="269">
        <v>95.14</v>
      </c>
      <c r="H17" s="269">
        <v>95.14</v>
      </c>
      <c r="I17" s="269">
        <v>156</v>
      </c>
      <c r="J17" s="272">
        <f t="shared" si="3"/>
        <v>1236.82</v>
      </c>
      <c r="K17" s="266"/>
      <c r="L17" s="266">
        <f t="shared" si="4"/>
        <v>1236.82</v>
      </c>
      <c r="M17" s="266"/>
      <c r="N17" s="266">
        <f t="shared" si="5"/>
        <v>2028</v>
      </c>
      <c r="O17" s="266"/>
      <c r="P17" s="266">
        <f t="shared" si="10"/>
        <v>791.18000000000006</v>
      </c>
      <c r="Q17" s="223"/>
      <c r="R17" s="232">
        <f t="shared" si="6"/>
        <v>0.63968887954593234</v>
      </c>
      <c r="T17" s="30">
        <f>V17+X17+Z17+AB17+AD17+AF17+AH17+AJ17+AL17+AN17+AP17+AR17</f>
        <v>1236.82</v>
      </c>
      <c r="U17" s="30">
        <f t="shared" si="8"/>
        <v>13</v>
      </c>
      <c r="V17">
        <v>95.14</v>
      </c>
      <c r="W17" s="117">
        <f t="shared" si="11"/>
        <v>1</v>
      </c>
      <c r="Y17" s="117">
        <f>X17/G17</f>
        <v>0</v>
      </c>
      <c r="AA17" s="117"/>
      <c r="AC17" s="117"/>
      <c r="AD17">
        <v>190.28</v>
      </c>
      <c r="AE17" s="117">
        <f t="shared" si="13"/>
        <v>2</v>
      </c>
      <c r="AF17">
        <v>95.14</v>
      </c>
      <c r="AG17" s="117">
        <f t="shared" si="14"/>
        <v>1</v>
      </c>
      <c r="AH17">
        <v>95.14</v>
      </c>
      <c r="AI17" s="117">
        <f t="shared" si="15"/>
        <v>1</v>
      </c>
      <c r="AJ17">
        <v>95.14</v>
      </c>
      <c r="AK17" s="117">
        <f t="shared" si="16"/>
        <v>1</v>
      </c>
      <c r="AL17">
        <v>95.14</v>
      </c>
      <c r="AM17" s="117">
        <f t="shared" si="17"/>
        <v>1</v>
      </c>
      <c r="AN17">
        <v>190.28</v>
      </c>
      <c r="AO17" s="117">
        <f t="shared" si="18"/>
        <v>2</v>
      </c>
      <c r="AQ17" s="117"/>
      <c r="AR17">
        <f>380.56</f>
        <v>380.56</v>
      </c>
      <c r="AS17" s="117">
        <f t="shared" si="12"/>
        <v>4</v>
      </c>
    </row>
    <row r="18" spans="1:45">
      <c r="A18" s="156">
        <f t="shared" si="1"/>
        <v>11</v>
      </c>
      <c r="B18" s="180">
        <v>451.1</v>
      </c>
      <c r="C18" s="155" t="s">
        <v>412</v>
      </c>
      <c r="D18" s="352">
        <f t="shared" si="2"/>
        <v>5042</v>
      </c>
      <c r="E18" s="352">
        <v>5042</v>
      </c>
      <c r="F18" s="352">
        <v>5042</v>
      </c>
      <c r="G18" s="269">
        <v>3.25</v>
      </c>
      <c r="H18" s="269">
        <v>3.25</v>
      </c>
      <c r="I18" s="269">
        <v>3.25</v>
      </c>
      <c r="J18" s="272">
        <f t="shared" si="3"/>
        <v>16386.5</v>
      </c>
      <c r="K18" s="266"/>
      <c r="L18" s="266">
        <f t="shared" si="4"/>
        <v>16386.5</v>
      </c>
      <c r="M18" s="266"/>
      <c r="N18" s="266">
        <f>F18*I18</f>
        <v>16386.5</v>
      </c>
      <c r="O18" s="266"/>
      <c r="P18" s="266">
        <f t="shared" si="10"/>
        <v>0</v>
      </c>
      <c r="Q18" s="223"/>
      <c r="R18" s="232">
        <f>+P18/L18</f>
        <v>0</v>
      </c>
      <c r="T18" s="30">
        <f t="shared" si="7"/>
        <v>16386.5</v>
      </c>
      <c r="U18" s="30">
        <f t="shared" si="8"/>
        <v>5042</v>
      </c>
      <c r="V18">
        <v>1423.5</v>
      </c>
      <c r="W18" s="117">
        <f t="shared" si="11"/>
        <v>438</v>
      </c>
      <c r="X18">
        <v>1329.25</v>
      </c>
      <c r="Y18" s="117">
        <f t="shared" si="9"/>
        <v>409</v>
      </c>
      <c r="Z18" s="60">
        <v>1017.25</v>
      </c>
      <c r="AA18" s="117">
        <f>Z18/G18</f>
        <v>313</v>
      </c>
      <c r="AB18">
        <v>1231.75</v>
      </c>
      <c r="AC18" s="117">
        <f>AB18/G18</f>
        <v>379</v>
      </c>
      <c r="AD18">
        <v>1651</v>
      </c>
      <c r="AE18" s="117">
        <f>AD18/G18</f>
        <v>508</v>
      </c>
      <c r="AF18">
        <v>1618.5</v>
      </c>
      <c r="AG18" s="117">
        <f>AF18/G18</f>
        <v>498</v>
      </c>
      <c r="AH18">
        <v>1816.75</v>
      </c>
      <c r="AI18" s="117">
        <f>AH18/G18</f>
        <v>559</v>
      </c>
      <c r="AJ18">
        <f>1225.25</f>
        <v>1225.25</v>
      </c>
      <c r="AK18" s="117">
        <f>AJ18/G18</f>
        <v>377</v>
      </c>
      <c r="AL18">
        <v>1085.5</v>
      </c>
      <c r="AM18" s="117">
        <f>AL18/G18</f>
        <v>334</v>
      </c>
      <c r="AN18">
        <v>1160.25</v>
      </c>
      <c r="AO18" s="117">
        <f>AN18/G18</f>
        <v>357</v>
      </c>
      <c r="AP18">
        <v>1287</v>
      </c>
      <c r="AQ18" s="117">
        <f>AP18/G18</f>
        <v>396</v>
      </c>
      <c r="AR18">
        <v>1540.5</v>
      </c>
      <c r="AS18" s="117">
        <f t="shared" si="12"/>
        <v>474</v>
      </c>
    </row>
    <row r="19" spans="1:45">
      <c r="A19" s="156">
        <f t="shared" si="1"/>
        <v>12</v>
      </c>
      <c r="B19" s="180">
        <v>451.2</v>
      </c>
      <c r="C19" s="155" t="s">
        <v>92</v>
      </c>
      <c r="D19" s="352">
        <f t="shared" si="2"/>
        <v>1425</v>
      </c>
      <c r="E19" s="352">
        <v>1425</v>
      </c>
      <c r="F19" s="352">
        <v>1425</v>
      </c>
      <c r="G19" s="269">
        <v>5.75</v>
      </c>
      <c r="H19" s="269">
        <v>5.75</v>
      </c>
      <c r="I19" s="269">
        <v>6.5</v>
      </c>
      <c r="J19" s="272">
        <f t="shared" si="3"/>
        <v>8193.75</v>
      </c>
      <c r="K19" s="266"/>
      <c r="L19" s="266">
        <f t="shared" si="4"/>
        <v>8193.75</v>
      </c>
      <c r="M19" s="266"/>
      <c r="N19" s="266">
        <f t="shared" si="5"/>
        <v>9262.5</v>
      </c>
      <c r="O19" s="266"/>
      <c r="P19" s="266">
        <f t="shared" si="10"/>
        <v>1068.75</v>
      </c>
      <c r="Q19" s="223"/>
      <c r="R19" s="232">
        <f t="shared" si="6"/>
        <v>0.13043478260869565</v>
      </c>
      <c r="S19" s="30">
        <f>T19+T20</f>
        <v>27612.5</v>
      </c>
      <c r="T19" s="30">
        <f t="shared" si="7"/>
        <v>8193.75</v>
      </c>
      <c r="U19" s="30">
        <f t="shared" si="8"/>
        <v>1425</v>
      </c>
      <c r="V19">
        <f>333.5+115+40.25</f>
        <v>488.75</v>
      </c>
      <c r="W19" s="117">
        <f t="shared" si="11"/>
        <v>85</v>
      </c>
      <c r="X19">
        <f>339.25+115+34.5</f>
        <v>488.75</v>
      </c>
      <c r="Y19" s="117">
        <f t="shared" si="9"/>
        <v>85</v>
      </c>
      <c r="Z19" s="60">
        <f>258.75+57.5+23</f>
        <v>339.25</v>
      </c>
      <c r="AA19" s="117">
        <f>Z19/G19</f>
        <v>59</v>
      </c>
      <c r="AB19">
        <f>350.75+63.25+28.75</f>
        <v>442.75</v>
      </c>
      <c r="AC19" s="117">
        <f>AB19/G19</f>
        <v>77</v>
      </c>
      <c r="AD19">
        <f>626.75+172.5+86.25</f>
        <v>885.5</v>
      </c>
      <c r="AE19" s="117">
        <f>AD19/G19</f>
        <v>154</v>
      </c>
      <c r="AF19">
        <f>667+184+46</f>
        <v>897</v>
      </c>
      <c r="AG19" s="117">
        <f>AF19/G19</f>
        <v>156</v>
      </c>
      <c r="AH19">
        <f>707.25+235.75+74.75</f>
        <v>1017.75</v>
      </c>
      <c r="AI19" s="117">
        <f>AH19/G19</f>
        <v>177</v>
      </c>
      <c r="AJ19">
        <f>483+201.25+69</f>
        <v>753.25</v>
      </c>
      <c r="AK19" s="117">
        <f>AJ19/G19</f>
        <v>131</v>
      </c>
      <c r="AL19">
        <f>356.5+166.75+34.5</f>
        <v>557.75</v>
      </c>
      <c r="AM19" s="117">
        <f>AL19/G19</f>
        <v>97</v>
      </c>
      <c r="AN19">
        <f>333.5+247.25+63.25</f>
        <v>644</v>
      </c>
      <c r="AO19" s="117">
        <f>AN19/G19</f>
        <v>112</v>
      </c>
      <c r="AP19">
        <f>483+212.75+28.75</f>
        <v>724.5</v>
      </c>
      <c r="AQ19" s="117">
        <f>AP19/G19</f>
        <v>126</v>
      </c>
      <c r="AR19">
        <f>684.25+218.5+51.75</f>
        <v>954.5</v>
      </c>
      <c r="AS19" s="117">
        <f t="shared" si="12"/>
        <v>166</v>
      </c>
    </row>
    <row r="20" spans="1:45">
      <c r="A20" s="156">
        <f t="shared" si="1"/>
        <v>13</v>
      </c>
      <c r="B20" s="180">
        <v>451.2</v>
      </c>
      <c r="C20" s="155" t="s">
        <v>414</v>
      </c>
      <c r="D20" s="352">
        <f t="shared" si="2"/>
        <v>5975</v>
      </c>
      <c r="E20" s="352">
        <v>5975</v>
      </c>
      <c r="F20" s="352">
        <v>5975</v>
      </c>
      <c r="G20" s="269">
        <v>3.25</v>
      </c>
      <c r="H20" s="269">
        <v>3.25</v>
      </c>
      <c r="I20" s="269">
        <v>3.25</v>
      </c>
      <c r="J20" s="272">
        <f t="shared" si="3"/>
        <v>19418.75</v>
      </c>
      <c r="K20" s="266"/>
      <c r="L20" s="266">
        <f t="shared" si="4"/>
        <v>19418.75</v>
      </c>
      <c r="M20" s="266"/>
      <c r="N20" s="266">
        <f>F20*I20</f>
        <v>19418.75</v>
      </c>
      <c r="O20" s="266"/>
      <c r="P20" s="266">
        <f t="shared" si="10"/>
        <v>0</v>
      </c>
      <c r="Q20" s="223"/>
      <c r="R20" s="232">
        <f>+P20/L20</f>
        <v>0</v>
      </c>
      <c r="T20" s="30">
        <f t="shared" si="7"/>
        <v>19418.75</v>
      </c>
      <c r="U20" s="30">
        <f t="shared" si="8"/>
        <v>5975</v>
      </c>
      <c r="V20">
        <v>1823.25</v>
      </c>
      <c r="W20" s="117">
        <f t="shared" si="11"/>
        <v>561</v>
      </c>
      <c r="X20">
        <v>1576.25</v>
      </c>
      <c r="Y20" s="117">
        <f t="shared" si="9"/>
        <v>485</v>
      </c>
      <c r="Z20" s="60">
        <v>1189.5</v>
      </c>
      <c r="AA20" s="117">
        <f>Z20/G20</f>
        <v>366</v>
      </c>
      <c r="AB20">
        <v>1413.75</v>
      </c>
      <c r="AC20" s="117">
        <f>AB20/G20</f>
        <v>435</v>
      </c>
      <c r="AD20">
        <v>1807</v>
      </c>
      <c r="AE20" s="117">
        <f>AD20/G20</f>
        <v>556</v>
      </c>
      <c r="AF20">
        <v>1829.75</v>
      </c>
      <c r="AG20" s="117">
        <f>AF20/G20</f>
        <v>563</v>
      </c>
      <c r="AH20">
        <v>2177.5</v>
      </c>
      <c r="AI20" s="117">
        <f>AH20/G20</f>
        <v>670</v>
      </c>
      <c r="AJ20">
        <v>1387.75</v>
      </c>
      <c r="AK20" s="117">
        <f>AJ20/G20</f>
        <v>427</v>
      </c>
      <c r="AL20">
        <v>1267.5</v>
      </c>
      <c r="AM20" s="117">
        <f>AL20/G20</f>
        <v>390</v>
      </c>
      <c r="AN20">
        <v>1436.5</v>
      </c>
      <c r="AO20" s="117">
        <f>AN20/G20</f>
        <v>442</v>
      </c>
      <c r="AP20">
        <v>1556.75</v>
      </c>
      <c r="AQ20" s="117">
        <f>AP20/G20</f>
        <v>479</v>
      </c>
      <c r="AR20">
        <v>1953.25</v>
      </c>
      <c r="AS20" s="117">
        <f t="shared" si="12"/>
        <v>601</v>
      </c>
    </row>
    <row r="21" spans="1:45">
      <c r="A21" s="156">
        <f t="shared" si="1"/>
        <v>14</v>
      </c>
      <c r="B21" s="180">
        <v>451.24</v>
      </c>
      <c r="C21" s="155" t="s">
        <v>347</v>
      </c>
      <c r="D21" s="352"/>
      <c r="E21" s="352"/>
      <c r="F21" s="352"/>
      <c r="G21" s="269"/>
      <c r="H21" s="269"/>
      <c r="I21" s="269"/>
      <c r="J21" s="272"/>
      <c r="K21" s="266"/>
      <c r="L21" s="266">
        <f>J21</f>
        <v>0</v>
      </c>
      <c r="M21" s="266"/>
      <c r="N21" s="266">
        <f>L21</f>
        <v>0</v>
      </c>
      <c r="O21" s="266"/>
      <c r="P21" s="266">
        <f t="shared" si="10"/>
        <v>0</v>
      </c>
      <c r="Q21" s="223"/>
      <c r="R21" s="232" t="e">
        <f>+P21/L21</f>
        <v>#DIV/0!</v>
      </c>
      <c r="S21" s="60"/>
      <c r="T21" s="30">
        <f t="shared" si="7"/>
        <v>0</v>
      </c>
      <c r="U21" s="30">
        <f t="shared" si="8"/>
        <v>0</v>
      </c>
      <c r="W21" s="37"/>
      <c r="Y21" s="117"/>
      <c r="AA21" s="117"/>
      <c r="AC21" s="117"/>
      <c r="AE21" s="117"/>
      <c r="AG21" s="117"/>
      <c r="AI21" s="117"/>
      <c r="AK21" s="117"/>
      <c r="AM21" s="117"/>
      <c r="AO21" s="117"/>
      <c r="AQ21" s="117"/>
      <c r="AS21" s="35"/>
    </row>
    <row r="22" spans="1:45">
      <c r="A22" s="156">
        <f t="shared" si="1"/>
        <v>15</v>
      </c>
      <c r="B22" s="180">
        <v>451.3</v>
      </c>
      <c r="C22" s="155" t="s">
        <v>93</v>
      </c>
      <c r="D22" s="352">
        <v>0</v>
      </c>
      <c r="E22" s="352">
        <v>0</v>
      </c>
      <c r="F22" s="352">
        <v>0</v>
      </c>
      <c r="G22" s="269">
        <v>3.25</v>
      </c>
      <c r="H22" s="269">
        <v>3.25</v>
      </c>
      <c r="I22" s="269">
        <v>3.25</v>
      </c>
      <c r="J22" s="272">
        <v>0</v>
      </c>
      <c r="K22" s="266"/>
      <c r="L22" s="266">
        <f t="shared" si="4"/>
        <v>0</v>
      </c>
      <c r="M22" s="266"/>
      <c r="N22" s="266">
        <f t="shared" si="5"/>
        <v>0</v>
      </c>
      <c r="O22" s="266"/>
      <c r="P22" s="266">
        <f t="shared" si="10"/>
        <v>0</v>
      </c>
      <c r="Q22" s="223"/>
      <c r="R22" s="232" t="e">
        <f t="shared" si="6"/>
        <v>#DIV/0!</v>
      </c>
      <c r="T22" s="30">
        <f t="shared" si="7"/>
        <v>0</v>
      </c>
      <c r="U22" s="30">
        <f t="shared" si="8"/>
        <v>0</v>
      </c>
      <c r="W22" s="37"/>
      <c r="Y22" s="117"/>
      <c r="AA22" s="117"/>
      <c r="AC22" s="117"/>
      <c r="AE22" s="117"/>
      <c r="AG22" s="117"/>
      <c r="AI22" s="117"/>
      <c r="AK22" s="117"/>
      <c r="AM22" s="117"/>
      <c r="AO22" s="117"/>
      <c r="AQ22" s="117"/>
      <c r="AS22" s="35"/>
    </row>
    <row r="23" spans="1:45">
      <c r="A23" s="156">
        <f t="shared" si="1"/>
        <v>16</v>
      </c>
      <c r="B23" s="180">
        <v>451.4</v>
      </c>
      <c r="C23" s="155" t="s">
        <v>94</v>
      </c>
      <c r="D23" s="352">
        <f>U23</f>
        <v>8</v>
      </c>
      <c r="E23" s="352">
        <v>8</v>
      </c>
      <c r="F23" s="352">
        <v>8</v>
      </c>
      <c r="G23" s="269">
        <v>79</v>
      </c>
      <c r="H23" s="269">
        <v>79</v>
      </c>
      <c r="I23" s="269">
        <v>74</v>
      </c>
      <c r="J23" s="272">
        <f t="shared" ref="J23:J28" si="19">D23*G23</f>
        <v>632</v>
      </c>
      <c r="K23" s="270"/>
      <c r="L23" s="266">
        <f t="shared" si="4"/>
        <v>632</v>
      </c>
      <c r="M23" s="266"/>
      <c r="N23" s="266">
        <f t="shared" si="5"/>
        <v>592</v>
      </c>
      <c r="O23" s="266"/>
      <c r="P23" s="266">
        <f t="shared" si="10"/>
        <v>-40</v>
      </c>
      <c r="Q23" s="223"/>
      <c r="R23" s="232">
        <f t="shared" si="6"/>
        <v>-6.3291139240506333E-2</v>
      </c>
      <c r="S23" s="30">
        <f>T23</f>
        <v>632</v>
      </c>
      <c r="T23" s="30">
        <f t="shared" si="7"/>
        <v>632</v>
      </c>
      <c r="U23" s="30">
        <f t="shared" si="8"/>
        <v>8</v>
      </c>
      <c r="V23">
        <v>158</v>
      </c>
      <c r="W23" s="117">
        <f>V23/G23</f>
        <v>2</v>
      </c>
      <c r="Y23" s="117">
        <f>X23/G23</f>
        <v>0</v>
      </c>
      <c r="AA23" s="117">
        <f>Z23/G23</f>
        <v>0</v>
      </c>
      <c r="AC23" s="117"/>
      <c r="AD23">
        <v>79</v>
      </c>
      <c r="AE23" s="117">
        <f>AD23/G23</f>
        <v>1</v>
      </c>
      <c r="AG23" s="117"/>
      <c r="AI23" s="117"/>
      <c r="AJ23">
        <v>79</v>
      </c>
      <c r="AK23" s="117">
        <f>AJ23/G23</f>
        <v>1</v>
      </c>
      <c r="AL23">
        <v>79</v>
      </c>
      <c r="AM23" s="117">
        <f>AL23/G23</f>
        <v>1</v>
      </c>
      <c r="AO23" s="117"/>
      <c r="AP23">
        <v>79</v>
      </c>
      <c r="AQ23" s="117">
        <f>AP23/G23</f>
        <v>1</v>
      </c>
      <c r="AR23">
        <v>158</v>
      </c>
      <c r="AS23" s="117">
        <f>AR23/G23</f>
        <v>2</v>
      </c>
    </row>
    <row r="24" spans="1:45">
      <c r="A24" s="156">
        <f t="shared" si="1"/>
        <v>17</v>
      </c>
      <c r="B24" s="180">
        <v>451.5</v>
      </c>
      <c r="C24" s="155" t="s">
        <v>95</v>
      </c>
      <c r="D24" s="352">
        <f>U24</f>
        <v>0</v>
      </c>
      <c r="E24" s="352">
        <v>0</v>
      </c>
      <c r="F24" s="352">
        <v>0</v>
      </c>
      <c r="G24" s="269">
        <v>0</v>
      </c>
      <c r="H24" s="269">
        <v>0</v>
      </c>
      <c r="I24" s="269">
        <v>0</v>
      </c>
      <c r="J24" s="272">
        <f t="shared" si="19"/>
        <v>0</v>
      </c>
      <c r="K24" s="266" t="s">
        <v>213</v>
      </c>
      <c r="L24" s="266">
        <f t="shared" si="4"/>
        <v>0</v>
      </c>
      <c r="M24" s="266"/>
      <c r="N24" s="266">
        <f t="shared" si="5"/>
        <v>0</v>
      </c>
      <c r="O24" s="266"/>
      <c r="P24" s="266">
        <f t="shared" si="10"/>
        <v>0</v>
      </c>
      <c r="Q24" s="223"/>
      <c r="R24" s="232" t="e">
        <f t="shared" si="6"/>
        <v>#DIV/0!</v>
      </c>
      <c r="S24" s="30">
        <f>T24</f>
        <v>0</v>
      </c>
      <c r="T24" s="30">
        <f t="shared" si="8"/>
        <v>0</v>
      </c>
      <c r="U24" s="30"/>
      <c r="W24" s="117"/>
      <c r="Y24" s="117"/>
      <c r="AA24" s="117"/>
      <c r="AC24" s="117"/>
      <c r="AE24" s="117"/>
      <c r="AG24" s="117"/>
      <c r="AI24" s="117"/>
      <c r="AK24" s="117"/>
      <c r="AM24" s="117"/>
      <c r="AO24" s="117"/>
      <c r="AQ24" s="117"/>
      <c r="AS24" s="117"/>
    </row>
    <row r="25" spans="1:45">
      <c r="A25" s="156">
        <f t="shared" si="1"/>
        <v>18</v>
      </c>
      <c r="B25" s="180">
        <v>451.6</v>
      </c>
      <c r="C25" s="155" t="s">
        <v>322</v>
      </c>
      <c r="D25" s="352">
        <f>U25</f>
        <v>0</v>
      </c>
      <c r="E25" s="352">
        <v>0</v>
      </c>
      <c r="F25" s="352">
        <v>0</v>
      </c>
      <c r="G25" s="269"/>
      <c r="H25" s="269"/>
      <c r="I25" s="269"/>
      <c r="J25" s="272">
        <f t="shared" si="19"/>
        <v>0</v>
      </c>
      <c r="K25" s="270"/>
      <c r="L25" s="266">
        <f t="shared" si="4"/>
        <v>0</v>
      </c>
      <c r="M25" s="266"/>
      <c r="N25" s="266">
        <f t="shared" si="5"/>
        <v>0</v>
      </c>
      <c r="O25" s="266"/>
      <c r="P25" s="266">
        <f t="shared" si="10"/>
        <v>0</v>
      </c>
      <c r="Q25" s="223"/>
      <c r="R25" s="232" t="e">
        <f t="shared" si="6"/>
        <v>#DIV/0!</v>
      </c>
      <c r="S25" s="30">
        <f>T25</f>
        <v>0</v>
      </c>
      <c r="T25" s="30">
        <f t="shared" si="8"/>
        <v>0</v>
      </c>
      <c r="U25" s="30">
        <f t="shared" si="8"/>
        <v>0</v>
      </c>
      <c r="W25" s="37"/>
      <c r="AA25" s="117"/>
      <c r="AE25" s="117"/>
      <c r="AG25" s="117"/>
      <c r="AI25" s="117"/>
      <c r="AS25" s="35"/>
    </row>
    <row r="26" spans="1:45">
      <c r="A26" s="156">
        <f t="shared" si="1"/>
        <v>19</v>
      </c>
      <c r="B26" s="180">
        <v>451.6</v>
      </c>
      <c r="C26" s="155" t="s">
        <v>323</v>
      </c>
      <c r="D26" s="352">
        <f t="shared" ref="D26:D27" si="20">U26</f>
        <v>2</v>
      </c>
      <c r="E26" s="254">
        <v>2</v>
      </c>
      <c r="F26" s="254">
        <v>2</v>
      </c>
      <c r="G26" s="269">
        <v>95.14</v>
      </c>
      <c r="H26" s="269">
        <v>95.14</v>
      </c>
      <c r="I26" s="269">
        <v>156</v>
      </c>
      <c r="J26" s="272">
        <f t="shared" si="19"/>
        <v>190.28</v>
      </c>
      <c r="K26" s="266" t="s">
        <v>213</v>
      </c>
      <c r="L26" s="266">
        <f>E26*H26</f>
        <v>190.28</v>
      </c>
      <c r="M26" s="266"/>
      <c r="N26" s="266">
        <f>F26*I26</f>
        <v>312</v>
      </c>
      <c r="O26" s="266"/>
      <c r="P26" s="266">
        <f t="shared" si="10"/>
        <v>121.72</v>
      </c>
      <c r="Q26" s="223"/>
      <c r="R26" s="232">
        <f t="shared" si="6"/>
        <v>0.63968887954593234</v>
      </c>
      <c r="S26" s="30">
        <f>T26</f>
        <v>190.28</v>
      </c>
      <c r="T26" s="30">
        <f>V26+X26+Z26+AB26+AD26+AF26+AH26+AJ26+AL26+AN26+AP26+AR26</f>
        <v>190.28</v>
      </c>
      <c r="U26" s="30">
        <f t="shared" si="8"/>
        <v>2</v>
      </c>
      <c r="W26" s="37"/>
      <c r="X26">
        <v>95.14</v>
      </c>
      <c r="Y26" s="117">
        <f>X26/G26</f>
        <v>1</v>
      </c>
      <c r="AE26" s="117"/>
      <c r="AF26">
        <v>95.14</v>
      </c>
      <c r="AG26" s="117">
        <f>AF26/G26</f>
        <v>1</v>
      </c>
      <c r="AS26" s="35"/>
    </row>
    <row r="27" spans="1:45">
      <c r="A27" s="156">
        <f t="shared" si="1"/>
        <v>20</v>
      </c>
      <c r="B27" s="180">
        <v>451.7</v>
      </c>
      <c r="C27" s="155" t="s">
        <v>346</v>
      </c>
      <c r="D27" s="352">
        <f t="shared" si="20"/>
        <v>1</v>
      </c>
      <c r="E27" s="352">
        <v>1</v>
      </c>
      <c r="F27" s="352">
        <v>1</v>
      </c>
      <c r="G27" s="269">
        <v>50</v>
      </c>
      <c r="H27" s="269">
        <v>50</v>
      </c>
      <c r="I27" s="269">
        <v>50</v>
      </c>
      <c r="J27" s="272">
        <f t="shared" si="19"/>
        <v>50</v>
      </c>
      <c r="K27" s="266"/>
      <c r="L27" s="266">
        <f>E27*H27</f>
        <v>50</v>
      </c>
      <c r="M27" s="266"/>
      <c r="N27" s="266">
        <f>F27*I27</f>
        <v>50</v>
      </c>
      <c r="O27" s="266"/>
      <c r="P27" s="266">
        <f t="shared" si="10"/>
        <v>0</v>
      </c>
      <c r="Q27" s="223"/>
      <c r="R27" s="271">
        <f>+P27/L27</f>
        <v>0</v>
      </c>
      <c r="S27" s="30">
        <f>T27</f>
        <v>50</v>
      </c>
      <c r="T27" s="30">
        <f t="shared" si="8"/>
        <v>50</v>
      </c>
      <c r="U27" s="30">
        <f t="shared" si="8"/>
        <v>1</v>
      </c>
      <c r="W27" s="37"/>
      <c r="AE27" s="117"/>
      <c r="AH27">
        <v>50</v>
      </c>
      <c r="AI27" s="117">
        <f>AH27/G27</f>
        <v>1</v>
      </c>
      <c r="AS27" s="117"/>
    </row>
    <row r="28" spans="1:45">
      <c r="A28" s="156">
        <f t="shared" si="1"/>
        <v>21</v>
      </c>
      <c r="B28" s="180">
        <v>451.7</v>
      </c>
      <c r="C28" s="155" t="s">
        <v>346</v>
      </c>
      <c r="D28" s="352"/>
      <c r="E28" s="352"/>
      <c r="F28" s="352"/>
      <c r="G28" s="269"/>
      <c r="H28" s="269"/>
      <c r="I28" s="269"/>
      <c r="J28" s="272">
        <f t="shared" si="19"/>
        <v>0</v>
      </c>
      <c r="K28" s="266"/>
      <c r="L28" s="266">
        <f>E28*H28</f>
        <v>0</v>
      </c>
      <c r="M28" s="266"/>
      <c r="N28" s="266">
        <f>F28*I28</f>
        <v>0</v>
      </c>
      <c r="O28" s="266"/>
      <c r="P28" s="266">
        <f t="shared" si="10"/>
        <v>0</v>
      </c>
      <c r="Q28" s="223"/>
      <c r="R28" s="271"/>
      <c r="S28" s="30"/>
      <c r="T28" s="30"/>
      <c r="U28" s="30"/>
      <c r="W28" s="37"/>
      <c r="AE28" s="117"/>
      <c r="AS28" s="117"/>
    </row>
    <row r="29" spans="1:45">
      <c r="A29" s="156">
        <f t="shared" si="1"/>
        <v>22</v>
      </c>
      <c r="B29" s="180"/>
      <c r="C29" s="155" t="s">
        <v>96</v>
      </c>
      <c r="D29" s="254">
        <f>SUM(D13:D28)</f>
        <v>13922</v>
      </c>
      <c r="E29" s="254">
        <f>SUM(E13:E28)</f>
        <v>13922</v>
      </c>
      <c r="F29" s="254">
        <f>SUM(F13:F28)</f>
        <v>13922</v>
      </c>
      <c r="G29" s="272"/>
      <c r="H29" s="272"/>
      <c r="I29" s="272"/>
      <c r="J29" s="386">
        <f>SUM(J13:J28)</f>
        <v>51025.1</v>
      </c>
      <c r="K29" s="268"/>
      <c r="L29" s="268">
        <f>SUM(L13:L28)</f>
        <v>51025.1</v>
      </c>
      <c r="M29" s="268"/>
      <c r="N29" s="268">
        <f>SUM(N13:N28)</f>
        <v>53022.25</v>
      </c>
      <c r="O29" s="268"/>
      <c r="P29" s="268">
        <f>SUM(P13:P28)</f>
        <v>1997.15</v>
      </c>
      <c r="Q29" s="223"/>
      <c r="R29" s="232">
        <f>+P29/L29</f>
        <v>3.9140540635883125E-2</v>
      </c>
      <c r="S29" s="30">
        <f>SUM(S13:S27)</f>
        <v>51025.1</v>
      </c>
      <c r="T29" s="30">
        <f t="shared" si="8"/>
        <v>51025.099999999991</v>
      </c>
      <c r="U29" s="117">
        <f>SUM(U13:U27)</f>
        <v>13922</v>
      </c>
      <c r="V29" s="30">
        <f>SUM(V13:V27)</f>
        <v>4239.1399999999994</v>
      </c>
      <c r="W29" s="37"/>
      <c r="X29" s="30">
        <f>SUM(X13:X27)</f>
        <v>3799.89</v>
      </c>
      <c r="Z29" s="30">
        <f>SUM(Z13:Z27)</f>
        <v>2776</v>
      </c>
      <c r="AB29" s="30">
        <f>SUM(AB13:AB27)</f>
        <v>3448</v>
      </c>
      <c r="AD29" s="30">
        <f>SUM(AD13:AD27)</f>
        <v>5176.28</v>
      </c>
      <c r="AF29" s="30">
        <f>SUM(AF13:AF27)</f>
        <v>5122.03</v>
      </c>
      <c r="AH29" s="30">
        <f>SUM(AH13:AH27)</f>
        <v>5778.1399999999994</v>
      </c>
      <c r="AJ29" s="30">
        <f>SUM(AJ13:AJ27)</f>
        <v>3942.89</v>
      </c>
      <c r="AL29" s="30">
        <f>SUM(AL13:AL27)</f>
        <v>3401.14</v>
      </c>
      <c r="AN29" s="30">
        <f>SUM(AN13:AN27)</f>
        <v>3724.2799999999997</v>
      </c>
      <c r="AP29" s="30">
        <f>SUM(AP13:AP27)</f>
        <v>4095.75</v>
      </c>
      <c r="AR29" s="30">
        <f>SUM(AR13:AR27)</f>
        <v>5521.5599999999995</v>
      </c>
    </row>
    <row r="30" spans="1:45">
      <c r="A30" s="156">
        <f t="shared" si="1"/>
        <v>23</v>
      </c>
      <c r="B30" s="180">
        <v>454</v>
      </c>
      <c r="C30" s="155" t="s">
        <v>567</v>
      </c>
      <c r="D30" s="254"/>
      <c r="E30" s="254"/>
      <c r="F30" s="254"/>
      <c r="G30" s="272"/>
      <c r="H30" s="272"/>
      <c r="I30" s="272"/>
      <c r="J30" s="266">
        <f>AB72*10+AM72*2</f>
        <v>741539.0033333333</v>
      </c>
      <c r="K30" s="266"/>
      <c r="L30" s="266">
        <f>AM71</f>
        <v>722996.62</v>
      </c>
      <c r="M30" s="266">
        <v>688206</v>
      </c>
      <c r="N30" s="266">
        <f>L30</f>
        <v>722996.62</v>
      </c>
      <c r="O30" s="266"/>
      <c r="P30" s="266">
        <f>N30-J30</f>
        <v>-18542.383333333302</v>
      </c>
      <c r="Q30" s="155"/>
      <c r="R30" s="232">
        <f>+P30/L30</f>
        <v>-2.5646569873775209E-2</v>
      </c>
      <c r="X30" s="30"/>
      <c r="Z30" s="30"/>
      <c r="AB30" s="30"/>
      <c r="AD30" s="30"/>
      <c r="AF30" s="30"/>
      <c r="AH30" s="30"/>
      <c r="AJ30" s="30"/>
      <c r="AL30" s="30"/>
      <c r="AN30" s="30"/>
      <c r="AP30" s="30"/>
      <c r="AR30" s="30"/>
    </row>
    <row r="31" spans="1:45">
      <c r="A31" s="156">
        <f t="shared" si="1"/>
        <v>24</v>
      </c>
      <c r="B31" s="180"/>
      <c r="C31" s="155"/>
      <c r="D31" s="254"/>
      <c r="E31" s="254"/>
      <c r="F31" s="254"/>
      <c r="G31" s="272"/>
      <c r="H31" s="272"/>
      <c r="I31" s="272"/>
      <c r="J31" s="268">
        <f>J30</f>
        <v>741539.0033333333</v>
      </c>
      <c r="K31" s="268"/>
      <c r="L31" s="268">
        <f>L30</f>
        <v>722996.62</v>
      </c>
      <c r="M31" s="268">
        <f>M30</f>
        <v>688206</v>
      </c>
      <c r="N31" s="268">
        <f>N30</f>
        <v>722996.62</v>
      </c>
      <c r="O31" s="268">
        <f>O30</f>
        <v>0</v>
      </c>
      <c r="P31" s="268">
        <f>P30</f>
        <v>-18542.383333333302</v>
      </c>
      <c r="Q31" s="155"/>
      <c r="R31" s="232">
        <f>+P31/L31</f>
        <v>-2.5646569873775209E-2</v>
      </c>
      <c r="T31" s="30">
        <f t="shared" ref="T31" si="21">V31+X31+Z31+AB31+AD31+AF31+AH31+AJ31+AL31+AN31+AP31+AR31</f>
        <v>741538.99999999988</v>
      </c>
      <c r="V31">
        <v>60249.72</v>
      </c>
      <c r="X31">
        <v>60249.72</v>
      </c>
      <c r="Z31">
        <v>62103.92</v>
      </c>
      <c r="AB31">
        <v>62103.96</v>
      </c>
      <c r="AD31">
        <v>62103.96</v>
      </c>
      <c r="AF31">
        <v>62103.96</v>
      </c>
      <c r="AH31">
        <v>62103.96</v>
      </c>
      <c r="AJ31">
        <v>62103.96</v>
      </c>
      <c r="AL31">
        <v>62103.96</v>
      </c>
      <c r="AN31">
        <v>62103.96</v>
      </c>
      <c r="AP31">
        <v>62103.96</v>
      </c>
      <c r="AR31">
        <v>62103.96</v>
      </c>
    </row>
    <row r="32" spans="1:45">
      <c r="A32" s="156">
        <f t="shared" si="1"/>
        <v>25</v>
      </c>
      <c r="B32" s="180"/>
      <c r="C32" s="155" t="s">
        <v>561</v>
      </c>
      <c r="D32" s="254"/>
      <c r="E32" s="254"/>
      <c r="F32" s="254"/>
      <c r="G32" s="274"/>
      <c r="H32" s="274"/>
      <c r="I32" s="274"/>
      <c r="J32" s="266"/>
      <c r="K32" s="266"/>
      <c r="L32" s="266"/>
      <c r="M32" s="266"/>
      <c r="N32" s="266"/>
      <c r="O32" s="266"/>
      <c r="P32" s="266"/>
      <c r="Q32" s="155"/>
      <c r="R32" s="273"/>
      <c r="W32" s="37"/>
    </row>
    <row r="33" spans="1:44">
      <c r="A33" s="156">
        <f t="shared" si="1"/>
        <v>26</v>
      </c>
      <c r="B33" s="180">
        <v>454.1</v>
      </c>
      <c r="C33" s="155" t="s">
        <v>97</v>
      </c>
      <c r="D33" s="254"/>
      <c r="E33" s="254"/>
      <c r="F33" s="254"/>
      <c r="G33" s="275"/>
      <c r="H33" s="275"/>
      <c r="I33" s="275"/>
      <c r="J33" s="267">
        <f>T34</f>
        <v>206960.4</v>
      </c>
      <c r="K33" s="267"/>
      <c r="L33" s="267">
        <f>J33</f>
        <v>206960.4</v>
      </c>
      <c r="M33" s="267"/>
      <c r="N33" s="267">
        <f>L33</f>
        <v>206960.4</v>
      </c>
      <c r="O33" s="267"/>
      <c r="P33" s="266">
        <f>N33-J33</f>
        <v>0</v>
      </c>
      <c r="Q33" s="155"/>
      <c r="R33" s="232">
        <f>+P33/L33</f>
        <v>0</v>
      </c>
      <c r="W33" s="37"/>
    </row>
    <row r="34" spans="1:44">
      <c r="A34" s="156">
        <f t="shared" si="1"/>
        <v>27</v>
      </c>
      <c r="B34" s="180"/>
      <c r="C34" s="155" t="s">
        <v>98</v>
      </c>
      <c r="D34" s="254"/>
      <c r="E34" s="254"/>
      <c r="F34" s="254"/>
      <c r="G34" s="275"/>
      <c r="H34" s="275"/>
      <c r="I34" s="275"/>
      <c r="J34" s="268">
        <f>SUM(J33)</f>
        <v>206960.4</v>
      </c>
      <c r="K34" s="268"/>
      <c r="L34" s="268">
        <f>SUM(L33)</f>
        <v>206960.4</v>
      </c>
      <c r="M34" s="268"/>
      <c r="N34" s="268">
        <f>SUM(N33)</f>
        <v>206960.4</v>
      </c>
      <c r="O34" s="268"/>
      <c r="P34" s="267">
        <f>SUM(P33)</f>
        <v>0</v>
      </c>
      <c r="Q34" s="155"/>
      <c r="R34" s="232">
        <f>+P34/L34</f>
        <v>0</v>
      </c>
      <c r="T34" s="30">
        <f t="shared" ref="T34" si="22">V34+X34+Z34+AB34+AD34+AF34+AH34+AJ34+AL34+AN34+AP34+AR34</f>
        <v>206960.4</v>
      </c>
      <c r="V34">
        <v>17184.599999999999</v>
      </c>
      <c r="X34">
        <v>17184.599999999999</v>
      </c>
      <c r="Z34">
        <v>21283.200000000001</v>
      </c>
      <c r="AB34">
        <v>16812</v>
      </c>
      <c r="AD34">
        <v>16812</v>
      </c>
      <c r="AF34">
        <v>16812</v>
      </c>
      <c r="AH34">
        <v>16812</v>
      </c>
      <c r="AJ34">
        <v>16812</v>
      </c>
      <c r="AL34">
        <v>16812</v>
      </c>
      <c r="AN34">
        <v>16812</v>
      </c>
      <c r="AP34">
        <v>16812</v>
      </c>
      <c r="AR34">
        <v>16812</v>
      </c>
    </row>
    <row r="35" spans="1:44">
      <c r="A35" s="156">
        <f t="shared" si="1"/>
        <v>28</v>
      </c>
      <c r="B35" s="180"/>
      <c r="C35" s="155" t="s">
        <v>557</v>
      </c>
      <c r="D35" s="254"/>
      <c r="E35" s="254"/>
      <c r="F35" s="254"/>
      <c r="G35" s="274"/>
      <c r="H35" s="274"/>
      <c r="I35" s="274"/>
      <c r="J35" s="266"/>
      <c r="K35" s="266"/>
      <c r="L35" s="266"/>
      <c r="M35" s="266"/>
      <c r="N35" s="266"/>
      <c r="O35" s="266"/>
      <c r="P35" s="266"/>
      <c r="Q35" s="155"/>
      <c r="R35" s="273"/>
      <c r="W35" s="37"/>
    </row>
    <row r="36" spans="1:44">
      <c r="A36" s="156">
        <f t="shared" si="1"/>
        <v>29</v>
      </c>
      <c r="B36" s="180">
        <v>454.11</v>
      </c>
      <c r="C36" s="155" t="s">
        <v>99</v>
      </c>
      <c r="D36" s="377">
        <f>J36/G36</f>
        <v>5961</v>
      </c>
      <c r="E36" s="254">
        <v>5961</v>
      </c>
      <c r="F36" s="254">
        <f>E36</f>
        <v>5961</v>
      </c>
      <c r="G36" s="272">
        <v>6.1</v>
      </c>
      <c r="H36" s="272">
        <f>G36</f>
        <v>6.1</v>
      </c>
      <c r="I36" s="272">
        <v>6.5</v>
      </c>
      <c r="J36" s="266">
        <f>AE80*2+AE108*10</f>
        <v>36362.1</v>
      </c>
      <c r="K36" s="266"/>
      <c r="L36" s="266">
        <f>E36*H36</f>
        <v>36362.1</v>
      </c>
      <c r="M36" s="266"/>
      <c r="N36" s="266">
        <f>F36*I36</f>
        <v>38746.5</v>
      </c>
      <c r="O36" s="266"/>
      <c r="P36" s="266">
        <f t="shared" ref="P36:P51" si="23">N36-J36</f>
        <v>2384.4000000000015</v>
      </c>
      <c r="Q36" s="223"/>
      <c r="R36" s="232">
        <f>+P36/L36</f>
        <v>6.5573770491803324E-2</v>
      </c>
      <c r="W36" s="37"/>
    </row>
    <row r="37" spans="1:44">
      <c r="A37" s="156">
        <f t="shared" si="1"/>
        <v>30</v>
      </c>
      <c r="B37" s="180">
        <v>454.11</v>
      </c>
      <c r="C37" s="155" t="s">
        <v>100</v>
      </c>
      <c r="D37" s="377">
        <f>J37/G37</f>
        <v>7290.9999999999991</v>
      </c>
      <c r="E37" s="254">
        <v>7291</v>
      </c>
      <c r="F37" s="254">
        <f>E37</f>
        <v>7291</v>
      </c>
      <c r="G37" s="272">
        <v>4.76</v>
      </c>
      <c r="H37" s="272">
        <f>G37</f>
        <v>4.76</v>
      </c>
      <c r="I37" s="272">
        <v>5.0599999999999996</v>
      </c>
      <c r="J37" s="266">
        <f>AI80*2+AI108*10</f>
        <v>34705.159999999996</v>
      </c>
      <c r="K37" s="266"/>
      <c r="L37" s="266">
        <f>E37*H37</f>
        <v>34705.159999999996</v>
      </c>
      <c r="M37" s="266"/>
      <c r="N37" s="266">
        <f>F37*I37</f>
        <v>36892.46</v>
      </c>
      <c r="O37" s="266"/>
      <c r="P37" s="266">
        <f t="shared" si="23"/>
        <v>2187.3000000000029</v>
      </c>
      <c r="Q37" s="223"/>
      <c r="R37" s="232">
        <f>+P37/L37</f>
        <v>6.3025210084033709E-2</v>
      </c>
      <c r="T37" s="375"/>
    </row>
    <row r="38" spans="1:44">
      <c r="A38" s="156">
        <f t="shared" si="1"/>
        <v>31</v>
      </c>
      <c r="B38" s="180">
        <v>454.11</v>
      </c>
      <c r="C38" s="155" t="s">
        <v>324</v>
      </c>
      <c r="D38" s="254">
        <v>0</v>
      </c>
      <c r="E38" s="254">
        <f>D38</f>
        <v>0</v>
      </c>
      <c r="F38" s="254">
        <f>E38</f>
        <v>0</v>
      </c>
      <c r="G38" s="272"/>
      <c r="H38" s="272"/>
      <c r="I38" s="272"/>
      <c r="J38" s="266">
        <f>D38*G38</f>
        <v>0</v>
      </c>
      <c r="K38" s="266"/>
      <c r="L38" s="266">
        <v>0</v>
      </c>
      <c r="M38" s="266"/>
      <c r="N38" s="266">
        <v>0</v>
      </c>
      <c r="O38" s="266"/>
      <c r="P38" s="266">
        <f t="shared" si="23"/>
        <v>0</v>
      </c>
      <c r="Q38" s="223"/>
      <c r="R38" s="232"/>
      <c r="T38" s="375"/>
      <c r="W38" s="37"/>
    </row>
    <row r="39" spans="1:44">
      <c r="A39" s="156">
        <f t="shared" si="1"/>
        <v>32</v>
      </c>
      <c r="B39" s="180">
        <v>454.11</v>
      </c>
      <c r="C39" s="155" t="s">
        <v>325</v>
      </c>
      <c r="D39" s="254">
        <v>0</v>
      </c>
      <c r="E39" s="254">
        <f>D39</f>
        <v>0</v>
      </c>
      <c r="F39" s="254">
        <f>E39</f>
        <v>0</v>
      </c>
      <c r="G39" s="272"/>
      <c r="H39" s="272"/>
      <c r="I39" s="272"/>
      <c r="J39" s="266">
        <f>D39*G39</f>
        <v>0</v>
      </c>
      <c r="K39" s="267"/>
      <c r="L39" s="266">
        <v>0</v>
      </c>
      <c r="M39" s="267"/>
      <c r="N39" s="267">
        <v>0</v>
      </c>
      <c r="O39" s="267"/>
      <c r="P39" s="266">
        <f t="shared" si="23"/>
        <v>0</v>
      </c>
      <c r="Q39" s="223"/>
      <c r="R39" s="232"/>
      <c r="T39" s="375"/>
      <c r="W39" s="37"/>
    </row>
    <row r="40" spans="1:44">
      <c r="A40" s="156">
        <f t="shared" si="1"/>
        <v>33</v>
      </c>
      <c r="B40" s="180"/>
      <c r="C40" s="155" t="s">
        <v>101</v>
      </c>
      <c r="D40" s="254"/>
      <c r="E40" s="254"/>
      <c r="F40" s="254"/>
      <c r="G40" s="272"/>
      <c r="H40" s="272"/>
      <c r="I40" s="272"/>
      <c r="J40" s="268">
        <f>SUM(J35:J39)</f>
        <v>71067.259999999995</v>
      </c>
      <c r="K40" s="268"/>
      <c r="L40" s="268">
        <f>SUM(L36:L39)</f>
        <v>71067.259999999995</v>
      </c>
      <c r="M40" s="268"/>
      <c r="N40" s="268">
        <f>SUM(N36:N39)</f>
        <v>75638.959999999992</v>
      </c>
      <c r="O40" s="268"/>
      <c r="P40" s="268">
        <f>SUM(P36:P39)</f>
        <v>4571.7000000000044</v>
      </c>
      <c r="Q40" s="223"/>
      <c r="R40" s="232">
        <f>+P40/L40</f>
        <v>6.4329200253393823E-2</v>
      </c>
      <c r="T40" s="375" t="s">
        <v>601</v>
      </c>
    </row>
    <row r="41" spans="1:44">
      <c r="A41" s="156">
        <f t="shared" si="1"/>
        <v>34</v>
      </c>
      <c r="B41" s="180">
        <v>454.11</v>
      </c>
      <c r="C41" s="155" t="s">
        <v>558</v>
      </c>
      <c r="D41" s="254">
        <f t="shared" ref="D41:D51" si="24">J41/G41</f>
        <v>443.99999999999994</v>
      </c>
      <c r="E41" s="254">
        <f>D41</f>
        <v>443.99999999999994</v>
      </c>
      <c r="F41" s="254">
        <f>E41</f>
        <v>443.99999999999994</v>
      </c>
      <c r="G41" s="272">
        <f>AB132</f>
        <v>23.218624999999999</v>
      </c>
      <c r="H41" s="272">
        <v>23.27</v>
      </c>
      <c r="I41" s="272">
        <v>23.27</v>
      </c>
      <c r="J41" s="266">
        <f>AE84*2+AE112*10</f>
        <v>10309.069499999998</v>
      </c>
      <c r="K41" s="266"/>
      <c r="L41" s="266">
        <f t="shared" ref="L41:L51" si="25">E41*H41</f>
        <v>10331.879999999999</v>
      </c>
      <c r="M41" s="266"/>
      <c r="N41" s="266">
        <f t="shared" ref="N41:N51" si="26">F41*I41</f>
        <v>10331.879999999999</v>
      </c>
      <c r="O41" s="266"/>
      <c r="P41" s="266">
        <f t="shared" si="23"/>
        <v>22.810500000001412</v>
      </c>
      <c r="Q41" s="223"/>
      <c r="R41" s="232"/>
      <c r="T41" s="375"/>
    </row>
    <row r="42" spans="1:44">
      <c r="A42" s="156">
        <f t="shared" si="1"/>
        <v>35</v>
      </c>
      <c r="B42" s="180">
        <v>454.11</v>
      </c>
      <c r="C42" s="155" t="s">
        <v>559</v>
      </c>
      <c r="D42" s="254">
        <f t="shared" si="24"/>
        <v>601.00066361959375</v>
      </c>
      <c r="E42" s="254">
        <f>D42</f>
        <v>601.00066361959375</v>
      </c>
      <c r="F42" s="254">
        <f>E42</f>
        <v>601.00066361959375</v>
      </c>
      <c r="G42" s="272">
        <f>AB141</f>
        <v>29.894905323608</v>
      </c>
      <c r="H42" s="272">
        <v>29.96</v>
      </c>
      <c r="I42" s="272">
        <v>29.96</v>
      </c>
      <c r="J42" s="266">
        <f>AI84*2+AI112*10</f>
        <v>17966.857938333334</v>
      </c>
      <c r="K42" s="266"/>
      <c r="L42" s="266">
        <f t="shared" si="25"/>
        <v>18005.97988204303</v>
      </c>
      <c r="M42" s="266"/>
      <c r="N42" s="266">
        <f t="shared" si="26"/>
        <v>18005.97988204303</v>
      </c>
      <c r="O42" s="266"/>
      <c r="P42" s="266">
        <f t="shared" si="23"/>
        <v>39.121943709695188</v>
      </c>
      <c r="Q42" s="223"/>
      <c r="R42" s="232"/>
      <c r="T42" s="375">
        <v>5</v>
      </c>
      <c r="W42" s="37"/>
    </row>
    <row r="43" spans="1:44">
      <c r="A43" s="156">
        <f t="shared" si="1"/>
        <v>36</v>
      </c>
      <c r="B43" s="180"/>
      <c r="C43" s="155" t="s">
        <v>560</v>
      </c>
      <c r="D43" s="254"/>
      <c r="E43" s="254"/>
      <c r="F43" s="254"/>
      <c r="G43" s="272"/>
      <c r="H43" s="272"/>
      <c r="I43" s="272"/>
      <c r="J43" s="268">
        <f>SUM(J41:J42)</f>
        <v>28275.927438333332</v>
      </c>
      <c r="K43" s="268"/>
      <c r="L43" s="268">
        <f t="shared" ref="L43:P43" si="27">SUM(L41:L42)</f>
        <v>28337.859882043027</v>
      </c>
      <c r="M43" s="268">
        <f t="shared" si="27"/>
        <v>0</v>
      </c>
      <c r="N43" s="268">
        <f t="shared" si="27"/>
        <v>28337.859882043027</v>
      </c>
      <c r="O43" s="268"/>
      <c r="P43" s="268">
        <f t="shared" si="27"/>
        <v>61.932443709696599</v>
      </c>
      <c r="Q43" s="223"/>
      <c r="R43" s="232">
        <f>+P43/L43</f>
        <v>2.1855017975066491E-3</v>
      </c>
      <c r="T43" s="375"/>
      <c r="W43" s="37"/>
    </row>
    <row r="44" spans="1:44">
      <c r="A44" s="156">
        <f t="shared" si="1"/>
        <v>37</v>
      </c>
      <c r="B44" s="180">
        <v>454.11</v>
      </c>
      <c r="C44" s="155" t="s">
        <v>562</v>
      </c>
      <c r="D44" s="254">
        <f t="shared" si="24"/>
        <v>17.001124681933842</v>
      </c>
      <c r="E44" s="254">
        <f>D44</f>
        <v>17.001124681933842</v>
      </c>
      <c r="F44" s="254">
        <f>E44</f>
        <v>17.001124681933842</v>
      </c>
      <c r="G44" s="272">
        <f>AB129</f>
        <v>29.475000000000005</v>
      </c>
      <c r="H44" s="272">
        <v>29.55</v>
      </c>
      <c r="I44" s="272">
        <v>29.55</v>
      </c>
      <c r="J44" s="266">
        <f>AA89*2+AA117*10</f>
        <v>501.10815000000002</v>
      </c>
      <c r="K44" s="266"/>
      <c r="L44" s="266">
        <f t="shared" si="25"/>
        <v>502.38323435114506</v>
      </c>
      <c r="M44" s="266"/>
      <c r="N44" s="266">
        <f t="shared" si="26"/>
        <v>502.38323435114506</v>
      </c>
      <c r="O44" s="266"/>
      <c r="P44" s="266">
        <f t="shared" si="23"/>
        <v>1.2750843511450398</v>
      </c>
      <c r="Q44" s="223"/>
      <c r="R44" s="232"/>
      <c r="T44" s="375"/>
      <c r="W44" s="37"/>
    </row>
    <row r="45" spans="1:44">
      <c r="A45" s="156">
        <f t="shared" si="1"/>
        <v>38</v>
      </c>
      <c r="B45" s="180">
        <v>454.11</v>
      </c>
      <c r="C45" s="155" t="s">
        <v>563</v>
      </c>
      <c r="D45" s="254">
        <f t="shared" si="24"/>
        <v>245.99999999999997</v>
      </c>
      <c r="E45" s="254">
        <f>D45</f>
        <v>245.99999999999997</v>
      </c>
      <c r="F45" s="254">
        <f>E45</f>
        <v>245.99999999999997</v>
      </c>
      <c r="G45" s="272">
        <f>AB135</f>
        <v>16.413333333333334</v>
      </c>
      <c r="H45" s="272">
        <v>16.48</v>
      </c>
      <c r="I45" s="272">
        <v>16.48</v>
      </c>
      <c r="J45" s="266">
        <f>AE88*2+AE116*10</f>
        <v>4037.68</v>
      </c>
      <c r="K45" s="266"/>
      <c r="L45" s="266">
        <f t="shared" si="25"/>
        <v>4054.0799999999995</v>
      </c>
      <c r="M45" s="266"/>
      <c r="N45" s="266">
        <f t="shared" si="26"/>
        <v>4054.0799999999995</v>
      </c>
      <c r="O45" s="266"/>
      <c r="P45" s="266">
        <f t="shared" si="23"/>
        <v>16.399999999999636</v>
      </c>
      <c r="Q45" s="223"/>
      <c r="R45" s="232"/>
      <c r="T45" s="376"/>
      <c r="W45" s="37"/>
    </row>
    <row r="46" spans="1:44">
      <c r="A46" s="156">
        <f t="shared" si="1"/>
        <v>39</v>
      </c>
      <c r="B46" s="180">
        <v>454.11</v>
      </c>
      <c r="C46" s="155" t="s">
        <v>563</v>
      </c>
      <c r="D46" s="254">
        <f t="shared" si="24"/>
        <v>80.334110764848134</v>
      </c>
      <c r="E46" s="254">
        <v>82</v>
      </c>
      <c r="F46" s="254">
        <f t="shared" ref="F46:F51" si="28">E46</f>
        <v>82</v>
      </c>
      <c r="G46" s="272">
        <f>AB138</f>
        <v>19.346997104204004</v>
      </c>
      <c r="H46" s="272">
        <v>19.39</v>
      </c>
      <c r="I46" s="272">
        <v>19.39</v>
      </c>
      <c r="J46" s="266">
        <f>AE89*2+AE117*10</f>
        <v>1554.2238083363204</v>
      </c>
      <c r="K46" s="266"/>
      <c r="L46" s="266">
        <f t="shared" si="25"/>
        <v>1589.98</v>
      </c>
      <c r="M46" s="266"/>
      <c r="N46" s="266">
        <f t="shared" si="26"/>
        <v>1589.98</v>
      </c>
      <c r="O46" s="266"/>
      <c r="P46" s="266">
        <f t="shared" si="23"/>
        <v>35.756191663679601</v>
      </c>
      <c r="Q46" s="223"/>
      <c r="R46" s="232"/>
      <c r="T46" s="376"/>
      <c r="W46" s="37"/>
    </row>
    <row r="47" spans="1:44">
      <c r="A47" s="156">
        <f t="shared" si="1"/>
        <v>40</v>
      </c>
      <c r="B47" s="180">
        <v>454.11</v>
      </c>
      <c r="C47" s="155" t="s">
        <v>563</v>
      </c>
      <c r="D47" s="254">
        <f t="shared" si="24"/>
        <v>19.999999999999996</v>
      </c>
      <c r="E47" s="254">
        <f>D47</f>
        <v>19.999999999999996</v>
      </c>
      <c r="F47" s="254">
        <f t="shared" si="28"/>
        <v>19.999999999999996</v>
      </c>
      <c r="G47" s="272">
        <f>AB141</f>
        <v>29.894905323608</v>
      </c>
      <c r="H47" s="272">
        <v>29.96</v>
      </c>
      <c r="I47" s="272">
        <v>29.96</v>
      </c>
      <c r="J47" s="266">
        <f>AE91*2+AE119*10</f>
        <v>597.89810647215995</v>
      </c>
      <c r="K47" s="266"/>
      <c r="L47" s="266">
        <f t="shared" si="25"/>
        <v>599.19999999999993</v>
      </c>
      <c r="M47" s="266"/>
      <c r="N47" s="266">
        <f t="shared" si="26"/>
        <v>599.19999999999993</v>
      </c>
      <c r="O47" s="266"/>
      <c r="P47" s="266">
        <f t="shared" si="23"/>
        <v>1.3018935278399795</v>
      </c>
      <c r="Q47" s="223"/>
      <c r="R47" s="232"/>
      <c r="T47" s="376"/>
      <c r="W47" s="37"/>
    </row>
    <row r="48" spans="1:44">
      <c r="A48" s="156">
        <f t="shared" si="1"/>
        <v>41</v>
      </c>
      <c r="B48" s="180">
        <v>454.11</v>
      </c>
      <c r="C48" s="155" t="s">
        <v>564</v>
      </c>
      <c r="D48" s="254">
        <f t="shared" si="24"/>
        <v>635.67908709827668</v>
      </c>
      <c r="E48" s="254">
        <f>D48</f>
        <v>635.67908709827668</v>
      </c>
      <c r="F48" s="254">
        <f t="shared" si="28"/>
        <v>635.67908709827668</v>
      </c>
      <c r="G48" s="272">
        <f>AJ132</f>
        <v>14.313333333333333</v>
      </c>
      <c r="H48" s="272">
        <v>14.58</v>
      </c>
      <c r="I48" s="272">
        <v>14.58</v>
      </c>
      <c r="J48" s="266">
        <f>AI88*2+AI95*2+AI98*2+AI116*10+AI123*10</f>
        <v>9098.6866666666665</v>
      </c>
      <c r="K48" s="266"/>
      <c r="L48" s="266">
        <f t="shared" si="25"/>
        <v>9268.2010898928747</v>
      </c>
      <c r="M48" s="266"/>
      <c r="N48" s="266">
        <f t="shared" si="26"/>
        <v>9268.2010898928747</v>
      </c>
      <c r="O48" s="266"/>
      <c r="P48" s="266">
        <f t="shared" si="23"/>
        <v>169.51442322620824</v>
      </c>
      <c r="Q48" s="223"/>
      <c r="R48" s="232"/>
      <c r="T48" s="376"/>
      <c r="W48" s="37"/>
    </row>
    <row r="49" spans="1:44">
      <c r="A49" s="156">
        <f t="shared" si="1"/>
        <v>42</v>
      </c>
      <c r="B49" s="180"/>
      <c r="C49" s="155" t="s">
        <v>564</v>
      </c>
      <c r="D49" s="254">
        <f t="shared" si="24"/>
        <v>99.002332238217534</v>
      </c>
      <c r="E49" s="254">
        <f>104</f>
        <v>104</v>
      </c>
      <c r="F49" s="254">
        <f t="shared" si="28"/>
        <v>104</v>
      </c>
      <c r="G49" s="272">
        <f>AJ138</f>
        <v>10.844877163015999</v>
      </c>
      <c r="H49" s="272">
        <v>10.87</v>
      </c>
      <c r="I49" s="272">
        <v>10.87</v>
      </c>
      <c r="J49" s="266">
        <f>AI89*2+AI117*10</f>
        <v>1073.668131975568</v>
      </c>
      <c r="K49" s="266"/>
      <c r="L49" s="266">
        <f t="shared" si="25"/>
        <v>1130.48</v>
      </c>
      <c r="M49" s="266"/>
      <c r="N49" s="266">
        <f t="shared" si="26"/>
        <v>1130.48</v>
      </c>
      <c r="O49" s="266"/>
      <c r="P49" s="266">
        <f t="shared" si="23"/>
        <v>56.811868024431988</v>
      </c>
      <c r="Q49" s="223"/>
      <c r="R49" s="232"/>
      <c r="T49" s="376"/>
      <c r="W49" s="37"/>
    </row>
    <row r="50" spans="1:44">
      <c r="A50" s="156">
        <f t="shared" si="1"/>
        <v>43</v>
      </c>
      <c r="B50" s="180"/>
      <c r="C50" s="155" t="s">
        <v>564</v>
      </c>
      <c r="D50" s="254">
        <f t="shared" si="24"/>
        <v>53.999940373679713</v>
      </c>
      <c r="E50" s="254">
        <f>D50</f>
        <v>53.999940373679713</v>
      </c>
      <c r="F50" s="254">
        <f t="shared" si="28"/>
        <v>53.999940373679713</v>
      </c>
      <c r="G50" s="272">
        <f>AJ129</f>
        <v>29.894938333333332</v>
      </c>
      <c r="H50" s="272">
        <v>29.96</v>
      </c>
      <c r="I50" s="272">
        <v>29.96</v>
      </c>
      <c r="J50" s="266">
        <f>AI91*2+AI119*10</f>
        <v>1614.3248874748319</v>
      </c>
      <c r="K50" s="266"/>
      <c r="L50" s="266">
        <f t="shared" si="25"/>
        <v>1617.8382135954444</v>
      </c>
      <c r="M50" s="266"/>
      <c r="N50" s="266">
        <f t="shared" si="26"/>
        <v>1617.8382135954444</v>
      </c>
      <c r="O50" s="266"/>
      <c r="P50" s="266">
        <f t="shared" si="23"/>
        <v>3.5133261206124189</v>
      </c>
      <c r="Q50" s="223"/>
      <c r="R50" s="232"/>
      <c r="T50" s="376"/>
      <c r="W50" s="37"/>
    </row>
    <row r="51" spans="1:44">
      <c r="A51" s="156">
        <f t="shared" si="1"/>
        <v>44</v>
      </c>
      <c r="B51" s="180"/>
      <c r="C51" s="155" t="s">
        <v>564</v>
      </c>
      <c r="D51" s="254">
        <f t="shared" si="24"/>
        <v>1884.4677931505823</v>
      </c>
      <c r="E51" s="254">
        <v>1924</v>
      </c>
      <c r="F51" s="254">
        <f t="shared" si="28"/>
        <v>1924</v>
      </c>
      <c r="G51" s="272">
        <f>AJ135</f>
        <v>40.888585000000006</v>
      </c>
      <c r="H51" s="272">
        <v>43.28</v>
      </c>
      <c r="I51" s="272">
        <v>43.28</v>
      </c>
      <c r="J51" s="266">
        <f>AI96*2+AI124*10</f>
        <v>77053.221540000013</v>
      </c>
      <c r="K51" s="266"/>
      <c r="L51" s="266">
        <f t="shared" si="25"/>
        <v>83270.720000000001</v>
      </c>
      <c r="M51" s="266"/>
      <c r="N51" s="266">
        <f t="shared" si="26"/>
        <v>83270.720000000001</v>
      </c>
      <c r="O51" s="266"/>
      <c r="P51" s="266">
        <f t="shared" si="23"/>
        <v>6217.498459999988</v>
      </c>
      <c r="Q51" s="223"/>
      <c r="R51" s="232"/>
      <c r="T51" s="376"/>
      <c r="W51" s="37"/>
    </row>
    <row r="52" spans="1:44">
      <c r="A52" s="156">
        <f t="shared" si="1"/>
        <v>45</v>
      </c>
      <c r="B52" s="180"/>
      <c r="C52" s="155" t="s">
        <v>565</v>
      </c>
      <c r="D52" s="254"/>
      <c r="E52" s="254"/>
      <c r="F52" s="254"/>
      <c r="G52" s="272"/>
      <c r="H52" s="272"/>
      <c r="I52" s="272"/>
      <c r="J52" s="268">
        <f>SUM(J44:J51)</f>
        <v>95530.811290925558</v>
      </c>
      <c r="K52" s="268"/>
      <c r="L52" s="268">
        <f>SUM(L44:L51)</f>
        <v>102032.88253783947</v>
      </c>
      <c r="M52" s="268">
        <f t="shared" ref="M52" si="29">SUM(M44:M50)</f>
        <v>0</v>
      </c>
      <c r="N52" s="268">
        <f>SUM(N44:N51)</f>
        <v>102032.88253783947</v>
      </c>
      <c r="O52" s="268"/>
      <c r="P52" s="268">
        <f>SUM(P44:P51)</f>
        <v>6502.0712469139053</v>
      </c>
      <c r="Q52" s="223"/>
      <c r="R52" s="232">
        <f>+P52/L52</f>
        <v>6.3725252930128443E-2</v>
      </c>
      <c r="T52" s="30">
        <f t="shared" ref="T52" si="30">V52+X52+Z52+AB52+AD52+AF52+AH52+AJ52+AL52+AN52+AP52+AR52</f>
        <v>194873.99000000002</v>
      </c>
      <c r="V52">
        <v>16790.82</v>
      </c>
      <c r="W52" s="37"/>
      <c r="X52">
        <v>16790.82</v>
      </c>
      <c r="Z52">
        <v>16129.28</v>
      </c>
      <c r="AB52">
        <v>16129.23</v>
      </c>
      <c r="AD52">
        <v>16129.23</v>
      </c>
      <c r="AF52">
        <v>16129.23</v>
      </c>
      <c r="AH52">
        <v>16129.23</v>
      </c>
      <c r="AJ52">
        <v>16129.23</v>
      </c>
      <c r="AL52">
        <v>16129.23</v>
      </c>
      <c r="AN52">
        <v>16129.23</v>
      </c>
      <c r="AP52">
        <v>16129.23</v>
      </c>
      <c r="AR52">
        <v>16129.23</v>
      </c>
    </row>
    <row r="53" spans="1:44">
      <c r="A53" s="156">
        <f t="shared" si="1"/>
        <v>46</v>
      </c>
      <c r="B53" s="180"/>
      <c r="C53" s="155" t="s">
        <v>566</v>
      </c>
      <c r="D53" s="254"/>
      <c r="E53" s="254"/>
      <c r="F53" s="254"/>
      <c r="G53" s="272"/>
      <c r="H53" s="272"/>
      <c r="I53" s="272"/>
      <c r="J53" s="268">
        <f>J40+J43+J52</f>
        <v>194873.99872925889</v>
      </c>
      <c r="K53" s="268"/>
      <c r="L53" s="268">
        <f t="shared" ref="L53:P53" si="31">L40+L43+L52</f>
        <v>201438.00241988248</v>
      </c>
      <c r="M53" s="268">
        <f t="shared" si="31"/>
        <v>0</v>
      </c>
      <c r="N53" s="268">
        <f t="shared" si="31"/>
        <v>206009.70241988249</v>
      </c>
      <c r="O53" s="268"/>
      <c r="P53" s="268">
        <f t="shared" si="31"/>
        <v>11135.703690623606</v>
      </c>
      <c r="Q53" s="223"/>
      <c r="R53" s="232">
        <f>+P53/L53</f>
        <v>5.5281047055917798E-2</v>
      </c>
      <c r="T53" s="376"/>
      <c r="W53" s="37"/>
    </row>
    <row r="54" spans="1:44">
      <c r="A54" s="156">
        <f t="shared" si="1"/>
        <v>47</v>
      </c>
      <c r="B54" s="180"/>
      <c r="C54" s="155"/>
      <c r="D54" s="254"/>
      <c r="E54" s="254"/>
      <c r="F54" s="254"/>
      <c r="G54" s="272"/>
      <c r="H54" s="272"/>
      <c r="I54" s="272"/>
      <c r="J54" s="266"/>
      <c r="K54" s="266"/>
      <c r="L54" s="266"/>
      <c r="M54" s="266"/>
      <c r="O54" s="266"/>
      <c r="P54" s="266"/>
      <c r="Q54" s="223"/>
      <c r="R54" s="232"/>
      <c r="T54" s="376"/>
      <c r="W54" s="37"/>
    </row>
    <row r="55" spans="1:44">
      <c r="A55" s="156">
        <f t="shared" si="1"/>
        <v>48</v>
      </c>
      <c r="B55" s="180"/>
      <c r="C55" s="155" t="s">
        <v>102</v>
      </c>
      <c r="D55" s="254"/>
      <c r="E55" s="254"/>
      <c r="F55" s="254"/>
      <c r="G55" s="272"/>
      <c r="H55" s="272"/>
      <c r="I55" s="272"/>
      <c r="J55" s="266"/>
      <c r="K55" s="266"/>
      <c r="L55" s="266"/>
      <c r="M55" s="266"/>
      <c r="O55" s="266"/>
      <c r="P55" s="266"/>
      <c r="Q55" s="223"/>
      <c r="R55" s="232"/>
      <c r="T55" s="376"/>
      <c r="W55" s="37"/>
    </row>
    <row r="56" spans="1:44">
      <c r="A56" s="156">
        <f t="shared" si="1"/>
        <v>49</v>
      </c>
      <c r="B56" s="180">
        <v>454.12</v>
      </c>
      <c r="C56" s="155" t="s">
        <v>103</v>
      </c>
      <c r="D56" s="254"/>
      <c r="E56" s="254"/>
      <c r="F56" s="254"/>
      <c r="G56" s="272"/>
      <c r="H56" s="272"/>
      <c r="I56" s="272"/>
      <c r="J56" s="267">
        <v>0</v>
      </c>
      <c r="K56" s="267"/>
      <c r="L56" s="267">
        <v>0</v>
      </c>
      <c r="M56" s="267"/>
      <c r="N56" s="267">
        <v>0</v>
      </c>
      <c r="O56" s="267"/>
      <c r="P56" s="266">
        <f t="shared" ref="P56" si="32">N56-J56</f>
        <v>0</v>
      </c>
      <c r="Q56" s="155"/>
      <c r="R56" s="232" t="e">
        <f>+P56/L56</f>
        <v>#DIV/0!</v>
      </c>
    </row>
    <row r="57" spans="1:44">
      <c r="A57" s="156">
        <f t="shared" si="1"/>
        <v>50</v>
      </c>
      <c r="B57" s="180"/>
      <c r="C57" s="155" t="s">
        <v>104</v>
      </c>
      <c r="D57" s="156"/>
      <c r="E57" s="156"/>
      <c r="F57" s="156"/>
      <c r="G57" s="274"/>
      <c r="H57" s="274"/>
      <c r="I57" s="274"/>
      <c r="J57" s="268">
        <f>SUM(J56:J56)</f>
        <v>0</v>
      </c>
      <c r="K57" s="268"/>
      <c r="L57" s="268">
        <f>SUM(L56:L56)</f>
        <v>0</v>
      </c>
      <c r="M57" s="268"/>
      <c r="N57" s="268">
        <f>SUM(N56:N56)</f>
        <v>0</v>
      </c>
      <c r="O57" s="268"/>
      <c r="P57" s="268">
        <f>SUM(P56:P56)</f>
        <v>0</v>
      </c>
      <c r="Q57" s="155"/>
      <c r="R57" s="232" t="e">
        <f>+P57/L57</f>
        <v>#DIV/0!</v>
      </c>
      <c r="W57" s="37"/>
    </row>
    <row r="58" spans="1:44">
      <c r="A58" s="156">
        <f t="shared" si="1"/>
        <v>51</v>
      </c>
      <c r="B58" s="180"/>
      <c r="C58" s="155"/>
      <c r="D58" s="156"/>
      <c r="E58" s="156"/>
      <c r="F58" s="156"/>
      <c r="G58" s="274"/>
      <c r="H58" s="274"/>
      <c r="I58" s="274"/>
      <c r="J58" s="266"/>
      <c r="K58" s="266"/>
      <c r="L58" s="266"/>
      <c r="M58" s="266"/>
      <c r="N58" s="266"/>
      <c r="O58" s="266"/>
      <c r="P58" s="266"/>
      <c r="Q58" s="223"/>
      <c r="R58" s="232"/>
      <c r="W58" s="37"/>
    </row>
    <row r="59" spans="1:44">
      <c r="A59" s="156">
        <f t="shared" si="1"/>
        <v>52</v>
      </c>
      <c r="B59" s="180">
        <v>454.2</v>
      </c>
      <c r="C59" s="155" t="s">
        <v>105</v>
      </c>
      <c r="D59" s="156"/>
      <c r="E59" s="156"/>
      <c r="F59" s="156"/>
      <c r="G59" s="274"/>
      <c r="H59" s="274"/>
      <c r="I59" s="274"/>
      <c r="J59" s="266">
        <v>0</v>
      </c>
      <c r="K59" s="266"/>
      <c r="L59" s="266">
        <v>0</v>
      </c>
      <c r="M59" s="266"/>
      <c r="N59" s="266">
        <v>0</v>
      </c>
      <c r="O59" s="266"/>
      <c r="P59" s="266">
        <f t="shared" ref="P59:P61" si="33">N59-J59</f>
        <v>0</v>
      </c>
      <c r="Q59" s="223"/>
      <c r="R59" s="232" t="e">
        <f>+P59/L59</f>
        <v>#DIV/0!</v>
      </c>
      <c r="W59" s="37"/>
    </row>
    <row r="60" spans="1:44">
      <c r="A60" s="156">
        <f t="shared" si="1"/>
        <v>53</v>
      </c>
      <c r="B60" s="180">
        <v>454.3</v>
      </c>
      <c r="C60" s="155" t="s">
        <v>106</v>
      </c>
      <c r="D60" s="156"/>
      <c r="E60" s="156"/>
      <c r="F60" s="156"/>
      <c r="G60" s="274"/>
      <c r="H60" s="274"/>
      <c r="I60" s="274"/>
      <c r="J60" s="266">
        <v>0</v>
      </c>
      <c r="K60" s="266"/>
      <c r="L60" s="266">
        <v>0</v>
      </c>
      <c r="M60" s="266">
        <v>0</v>
      </c>
      <c r="N60" s="266">
        <v>0</v>
      </c>
      <c r="O60" s="266"/>
      <c r="P60" s="266">
        <f t="shared" si="33"/>
        <v>0</v>
      </c>
      <c r="Q60" s="223"/>
      <c r="R60" s="232" t="e">
        <f>+P60/L60</f>
        <v>#DIV/0!</v>
      </c>
    </row>
    <row r="61" spans="1:44">
      <c r="A61" s="156">
        <f t="shared" si="1"/>
        <v>54</v>
      </c>
      <c r="B61" s="180">
        <v>456</v>
      </c>
      <c r="C61" s="155" t="s">
        <v>107</v>
      </c>
      <c r="D61" s="156"/>
      <c r="E61" s="156"/>
      <c r="F61" s="156"/>
      <c r="G61" s="275"/>
      <c r="H61" s="275"/>
      <c r="I61" s="275"/>
      <c r="J61" s="266">
        <f>T61</f>
        <v>600.52</v>
      </c>
      <c r="K61" s="266"/>
      <c r="L61" s="266">
        <f>J61</f>
        <v>600.52</v>
      </c>
      <c r="M61" s="266"/>
      <c r="N61" s="266">
        <f>L61</f>
        <v>600.52</v>
      </c>
      <c r="O61" s="266"/>
      <c r="P61" s="266">
        <f t="shared" si="33"/>
        <v>0</v>
      </c>
      <c r="Q61" s="223"/>
      <c r="R61" s="232">
        <f>+P61/L61</f>
        <v>0</v>
      </c>
      <c r="T61" s="30">
        <f t="shared" ref="T61:T63" si="34">V61+X61+Z61+AB61+AD61+AF61+AH61+AJ61+AL61+AN61+AP61+AR61</f>
        <v>600.52</v>
      </c>
      <c r="V61">
        <v>50.52</v>
      </c>
      <c r="X61">
        <v>50</v>
      </c>
      <c r="Z61">
        <v>50</v>
      </c>
      <c r="AB61">
        <v>50</v>
      </c>
      <c r="AD61">
        <v>50</v>
      </c>
      <c r="AF61">
        <v>50</v>
      </c>
      <c r="AH61">
        <v>50</v>
      </c>
      <c r="AJ61">
        <v>50</v>
      </c>
      <c r="AL61">
        <v>50</v>
      </c>
      <c r="AN61">
        <v>50</v>
      </c>
      <c r="AP61">
        <v>50</v>
      </c>
      <c r="AR61">
        <v>50</v>
      </c>
    </row>
    <row r="62" spans="1:44">
      <c r="A62" s="156">
        <f t="shared" si="1"/>
        <v>55</v>
      </c>
      <c r="B62" s="276"/>
      <c r="C62" s="155"/>
      <c r="D62" s="156"/>
      <c r="E62" s="156"/>
      <c r="F62" s="156"/>
      <c r="G62" s="275"/>
      <c r="H62" s="275"/>
      <c r="I62" s="275"/>
      <c r="J62" s="266"/>
      <c r="K62" s="277"/>
      <c r="L62" s="277"/>
      <c r="M62" s="277"/>
      <c r="N62" s="266"/>
      <c r="O62" s="266"/>
      <c r="P62" s="266"/>
      <c r="Q62" s="223"/>
      <c r="R62" s="271"/>
    </row>
    <row r="63" spans="1:44">
      <c r="A63" s="156">
        <f t="shared" si="1"/>
        <v>56</v>
      </c>
      <c r="B63" s="180"/>
      <c r="C63" s="155"/>
      <c r="D63" s="156"/>
      <c r="E63" s="156"/>
      <c r="F63" s="156"/>
      <c r="G63" s="155"/>
      <c r="H63" s="155"/>
      <c r="I63" s="155"/>
      <c r="J63" s="266"/>
      <c r="K63" s="266"/>
      <c r="L63" s="266"/>
      <c r="M63" s="266"/>
      <c r="N63" s="266"/>
      <c r="O63" s="266"/>
      <c r="P63" s="266"/>
      <c r="Q63" s="155"/>
      <c r="R63" s="273"/>
      <c r="T63" s="30">
        <f t="shared" si="34"/>
        <v>1881578.93</v>
      </c>
      <c r="V63" s="30">
        <f>V8+V29+V31+V34+V52+V61</f>
        <v>110481.47000000002</v>
      </c>
      <c r="X63" s="30">
        <f>X8+X29+X31+X34+X52+X61</f>
        <v>155920.88</v>
      </c>
      <c r="Z63" s="30">
        <f>Z8+Z29+Z31+Z34+Z52+Z61</f>
        <v>170061.47</v>
      </c>
      <c r="AB63" s="30">
        <f>AB8+AB29+AB31+AB34+AB52+AB61</f>
        <v>148960.44</v>
      </c>
      <c r="AD63" s="30">
        <f>AD8+AD29+AD31+AD34+AD52+AD61</f>
        <v>168286.42</v>
      </c>
      <c r="AF63" s="30">
        <f>AF8+AF29+AF31+AF34+AF52+AF61</f>
        <v>175876.25</v>
      </c>
      <c r="AH63" s="30">
        <f>AH8+AH29+AH31+AH34+AH52+AH61</f>
        <v>177649.78</v>
      </c>
      <c r="AJ63" s="30">
        <f>AJ8+AJ29+AJ31+AJ34+AJ52+AJ61</f>
        <v>166010.63</v>
      </c>
      <c r="AL63" s="30">
        <f>AL8+AL29+AL31+AL34+AL52+AL61</f>
        <v>153970.33000000002</v>
      </c>
      <c r="AN63" s="30">
        <f>AN8+AN29+AN31+AN34+AN52+AN61</f>
        <v>142851.19</v>
      </c>
      <c r="AP63" s="30">
        <f>AP8+AP29+AP31+AP34+AP52+AP61</f>
        <v>147073.51</v>
      </c>
      <c r="AR63" s="30">
        <f>AR8+AR29+AR31+AR34+AR52+AR61</f>
        <v>164436.56</v>
      </c>
    </row>
    <row r="64" spans="1:44">
      <c r="A64" s="156">
        <f t="shared" si="1"/>
        <v>57</v>
      </c>
      <c r="B64" s="155"/>
      <c r="C64" s="155" t="s">
        <v>108</v>
      </c>
      <c r="D64" s="156"/>
      <c r="E64" s="156"/>
      <c r="F64" s="156"/>
      <c r="G64" s="221"/>
      <c r="H64" s="221"/>
      <c r="I64" s="221"/>
      <c r="J64" s="86">
        <f>J11+J29+J31+J34+J53+J57+J59+J60+J61</f>
        <v>1881578.9420625921</v>
      </c>
      <c r="K64" s="266"/>
      <c r="L64" s="86">
        <f>L11+L29+L31+L34+L53+L57+L59+L60+L61</f>
        <v>1869600.5624198823</v>
      </c>
      <c r="M64" s="266"/>
      <c r="N64" s="86">
        <f>N11+N29+N31+N34+N53+N57+N59+N60+N61</f>
        <v>1876169.4124198824</v>
      </c>
      <c r="O64" s="86"/>
      <c r="P64" s="86">
        <f>P11+P29+P31+P34+P53+P57+P59+P60+P61</f>
        <v>-5409.5296427096946</v>
      </c>
      <c r="Q64" s="155"/>
      <c r="R64" s="87">
        <f>+P64/L64</f>
        <v>-2.8934146423811361E-3</v>
      </c>
      <c r="V64" t="s">
        <v>800</v>
      </c>
      <c r="AF64" s="155"/>
      <c r="AG64" s="169" t="s">
        <v>651</v>
      </c>
      <c r="AH64" s="155"/>
      <c r="AI64" s="155"/>
      <c r="AJ64" s="155"/>
      <c r="AK64" s="155"/>
      <c r="AL64" s="155"/>
      <c r="AM64" s="155"/>
      <c r="AN64" s="155"/>
      <c r="AO64" s="155"/>
    </row>
    <row r="65" spans="1:41">
      <c r="A65" s="156">
        <f t="shared" si="1"/>
        <v>58</v>
      </c>
      <c r="I65" s="39"/>
      <c r="J65" s="37"/>
      <c r="L65" s="37"/>
      <c r="N65" s="37"/>
      <c r="P65" s="37"/>
      <c r="U65" t="s">
        <v>569</v>
      </c>
      <c r="Y65" t="s">
        <v>570</v>
      </c>
      <c r="AF65" s="155" t="s">
        <v>569</v>
      </c>
      <c r="AG65" s="155"/>
      <c r="AH65" s="155"/>
      <c r="AI65" s="155"/>
      <c r="AJ65" s="155" t="s">
        <v>570</v>
      </c>
      <c r="AK65" s="155"/>
      <c r="AL65" s="155"/>
      <c r="AM65" s="155"/>
      <c r="AN65" s="155"/>
      <c r="AO65" s="155"/>
    </row>
    <row r="66" spans="1:41">
      <c r="A66" s="156">
        <f t="shared" si="1"/>
        <v>59</v>
      </c>
      <c r="J66" s="37"/>
      <c r="N66" s="37"/>
      <c r="P66" s="37"/>
      <c r="U66" t="s">
        <v>568</v>
      </c>
      <c r="Y66" t="s">
        <v>571</v>
      </c>
      <c r="AB66" t="s">
        <v>572</v>
      </c>
      <c r="AF66" s="155" t="s">
        <v>568</v>
      </c>
      <c r="AG66" s="266"/>
      <c r="AH66" s="155"/>
      <c r="AI66" s="155"/>
      <c r="AJ66" s="155" t="s">
        <v>571</v>
      </c>
      <c r="AK66" s="155"/>
      <c r="AL66" s="155"/>
      <c r="AM66" s="155" t="s">
        <v>572</v>
      </c>
      <c r="AN66" s="155"/>
      <c r="AO66" s="155"/>
    </row>
    <row r="67" spans="1:41">
      <c r="N67" s="37"/>
      <c r="U67">
        <v>359</v>
      </c>
      <c r="V67">
        <v>29.31</v>
      </c>
      <c r="W67">
        <v>10522.289999999999</v>
      </c>
      <c r="Y67">
        <v>10507</v>
      </c>
      <c r="Z67">
        <v>23.21</v>
      </c>
      <c r="AA67">
        <v>243867.47</v>
      </c>
      <c r="AB67">
        <v>233345.18</v>
      </c>
      <c r="AC67" t="s">
        <v>573</v>
      </c>
      <c r="AF67" s="155">
        <v>359</v>
      </c>
      <c r="AG67" s="155">
        <v>29.39</v>
      </c>
      <c r="AH67" s="155">
        <f>AF67*AG67</f>
        <v>10551.01</v>
      </c>
      <c r="AI67" s="155"/>
      <c r="AJ67" s="155">
        <v>10508</v>
      </c>
      <c r="AK67" s="155">
        <v>23.28</v>
      </c>
      <c r="AL67" s="155">
        <f>AJ67*AK67</f>
        <v>244626.24000000002</v>
      </c>
      <c r="AM67" s="155">
        <f>AL67-AH67</f>
        <v>234075.23</v>
      </c>
      <c r="AN67" s="169" t="s">
        <v>573</v>
      </c>
      <c r="AO67" s="155"/>
    </row>
    <row r="68" spans="1:41">
      <c r="U68">
        <v>1356</v>
      </c>
      <c r="V68">
        <v>29.89</v>
      </c>
      <c r="W68">
        <v>40530.840000000004</v>
      </c>
      <c r="Y68">
        <v>17590</v>
      </c>
      <c r="Z68">
        <v>29.89</v>
      </c>
      <c r="AA68">
        <v>525765.1</v>
      </c>
      <c r="AB68">
        <v>485234.25999999995</v>
      </c>
      <c r="AC68" t="s">
        <v>574</v>
      </c>
      <c r="AF68" s="155">
        <v>1356</v>
      </c>
      <c r="AG68" s="155">
        <v>29.97</v>
      </c>
      <c r="AH68" s="155">
        <f>AF68*AG68</f>
        <v>40639.32</v>
      </c>
      <c r="AI68" s="155"/>
      <c r="AJ68" s="155">
        <v>17596</v>
      </c>
      <c r="AK68" s="155">
        <v>29.97</v>
      </c>
      <c r="AL68" s="155">
        <f>AJ68*AK68</f>
        <v>527352.12</v>
      </c>
      <c r="AM68" s="155">
        <f>AL68-AH68</f>
        <v>486712.8</v>
      </c>
      <c r="AN68" s="169" t="s">
        <v>574</v>
      </c>
      <c r="AO68" s="155"/>
    </row>
    <row r="69" spans="1:41">
      <c r="AB69">
        <v>718579.44</v>
      </c>
      <c r="AF69" s="155"/>
      <c r="AG69" s="155"/>
      <c r="AH69" s="155"/>
      <c r="AI69" s="155"/>
      <c r="AJ69" s="155"/>
      <c r="AK69" s="155"/>
      <c r="AL69" s="155"/>
      <c r="AM69" s="248">
        <f>AM67+AM68</f>
        <v>720788.03</v>
      </c>
      <c r="AN69" s="155"/>
      <c r="AO69" s="155"/>
    </row>
    <row r="70" spans="1:41">
      <c r="Z70" t="s">
        <v>801</v>
      </c>
      <c r="AB70">
        <v>26668.04</v>
      </c>
      <c r="AF70" s="155"/>
      <c r="AG70" s="155"/>
      <c r="AH70" s="155"/>
      <c r="AI70" s="155"/>
      <c r="AJ70" s="155"/>
      <c r="AK70" s="155" t="s">
        <v>653</v>
      </c>
      <c r="AL70" s="155"/>
      <c r="AM70" s="155">
        <v>2208.59</v>
      </c>
      <c r="AN70" s="155"/>
      <c r="AO70" s="155"/>
    </row>
    <row r="71" spans="1:41">
      <c r="L71" s="37"/>
      <c r="AB71">
        <v>745247.48</v>
      </c>
      <c r="AC71" t="s">
        <v>802</v>
      </c>
      <c r="AF71" s="155"/>
      <c r="AG71" s="155"/>
      <c r="AH71" s="155"/>
      <c r="AI71" s="155"/>
      <c r="AJ71" s="155"/>
      <c r="AK71" s="155"/>
      <c r="AL71" s="155"/>
      <c r="AM71" s="248">
        <f>AM69+AM70</f>
        <v>722996.62</v>
      </c>
      <c r="AN71" s="155" t="s">
        <v>652</v>
      </c>
      <c r="AO71" s="155"/>
    </row>
    <row r="72" spans="1:41">
      <c r="AB72" s="34">
        <f>AB71/12</f>
        <v>62103.956666666665</v>
      </c>
      <c r="AC72" t="s">
        <v>803</v>
      </c>
      <c r="AF72" s="155"/>
      <c r="AG72" s="155"/>
      <c r="AH72" s="155"/>
      <c r="AI72" s="155"/>
      <c r="AJ72" s="155"/>
      <c r="AK72" s="155"/>
      <c r="AL72" s="155"/>
      <c r="AM72" s="155">
        <f>AM71/12</f>
        <v>60249.718333333331</v>
      </c>
      <c r="AN72" s="155" t="s">
        <v>804</v>
      </c>
      <c r="AO72" s="155"/>
    </row>
    <row r="73" spans="1:41">
      <c r="S73">
        <v>2023</v>
      </c>
    </row>
    <row r="74" spans="1:41" ht="15">
      <c r="S74" s="52" t="s">
        <v>528</v>
      </c>
      <c r="T74" s="52" t="s">
        <v>529</v>
      </c>
      <c r="U74" s="52" t="s">
        <v>530</v>
      </c>
      <c r="V74" s="52" t="s">
        <v>531</v>
      </c>
      <c r="W74" s="52"/>
      <c r="X74" s="52" t="s">
        <v>532</v>
      </c>
      <c r="Y74" s="52" t="s">
        <v>533</v>
      </c>
      <c r="Z74" s="52" t="s">
        <v>472</v>
      </c>
      <c r="AA74" s="52"/>
      <c r="AB74" s="52" t="s">
        <v>534</v>
      </c>
      <c r="AC74" s="52" t="s">
        <v>533</v>
      </c>
      <c r="AD74" s="52" t="s">
        <v>472</v>
      </c>
      <c r="AE74" s="52"/>
      <c r="AF74" s="52" t="s">
        <v>535</v>
      </c>
      <c r="AG74" s="52" t="s">
        <v>533</v>
      </c>
      <c r="AH74" s="52" t="s">
        <v>472</v>
      </c>
      <c r="AI74" s="52"/>
      <c r="AJ74" s="353" t="s">
        <v>457</v>
      </c>
      <c r="AK74" s="353" t="s">
        <v>457</v>
      </c>
    </row>
    <row r="75" spans="1:41" ht="15">
      <c r="D75" t="s">
        <v>213</v>
      </c>
      <c r="S75" s="89"/>
      <c r="T75" s="89"/>
      <c r="U75" s="89"/>
      <c r="V75" s="89"/>
      <c r="W75" s="89"/>
      <c r="X75" s="89"/>
      <c r="Y75" s="89"/>
      <c r="Z75" s="89"/>
      <c r="AA75" s="89"/>
      <c r="AB75" s="89" t="s">
        <v>536</v>
      </c>
      <c r="AC75" s="89"/>
      <c r="AD75" s="89"/>
      <c r="AE75" s="89"/>
      <c r="AF75" s="89" t="s">
        <v>537</v>
      </c>
      <c r="AG75" s="89"/>
      <c r="AH75" s="89"/>
      <c r="AI75" s="89"/>
      <c r="AJ75" s="354" t="s">
        <v>538</v>
      </c>
      <c r="AK75" s="354" t="s">
        <v>539</v>
      </c>
    </row>
    <row r="76" spans="1:41" ht="15">
      <c r="S76" t="s">
        <v>540</v>
      </c>
      <c r="T76" s="52">
        <v>170</v>
      </c>
      <c r="U76" t="s">
        <v>541</v>
      </c>
      <c r="V76">
        <v>11068</v>
      </c>
      <c r="Y76" s="117"/>
      <c r="Z76" s="117">
        <f>+X76*Y76</f>
        <v>0</v>
      </c>
      <c r="AB76" s="387">
        <v>4763</v>
      </c>
      <c r="AC76" s="117">
        <v>6.1</v>
      </c>
      <c r="AD76" s="60">
        <f>+AB76*AC76</f>
        <v>29054.3</v>
      </c>
      <c r="AF76">
        <v>6000</v>
      </c>
      <c r="AG76" s="117">
        <v>4.76</v>
      </c>
      <c r="AH76" s="117">
        <f>+AF76*AG76</f>
        <v>28560</v>
      </c>
      <c r="AI76" s="117"/>
      <c r="AJ76" s="46">
        <f>+X76+AB76+AF76</f>
        <v>10763</v>
      </c>
      <c r="AK76" s="60">
        <f>+AH76+AD76+Z76</f>
        <v>57614.3</v>
      </c>
    </row>
    <row r="77" spans="1:41" ht="15">
      <c r="S77" t="s">
        <v>540</v>
      </c>
      <c r="T77" s="52">
        <v>160</v>
      </c>
      <c r="U77" t="s">
        <v>542</v>
      </c>
      <c r="V77">
        <v>11069</v>
      </c>
      <c r="Y77" s="117"/>
      <c r="Z77" s="117">
        <f t="shared" ref="Z77:Z96" si="35">+X77*Y77</f>
        <v>0</v>
      </c>
      <c r="AB77" s="387">
        <v>380</v>
      </c>
      <c r="AC77" s="117">
        <v>6.1</v>
      </c>
      <c r="AD77" s="60">
        <f t="shared" ref="AD77:AD96" si="36">+AB77*AC77</f>
        <v>2318</v>
      </c>
      <c r="AF77">
        <v>482</v>
      </c>
      <c r="AG77" s="117">
        <v>4.76</v>
      </c>
      <c r="AH77" s="117">
        <f t="shared" ref="AH77:AH98" si="37">+AF77*AG77</f>
        <v>2294.3199999999997</v>
      </c>
      <c r="AI77" s="117"/>
      <c r="AJ77" s="46">
        <f t="shared" ref="AJ77:AJ94" si="38">+X77+AB77+AF77</f>
        <v>862</v>
      </c>
      <c r="AK77" s="60">
        <f t="shared" ref="AK77:AK94" si="39">+AH77+AD77+Z77</f>
        <v>4612.32</v>
      </c>
    </row>
    <row r="78" spans="1:41" ht="15">
      <c r="S78" t="s">
        <v>540</v>
      </c>
      <c r="T78" s="52">
        <v>175</v>
      </c>
      <c r="U78" t="s">
        <v>543</v>
      </c>
      <c r="V78">
        <v>11070</v>
      </c>
      <c r="Y78" s="117"/>
      <c r="Z78" s="117">
        <f t="shared" si="35"/>
        <v>0</v>
      </c>
      <c r="AB78" s="387">
        <v>410</v>
      </c>
      <c r="AC78" s="117">
        <v>6.1</v>
      </c>
      <c r="AD78" s="60">
        <f t="shared" si="36"/>
        <v>2501</v>
      </c>
      <c r="AF78">
        <v>383</v>
      </c>
      <c r="AG78" s="117">
        <v>4.76</v>
      </c>
      <c r="AH78" s="117">
        <f t="shared" si="37"/>
        <v>1823.08</v>
      </c>
      <c r="AI78" s="117"/>
      <c r="AJ78" s="46">
        <f t="shared" si="38"/>
        <v>793</v>
      </c>
      <c r="AK78" s="60">
        <f t="shared" si="39"/>
        <v>4324.08</v>
      </c>
    </row>
    <row r="79" spans="1:41" ht="15">
      <c r="S79" t="s">
        <v>540</v>
      </c>
      <c r="T79" s="52">
        <v>163</v>
      </c>
      <c r="U79" t="s">
        <v>544</v>
      </c>
      <c r="V79">
        <v>11071</v>
      </c>
      <c r="Y79" s="117"/>
      <c r="Z79" s="117">
        <f t="shared" si="35"/>
        <v>0</v>
      </c>
      <c r="AB79" s="387">
        <v>408</v>
      </c>
      <c r="AC79" s="348">
        <v>6.1</v>
      </c>
      <c r="AD79" s="404">
        <f t="shared" si="36"/>
        <v>2488.7999999999997</v>
      </c>
      <c r="AF79">
        <v>426</v>
      </c>
      <c r="AG79" s="348">
        <v>4.76</v>
      </c>
      <c r="AH79" s="348">
        <f t="shared" si="37"/>
        <v>2027.76</v>
      </c>
      <c r="AI79" s="348"/>
      <c r="AJ79" s="355">
        <f t="shared" si="38"/>
        <v>834</v>
      </c>
      <c r="AK79" s="404">
        <f t="shared" si="39"/>
        <v>4516.5599999999995</v>
      </c>
    </row>
    <row r="80" spans="1:41">
      <c r="T80" s="52"/>
      <c r="Y80" s="117"/>
      <c r="Z80" s="117"/>
      <c r="AB80" s="348">
        <f>SUM(AB76:AB79)</f>
        <v>5961</v>
      </c>
      <c r="AC80" s="348"/>
      <c r="AD80" s="404">
        <f>SUM(AD76:AD79)</f>
        <v>36362.100000000006</v>
      </c>
      <c r="AE80" s="30">
        <f>AD80/12</f>
        <v>3030.1750000000006</v>
      </c>
      <c r="AF80" s="348">
        <f>SUM(AF76:AF79)</f>
        <v>7291</v>
      </c>
      <c r="AG80" s="348"/>
      <c r="AH80" s="348">
        <f>SUM(AH76:AH79)</f>
        <v>34705.160000000003</v>
      </c>
      <c r="AI80" s="348">
        <f>AH80/12</f>
        <v>2892.0966666666668</v>
      </c>
      <c r="AJ80" s="355"/>
      <c r="AK80" s="404"/>
    </row>
    <row r="81" spans="19:38">
      <c r="S81" t="s">
        <v>545</v>
      </c>
      <c r="T81" s="52">
        <v>174</v>
      </c>
      <c r="U81" t="s">
        <v>546</v>
      </c>
      <c r="V81">
        <v>11072</v>
      </c>
      <c r="Y81" s="117"/>
      <c r="Z81" s="117">
        <f t="shared" si="35"/>
        <v>0</v>
      </c>
      <c r="AB81">
        <v>71</v>
      </c>
      <c r="AC81" s="117">
        <v>23.272749999999998</v>
      </c>
      <c r="AD81" s="60">
        <f t="shared" si="36"/>
        <v>1652.3652499999998</v>
      </c>
      <c r="AF81">
        <v>78</v>
      </c>
      <c r="AG81" s="117">
        <v>29.96463</v>
      </c>
      <c r="AH81" s="117">
        <f t="shared" si="37"/>
        <v>2337.2411400000001</v>
      </c>
      <c r="AI81" s="117"/>
      <c r="AJ81" s="46">
        <f t="shared" si="38"/>
        <v>149</v>
      </c>
      <c r="AK81" s="60">
        <f t="shared" si="39"/>
        <v>3989.6063899999999</v>
      </c>
    </row>
    <row r="82" spans="19:38">
      <c r="S82" t="s">
        <v>545</v>
      </c>
      <c r="T82" s="52">
        <v>169</v>
      </c>
      <c r="U82" t="s">
        <v>547</v>
      </c>
      <c r="V82">
        <v>11073</v>
      </c>
      <c r="Y82" s="117"/>
      <c r="Z82" s="117">
        <f t="shared" si="35"/>
        <v>0</v>
      </c>
      <c r="AB82">
        <v>288</v>
      </c>
      <c r="AC82" s="117">
        <v>23.272749999999998</v>
      </c>
      <c r="AD82" s="60">
        <f t="shared" si="36"/>
        <v>6702.5519999999997</v>
      </c>
      <c r="AE82" t="s">
        <v>213</v>
      </c>
      <c r="AF82">
        <v>392</v>
      </c>
      <c r="AG82" s="117">
        <v>29.96463</v>
      </c>
      <c r="AH82" s="117">
        <f t="shared" si="37"/>
        <v>11746.134959999999</v>
      </c>
      <c r="AI82" s="117"/>
      <c r="AJ82" s="355">
        <f t="shared" si="38"/>
        <v>680</v>
      </c>
      <c r="AK82" s="404">
        <f>+AH82+AD82+Z82</f>
        <v>18448.686959999999</v>
      </c>
    </row>
    <row r="83" spans="19:38">
      <c r="S83" t="s">
        <v>545</v>
      </c>
      <c r="T83" s="52">
        <v>168</v>
      </c>
      <c r="U83" t="s">
        <v>548</v>
      </c>
      <c r="V83">
        <v>11074</v>
      </c>
      <c r="Y83" s="117"/>
      <c r="Z83" s="117">
        <f t="shared" si="35"/>
        <v>0</v>
      </c>
      <c r="AB83">
        <v>85</v>
      </c>
      <c r="AC83" s="117">
        <v>23.272749999999998</v>
      </c>
      <c r="AD83" s="60">
        <f t="shared" si="36"/>
        <v>1978.1837499999999</v>
      </c>
      <c r="AF83">
        <v>131</v>
      </c>
      <c r="AG83" s="117">
        <v>29.96463</v>
      </c>
      <c r="AH83" s="117">
        <f t="shared" si="37"/>
        <v>3925.3665299999998</v>
      </c>
      <c r="AI83" s="117"/>
      <c r="AJ83" s="46">
        <f t="shared" si="38"/>
        <v>216</v>
      </c>
      <c r="AK83" s="60">
        <f t="shared" si="39"/>
        <v>5903.5502799999995</v>
      </c>
    </row>
    <row r="84" spans="19:38">
      <c r="T84" s="52"/>
      <c r="Y84" s="117"/>
      <c r="Z84" s="117"/>
      <c r="AB84" s="117">
        <f>SUM(AB81:AB83)</f>
        <v>444</v>
      </c>
      <c r="AC84" s="117"/>
      <c r="AD84" s="60">
        <f>SUM(AD81:AD83)</f>
        <v>10333.100999999999</v>
      </c>
      <c r="AE84" s="30">
        <f>AD84/12</f>
        <v>861.09174999999993</v>
      </c>
      <c r="AF84" s="117">
        <f>SUM(AF81:AF83)</f>
        <v>601</v>
      </c>
      <c r="AG84" s="117"/>
      <c r="AH84" s="60">
        <f>SUM(AH81:AH83)</f>
        <v>18008.742630000001</v>
      </c>
      <c r="AI84" s="30">
        <f>AH84/12</f>
        <v>1500.7285525</v>
      </c>
      <c r="AJ84" s="46"/>
      <c r="AK84" s="60"/>
    </row>
    <row r="85" spans="19:38">
      <c r="S85" t="s">
        <v>549</v>
      </c>
      <c r="T85" s="52">
        <v>145</v>
      </c>
      <c r="U85" t="s">
        <v>550</v>
      </c>
      <c r="V85">
        <v>11075</v>
      </c>
      <c r="Y85" s="117"/>
      <c r="Z85" s="117">
        <f t="shared" si="35"/>
        <v>0</v>
      </c>
      <c r="AB85">
        <v>83</v>
      </c>
      <c r="AC85" s="117">
        <v>16.48</v>
      </c>
      <c r="AD85" s="60">
        <f t="shared" si="36"/>
        <v>1367.8400000000001</v>
      </c>
      <c r="AF85">
        <v>196</v>
      </c>
      <c r="AG85" s="117">
        <v>14.58</v>
      </c>
      <c r="AH85" s="117">
        <f t="shared" si="37"/>
        <v>2857.68</v>
      </c>
      <c r="AI85" s="117"/>
      <c r="AJ85" s="46">
        <f t="shared" si="38"/>
        <v>279</v>
      </c>
      <c r="AK85" s="60">
        <f t="shared" si="39"/>
        <v>4225.5200000000004</v>
      </c>
      <c r="AL85" t="s">
        <v>213</v>
      </c>
    </row>
    <row r="86" spans="19:38">
      <c r="S86" t="s">
        <v>549</v>
      </c>
      <c r="T86" s="52">
        <v>153</v>
      </c>
      <c r="U86" t="s">
        <v>551</v>
      </c>
      <c r="V86">
        <v>11076</v>
      </c>
      <c r="Y86" s="117"/>
      <c r="Z86" s="117">
        <f t="shared" si="35"/>
        <v>0</v>
      </c>
      <c r="AB86">
        <v>13</v>
      </c>
      <c r="AC86" s="117">
        <v>16.48</v>
      </c>
      <c r="AD86" s="60">
        <f t="shared" si="36"/>
        <v>214.24</v>
      </c>
      <c r="AF86">
        <v>155</v>
      </c>
      <c r="AG86" s="117">
        <v>14.58</v>
      </c>
      <c r="AH86" s="117">
        <f t="shared" si="37"/>
        <v>2259.9</v>
      </c>
      <c r="AI86" s="117"/>
      <c r="AJ86" s="46">
        <f t="shared" si="38"/>
        <v>168</v>
      </c>
      <c r="AK86" s="60">
        <f t="shared" si="39"/>
        <v>2474.1400000000003</v>
      </c>
      <c r="AL86" t="s">
        <v>213</v>
      </c>
    </row>
    <row r="87" spans="19:38">
      <c r="S87" t="s">
        <v>549</v>
      </c>
      <c r="T87" s="52">
        <v>164</v>
      </c>
      <c r="U87" t="s">
        <v>552</v>
      </c>
      <c r="V87">
        <v>11077</v>
      </c>
      <c r="Y87" s="117"/>
      <c r="Z87" s="117">
        <f t="shared" si="35"/>
        <v>0</v>
      </c>
      <c r="AB87">
        <v>150</v>
      </c>
      <c r="AC87" s="117">
        <v>16.48</v>
      </c>
      <c r="AD87" s="60">
        <f t="shared" si="36"/>
        <v>2472</v>
      </c>
      <c r="AF87">
        <v>216</v>
      </c>
      <c r="AG87" s="117">
        <v>14.58</v>
      </c>
      <c r="AH87" s="117">
        <f t="shared" si="37"/>
        <v>3149.28</v>
      </c>
      <c r="AI87" s="117"/>
      <c r="AJ87" s="46">
        <f t="shared" si="38"/>
        <v>366</v>
      </c>
      <c r="AK87" s="60">
        <f t="shared" si="39"/>
        <v>5621.2800000000007</v>
      </c>
      <c r="AL87" t="s">
        <v>213</v>
      </c>
    </row>
    <row r="88" spans="19:38">
      <c r="T88" s="52"/>
      <c r="Y88" s="117"/>
      <c r="Z88" s="117"/>
      <c r="AB88" s="117">
        <f>SUM(AB85:AB87)</f>
        <v>246</v>
      </c>
      <c r="AC88" s="117"/>
      <c r="AD88" s="60">
        <f>SUM(AD85:AD87)</f>
        <v>4054.08</v>
      </c>
      <c r="AE88" s="30">
        <f>AD88/12</f>
        <v>337.84</v>
      </c>
      <c r="AF88" s="117">
        <f>SUM(AF85:AF87)</f>
        <v>567</v>
      </c>
      <c r="AG88" s="117"/>
      <c r="AH88" s="60">
        <f>SUM(AH85:AH87)</f>
        <v>8266.86</v>
      </c>
      <c r="AI88" s="30">
        <f>AH88/12</f>
        <v>688.90500000000009</v>
      </c>
      <c r="AJ88" s="46"/>
      <c r="AK88" s="60"/>
    </row>
    <row r="89" spans="19:38">
      <c r="S89" t="s">
        <v>549</v>
      </c>
      <c r="T89" s="52">
        <v>167</v>
      </c>
      <c r="U89" t="s">
        <v>553</v>
      </c>
      <c r="V89">
        <v>11078</v>
      </c>
      <c r="X89">
        <v>17</v>
      </c>
      <c r="Y89" s="117">
        <v>29.5457</v>
      </c>
      <c r="Z89" s="117">
        <f t="shared" si="35"/>
        <v>502.27690000000001</v>
      </c>
      <c r="AA89" s="35">
        <f>Z89/12</f>
        <v>41.856408333333334</v>
      </c>
      <c r="AB89">
        <v>82</v>
      </c>
      <c r="AC89" s="117">
        <v>19.392119999999998</v>
      </c>
      <c r="AD89" s="60">
        <f t="shared" si="36"/>
        <v>1590.1538399999999</v>
      </c>
      <c r="AE89" s="30">
        <f>AD89/12</f>
        <v>132.51282</v>
      </c>
      <c r="AF89">
        <v>104</v>
      </c>
      <c r="AG89" s="117">
        <v>10.87017</v>
      </c>
      <c r="AH89" s="117">
        <f t="shared" si="37"/>
        <v>1130.4976799999999</v>
      </c>
      <c r="AI89" s="30">
        <f>AH89/12</f>
        <v>94.20814</v>
      </c>
      <c r="AJ89" s="46">
        <f t="shared" si="38"/>
        <v>203</v>
      </c>
      <c r="AK89" s="60">
        <f t="shared" si="39"/>
        <v>3222.9284199999997</v>
      </c>
      <c r="AL89" t="s">
        <v>213</v>
      </c>
    </row>
    <row r="90" spans="19:38">
      <c r="T90" s="52"/>
      <c r="Y90" s="117"/>
      <c r="Z90" s="117"/>
      <c r="AC90" s="117"/>
      <c r="AD90" s="60"/>
      <c r="AG90" s="117"/>
      <c r="AH90" s="117"/>
      <c r="AI90" s="117"/>
      <c r="AJ90" s="46"/>
      <c r="AK90" s="60"/>
    </row>
    <row r="91" spans="19:38">
      <c r="S91" t="s">
        <v>549</v>
      </c>
      <c r="T91" s="52">
        <v>173</v>
      </c>
      <c r="U91" t="s">
        <v>554</v>
      </c>
      <c r="V91">
        <v>11079</v>
      </c>
      <c r="Y91" s="117"/>
      <c r="Z91" s="117">
        <f t="shared" si="35"/>
        <v>0</v>
      </c>
      <c r="AB91">
        <v>20</v>
      </c>
      <c r="AC91" s="117">
        <v>29.96463</v>
      </c>
      <c r="AD91" s="60">
        <f t="shared" si="36"/>
        <v>599.29259999999999</v>
      </c>
      <c r="AE91" s="30">
        <f>AD91/12</f>
        <v>49.941049999999997</v>
      </c>
      <c r="AF91" s="46">
        <v>54</v>
      </c>
      <c r="AG91" s="117">
        <v>29.96463</v>
      </c>
      <c r="AH91" s="117">
        <f t="shared" si="37"/>
        <v>1618.0900200000001</v>
      </c>
      <c r="AI91" s="30">
        <f>AH91/12</f>
        <v>134.840835</v>
      </c>
      <c r="AJ91" s="46">
        <f>+X91+AB91+AF91</f>
        <v>74</v>
      </c>
      <c r="AK91" s="60">
        <f>+AH91+AD91+Z91</f>
        <v>2217.3826200000003</v>
      </c>
      <c r="AL91" t="s">
        <v>213</v>
      </c>
    </row>
    <row r="92" spans="19:38">
      <c r="T92" s="52"/>
      <c r="Y92" s="117"/>
      <c r="Z92" s="117"/>
      <c r="AC92" s="117"/>
      <c r="AD92" s="60"/>
      <c r="AF92" s="46"/>
      <c r="AG92" s="117"/>
      <c r="AH92" s="117"/>
      <c r="AI92" s="117"/>
      <c r="AJ92" s="46"/>
      <c r="AK92" s="60"/>
    </row>
    <row r="93" spans="19:38">
      <c r="S93" t="s">
        <v>549</v>
      </c>
      <c r="T93" s="52">
        <v>13</v>
      </c>
      <c r="U93" t="s">
        <v>555</v>
      </c>
      <c r="V93">
        <v>11080</v>
      </c>
      <c r="Y93" s="117"/>
      <c r="Z93" s="117">
        <f t="shared" si="35"/>
        <v>0</v>
      </c>
      <c r="AC93" s="117"/>
      <c r="AD93" s="60">
        <f t="shared" si="36"/>
        <v>0</v>
      </c>
      <c r="AF93">
        <v>7</v>
      </c>
      <c r="AG93" s="117">
        <v>14.58</v>
      </c>
      <c r="AH93" s="117">
        <f t="shared" si="37"/>
        <v>102.06</v>
      </c>
      <c r="AI93" s="117"/>
      <c r="AJ93" s="355">
        <f t="shared" si="38"/>
        <v>7</v>
      </c>
      <c r="AK93" s="404">
        <f t="shared" si="39"/>
        <v>102.06</v>
      </c>
    </row>
    <row r="94" spans="19:38">
      <c r="S94" t="s">
        <v>549</v>
      </c>
      <c r="T94" s="52">
        <v>11</v>
      </c>
      <c r="U94" t="s">
        <v>556</v>
      </c>
      <c r="V94">
        <v>11081</v>
      </c>
      <c r="Y94" s="117"/>
      <c r="Z94" s="117">
        <f t="shared" si="35"/>
        <v>0</v>
      </c>
      <c r="AC94" s="117"/>
      <c r="AD94" s="60">
        <f t="shared" si="36"/>
        <v>0</v>
      </c>
      <c r="AF94">
        <v>61</v>
      </c>
      <c r="AG94" s="117">
        <v>14.58</v>
      </c>
      <c r="AH94" s="117">
        <f t="shared" si="37"/>
        <v>889.38</v>
      </c>
      <c r="AI94" s="117"/>
      <c r="AJ94" s="46">
        <f t="shared" si="38"/>
        <v>61</v>
      </c>
      <c r="AK94" s="60">
        <f t="shared" si="39"/>
        <v>889.38</v>
      </c>
    </row>
    <row r="95" spans="19:38">
      <c r="T95" s="52"/>
      <c r="Y95" s="117"/>
      <c r="Z95" s="117"/>
      <c r="AC95" s="117"/>
      <c r="AD95" s="60"/>
      <c r="AF95">
        <f>SUM(AF93:AF94)</f>
        <v>68</v>
      </c>
      <c r="AG95" s="117"/>
      <c r="AH95" s="117">
        <f>SUM(AH93:AH94)</f>
        <v>991.44</v>
      </c>
      <c r="AI95" s="30">
        <f>AH95/12</f>
        <v>82.62</v>
      </c>
      <c r="AJ95" s="46"/>
      <c r="AK95" s="60"/>
    </row>
    <row r="96" spans="19:38">
      <c r="S96" t="s">
        <v>549</v>
      </c>
      <c r="T96" s="52">
        <v>16</v>
      </c>
      <c r="U96" t="s">
        <v>649</v>
      </c>
      <c r="V96">
        <v>11082</v>
      </c>
      <c r="Y96" s="117"/>
      <c r="Z96" s="117">
        <f t="shared" si="35"/>
        <v>0</v>
      </c>
      <c r="AC96" s="117"/>
      <c r="AD96" s="60">
        <f t="shared" si="36"/>
        <v>0</v>
      </c>
      <c r="AF96">
        <v>1924</v>
      </c>
      <c r="AG96" s="117">
        <v>43.279510000000002</v>
      </c>
      <c r="AH96" s="117">
        <f t="shared" si="37"/>
        <v>83269.77724000001</v>
      </c>
      <c r="AI96" s="30">
        <f>AH96/12</f>
        <v>6939.1481033333339</v>
      </c>
      <c r="AJ96" s="45">
        <f>+X96+AB96+AF96</f>
        <v>1924</v>
      </c>
      <c r="AK96" s="405">
        <f>+AH96+AD96+Z96</f>
        <v>83269.77724000001</v>
      </c>
    </row>
    <row r="97" spans="19:38">
      <c r="T97" s="52"/>
      <c r="Y97" s="117"/>
      <c r="Z97" s="117"/>
      <c r="AC97" s="117"/>
      <c r="AD97" s="60"/>
      <c r="AG97" s="117"/>
      <c r="AH97" s="117"/>
      <c r="AI97" s="117"/>
      <c r="AJ97" s="45"/>
      <c r="AK97" s="405"/>
    </row>
    <row r="98" spans="19:38">
      <c r="S98" t="s">
        <v>549</v>
      </c>
      <c r="T98" s="342">
        <v>19</v>
      </c>
      <c r="U98" t="s">
        <v>650</v>
      </c>
      <c r="V98">
        <v>11083</v>
      </c>
      <c r="Y98" s="117"/>
      <c r="Z98" s="117"/>
      <c r="AC98" s="117"/>
      <c r="AD98" s="60"/>
      <c r="AF98">
        <v>4</v>
      </c>
      <c r="AG98" s="117">
        <v>14.58</v>
      </c>
      <c r="AH98" s="117">
        <f t="shared" si="37"/>
        <v>58.32</v>
      </c>
      <c r="AI98" s="30">
        <f>AH98/12</f>
        <v>4.8600000000000003</v>
      </c>
      <c r="AJ98" s="45">
        <f>+X98+AB98+AF98</f>
        <v>4</v>
      </c>
      <c r="AK98" s="405">
        <f>+AH98+AD98+Z98</f>
        <v>58.32</v>
      </c>
    </row>
    <row r="99" spans="19:38">
      <c r="T99" s="342"/>
      <c r="Y99" s="117"/>
      <c r="Z99" s="117"/>
      <c r="AC99" s="117"/>
      <c r="AD99" s="60"/>
      <c r="AG99" s="117"/>
      <c r="AH99" s="117"/>
      <c r="AI99" s="117"/>
      <c r="AJ99" s="45"/>
      <c r="AK99" s="405"/>
    </row>
    <row r="100" spans="19:38" ht="15">
      <c r="AD100" s="60"/>
      <c r="AE100" s="30"/>
      <c r="AH100" s="60"/>
      <c r="AI100" s="30"/>
      <c r="AJ100" s="356">
        <f>SUM(AJ76:AJ98)</f>
        <v>17383</v>
      </c>
      <c r="AK100" s="406">
        <f>SUM(AK76:AK98)</f>
        <v>201489.89191000001</v>
      </c>
    </row>
    <row r="101" spans="19:38">
      <c r="S101">
        <v>2022</v>
      </c>
      <c r="AK101" s="60">
        <f>AK100/12</f>
        <v>16790.824325833335</v>
      </c>
      <c r="AL101" t="s">
        <v>804</v>
      </c>
    </row>
    <row r="102" spans="19:38">
      <c r="S102" t="s">
        <v>528</v>
      </c>
      <c r="T102" t="s">
        <v>529</v>
      </c>
      <c r="U102" t="s">
        <v>530</v>
      </c>
      <c r="V102" t="s">
        <v>531</v>
      </c>
      <c r="X102" t="s">
        <v>532</v>
      </c>
      <c r="Y102" t="s">
        <v>533</v>
      </c>
      <c r="Z102" t="s">
        <v>472</v>
      </c>
      <c r="AB102" t="s">
        <v>534</v>
      </c>
      <c r="AC102" t="s">
        <v>533</v>
      </c>
      <c r="AD102" t="s">
        <v>472</v>
      </c>
      <c r="AF102" t="s">
        <v>535</v>
      </c>
      <c r="AG102" t="s">
        <v>533</v>
      </c>
      <c r="AH102" t="s">
        <v>472</v>
      </c>
      <c r="AJ102" t="s">
        <v>457</v>
      </c>
      <c r="AK102" t="s">
        <v>457</v>
      </c>
    </row>
    <row r="103" spans="19:38">
      <c r="AB103" t="s">
        <v>536</v>
      </c>
      <c r="AF103" t="s">
        <v>537</v>
      </c>
      <c r="AJ103" t="s">
        <v>538</v>
      </c>
      <c r="AK103" t="s">
        <v>539</v>
      </c>
    </row>
    <row r="104" spans="19:38">
      <c r="S104" t="s">
        <v>540</v>
      </c>
      <c r="T104">
        <v>170</v>
      </c>
      <c r="U104" t="s">
        <v>541</v>
      </c>
      <c r="V104">
        <v>10177</v>
      </c>
      <c r="Z104">
        <v>0</v>
      </c>
      <c r="AB104">
        <v>4763</v>
      </c>
      <c r="AC104" s="34">
        <v>6.1</v>
      </c>
      <c r="AD104" s="60">
        <v>29054.3</v>
      </c>
      <c r="AF104">
        <v>6000</v>
      </c>
      <c r="AG104">
        <v>4.76</v>
      </c>
      <c r="AH104" s="60">
        <v>28560</v>
      </c>
      <c r="AJ104">
        <v>10763</v>
      </c>
      <c r="AK104" s="60">
        <v>57614.3</v>
      </c>
    </row>
    <row r="105" spans="19:38">
      <c r="S105" t="s">
        <v>540</v>
      </c>
      <c r="T105">
        <v>160</v>
      </c>
      <c r="U105" t="s">
        <v>542</v>
      </c>
      <c r="V105">
        <v>10178</v>
      </c>
      <c r="Z105">
        <v>0</v>
      </c>
      <c r="AB105">
        <v>88</v>
      </c>
      <c r="AC105" s="34">
        <v>6.1</v>
      </c>
      <c r="AD105" s="60">
        <v>536.79999999999995</v>
      </c>
      <c r="AF105">
        <v>55</v>
      </c>
      <c r="AG105">
        <v>4.76</v>
      </c>
      <c r="AH105" s="60">
        <v>261.8</v>
      </c>
      <c r="AJ105">
        <v>143</v>
      </c>
      <c r="AK105" s="60">
        <v>798.59999999999991</v>
      </c>
    </row>
    <row r="106" spans="19:38">
      <c r="S106" t="s">
        <v>540</v>
      </c>
      <c r="T106">
        <v>175</v>
      </c>
      <c r="U106" t="s">
        <v>543</v>
      </c>
      <c r="V106">
        <v>10179</v>
      </c>
      <c r="Z106">
        <v>0</v>
      </c>
      <c r="AB106">
        <v>410</v>
      </c>
      <c r="AC106" s="34">
        <v>6.1</v>
      </c>
      <c r="AD106" s="60">
        <v>2501</v>
      </c>
      <c r="AF106">
        <v>383</v>
      </c>
      <c r="AG106">
        <v>4.76</v>
      </c>
      <c r="AH106" s="60">
        <v>1823.08</v>
      </c>
      <c r="AJ106">
        <v>793</v>
      </c>
      <c r="AK106" s="60">
        <v>4324.08</v>
      </c>
    </row>
    <row r="107" spans="19:38">
      <c r="S107" t="s">
        <v>540</v>
      </c>
      <c r="T107">
        <v>163</v>
      </c>
      <c r="U107" t="s">
        <v>544</v>
      </c>
      <c r="V107">
        <v>10180</v>
      </c>
      <c r="Z107">
        <v>0</v>
      </c>
      <c r="AB107">
        <v>700</v>
      </c>
      <c r="AC107" s="34">
        <v>6.1</v>
      </c>
      <c r="AD107" s="60">
        <v>4270</v>
      </c>
      <c r="AF107">
        <v>853</v>
      </c>
      <c r="AG107">
        <v>4.76</v>
      </c>
      <c r="AH107" s="60">
        <v>4060.2799999999997</v>
      </c>
      <c r="AJ107">
        <v>1553</v>
      </c>
      <c r="AK107" s="60">
        <v>8330.2799999999988</v>
      </c>
    </row>
    <row r="108" spans="19:38">
      <c r="AB108" s="117">
        <f>SUM(AB104:AB107)</f>
        <v>5961</v>
      </c>
      <c r="AC108" s="34"/>
      <c r="AD108" s="60">
        <f>SUM(AD104:AD107)</f>
        <v>36362.1</v>
      </c>
      <c r="AE108" s="30">
        <f>AD108/12</f>
        <v>3030.1749999999997</v>
      </c>
      <c r="AF108" s="117">
        <f>SUM(AF104:AF107)</f>
        <v>7291</v>
      </c>
      <c r="AH108" s="60">
        <f>SUM(AH104:AH107)</f>
        <v>34705.159999999996</v>
      </c>
      <c r="AI108" s="30">
        <f>AH108/12</f>
        <v>2892.0966666666664</v>
      </c>
      <c r="AK108" s="60"/>
    </row>
    <row r="109" spans="19:38">
      <c r="S109" t="s">
        <v>545</v>
      </c>
      <c r="T109">
        <v>174</v>
      </c>
      <c r="U109" t="s">
        <v>546</v>
      </c>
      <c r="V109">
        <v>10181</v>
      </c>
      <c r="Z109">
        <v>0</v>
      </c>
      <c r="AB109">
        <v>71</v>
      </c>
      <c r="AC109" s="34">
        <v>23.207799999999999</v>
      </c>
      <c r="AD109" s="60">
        <v>1647.7538</v>
      </c>
      <c r="AF109">
        <v>78</v>
      </c>
      <c r="AG109" s="34">
        <v>29.881</v>
      </c>
      <c r="AH109" s="60">
        <v>2330.7179999999998</v>
      </c>
      <c r="AJ109">
        <v>149</v>
      </c>
      <c r="AK109" s="60">
        <v>3978.4717999999998</v>
      </c>
    </row>
    <row r="110" spans="19:38">
      <c r="S110" t="s">
        <v>545</v>
      </c>
      <c r="T110">
        <v>169</v>
      </c>
      <c r="U110" t="s">
        <v>547</v>
      </c>
      <c r="V110">
        <v>10182</v>
      </c>
      <c r="Z110">
        <v>0</v>
      </c>
      <c r="AB110">
        <v>288</v>
      </c>
      <c r="AC110" s="34">
        <v>23.207799999999999</v>
      </c>
      <c r="AD110" s="60">
        <v>6683.8463999999994</v>
      </c>
      <c r="AE110" t="s">
        <v>213</v>
      </c>
      <c r="AF110">
        <v>392</v>
      </c>
      <c r="AG110" s="34">
        <v>29.881</v>
      </c>
      <c r="AH110" s="60">
        <v>11713.352000000001</v>
      </c>
      <c r="AJ110">
        <v>680</v>
      </c>
      <c r="AK110" s="60">
        <v>18397.198400000001</v>
      </c>
    </row>
    <row r="111" spans="19:38">
      <c r="S111" t="s">
        <v>545</v>
      </c>
      <c r="T111">
        <v>168</v>
      </c>
      <c r="U111" t="s">
        <v>548</v>
      </c>
      <c r="V111">
        <v>10183</v>
      </c>
      <c r="Z111">
        <v>0</v>
      </c>
      <c r="AB111">
        <v>85</v>
      </c>
      <c r="AC111" s="34">
        <v>23.207799999999999</v>
      </c>
      <c r="AD111" s="60">
        <v>1972.663</v>
      </c>
      <c r="AF111">
        <v>131</v>
      </c>
      <c r="AG111" s="34">
        <v>29.881</v>
      </c>
      <c r="AH111" s="60">
        <v>3914.4110000000001</v>
      </c>
      <c r="AJ111">
        <v>216</v>
      </c>
      <c r="AK111" s="60">
        <v>5887.0740000000005</v>
      </c>
    </row>
    <row r="112" spans="19:38">
      <c r="AB112" s="117">
        <f>SUM(AB109:AB111)</f>
        <v>444</v>
      </c>
      <c r="AC112" s="34"/>
      <c r="AD112" s="60">
        <f>SUM(AD109:AD111)</f>
        <v>10304.263199999999</v>
      </c>
      <c r="AE112" s="30">
        <f>AD112/12</f>
        <v>858.68859999999995</v>
      </c>
      <c r="AF112" s="117">
        <f>SUM(AF109:AF111)</f>
        <v>601</v>
      </c>
      <c r="AG112" s="34"/>
      <c r="AH112" s="60">
        <f>SUM(AH109:AH111)</f>
        <v>17958.481</v>
      </c>
      <c r="AI112" s="30">
        <f>AH112/12</f>
        <v>1496.5400833333333</v>
      </c>
      <c r="AK112" s="60"/>
    </row>
    <row r="113" spans="19:38">
      <c r="S113" t="s">
        <v>549</v>
      </c>
      <c r="T113">
        <v>145</v>
      </c>
      <c r="U113" t="s">
        <v>550</v>
      </c>
      <c r="V113">
        <v>10184</v>
      </c>
      <c r="Z113">
        <v>0</v>
      </c>
      <c r="AB113">
        <v>83</v>
      </c>
      <c r="AC113" s="34">
        <v>16.399999999999999</v>
      </c>
      <c r="AD113" s="60">
        <v>1361.1999999999998</v>
      </c>
      <c r="AF113">
        <v>196</v>
      </c>
      <c r="AG113">
        <v>14.26</v>
      </c>
      <c r="AH113" s="60">
        <v>2794.96</v>
      </c>
      <c r="AJ113">
        <v>279</v>
      </c>
      <c r="AK113" s="60">
        <v>4156.16</v>
      </c>
    </row>
    <row r="114" spans="19:38">
      <c r="S114" t="s">
        <v>549</v>
      </c>
      <c r="T114">
        <v>153</v>
      </c>
      <c r="U114" t="s">
        <v>551</v>
      </c>
      <c r="V114">
        <v>10185</v>
      </c>
      <c r="Z114">
        <v>0</v>
      </c>
      <c r="AB114">
        <v>13</v>
      </c>
      <c r="AC114" s="34">
        <v>16.399999999999999</v>
      </c>
      <c r="AD114" s="60">
        <v>213.2</v>
      </c>
      <c r="AF114">
        <v>155</v>
      </c>
      <c r="AG114">
        <v>14.26</v>
      </c>
      <c r="AH114" s="60">
        <v>2210.3000000000002</v>
      </c>
      <c r="AJ114">
        <v>168</v>
      </c>
      <c r="AK114" s="60">
        <v>2423.5</v>
      </c>
    </row>
    <row r="115" spans="19:38">
      <c r="S115" t="s">
        <v>549</v>
      </c>
      <c r="T115">
        <v>164</v>
      </c>
      <c r="U115" t="s">
        <v>552</v>
      </c>
      <c r="V115">
        <v>10186</v>
      </c>
      <c r="Z115">
        <v>0</v>
      </c>
      <c r="AB115">
        <v>150</v>
      </c>
      <c r="AC115" s="34">
        <v>16.399999999999999</v>
      </c>
      <c r="AD115" s="60">
        <v>2460</v>
      </c>
      <c r="AF115">
        <v>216</v>
      </c>
      <c r="AG115">
        <v>14.26</v>
      </c>
      <c r="AH115" s="60">
        <v>3080.16</v>
      </c>
      <c r="AJ115">
        <v>366</v>
      </c>
      <c r="AK115" s="60">
        <v>5540.16</v>
      </c>
    </row>
    <row r="116" spans="19:38">
      <c r="AB116" s="117">
        <f>SUM(AB113:AB115)</f>
        <v>246</v>
      </c>
      <c r="AC116" s="34"/>
      <c r="AD116" s="60">
        <f>SUM(AD113:AD115)</f>
        <v>4034.3999999999996</v>
      </c>
      <c r="AE116" s="30">
        <f>AD116/12</f>
        <v>336.2</v>
      </c>
      <c r="AF116" s="117">
        <f>SUM(AF113:AF115)</f>
        <v>567</v>
      </c>
      <c r="AH116" s="60">
        <f>SUM(AH113:AH115)</f>
        <v>8085.42</v>
      </c>
      <c r="AI116" s="30">
        <f>AH116/12</f>
        <v>673.78499999999997</v>
      </c>
      <c r="AK116" s="60"/>
    </row>
    <row r="117" spans="19:38">
      <c r="S117" t="s">
        <v>549</v>
      </c>
      <c r="T117">
        <v>167</v>
      </c>
      <c r="U117" t="s">
        <v>553</v>
      </c>
      <c r="V117">
        <v>10187</v>
      </c>
      <c r="X117">
        <v>17</v>
      </c>
      <c r="Y117">
        <v>29.463200000000001</v>
      </c>
      <c r="Z117">
        <v>500.87440000000004</v>
      </c>
      <c r="AA117">
        <f>Z117/12</f>
        <v>41.739533333333334</v>
      </c>
      <c r="AB117">
        <v>80</v>
      </c>
      <c r="AC117" s="34">
        <v>19.337972525044805</v>
      </c>
      <c r="AD117" s="60">
        <v>1547.0378020035844</v>
      </c>
      <c r="AE117" s="30">
        <f>AD117/12</f>
        <v>128.91981683363204</v>
      </c>
      <c r="AF117">
        <v>98</v>
      </c>
      <c r="AG117" s="34">
        <v>10.839818595619199</v>
      </c>
      <c r="AH117" s="60">
        <v>1062.3022223706816</v>
      </c>
      <c r="AI117" s="30">
        <f>AH117/12</f>
        <v>88.525185197556809</v>
      </c>
      <c r="AJ117">
        <v>195</v>
      </c>
      <c r="AK117" s="60">
        <v>3110.2144243742664</v>
      </c>
    </row>
    <row r="118" spans="19:38">
      <c r="AC118" s="34"/>
      <c r="AD118" s="60"/>
      <c r="AG118" s="34"/>
      <c r="AH118" s="60"/>
      <c r="AK118" s="60"/>
    </row>
    <row r="119" spans="19:38">
      <c r="S119" t="s">
        <v>549</v>
      </c>
      <c r="T119">
        <v>173</v>
      </c>
      <c r="U119" t="s">
        <v>554</v>
      </c>
      <c r="V119">
        <v>10188</v>
      </c>
      <c r="Z119">
        <v>0</v>
      </c>
      <c r="AB119">
        <v>20</v>
      </c>
      <c r="AC119" s="34">
        <v>29.880960388329601</v>
      </c>
      <c r="AD119" s="60">
        <v>597.61920776659201</v>
      </c>
      <c r="AE119" s="30">
        <f>AD119/12</f>
        <v>49.801600647215999</v>
      </c>
      <c r="AF119">
        <v>54</v>
      </c>
      <c r="AG119" s="34">
        <v>29.880960388329601</v>
      </c>
      <c r="AH119" s="60">
        <v>1613.5718609697985</v>
      </c>
      <c r="AI119" s="30">
        <f>AH119/12</f>
        <v>134.46432174748321</v>
      </c>
      <c r="AJ119">
        <v>74</v>
      </c>
      <c r="AK119" s="60">
        <v>2211.1910687363907</v>
      </c>
    </row>
    <row r="120" spans="19:38">
      <c r="AC120" s="34"/>
      <c r="AD120" s="60"/>
      <c r="AG120" s="34"/>
      <c r="AH120" s="60"/>
      <c r="AK120" s="60"/>
    </row>
    <row r="121" spans="19:38">
      <c r="S121" t="s">
        <v>549</v>
      </c>
      <c r="T121">
        <v>13</v>
      </c>
      <c r="U121" t="s">
        <v>555</v>
      </c>
      <c r="V121">
        <v>10189</v>
      </c>
      <c r="Z121">
        <v>0</v>
      </c>
      <c r="AC121" s="34"/>
      <c r="AD121" s="60">
        <v>0</v>
      </c>
      <c r="AF121">
        <v>7</v>
      </c>
      <c r="AG121" s="34">
        <v>14.26</v>
      </c>
      <c r="AH121" s="60">
        <v>99.82</v>
      </c>
      <c r="AJ121">
        <v>7</v>
      </c>
      <c r="AK121" s="60">
        <v>99.82</v>
      </c>
    </row>
    <row r="122" spans="19:38">
      <c r="S122" t="s">
        <v>549</v>
      </c>
      <c r="T122">
        <v>11</v>
      </c>
      <c r="U122" t="s">
        <v>556</v>
      </c>
      <c r="V122">
        <v>10190</v>
      </c>
      <c r="Z122">
        <v>0</v>
      </c>
      <c r="AC122" s="34"/>
      <c r="AD122" s="60">
        <v>0</v>
      </c>
      <c r="AF122">
        <v>61</v>
      </c>
      <c r="AG122" s="34">
        <v>14.26</v>
      </c>
      <c r="AH122" s="60">
        <v>869.86</v>
      </c>
      <c r="AJ122">
        <v>61</v>
      </c>
      <c r="AK122" s="60">
        <v>869.86</v>
      </c>
    </row>
    <row r="123" spans="19:38">
      <c r="AC123" s="34"/>
      <c r="AD123" s="60"/>
      <c r="AF123">
        <f>SUM(AF121:AF122)</f>
        <v>68</v>
      </c>
      <c r="AG123" s="34"/>
      <c r="AH123" s="60">
        <f>SUM(AH121:AH122)</f>
        <v>969.68000000000006</v>
      </c>
      <c r="AI123" s="30">
        <f>AH123/12</f>
        <v>80.806666666666672</v>
      </c>
      <c r="AK123" s="60"/>
    </row>
    <row r="124" spans="19:38">
      <c r="S124" t="s">
        <v>549</v>
      </c>
      <c r="T124">
        <v>16</v>
      </c>
      <c r="U124" t="s">
        <v>649</v>
      </c>
      <c r="V124">
        <v>10191</v>
      </c>
      <c r="Z124">
        <v>0</v>
      </c>
      <c r="AD124" s="60">
        <v>0</v>
      </c>
      <c r="AF124">
        <v>1876</v>
      </c>
      <c r="AG124" s="34">
        <v>40.410400000000003</v>
      </c>
      <c r="AH124" s="60">
        <v>75809.910400000008</v>
      </c>
      <c r="AI124" s="30">
        <f>AH124/12</f>
        <v>6317.492533333334</v>
      </c>
      <c r="AJ124">
        <v>1876</v>
      </c>
      <c r="AK124" s="60">
        <v>75809.910400000008</v>
      </c>
    </row>
    <row r="125" spans="19:38">
      <c r="AD125" s="30"/>
      <c r="AE125" s="30"/>
      <c r="AH125" s="30"/>
      <c r="AI125" s="30"/>
      <c r="AJ125">
        <v>17323</v>
      </c>
      <c r="AK125" s="60">
        <v>193550.82009311067</v>
      </c>
    </row>
    <row r="126" spans="19:38">
      <c r="AK126" s="60">
        <f>AK125/12</f>
        <v>16129.235007759222</v>
      </c>
      <c r="AL126" t="s">
        <v>803</v>
      </c>
    </row>
    <row r="127" spans="19:38">
      <c r="Y127">
        <v>29.55</v>
      </c>
      <c r="Z127">
        <v>2</v>
      </c>
      <c r="AA127">
        <f>Y127*Z127</f>
        <v>59.1</v>
      </c>
      <c r="AG127" s="35">
        <f>AG81</f>
        <v>29.96463</v>
      </c>
      <c r="AH127">
        <v>2</v>
      </c>
      <c r="AI127">
        <f>AG127*AH127</f>
        <v>59.929259999999999</v>
      </c>
    </row>
    <row r="128" spans="19:38">
      <c r="Y128">
        <v>29.46</v>
      </c>
      <c r="Z128">
        <v>10</v>
      </c>
      <c r="AA128">
        <f>Y128*10</f>
        <v>294.60000000000002</v>
      </c>
      <c r="AG128" s="34">
        <f>AG109</f>
        <v>29.881</v>
      </c>
      <c r="AH128">
        <v>10</v>
      </c>
      <c r="AI128">
        <f>AG128*10</f>
        <v>298.81</v>
      </c>
    </row>
    <row r="129" spans="25:36">
      <c r="Z129">
        <f>Z127+Z128</f>
        <v>12</v>
      </c>
      <c r="AA129">
        <f>AA127+AA128</f>
        <v>353.70000000000005</v>
      </c>
      <c r="AB129">
        <f>AA129/Z129</f>
        <v>29.475000000000005</v>
      </c>
      <c r="AH129">
        <f>AH127+AH128</f>
        <v>12</v>
      </c>
      <c r="AI129">
        <f>AI127+AI128</f>
        <v>358.73926</v>
      </c>
      <c r="AJ129">
        <f>AI129/AH129</f>
        <v>29.894938333333332</v>
      </c>
    </row>
    <row r="130" spans="25:36">
      <c r="Y130" s="35">
        <f>AC81</f>
        <v>23.272749999999998</v>
      </c>
      <c r="Z130">
        <v>2</v>
      </c>
      <c r="AA130">
        <f>Y130*Z130</f>
        <v>46.545499999999997</v>
      </c>
      <c r="AG130" s="35">
        <f>AG85</f>
        <v>14.58</v>
      </c>
      <c r="AH130">
        <v>2</v>
      </c>
      <c r="AI130">
        <f>AG130*AH130</f>
        <v>29.16</v>
      </c>
    </row>
    <row r="131" spans="25:36">
      <c r="Y131" s="34">
        <f>AC109</f>
        <v>23.207799999999999</v>
      </c>
      <c r="Z131">
        <v>10</v>
      </c>
      <c r="AA131">
        <f>Y131*10</f>
        <v>232.07799999999997</v>
      </c>
      <c r="AG131">
        <f>AG113</f>
        <v>14.26</v>
      </c>
      <c r="AH131">
        <v>10</v>
      </c>
      <c r="AI131">
        <f>AG131*10</f>
        <v>142.6</v>
      </c>
    </row>
    <row r="132" spans="25:36">
      <c r="Z132">
        <f>Z130+Z131</f>
        <v>12</v>
      </c>
      <c r="AA132">
        <f>AA130+AA131</f>
        <v>278.62349999999998</v>
      </c>
      <c r="AB132">
        <f>AA132/Z132</f>
        <v>23.218624999999999</v>
      </c>
      <c r="AH132">
        <f>AH130+AH131</f>
        <v>12</v>
      </c>
      <c r="AI132">
        <f>AI130+AI131</f>
        <v>171.76</v>
      </c>
      <c r="AJ132">
        <f>AI132/AH132</f>
        <v>14.313333333333333</v>
      </c>
    </row>
    <row r="133" spans="25:36">
      <c r="Y133" s="35">
        <f>AC85</f>
        <v>16.48</v>
      </c>
      <c r="Z133">
        <v>2</v>
      </c>
      <c r="AA133">
        <f>Y133*Z133</f>
        <v>32.96</v>
      </c>
      <c r="AG133" s="35">
        <f>AG96</f>
        <v>43.279510000000002</v>
      </c>
      <c r="AH133">
        <v>2</v>
      </c>
      <c r="AI133">
        <f>AG133*AH133</f>
        <v>86.559020000000004</v>
      </c>
    </row>
    <row r="134" spans="25:36">
      <c r="Y134" s="34">
        <f>AC113</f>
        <v>16.399999999999999</v>
      </c>
      <c r="Z134">
        <v>10</v>
      </c>
      <c r="AA134">
        <f>Y134*10</f>
        <v>164</v>
      </c>
      <c r="AG134" s="34">
        <f>AG124</f>
        <v>40.410400000000003</v>
      </c>
      <c r="AH134">
        <v>10</v>
      </c>
      <c r="AI134">
        <f>AG134*10</f>
        <v>404.10400000000004</v>
      </c>
    </row>
    <row r="135" spans="25:36">
      <c r="Z135">
        <f>Z133+Z134</f>
        <v>12</v>
      </c>
      <c r="AA135">
        <f>AA133+AA134</f>
        <v>196.96</v>
      </c>
      <c r="AB135">
        <f>AA135/Z135</f>
        <v>16.413333333333334</v>
      </c>
      <c r="AH135">
        <f>AH133+AH134</f>
        <v>12</v>
      </c>
      <c r="AI135">
        <f>AI133+AI134</f>
        <v>490.66302000000007</v>
      </c>
      <c r="AJ135">
        <f>AI135/AH135</f>
        <v>40.888585000000006</v>
      </c>
    </row>
    <row r="136" spans="25:36">
      <c r="Y136" s="35">
        <f>AC89</f>
        <v>19.392119999999998</v>
      </c>
      <c r="Z136">
        <v>2</v>
      </c>
      <c r="AA136">
        <f>Y136*Z136</f>
        <v>38.784239999999997</v>
      </c>
      <c r="AG136" s="35">
        <f>AG89</f>
        <v>10.87017</v>
      </c>
      <c r="AH136">
        <v>2</v>
      </c>
      <c r="AI136">
        <f>AG136*AH136</f>
        <v>21.74034</v>
      </c>
    </row>
    <row r="137" spans="25:36">
      <c r="Y137" s="34">
        <f>AC117</f>
        <v>19.337972525044805</v>
      </c>
      <c r="Z137">
        <v>10</v>
      </c>
      <c r="AA137">
        <f>Y137*10</f>
        <v>193.37972525044805</v>
      </c>
      <c r="AG137" s="34">
        <f>AG117</f>
        <v>10.839818595619199</v>
      </c>
      <c r="AH137">
        <v>10</v>
      </c>
      <c r="AI137">
        <f>AG137*10</f>
        <v>108.39818595619199</v>
      </c>
    </row>
    <row r="138" spans="25:36">
      <c r="Z138">
        <f>Z136+Z137</f>
        <v>12</v>
      </c>
      <c r="AA138">
        <f>AA136+AA137</f>
        <v>232.16396525044803</v>
      </c>
      <c r="AB138">
        <f>AA138/Z138</f>
        <v>19.346997104204004</v>
      </c>
      <c r="AH138">
        <f>AH136+AH137</f>
        <v>12</v>
      </c>
      <c r="AI138">
        <f>AI136+AI137</f>
        <v>130.13852595619198</v>
      </c>
      <c r="AJ138">
        <f>AI138/AH138</f>
        <v>10.844877163015999</v>
      </c>
    </row>
    <row r="139" spans="25:36">
      <c r="Y139" s="34">
        <f>AC91</f>
        <v>29.96463</v>
      </c>
      <c r="Z139">
        <v>2</v>
      </c>
      <c r="AA139">
        <f>Y139*Z139</f>
        <v>59.929259999999999</v>
      </c>
    </row>
    <row r="140" spans="25:36">
      <c r="Y140" s="34">
        <f>AC119</f>
        <v>29.880960388329601</v>
      </c>
      <c r="Z140">
        <v>10</v>
      </c>
      <c r="AA140">
        <f>Y140*10</f>
        <v>298.80960388329601</v>
      </c>
    </row>
    <row r="141" spans="25:36">
      <c r="Z141">
        <f>Z139+Z140</f>
        <v>12</v>
      </c>
      <c r="AA141">
        <f>AA139+AA140</f>
        <v>358.73886388329601</v>
      </c>
      <c r="AB141">
        <f>AA141/Z141</f>
        <v>29.894905323608</v>
      </c>
    </row>
  </sheetData>
  <mergeCells count="6">
    <mergeCell ref="G6:I6"/>
    <mergeCell ref="J6:N6"/>
    <mergeCell ref="P6:R6"/>
    <mergeCell ref="A1:R1"/>
    <mergeCell ref="A2:R2"/>
    <mergeCell ref="A3:R3"/>
  </mergeCells>
  <phoneticPr fontId="10" type="noConversion"/>
  <pageMargins left="0.25" right="0.25" top="0.5" bottom="0.5" header="0.3" footer="0.3"/>
  <pageSetup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I194"/>
  <sheetViews>
    <sheetView workbookViewId="0">
      <selection activeCell="E32" sqref="E32"/>
    </sheetView>
  </sheetViews>
  <sheetFormatPr defaultRowHeight="12.75"/>
  <cols>
    <col min="1" max="1" width="5.7109375" bestFit="1" customWidth="1"/>
    <col min="2" max="2" width="40.85546875" bestFit="1" customWidth="1"/>
    <col min="3" max="3" width="17.85546875" customWidth="1"/>
    <col min="4" max="4" width="12.85546875" bestFit="1" customWidth="1"/>
    <col min="5" max="5" width="13.5703125" bestFit="1" customWidth="1"/>
    <col min="6" max="6" width="16.140625" bestFit="1" customWidth="1"/>
    <col min="7" max="7" width="15.140625" customWidth="1"/>
    <col min="8" max="8" width="14.28515625" bestFit="1" customWidth="1"/>
    <col min="9" max="9" width="17.140625" bestFit="1" customWidth="1"/>
    <col min="10" max="10" width="16" customWidth="1"/>
    <col min="11" max="11" width="17.7109375" bestFit="1" customWidth="1"/>
    <col min="12" max="12" width="16.5703125" customWidth="1"/>
    <col min="13" max="13" width="17.7109375" customWidth="1"/>
    <col min="14" max="14" width="17.28515625" customWidth="1"/>
    <col min="15" max="16" width="18.7109375" customWidth="1"/>
    <col min="17" max="17" width="14.85546875" bestFit="1" customWidth="1"/>
    <col min="18" max="18" width="18.28515625" bestFit="1" customWidth="1"/>
    <col min="19" max="19" width="16.85546875" bestFit="1" customWidth="1"/>
    <col min="20" max="20" width="18.7109375" customWidth="1"/>
    <col min="21" max="21" width="17.28515625" bestFit="1" customWidth="1"/>
    <col min="22" max="22" width="20.7109375" bestFit="1" customWidth="1"/>
    <col min="23" max="23" width="12.7109375" bestFit="1" customWidth="1"/>
    <col min="24" max="24" width="10.42578125" bestFit="1" customWidth="1"/>
    <col min="25" max="25" width="15.140625" bestFit="1" customWidth="1"/>
    <col min="26" max="26" width="13.7109375" bestFit="1" customWidth="1"/>
    <col min="27" max="27" width="13.140625" bestFit="1" customWidth="1"/>
    <col min="28" max="28" width="16.28515625" customWidth="1"/>
  </cols>
  <sheetData>
    <row r="1" spans="1:15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5">
      <c r="A2" s="497" t="s">
        <v>1165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5">
      <c r="A3" s="497" t="s">
        <v>1166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4" spans="1:15">
      <c r="A4" s="497" t="s">
        <v>1125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5">
      <c r="A5" s="156"/>
      <c r="B5" s="177" t="s">
        <v>1</v>
      </c>
      <c r="C5" s="177" t="s">
        <v>2</v>
      </c>
      <c r="D5" s="177" t="s">
        <v>3</v>
      </c>
      <c r="E5" s="177" t="s">
        <v>4</v>
      </c>
      <c r="F5" s="177" t="s">
        <v>5</v>
      </c>
      <c r="G5" s="177" t="s">
        <v>6</v>
      </c>
      <c r="H5" s="177" t="s">
        <v>28</v>
      </c>
      <c r="I5" s="177" t="s">
        <v>7</v>
      </c>
      <c r="J5" s="177" t="s">
        <v>29</v>
      </c>
      <c r="K5" s="177" t="s">
        <v>50</v>
      </c>
    </row>
    <row r="6" spans="1:15">
      <c r="A6" s="155"/>
      <c r="B6" s="155"/>
      <c r="C6" s="155"/>
      <c r="D6" s="155"/>
      <c r="E6" s="155"/>
      <c r="F6" s="156" t="s">
        <v>211</v>
      </c>
      <c r="G6" s="155"/>
      <c r="H6" s="155"/>
      <c r="I6" s="155"/>
      <c r="J6" s="155"/>
      <c r="K6" s="155"/>
    </row>
    <row r="7" spans="1:15">
      <c r="A7" s="177" t="s">
        <v>35</v>
      </c>
      <c r="B7" s="155"/>
      <c r="C7" s="155"/>
      <c r="D7" s="155"/>
      <c r="E7" s="155"/>
      <c r="F7" s="177" t="s">
        <v>210</v>
      </c>
      <c r="G7" s="155"/>
      <c r="H7" s="155"/>
      <c r="I7" s="155"/>
      <c r="J7" s="155"/>
      <c r="K7" s="155"/>
    </row>
    <row r="8" spans="1:15">
      <c r="A8" s="177" t="s">
        <v>36</v>
      </c>
      <c r="B8" s="161"/>
      <c r="C8" s="155"/>
      <c r="D8" s="155"/>
      <c r="E8" s="161"/>
      <c r="F8" s="177" t="s">
        <v>37</v>
      </c>
      <c r="G8" s="155"/>
      <c r="H8" s="155"/>
      <c r="I8" s="155"/>
      <c r="J8" s="155"/>
      <c r="K8" s="155"/>
    </row>
    <row r="9" spans="1:15">
      <c r="A9" s="161"/>
      <c r="B9" s="161"/>
      <c r="C9" s="489" t="s">
        <v>123</v>
      </c>
      <c r="D9" s="489"/>
      <c r="E9" s="489"/>
      <c r="F9" s="178" t="s">
        <v>40</v>
      </c>
      <c r="G9" s="278" t="s">
        <v>26</v>
      </c>
      <c r="H9" s="278"/>
      <c r="I9" s="278"/>
      <c r="J9" s="278" t="s">
        <v>200</v>
      </c>
      <c r="K9" s="278"/>
    </row>
    <row r="10" spans="1:15">
      <c r="A10" s="156">
        <v>1</v>
      </c>
      <c r="B10" s="155"/>
      <c r="C10" s="155"/>
      <c r="D10" s="155"/>
      <c r="E10" s="155"/>
      <c r="F10" s="179"/>
      <c r="G10" s="155"/>
      <c r="H10" s="155"/>
      <c r="I10" s="155"/>
      <c r="J10" s="155"/>
      <c r="K10" s="155"/>
    </row>
    <row r="11" spans="1:15" ht="13.5" thickBot="1">
      <c r="A11" s="156">
        <f>A10+1</f>
        <v>2</v>
      </c>
      <c r="B11" s="155" t="s">
        <v>54</v>
      </c>
      <c r="C11" s="238">
        <f>D90</f>
        <v>2563237</v>
      </c>
      <c r="D11" s="256">
        <v>13.805</v>
      </c>
      <c r="E11" s="161">
        <f>C11*D11</f>
        <v>35385486.784999996</v>
      </c>
      <c r="M11" s="29"/>
      <c r="N11" s="29"/>
      <c r="O11" s="29"/>
    </row>
    <row r="12" spans="1:15" ht="13.5" thickTop="1">
      <c r="A12" s="156">
        <f t="shared" ref="A12:A27" si="0">A11+1</f>
        <v>3</v>
      </c>
      <c r="B12" s="155" t="s">
        <v>61</v>
      </c>
      <c r="C12" s="158">
        <v>0</v>
      </c>
      <c r="D12" s="256">
        <v>13.805</v>
      </c>
      <c r="E12" s="161">
        <f>C12*D12</f>
        <v>0</v>
      </c>
    </row>
    <row r="13" spans="1:15" ht="13.5" thickBot="1">
      <c r="A13" s="156">
        <f t="shared" si="0"/>
        <v>4</v>
      </c>
      <c r="B13" s="155" t="s">
        <v>196</v>
      </c>
      <c r="C13" s="279">
        <f>F90+F126</f>
        <v>1107277420</v>
      </c>
      <c r="D13" s="155">
        <v>4.4999999999999998E-2</v>
      </c>
      <c r="E13" s="161">
        <f>C13*D13</f>
        <v>49827483.899999999</v>
      </c>
      <c r="N13" s="29"/>
      <c r="O13" s="29"/>
    </row>
    <row r="14" spans="1:15" ht="13.5" thickTop="1">
      <c r="A14" s="156">
        <f t="shared" si="0"/>
        <v>5</v>
      </c>
      <c r="B14" s="155"/>
      <c r="C14" s="280"/>
      <c r="D14" s="239"/>
      <c r="E14" s="368">
        <f>(E13+E11)/C13</f>
        <v>7.6957200739269122E-2</v>
      </c>
      <c r="N14" s="29"/>
      <c r="O14" s="29"/>
    </row>
    <row r="15" spans="1:15">
      <c r="A15" s="156">
        <f t="shared" si="0"/>
        <v>6</v>
      </c>
      <c r="B15" s="155" t="s">
        <v>350</v>
      </c>
      <c r="C15" s="251"/>
      <c r="D15" s="239"/>
      <c r="E15" s="230"/>
      <c r="F15" s="230"/>
      <c r="N15" s="29"/>
      <c r="O15" s="29"/>
    </row>
    <row r="16" spans="1:15">
      <c r="A16" s="156">
        <f t="shared" si="0"/>
        <v>7</v>
      </c>
      <c r="B16" s="170" t="s">
        <v>351</v>
      </c>
      <c r="C16" s="251"/>
      <c r="D16" s="225">
        <f>E16/$C$13</f>
        <v>1.9116820669927505E-2</v>
      </c>
      <c r="E16" s="230">
        <f>L90+L126</f>
        <v>21167623.870000001</v>
      </c>
      <c r="F16" s="155"/>
      <c r="N16" s="29"/>
      <c r="O16" s="29"/>
    </row>
    <row r="17" spans="1:15">
      <c r="A17" s="156">
        <f t="shared" si="0"/>
        <v>8</v>
      </c>
      <c r="B17" s="170" t="s">
        <v>352</v>
      </c>
      <c r="C17" s="251"/>
      <c r="D17" s="225">
        <f t="shared" ref="D17:D22" si="1">E17/$C$13</f>
        <v>5.1016224100370444E-3</v>
      </c>
      <c r="E17" s="230">
        <f>M90+M126</f>
        <v>5648911.3000000007</v>
      </c>
      <c r="F17" s="155"/>
      <c r="N17" s="29"/>
      <c r="O17" s="29"/>
    </row>
    <row r="18" spans="1:15">
      <c r="A18" s="156">
        <f t="shared" si="0"/>
        <v>9</v>
      </c>
      <c r="B18" s="170" t="s">
        <v>353</v>
      </c>
      <c r="C18" s="251"/>
      <c r="D18" s="225">
        <f t="shared" si="1"/>
        <v>0</v>
      </c>
      <c r="E18" s="230">
        <v>0</v>
      </c>
      <c r="F18" s="155"/>
      <c r="N18" s="29"/>
      <c r="O18" s="29"/>
    </row>
    <row r="19" spans="1:15">
      <c r="A19" s="156">
        <f t="shared" si="0"/>
        <v>10</v>
      </c>
      <c r="B19" s="170" t="s">
        <v>355</v>
      </c>
      <c r="C19" s="251"/>
      <c r="D19" s="225">
        <f t="shared" si="1"/>
        <v>-6.1305093171682302E-3</v>
      </c>
      <c r="E19" s="230">
        <f>P90+P126</f>
        <v>-6788174.54</v>
      </c>
      <c r="F19" s="155"/>
      <c r="N19" s="29"/>
      <c r="O19" s="29"/>
    </row>
    <row r="20" spans="1:15">
      <c r="A20" s="156">
        <f t="shared" si="0"/>
        <v>11</v>
      </c>
      <c r="B20" s="170" t="s">
        <v>356</v>
      </c>
      <c r="C20" s="251"/>
      <c r="D20" s="225">
        <f t="shared" si="1"/>
        <v>0</v>
      </c>
      <c r="E20" s="230">
        <v>0</v>
      </c>
      <c r="F20" s="155"/>
      <c r="N20" s="29"/>
      <c r="O20" s="29"/>
    </row>
    <row r="21" spans="1:15">
      <c r="A21" s="156">
        <f t="shared" si="0"/>
        <v>12</v>
      </c>
      <c r="B21" s="170" t="s">
        <v>354</v>
      </c>
      <c r="C21" s="251"/>
      <c r="D21" s="242">
        <f t="shared" si="1"/>
        <v>4.1943169490442607E-3</v>
      </c>
      <c r="E21" s="172">
        <f>N90+N126</f>
        <v>4644272.45</v>
      </c>
      <c r="F21" s="155"/>
      <c r="N21" s="29"/>
      <c r="O21" s="29"/>
    </row>
    <row r="22" spans="1:15">
      <c r="A22" s="156">
        <f t="shared" si="0"/>
        <v>13</v>
      </c>
      <c r="B22" s="155" t="s">
        <v>405</v>
      </c>
      <c r="C22" s="216">
        <f>C13</f>
        <v>1107277420</v>
      </c>
      <c r="D22" s="239">
        <f t="shared" si="1"/>
        <v>2.228225071184058E-2</v>
      </c>
      <c r="E22" s="161">
        <f>SUM(E16:E21)</f>
        <v>24672633.080000002</v>
      </c>
      <c r="F22" s="155"/>
      <c r="N22" s="29"/>
      <c r="O22" s="29"/>
    </row>
    <row r="23" spans="1:15">
      <c r="A23" s="156">
        <f t="shared" si="0"/>
        <v>14</v>
      </c>
      <c r="B23" s="155"/>
      <c r="C23" s="216"/>
      <c r="D23" s="227"/>
      <c r="E23" s="161"/>
      <c r="F23" s="158"/>
      <c r="N23" s="29"/>
      <c r="O23" s="29"/>
    </row>
    <row r="24" spans="1:15">
      <c r="A24" s="156">
        <f t="shared" si="0"/>
        <v>15</v>
      </c>
      <c r="B24" s="170" t="s">
        <v>1140</v>
      </c>
      <c r="C24" s="216"/>
      <c r="D24" s="227"/>
      <c r="E24" s="161">
        <f>-J129</f>
        <v>-8.514999999993961</v>
      </c>
      <c r="F24" s="158"/>
      <c r="N24" s="29"/>
      <c r="O24" s="29"/>
    </row>
    <row r="25" spans="1:15">
      <c r="A25" s="156">
        <f t="shared" si="0"/>
        <v>16</v>
      </c>
      <c r="B25" s="155"/>
      <c r="C25" s="216"/>
      <c r="D25" s="227"/>
      <c r="E25" s="161"/>
      <c r="F25" s="158"/>
      <c r="N25" s="29"/>
      <c r="O25" s="29"/>
    </row>
    <row r="26" spans="1:15">
      <c r="A26" s="156">
        <f t="shared" si="0"/>
        <v>17</v>
      </c>
      <c r="B26" s="155" t="s">
        <v>32</v>
      </c>
      <c r="C26" s="155"/>
      <c r="D26" s="155"/>
      <c r="E26" s="161">
        <f>SUM(E11:E14)+E22+E24</f>
        <v>109885595.3269572</v>
      </c>
      <c r="F26" s="161"/>
    </row>
    <row r="27" spans="1:15">
      <c r="A27" s="156">
        <f t="shared" si="0"/>
        <v>18</v>
      </c>
      <c r="B27" s="155" t="s">
        <v>1147</v>
      </c>
      <c r="C27" s="159">
        <f>N148</f>
        <v>2259097</v>
      </c>
      <c r="D27" s="258">
        <f>E27/C27</f>
        <v>7.6524757458400414E-2</v>
      </c>
      <c r="E27" s="161">
        <f>-T92-E28-E29-E30-E31</f>
        <v>172876.85</v>
      </c>
      <c r="F27" s="161"/>
      <c r="N27" s="29"/>
      <c r="O27" s="29"/>
    </row>
    <row r="28" spans="1:15">
      <c r="A28" s="156">
        <f>A27+1</f>
        <v>19</v>
      </c>
      <c r="B28" s="170" t="s">
        <v>351</v>
      </c>
      <c r="C28" s="251"/>
      <c r="D28" s="258">
        <f>E28/$C$27</f>
        <v>2.0902426943154719E-2</v>
      </c>
      <c r="E28" s="161">
        <f>F175</f>
        <v>47220.609999999993</v>
      </c>
      <c r="F28" s="161"/>
      <c r="N28" s="29"/>
      <c r="O28" s="29"/>
    </row>
    <row r="29" spans="1:15">
      <c r="A29" s="156">
        <f t="shared" ref="A29:A92" si="2">A28+1</f>
        <v>20</v>
      </c>
      <c r="B29" s="170" t="s">
        <v>352</v>
      </c>
      <c r="C29" s="251"/>
      <c r="D29" s="258">
        <f t="shared" ref="D29:D31" si="3">E29/$C$27</f>
        <v>5.5042125238535591E-3</v>
      </c>
      <c r="E29" s="161">
        <f>J175</f>
        <v>12434.550000000003</v>
      </c>
      <c r="F29" s="161"/>
      <c r="N29" s="29"/>
      <c r="O29" s="29"/>
    </row>
    <row r="30" spans="1:15">
      <c r="A30" s="156">
        <f t="shared" si="2"/>
        <v>21</v>
      </c>
      <c r="B30" s="170" t="s">
        <v>355</v>
      </c>
      <c r="C30" s="251"/>
      <c r="D30" s="258">
        <f t="shared" si="3"/>
        <v>-6.7673588163766315E-3</v>
      </c>
      <c r="E30" s="161">
        <f>R175</f>
        <v>-15288.119999999999</v>
      </c>
      <c r="F30" s="161"/>
      <c r="N30" s="29"/>
      <c r="O30" s="29"/>
    </row>
    <row r="31" spans="1:15">
      <c r="A31" s="156">
        <f t="shared" si="2"/>
        <v>22</v>
      </c>
      <c r="B31" s="170" t="s">
        <v>354</v>
      </c>
      <c r="C31" s="251"/>
      <c r="D31" s="258">
        <f t="shared" si="3"/>
        <v>4.0607065566463053E-3</v>
      </c>
      <c r="E31" s="161">
        <f>N175</f>
        <v>9173.5299999999988</v>
      </c>
      <c r="F31" s="161">
        <f>E27+E28+E29+E30+E31</f>
        <v>226417.42</v>
      </c>
      <c r="N31" s="29"/>
      <c r="O31" s="29"/>
    </row>
    <row r="32" spans="1:15" ht="13.5" thickBot="1">
      <c r="A32" s="156">
        <f t="shared" si="2"/>
        <v>23</v>
      </c>
      <c r="B32" s="155" t="s">
        <v>209</v>
      </c>
      <c r="C32" s="238">
        <f>C13-C27</f>
        <v>1105018323</v>
      </c>
      <c r="D32" s="155"/>
      <c r="E32" s="231">
        <f>E26-E27-E28-E29-E30-E31</f>
        <v>109659177.90695721</v>
      </c>
      <c r="F32" s="161"/>
    </row>
    <row r="33" spans="1:15" ht="13.5" thickTop="1">
      <c r="A33" s="156">
        <f t="shared" si="2"/>
        <v>24</v>
      </c>
      <c r="B33" s="155"/>
      <c r="C33" s="155"/>
      <c r="D33" s="155"/>
      <c r="E33" s="161"/>
      <c r="F33" s="161"/>
      <c r="G33" s="258"/>
      <c r="H33" s="155"/>
      <c r="I33" s="155"/>
    </row>
    <row r="34" spans="1:15">
      <c r="A34" s="156">
        <f t="shared" si="2"/>
        <v>25</v>
      </c>
      <c r="B34" s="169"/>
      <c r="C34" s="155"/>
      <c r="D34" s="155"/>
      <c r="E34" s="155"/>
      <c r="F34" s="155"/>
      <c r="G34" s="281"/>
      <c r="H34" s="161"/>
      <c r="N34" s="29"/>
      <c r="O34" s="29"/>
    </row>
    <row r="35" spans="1:15">
      <c r="A35" s="156">
        <f t="shared" si="2"/>
        <v>26</v>
      </c>
      <c r="B35" s="155"/>
      <c r="C35" s="164"/>
      <c r="D35" s="155"/>
      <c r="E35" s="155"/>
      <c r="M35" s="29"/>
      <c r="N35" s="29"/>
      <c r="O35" s="29"/>
    </row>
    <row r="36" spans="1:15">
      <c r="A36" s="156">
        <f t="shared" si="2"/>
        <v>27</v>
      </c>
      <c r="B36" s="169"/>
      <c r="C36" s="155"/>
      <c r="D36" s="155"/>
      <c r="E36" s="155"/>
      <c r="M36" s="29"/>
      <c r="N36" s="29"/>
      <c r="O36" s="29"/>
    </row>
    <row r="37" spans="1:15">
      <c r="A37" s="156">
        <f t="shared" si="2"/>
        <v>28</v>
      </c>
      <c r="B37" s="155"/>
      <c r="C37" s="158"/>
      <c r="D37" s="155"/>
      <c r="E37" s="155"/>
      <c r="F37" s="155" t="s">
        <v>281</v>
      </c>
      <c r="G37" s="155"/>
      <c r="H37" s="155"/>
      <c r="I37" s="155"/>
      <c r="J37" s="155"/>
      <c r="K37" s="155"/>
      <c r="M37" s="29"/>
    </row>
    <row r="38" spans="1:15">
      <c r="A38" s="156">
        <f t="shared" si="2"/>
        <v>29</v>
      </c>
      <c r="B38" s="155"/>
      <c r="C38" s="155"/>
      <c r="D38" s="155"/>
      <c r="E38" s="155"/>
      <c r="F38" s="155"/>
      <c r="G38" s="156" t="s">
        <v>208</v>
      </c>
      <c r="H38" s="155"/>
      <c r="I38" s="155" t="s">
        <v>326</v>
      </c>
      <c r="J38" s="155"/>
      <c r="K38" s="155"/>
    </row>
    <row r="39" spans="1:15">
      <c r="A39" s="156">
        <f t="shared" si="2"/>
        <v>30</v>
      </c>
      <c r="B39" s="155"/>
      <c r="C39" s="158"/>
      <c r="D39" s="155"/>
      <c r="E39" s="171"/>
      <c r="F39" s="155" t="s">
        <v>276</v>
      </c>
      <c r="G39" s="273">
        <f>D154</f>
        <v>0.12554755725067443</v>
      </c>
      <c r="H39" s="161">
        <f>-($H$27-$E$27)*G39</f>
        <v>21704.266222691258</v>
      </c>
      <c r="I39" s="158">
        <v>163</v>
      </c>
      <c r="J39" s="155"/>
      <c r="K39" s="161">
        <f>-($K$27-$H$27)*G39</f>
        <v>0</v>
      </c>
    </row>
    <row r="40" spans="1:15">
      <c r="A40" s="156">
        <f t="shared" si="2"/>
        <v>31</v>
      </c>
      <c r="F40" s="155" t="s">
        <v>277</v>
      </c>
      <c r="G40" s="273">
        <f t="shared" ref="G40:G43" si="4">D155</f>
        <v>0.29688740380488393</v>
      </c>
      <c r="H40" s="161">
        <f>-($H$27-$E$27)*G40</f>
        <v>51324.959174466348</v>
      </c>
      <c r="I40" s="158">
        <v>588</v>
      </c>
      <c r="J40" s="155"/>
      <c r="K40" s="161">
        <f>-($K$27-$H$27)*G40</f>
        <v>0</v>
      </c>
    </row>
    <row r="41" spans="1:15">
      <c r="A41" s="156">
        <f t="shared" si="2"/>
        <v>32</v>
      </c>
      <c r="F41" s="155" t="s">
        <v>278</v>
      </c>
      <c r="G41" s="273">
        <f t="shared" si="4"/>
        <v>1.4966101106531467E-2</v>
      </c>
      <c r="H41" s="161">
        <f>-($H$27-$E$27)*G41</f>
        <v>2587.2924160786743</v>
      </c>
      <c r="I41" s="158">
        <v>592</v>
      </c>
      <c r="J41" s="155"/>
      <c r="K41" s="161">
        <f>-($K$27-$H$27)*G41</f>
        <v>0</v>
      </c>
    </row>
    <row r="42" spans="1:15">
      <c r="A42" s="156">
        <f t="shared" si="2"/>
        <v>33</v>
      </c>
      <c r="F42" s="155" t="s">
        <v>279</v>
      </c>
      <c r="G42" s="273">
        <f t="shared" si="4"/>
        <v>4.2861498907637061E-2</v>
      </c>
      <c r="H42" s="161">
        <f>-($H$27-$E$27)*G42</f>
        <v>7409.7609174307363</v>
      </c>
      <c r="I42" s="158">
        <v>903</v>
      </c>
      <c r="J42" s="155"/>
      <c r="K42" s="161">
        <f>-($K$27-$H$27)*G42</f>
        <v>0</v>
      </c>
    </row>
    <row r="43" spans="1:15">
      <c r="A43" s="156">
        <f t="shared" si="2"/>
        <v>34</v>
      </c>
      <c r="F43" s="155" t="s">
        <v>280</v>
      </c>
      <c r="G43" s="273">
        <f t="shared" si="4"/>
        <v>0.51973743893027313</v>
      </c>
      <c r="H43" s="167">
        <f>-($H$27-$E$27)*G43</f>
        <v>89850.571269332999</v>
      </c>
      <c r="I43" s="251">
        <v>935</v>
      </c>
      <c r="J43" s="155"/>
      <c r="K43" s="167">
        <f>-($K$27-$H$27)*G43</f>
        <v>0</v>
      </c>
    </row>
    <row r="44" spans="1:15" ht="13.5" thickBot="1">
      <c r="A44" s="156">
        <f t="shared" si="2"/>
        <v>35</v>
      </c>
      <c r="F44" s="155"/>
      <c r="G44" s="282">
        <f>SUM(G39:G43)</f>
        <v>1</v>
      </c>
      <c r="H44" s="231">
        <f>SUM(H39:H43)</f>
        <v>172876.85000000003</v>
      </c>
      <c r="I44" s="161"/>
      <c r="J44" s="155"/>
      <c r="K44" s="231">
        <f>SUM(K39:K43)</f>
        <v>0</v>
      </c>
    </row>
    <row r="45" spans="1:15" ht="13.5" thickTop="1">
      <c r="A45" s="156">
        <f t="shared" si="2"/>
        <v>36</v>
      </c>
      <c r="F45" s="155"/>
      <c r="G45" s="155"/>
      <c r="H45" s="155" t="s">
        <v>283</v>
      </c>
      <c r="I45" s="155"/>
      <c r="J45" s="155"/>
      <c r="K45" s="155" t="s">
        <v>284</v>
      </c>
    </row>
    <row r="46" spans="1:15">
      <c r="A46" s="156">
        <f t="shared" si="2"/>
        <v>37</v>
      </c>
      <c r="F46" s="155"/>
      <c r="G46" s="155"/>
      <c r="H46" s="155" t="s">
        <v>282</v>
      </c>
      <c r="I46" s="155"/>
      <c r="J46" s="155"/>
      <c r="K46" s="155" t="s">
        <v>285</v>
      </c>
    </row>
    <row r="47" spans="1:15">
      <c r="A47" s="156">
        <f t="shared" si="2"/>
        <v>38</v>
      </c>
      <c r="F47" s="155"/>
    </row>
    <row r="48" spans="1:15">
      <c r="A48" s="156">
        <f t="shared" si="2"/>
        <v>39</v>
      </c>
      <c r="F48" s="155"/>
      <c r="G48" s="155"/>
      <c r="H48" s="155"/>
      <c r="I48" s="155"/>
      <c r="J48" s="155"/>
      <c r="K48" s="155"/>
    </row>
    <row r="49" spans="1:35">
      <c r="A49" s="156">
        <f t="shared" si="2"/>
        <v>40</v>
      </c>
      <c r="B49" s="1"/>
      <c r="C49" s="33"/>
    </row>
    <row r="50" spans="1:35">
      <c r="A50" s="156">
        <f t="shared" si="2"/>
        <v>41</v>
      </c>
      <c r="B50" s="1"/>
      <c r="C50" s="33"/>
    </row>
    <row r="51" spans="1:35">
      <c r="A51" s="156">
        <f t="shared" si="2"/>
        <v>42</v>
      </c>
      <c r="B51" s="1"/>
      <c r="C51" s="33"/>
    </row>
    <row r="52" spans="1:35">
      <c r="A52" s="156">
        <f t="shared" si="2"/>
        <v>43</v>
      </c>
      <c r="B52" s="1"/>
      <c r="C52" s="33"/>
    </row>
    <row r="53" spans="1:35" ht="15.75">
      <c r="A53" s="156">
        <f t="shared" si="2"/>
        <v>44</v>
      </c>
      <c r="B53" s="1"/>
      <c r="C53" s="140" t="s">
        <v>0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35" ht="15.75">
      <c r="A54" s="156">
        <f t="shared" si="2"/>
        <v>45</v>
      </c>
      <c r="B54" s="1"/>
      <c r="C54" s="140" t="s">
        <v>1167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35" ht="15.75">
      <c r="A55" s="156">
        <f t="shared" si="2"/>
        <v>46</v>
      </c>
      <c r="B55" s="1"/>
      <c r="C55" s="140" t="s">
        <v>576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95"/>
      <c r="T55" s="94"/>
      <c r="U55" s="94"/>
    </row>
    <row r="56" spans="1:35" ht="15.75">
      <c r="A56" s="156">
        <f t="shared" si="2"/>
        <v>47</v>
      </c>
      <c r="C56" s="140" t="s">
        <v>1126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95"/>
      <c r="T56" s="94"/>
      <c r="U56" s="94"/>
    </row>
    <row r="57" spans="1:35" ht="15">
      <c r="A57" s="156">
        <f t="shared" si="2"/>
        <v>48</v>
      </c>
      <c r="C57" s="96"/>
      <c r="D57" s="96"/>
      <c r="E57" s="96"/>
      <c r="F57" s="97"/>
      <c r="G57" s="98"/>
      <c r="H57" s="98"/>
      <c r="I57" s="97"/>
      <c r="J57" s="97"/>
      <c r="K57" s="97"/>
      <c r="L57" s="97"/>
      <c r="M57" s="97"/>
      <c r="N57" s="97"/>
      <c r="O57" s="99"/>
      <c r="P57" s="99"/>
      <c r="Q57" s="97"/>
      <c r="R57" s="99"/>
      <c r="S57" s="100"/>
      <c r="T57" s="98"/>
      <c r="U57" s="97"/>
    </row>
    <row r="58" spans="1:35" ht="15">
      <c r="A58" s="156">
        <f t="shared" si="2"/>
        <v>49</v>
      </c>
      <c r="C58" s="289" t="s">
        <v>1</v>
      </c>
      <c r="D58" s="289" t="s">
        <v>2</v>
      </c>
      <c r="E58" s="289" t="s">
        <v>3</v>
      </c>
      <c r="F58" s="289" t="s">
        <v>4</v>
      </c>
      <c r="G58" s="289" t="s">
        <v>5</v>
      </c>
      <c r="H58" s="289" t="s">
        <v>6</v>
      </c>
      <c r="I58" s="289" t="s">
        <v>28</v>
      </c>
      <c r="J58" s="289" t="s">
        <v>7</v>
      </c>
      <c r="K58" s="289" t="s">
        <v>29</v>
      </c>
      <c r="L58" s="289" t="s">
        <v>50</v>
      </c>
      <c r="M58" s="289" t="s">
        <v>30</v>
      </c>
      <c r="N58" s="289" t="s">
        <v>51</v>
      </c>
      <c r="O58" s="289" t="s">
        <v>52</v>
      </c>
      <c r="P58" s="289" t="s">
        <v>286</v>
      </c>
      <c r="Q58" s="289" t="s">
        <v>287</v>
      </c>
      <c r="R58" s="289" t="s">
        <v>286</v>
      </c>
      <c r="S58" s="101"/>
      <c r="T58" s="100"/>
      <c r="U58" s="98"/>
      <c r="V58" s="98"/>
      <c r="AG58" s="52"/>
    </row>
    <row r="59" spans="1:35" ht="15">
      <c r="A59" s="156">
        <f t="shared" si="2"/>
        <v>50</v>
      </c>
      <c r="D59" s="98"/>
      <c r="E59" s="98"/>
      <c r="F59" s="98"/>
      <c r="G59" s="98"/>
      <c r="H59" s="98"/>
      <c r="I59" s="102" t="s">
        <v>213</v>
      </c>
      <c r="J59" s="102"/>
      <c r="K59" s="102"/>
      <c r="L59" s="102"/>
      <c r="M59" s="101"/>
      <c r="N59" s="101"/>
      <c r="O59" s="101"/>
      <c r="P59" s="101"/>
      <c r="Q59" s="103" t="s">
        <v>345</v>
      </c>
      <c r="R59" s="98"/>
      <c r="S59" s="98"/>
      <c r="U59" s="102"/>
      <c r="V59" s="101"/>
      <c r="W59" s="101"/>
      <c r="X59" s="101"/>
      <c r="Y59" s="101"/>
      <c r="Z59" s="103" t="s">
        <v>345</v>
      </c>
      <c r="AA59" s="98"/>
      <c r="AG59" s="52"/>
    </row>
    <row r="60" spans="1:35" ht="15.75">
      <c r="A60" s="156">
        <f t="shared" si="2"/>
        <v>51</v>
      </c>
      <c r="C60" s="358" t="s">
        <v>213</v>
      </c>
      <c r="D60" s="359"/>
      <c r="E60" s="359"/>
      <c r="F60" s="359"/>
      <c r="G60" s="359"/>
      <c r="H60" s="359"/>
      <c r="I60" s="359"/>
      <c r="J60" s="359"/>
      <c r="K60" s="359"/>
      <c r="L60" s="359"/>
      <c r="M60" s="359"/>
      <c r="N60" s="99"/>
      <c r="O60" s="359"/>
      <c r="P60" s="101" t="s">
        <v>577</v>
      </c>
      <c r="Q60" s="99"/>
      <c r="R60" s="100"/>
      <c r="S60" s="359"/>
      <c r="T60" s="359"/>
      <c r="U60" s="359"/>
      <c r="V60" s="359"/>
      <c r="W60" s="99"/>
      <c r="X60" s="359"/>
      <c r="Y60" s="101" t="s">
        <v>577</v>
      </c>
      <c r="Z60" s="99"/>
      <c r="AA60" s="100"/>
      <c r="AG60" s="52"/>
      <c r="AI60" s="52"/>
    </row>
    <row r="61" spans="1:35" ht="15">
      <c r="A61" s="156">
        <f t="shared" si="2"/>
        <v>52</v>
      </c>
      <c r="C61" s="359"/>
      <c r="D61" s="359"/>
      <c r="E61" s="359"/>
      <c r="F61" s="359"/>
      <c r="G61" s="359"/>
      <c r="H61" s="359"/>
      <c r="I61" s="360" t="s">
        <v>213</v>
      </c>
      <c r="J61" s="360" t="s">
        <v>213</v>
      </c>
      <c r="K61" s="360" t="s">
        <v>578</v>
      </c>
      <c r="L61" s="360"/>
      <c r="M61" s="360"/>
      <c r="N61" s="101"/>
      <c r="O61" s="360"/>
      <c r="P61" s="101" t="s">
        <v>13</v>
      </c>
      <c r="Q61" s="103" t="s">
        <v>579</v>
      </c>
      <c r="R61" s="113"/>
      <c r="S61" s="359"/>
      <c r="T61" s="359"/>
      <c r="U61" s="360"/>
      <c r="V61" s="360"/>
      <c r="W61" s="101"/>
      <c r="X61" s="360"/>
      <c r="Y61" s="101" t="s">
        <v>13</v>
      </c>
      <c r="Z61" s="103" t="s">
        <v>579</v>
      </c>
      <c r="AA61" s="113"/>
      <c r="AG61" s="52"/>
      <c r="AI61" s="52"/>
    </row>
    <row r="62" spans="1:35" ht="15">
      <c r="A62" s="156">
        <f t="shared" si="2"/>
        <v>53</v>
      </c>
      <c r="C62" s="359"/>
      <c r="D62" s="360" t="s">
        <v>12</v>
      </c>
      <c r="E62" s="360" t="s">
        <v>218</v>
      </c>
      <c r="F62" s="359"/>
      <c r="G62" s="360" t="s">
        <v>12</v>
      </c>
      <c r="H62" s="360" t="s">
        <v>218</v>
      </c>
      <c r="I62" s="360" t="s">
        <v>219</v>
      </c>
      <c r="J62" s="360" t="s">
        <v>220</v>
      </c>
      <c r="K62" s="360" t="s">
        <v>580</v>
      </c>
      <c r="L62" s="360" t="s">
        <v>221</v>
      </c>
      <c r="M62" s="360" t="s">
        <v>222</v>
      </c>
      <c r="N62" s="101" t="s">
        <v>343</v>
      </c>
      <c r="O62" s="360" t="s">
        <v>581</v>
      </c>
      <c r="P62" s="101" t="s">
        <v>582</v>
      </c>
      <c r="Q62" s="103" t="s">
        <v>583</v>
      </c>
      <c r="R62" s="361" t="s">
        <v>369</v>
      </c>
      <c r="S62" s="359"/>
      <c r="T62" s="359"/>
      <c r="U62" s="360" t="s">
        <v>221</v>
      </c>
      <c r="V62" s="360" t="s">
        <v>222</v>
      </c>
      <c r="W62" s="101" t="s">
        <v>343</v>
      </c>
      <c r="X62" s="360" t="s">
        <v>581</v>
      </c>
      <c r="Y62" s="101" t="s">
        <v>582</v>
      </c>
      <c r="Z62" s="103" t="s">
        <v>583</v>
      </c>
      <c r="AA62" s="361" t="s">
        <v>369</v>
      </c>
    </row>
    <row r="63" spans="1:35" ht="15">
      <c r="A63" s="156">
        <f t="shared" si="2"/>
        <v>54</v>
      </c>
      <c r="C63" s="360" t="s">
        <v>214</v>
      </c>
      <c r="D63" s="360" t="s">
        <v>224</v>
      </c>
      <c r="E63" s="360" t="s">
        <v>224</v>
      </c>
      <c r="F63" s="360" t="s">
        <v>11</v>
      </c>
      <c r="G63" s="360" t="s">
        <v>225</v>
      </c>
      <c r="H63" s="360" t="s">
        <v>225</v>
      </c>
      <c r="I63" s="360" t="s">
        <v>224</v>
      </c>
      <c r="J63" s="360" t="s">
        <v>25</v>
      </c>
      <c r="K63" s="360" t="s">
        <v>220</v>
      </c>
      <c r="L63" s="360" t="s">
        <v>226</v>
      </c>
      <c r="M63" s="360" t="s">
        <v>227</v>
      </c>
      <c r="N63" s="101" t="s">
        <v>344</v>
      </c>
      <c r="O63" s="360" t="s">
        <v>226</v>
      </c>
      <c r="P63" s="101" t="s">
        <v>584</v>
      </c>
      <c r="Q63" s="103" t="s">
        <v>585</v>
      </c>
      <c r="R63" s="361" t="s">
        <v>374</v>
      </c>
      <c r="S63" s="359"/>
      <c r="T63" s="360" t="s">
        <v>108</v>
      </c>
      <c r="U63" s="360" t="s">
        <v>226</v>
      </c>
      <c r="V63" s="360" t="s">
        <v>227</v>
      </c>
      <c r="W63" s="101" t="s">
        <v>344</v>
      </c>
      <c r="X63" s="360" t="s">
        <v>226</v>
      </c>
      <c r="Y63" s="101" t="s">
        <v>584</v>
      </c>
      <c r="Z63" s="103" t="s">
        <v>585</v>
      </c>
      <c r="AA63" s="361" t="s">
        <v>374</v>
      </c>
    </row>
    <row r="64" spans="1:35" ht="15">
      <c r="A64" s="156">
        <f t="shared" si="2"/>
        <v>55</v>
      </c>
      <c r="C64" s="362" t="s">
        <v>229</v>
      </c>
      <c r="D64" s="362" t="s">
        <v>229</v>
      </c>
      <c r="E64" s="362" t="s">
        <v>229</v>
      </c>
      <c r="F64" s="362" t="s">
        <v>229</v>
      </c>
      <c r="G64" s="362" t="s">
        <v>229</v>
      </c>
      <c r="H64" s="362" t="s">
        <v>229</v>
      </c>
      <c r="I64" s="362" t="s">
        <v>229</v>
      </c>
      <c r="J64" s="362" t="s">
        <v>229</v>
      </c>
      <c r="K64" s="362" t="s">
        <v>229</v>
      </c>
      <c r="L64" s="362"/>
      <c r="M64" s="362"/>
      <c r="N64" s="105"/>
      <c r="O64" s="362"/>
      <c r="P64" s="105"/>
      <c r="Q64" s="105"/>
      <c r="R64" s="106" t="s">
        <v>229</v>
      </c>
      <c r="S64" s="359"/>
      <c r="T64" s="362" t="s">
        <v>229</v>
      </c>
      <c r="AG64" s="46"/>
      <c r="AH64" s="26"/>
    </row>
    <row r="65" spans="1:35" ht="15">
      <c r="A65" s="156">
        <f t="shared" si="2"/>
        <v>56</v>
      </c>
      <c r="C65" s="107" t="s">
        <v>213</v>
      </c>
      <c r="D65" s="107"/>
      <c r="E65" s="107"/>
      <c r="F65" s="359"/>
      <c r="G65" s="359"/>
      <c r="H65" s="359"/>
      <c r="I65" s="359"/>
      <c r="J65" s="359"/>
      <c r="K65" s="359"/>
      <c r="L65" s="359"/>
      <c r="M65" s="359"/>
      <c r="N65" s="99"/>
      <c r="O65" s="359"/>
      <c r="P65" s="99"/>
      <c r="Q65" s="99"/>
      <c r="R65" s="100"/>
      <c r="S65" s="359"/>
      <c r="T65" s="359"/>
      <c r="AG65" s="46"/>
    </row>
    <row r="66" spans="1:35" ht="15">
      <c r="A66" s="156">
        <f t="shared" si="2"/>
        <v>57</v>
      </c>
      <c r="C66" s="452" t="s">
        <v>1127</v>
      </c>
      <c r="D66" s="363">
        <v>188425</v>
      </c>
      <c r="E66" s="363">
        <v>188425</v>
      </c>
      <c r="F66" s="363">
        <v>82864704</v>
      </c>
      <c r="G66" s="108">
        <v>0.59109614075935069</v>
      </c>
      <c r="H66" s="108">
        <v>0.59109614075935069</v>
      </c>
      <c r="I66" s="364">
        <v>2601207.13</v>
      </c>
      <c r="J66" s="364">
        <v>3728911.68</v>
      </c>
      <c r="K66" s="364"/>
      <c r="L66" s="364">
        <v>1588847.83</v>
      </c>
      <c r="M66" s="364">
        <v>435512.82</v>
      </c>
      <c r="N66" s="365">
        <v>206581.71</v>
      </c>
      <c r="O66" s="364"/>
      <c r="P66" s="365">
        <v>-590592.36</v>
      </c>
      <c r="Q66" s="365"/>
      <c r="R66" s="100"/>
      <c r="S66" s="97"/>
      <c r="T66" s="98">
        <v>7970468.8100000015</v>
      </c>
      <c r="U66" s="207">
        <f>L66/$F66</f>
        <v>1.9173999945742884E-2</v>
      </c>
      <c r="V66" s="207">
        <f t="shared" ref="V66:AA66" si="5">M66/$F66</f>
        <v>5.2557095962111923E-3</v>
      </c>
      <c r="W66" s="207">
        <f t="shared" si="5"/>
        <v>2.4930000353347065E-3</v>
      </c>
      <c r="X66" s="207">
        <f t="shared" si="5"/>
        <v>0</v>
      </c>
      <c r="Y66" s="207">
        <f t="shared" si="5"/>
        <v>-7.1271884347767654E-3</v>
      </c>
      <c r="Z66" s="207">
        <f t="shared" si="5"/>
        <v>0</v>
      </c>
      <c r="AA66" s="207">
        <f t="shared" si="5"/>
        <v>0</v>
      </c>
      <c r="AG66" s="46"/>
      <c r="AH66" s="26"/>
      <c r="AI66" s="139"/>
    </row>
    <row r="67" spans="1:35" ht="15">
      <c r="A67" s="156">
        <f t="shared" si="2"/>
        <v>58</v>
      </c>
      <c r="C67" s="359"/>
      <c r="D67" s="363"/>
      <c r="E67" s="363"/>
      <c r="F67" s="363"/>
      <c r="G67" s="359"/>
      <c r="H67" s="359"/>
      <c r="I67" s="107"/>
      <c r="J67" s="107"/>
      <c r="K67" s="107"/>
      <c r="L67" s="107"/>
      <c r="M67" s="107"/>
      <c r="N67" s="365"/>
      <c r="O67" s="107"/>
      <c r="P67" s="365"/>
      <c r="Q67" s="365"/>
      <c r="R67" s="366"/>
      <c r="S67" s="107"/>
      <c r="T67" s="98" t="s">
        <v>213</v>
      </c>
      <c r="AG67" s="46"/>
    </row>
    <row r="68" spans="1:35" ht="15">
      <c r="A68" s="156">
        <f t="shared" si="2"/>
        <v>59</v>
      </c>
      <c r="C68" s="359" t="s">
        <v>589</v>
      </c>
      <c r="D68" s="363">
        <v>146137</v>
      </c>
      <c r="E68" s="363">
        <v>146137</v>
      </c>
      <c r="F68" s="363">
        <v>73168854</v>
      </c>
      <c r="G68" s="108">
        <v>0.69539821081131636</v>
      </c>
      <c r="H68" s="108">
        <v>0.69539821081131636</v>
      </c>
      <c r="I68" s="364">
        <v>2017421.28</v>
      </c>
      <c r="J68" s="364">
        <v>3292598.43</v>
      </c>
      <c r="K68" s="364"/>
      <c r="L68" s="364">
        <v>1114142.1399999999</v>
      </c>
      <c r="M68" s="364">
        <v>430310.6</v>
      </c>
      <c r="N68" s="365">
        <v>182409.95</v>
      </c>
      <c r="O68" s="364"/>
      <c r="P68" s="365">
        <v>-596048.75</v>
      </c>
      <c r="Q68" s="365"/>
      <c r="R68" s="100"/>
      <c r="S68" s="97"/>
      <c r="T68" s="98">
        <v>6440833.6499999994</v>
      </c>
      <c r="U68" s="207">
        <f t="shared" ref="U68:AA68" si="6">L68/$F68</f>
        <v>1.5227000001940716E-2</v>
      </c>
      <c r="V68" s="207">
        <f t="shared" si="6"/>
        <v>5.8810624531580062E-3</v>
      </c>
      <c r="W68" s="207">
        <f t="shared" si="6"/>
        <v>2.4929999586982736E-3</v>
      </c>
      <c r="X68" s="207">
        <f t="shared" si="6"/>
        <v>0</v>
      </c>
      <c r="Y68" s="207">
        <f t="shared" si="6"/>
        <v>-8.1462086313392312E-3</v>
      </c>
      <c r="Z68" s="207">
        <f t="shared" si="6"/>
        <v>0</v>
      </c>
      <c r="AA68" s="207">
        <f t="shared" si="6"/>
        <v>0</v>
      </c>
      <c r="AG68" s="46"/>
      <c r="AH68" s="26"/>
    </row>
    <row r="69" spans="1:35" ht="15">
      <c r="A69" s="156">
        <f t="shared" si="2"/>
        <v>60</v>
      </c>
      <c r="C69" s="359"/>
      <c r="D69" s="363"/>
      <c r="E69" s="363"/>
      <c r="F69" s="363"/>
      <c r="G69" s="108"/>
      <c r="H69" s="108"/>
      <c r="I69" s="364"/>
      <c r="J69" s="364"/>
      <c r="K69" s="364"/>
      <c r="L69" s="364"/>
      <c r="M69" s="364"/>
      <c r="N69" s="365"/>
      <c r="O69" s="364"/>
      <c r="P69" s="365"/>
      <c r="Q69" s="365"/>
      <c r="R69" s="366"/>
      <c r="S69" s="107"/>
      <c r="T69" s="98" t="s">
        <v>213</v>
      </c>
      <c r="AG69" s="46"/>
    </row>
    <row r="70" spans="1:35" ht="15">
      <c r="A70" s="156">
        <f t="shared" si="2"/>
        <v>61</v>
      </c>
      <c r="C70" s="359" t="s">
        <v>477</v>
      </c>
      <c r="D70" s="363">
        <v>203709</v>
      </c>
      <c r="E70" s="363">
        <v>203709</v>
      </c>
      <c r="F70" s="363">
        <v>83668503</v>
      </c>
      <c r="G70" s="108">
        <v>0.55205054917839003</v>
      </c>
      <c r="H70" s="108">
        <v>0.55205054917839003</v>
      </c>
      <c r="I70" s="364">
        <v>2812202.75</v>
      </c>
      <c r="J70" s="364">
        <v>3765082.63</v>
      </c>
      <c r="K70" s="364"/>
      <c r="L70" s="364">
        <v>1512140.85</v>
      </c>
      <c r="M70" s="364">
        <v>358229.57</v>
      </c>
      <c r="N70" s="365">
        <v>208585.58</v>
      </c>
      <c r="O70" s="364"/>
      <c r="P70" s="365">
        <v>-609562.18999999994</v>
      </c>
      <c r="Q70" s="365"/>
      <c r="R70" s="100"/>
      <c r="S70" s="97"/>
      <c r="T70" s="98">
        <v>8046679.1900000013</v>
      </c>
      <c r="U70" s="207">
        <f t="shared" ref="U70:AA70" si="7">L70/$F70</f>
        <v>1.8072999943598848E-2</v>
      </c>
      <c r="V70" s="207">
        <f t="shared" si="7"/>
        <v>4.2815343546901991E-3</v>
      </c>
      <c r="W70" s="207">
        <f t="shared" si="7"/>
        <v>2.4930000241548483E-3</v>
      </c>
      <c r="X70" s="207">
        <f t="shared" si="7"/>
        <v>0</v>
      </c>
      <c r="Y70" s="207">
        <f t="shared" si="7"/>
        <v>-7.2854439621084163E-3</v>
      </c>
      <c r="Z70" s="207">
        <f t="shared" si="7"/>
        <v>0</v>
      </c>
      <c r="AA70" s="207">
        <f t="shared" si="7"/>
        <v>0</v>
      </c>
      <c r="AG70" s="46"/>
      <c r="AH70" s="26"/>
    </row>
    <row r="71" spans="1:35" ht="15">
      <c r="A71" s="156">
        <f t="shared" si="2"/>
        <v>62</v>
      </c>
      <c r="C71" s="359"/>
      <c r="D71" s="363"/>
      <c r="E71" s="363"/>
      <c r="F71" s="363"/>
      <c r="G71" s="108"/>
      <c r="H71" s="108"/>
      <c r="I71" s="107"/>
      <c r="J71" s="107"/>
      <c r="K71" s="107"/>
      <c r="L71" s="107"/>
      <c r="M71" s="107"/>
      <c r="N71" s="365"/>
      <c r="O71" s="107"/>
      <c r="P71" s="365"/>
      <c r="Q71" s="365"/>
      <c r="R71" s="366"/>
      <c r="S71" s="107"/>
      <c r="T71" s="98" t="s">
        <v>213</v>
      </c>
      <c r="AG71" s="46"/>
    </row>
    <row r="72" spans="1:35" ht="15">
      <c r="A72" s="156">
        <f t="shared" si="2"/>
        <v>63</v>
      </c>
      <c r="C72" s="359" t="s">
        <v>590</v>
      </c>
      <c r="D72" s="363">
        <v>247198</v>
      </c>
      <c r="E72" s="363">
        <v>247198</v>
      </c>
      <c r="F72" s="363">
        <v>103496382</v>
      </c>
      <c r="G72" s="108">
        <v>0.58149732198480575</v>
      </c>
      <c r="H72" s="108">
        <v>0.58149732198480575</v>
      </c>
      <c r="I72" s="364">
        <v>3412568.39</v>
      </c>
      <c r="J72" s="364">
        <v>4657337.1900000004</v>
      </c>
      <c r="K72" s="364"/>
      <c r="L72" s="364">
        <v>641056.59</v>
      </c>
      <c r="M72" s="364">
        <v>572741.85</v>
      </c>
      <c r="N72" s="365">
        <v>258016.48</v>
      </c>
      <c r="O72" s="364"/>
      <c r="P72" s="365">
        <v>-610019.18999999994</v>
      </c>
      <c r="Q72" s="365"/>
      <c r="R72" s="100"/>
      <c r="S72" s="97"/>
      <c r="T72" s="98">
        <v>8931701.3100000005</v>
      </c>
      <c r="U72" s="207">
        <f t="shared" ref="U72:AA72" si="8">L72/$F72</f>
        <v>6.1939999989564848E-3</v>
      </c>
      <c r="V72" s="207">
        <f t="shared" si="8"/>
        <v>5.5339311281432041E-3</v>
      </c>
      <c r="W72" s="207">
        <f t="shared" si="8"/>
        <v>2.4929999968501316E-3</v>
      </c>
      <c r="X72" s="207">
        <f t="shared" si="8"/>
        <v>0</v>
      </c>
      <c r="Y72" s="207">
        <f t="shared" si="8"/>
        <v>-5.8941112550195225E-3</v>
      </c>
      <c r="Z72" s="207">
        <f t="shared" si="8"/>
        <v>0</v>
      </c>
      <c r="AA72" s="207">
        <f t="shared" si="8"/>
        <v>0</v>
      </c>
      <c r="AG72" s="46"/>
      <c r="AH72" s="26"/>
    </row>
    <row r="73" spans="1:35" ht="15">
      <c r="A73" s="156">
        <f t="shared" si="2"/>
        <v>64</v>
      </c>
      <c r="C73" s="359"/>
      <c r="D73" s="363"/>
      <c r="E73" s="363"/>
      <c r="F73" s="363"/>
      <c r="G73" s="359"/>
      <c r="H73" s="359"/>
      <c r="I73" s="107"/>
      <c r="J73" s="107"/>
      <c r="K73" s="107"/>
      <c r="L73" s="107"/>
      <c r="M73" s="107"/>
      <c r="N73" s="365"/>
      <c r="O73" s="107"/>
      <c r="P73" s="365"/>
      <c r="Q73" s="365"/>
      <c r="R73" s="366"/>
      <c r="S73" s="107"/>
      <c r="T73" s="98" t="s">
        <v>213</v>
      </c>
      <c r="AG73" s="46"/>
    </row>
    <row r="74" spans="1:35" ht="15">
      <c r="A74" s="156">
        <f t="shared" si="2"/>
        <v>65</v>
      </c>
      <c r="C74" s="359" t="s">
        <v>591</v>
      </c>
      <c r="D74" s="363">
        <v>262685</v>
      </c>
      <c r="E74" s="363">
        <v>262685</v>
      </c>
      <c r="F74" s="363">
        <v>119579288</v>
      </c>
      <c r="G74" s="108">
        <v>0.61185392946824368</v>
      </c>
      <c r="H74" s="108">
        <v>0.61185392946824368</v>
      </c>
      <c r="I74" s="364">
        <v>3626366.42</v>
      </c>
      <c r="J74" s="364">
        <v>5381067.96</v>
      </c>
      <c r="K74" s="364"/>
      <c r="L74" s="364">
        <v>2447309.71</v>
      </c>
      <c r="M74" s="364">
        <v>537169.42000000004</v>
      </c>
      <c r="N74" s="365">
        <v>298111.15999999997</v>
      </c>
      <c r="O74" s="364"/>
      <c r="P74" s="365">
        <v>-606907.13</v>
      </c>
      <c r="Q74" s="365"/>
      <c r="R74" s="100"/>
      <c r="S74" s="97"/>
      <c r="T74" s="98">
        <v>11683117.539999999</v>
      </c>
      <c r="U74" s="207">
        <f t="shared" ref="U74:AA74" si="9">L74/$F74</f>
        <v>2.0466000014985872E-2</v>
      </c>
      <c r="V74" s="207">
        <f t="shared" si="9"/>
        <v>4.4921610504989797E-3</v>
      </c>
      <c r="W74" s="207">
        <f t="shared" si="9"/>
        <v>2.4929999583205411E-3</v>
      </c>
      <c r="X74" s="207">
        <f t="shared" si="9"/>
        <v>0</v>
      </c>
      <c r="Y74" s="207">
        <f t="shared" si="9"/>
        <v>-5.075353266863405E-3</v>
      </c>
      <c r="Z74" s="207">
        <f t="shared" si="9"/>
        <v>0</v>
      </c>
      <c r="AA74" s="207">
        <f t="shared" si="9"/>
        <v>0</v>
      </c>
      <c r="AG74" s="46"/>
      <c r="AH74" s="26"/>
    </row>
    <row r="75" spans="1:35" ht="15">
      <c r="A75" s="156">
        <f t="shared" si="2"/>
        <v>66</v>
      </c>
      <c r="C75" s="359"/>
      <c r="D75" s="363"/>
      <c r="E75" s="363"/>
      <c r="F75" s="363"/>
      <c r="G75" s="359"/>
      <c r="H75" s="359"/>
      <c r="I75" s="107"/>
      <c r="J75" s="107"/>
      <c r="K75" s="107"/>
      <c r="L75" s="107"/>
      <c r="M75" s="107"/>
      <c r="N75" s="365"/>
      <c r="O75" s="107"/>
      <c r="P75" s="365"/>
      <c r="Q75" s="365"/>
      <c r="R75" s="366"/>
      <c r="S75" s="107"/>
      <c r="T75" s="98" t="s">
        <v>213</v>
      </c>
      <c r="AG75" s="46"/>
    </row>
    <row r="76" spans="1:35" ht="15">
      <c r="A76" s="156">
        <f t="shared" si="2"/>
        <v>67</v>
      </c>
      <c r="C76" s="359" t="s">
        <v>592</v>
      </c>
      <c r="D76" s="363">
        <v>240355</v>
      </c>
      <c r="E76" s="363">
        <v>240355</v>
      </c>
      <c r="F76" s="363">
        <v>110281803</v>
      </c>
      <c r="G76" s="108">
        <v>0.61670541423606617</v>
      </c>
      <c r="H76" s="108">
        <v>0.61670541423606617</v>
      </c>
      <c r="I76" s="364">
        <v>3318100.77</v>
      </c>
      <c r="J76" s="364">
        <v>4962681.13</v>
      </c>
      <c r="K76" s="364"/>
      <c r="L76" s="364">
        <v>2450130.8199999998</v>
      </c>
      <c r="M76" s="364">
        <v>522710.29</v>
      </c>
      <c r="N76" s="365">
        <v>274932.53000000003</v>
      </c>
      <c r="O76" s="364"/>
      <c r="P76" s="365">
        <v>-612117.18000000005</v>
      </c>
      <c r="Q76" s="365"/>
      <c r="R76" s="100"/>
      <c r="S76" s="97"/>
      <c r="T76" s="98">
        <v>10916438.359999999</v>
      </c>
      <c r="U76" s="207">
        <f t="shared" ref="U76:AA76" si="10">L76/$F76</f>
        <v>2.2217000024927047E-2</v>
      </c>
      <c r="V76" s="207">
        <f t="shared" si="10"/>
        <v>4.7397691711659811E-3</v>
      </c>
      <c r="W76" s="207">
        <f t="shared" si="10"/>
        <v>2.4929999557587938E-3</v>
      </c>
      <c r="X76" s="207">
        <f t="shared" si="10"/>
        <v>0</v>
      </c>
      <c r="Y76" s="207">
        <f t="shared" si="10"/>
        <v>-5.5504821588743892E-3</v>
      </c>
      <c r="Z76" s="207">
        <f t="shared" si="10"/>
        <v>0</v>
      </c>
      <c r="AA76" s="207">
        <f t="shared" si="10"/>
        <v>0</v>
      </c>
      <c r="AG76" s="46"/>
      <c r="AH76" s="26"/>
    </row>
    <row r="77" spans="1:35" ht="15">
      <c r="A77" s="156">
        <f t="shared" si="2"/>
        <v>68</v>
      </c>
      <c r="C77" s="359"/>
      <c r="D77" s="363"/>
      <c r="E77" s="363"/>
      <c r="F77" s="363"/>
      <c r="G77" s="108"/>
      <c r="H77" s="108"/>
      <c r="I77" s="107"/>
      <c r="J77" s="107"/>
      <c r="K77" s="107"/>
      <c r="L77" s="107"/>
      <c r="M77" s="107"/>
      <c r="N77" s="365"/>
      <c r="O77" s="107"/>
      <c r="P77" s="365"/>
      <c r="Q77" s="365"/>
      <c r="R77" s="366"/>
      <c r="S77" s="107"/>
      <c r="T77" s="98" t="s">
        <v>213</v>
      </c>
      <c r="AG77" s="46"/>
    </row>
    <row r="78" spans="1:35" ht="15">
      <c r="A78" s="156">
        <f t="shared" si="2"/>
        <v>69</v>
      </c>
      <c r="C78" s="359" t="s">
        <v>593</v>
      </c>
      <c r="D78" s="363">
        <v>243074</v>
      </c>
      <c r="E78" s="363">
        <v>243074</v>
      </c>
      <c r="F78" s="363">
        <v>89324297</v>
      </c>
      <c r="G78" s="108">
        <v>0.51038582329295235</v>
      </c>
      <c r="H78" s="108">
        <v>0.51038582329295235</v>
      </c>
      <c r="I78" s="364">
        <v>3355636.57</v>
      </c>
      <c r="J78" s="364">
        <v>4019593.36</v>
      </c>
      <c r="K78" s="364"/>
      <c r="L78" s="364">
        <v>3095980.13</v>
      </c>
      <c r="M78" s="364">
        <v>337291.33</v>
      </c>
      <c r="N78" s="365">
        <v>537642.93999999994</v>
      </c>
      <c r="O78" s="364"/>
      <c r="P78" s="365">
        <v>-614560.30000000005</v>
      </c>
      <c r="Q78" s="365"/>
      <c r="R78" s="100"/>
      <c r="S78" s="97"/>
      <c r="T78" s="98">
        <v>10731584.029999997</v>
      </c>
      <c r="U78" s="207">
        <f t="shared" ref="U78:AA78" si="11">L78/$F78</f>
        <v>3.4659999954995448E-2</v>
      </c>
      <c r="V78" s="207">
        <f t="shared" si="11"/>
        <v>3.776031173242819E-3</v>
      </c>
      <c r="W78" s="207">
        <f t="shared" si="11"/>
        <v>6.0189999592160232E-3</v>
      </c>
      <c r="X78" s="207">
        <f t="shared" si="11"/>
        <v>0</v>
      </c>
      <c r="Y78" s="207">
        <f t="shared" si="11"/>
        <v>-6.8801022861674473E-3</v>
      </c>
      <c r="Z78" s="207">
        <f t="shared" si="11"/>
        <v>0</v>
      </c>
      <c r="AA78" s="207">
        <f t="shared" si="11"/>
        <v>0</v>
      </c>
      <c r="AG78" s="46"/>
      <c r="AH78" s="26"/>
    </row>
    <row r="79" spans="1:35" ht="15">
      <c r="A79" s="156">
        <f t="shared" si="2"/>
        <v>70</v>
      </c>
      <c r="C79" s="359"/>
      <c r="D79" s="363"/>
      <c r="E79" s="363"/>
      <c r="F79" s="363"/>
      <c r="G79" s="359"/>
      <c r="H79" s="108"/>
      <c r="I79" s="107"/>
      <c r="J79" s="107"/>
      <c r="K79" s="107"/>
      <c r="L79" s="107"/>
      <c r="M79" s="107"/>
      <c r="N79" s="365"/>
      <c r="O79" s="107"/>
      <c r="P79" s="365"/>
      <c r="Q79" s="365"/>
      <c r="R79" s="366"/>
      <c r="S79" s="107"/>
      <c r="T79" s="98" t="s">
        <v>213</v>
      </c>
      <c r="AG79" s="46"/>
    </row>
    <row r="80" spans="1:35" ht="15">
      <c r="A80" s="156">
        <f t="shared" si="2"/>
        <v>71</v>
      </c>
      <c r="C80" s="359" t="s">
        <v>594</v>
      </c>
      <c r="D80" s="363">
        <v>151724</v>
      </c>
      <c r="E80" s="363">
        <v>151724</v>
      </c>
      <c r="F80" s="363">
        <v>72826794</v>
      </c>
      <c r="G80" s="108">
        <v>0.64515485886512092</v>
      </c>
      <c r="H80" s="108">
        <v>0.64515485886512092</v>
      </c>
      <c r="I80" s="364">
        <v>2094549.82</v>
      </c>
      <c r="J80" s="364">
        <v>3277205.73</v>
      </c>
      <c r="K80" s="364"/>
      <c r="L80" s="364">
        <v>2102800.85</v>
      </c>
      <c r="M80" s="364">
        <v>329170.5</v>
      </c>
      <c r="N80" s="365">
        <v>438344.47</v>
      </c>
      <c r="O80" s="364"/>
      <c r="P80" s="365">
        <v>-607111.06000000006</v>
      </c>
      <c r="Q80" s="365"/>
      <c r="R80" s="100"/>
      <c r="S80" s="97"/>
      <c r="T80" s="98">
        <v>7634960.3100000005</v>
      </c>
      <c r="U80" s="207">
        <f t="shared" ref="U80:AA80" si="12">L80/$F80</f>
        <v>2.8874000000604173E-2</v>
      </c>
      <c r="V80" s="207">
        <f t="shared" si="12"/>
        <v>4.51990925208104E-3</v>
      </c>
      <c r="W80" s="207">
        <f t="shared" si="12"/>
        <v>6.0189999576254856E-3</v>
      </c>
      <c r="X80" s="207">
        <f t="shared" si="12"/>
        <v>0</v>
      </c>
      <c r="Y80" s="207">
        <f t="shared" si="12"/>
        <v>-8.336369441170239E-3</v>
      </c>
      <c r="Z80" s="207">
        <f t="shared" si="12"/>
        <v>0</v>
      </c>
      <c r="AA80" s="207">
        <f t="shared" si="12"/>
        <v>0</v>
      </c>
      <c r="AG80" s="46"/>
      <c r="AH80" s="26"/>
    </row>
    <row r="81" spans="1:34" ht="15">
      <c r="A81" s="156">
        <f t="shared" si="2"/>
        <v>72</v>
      </c>
      <c r="C81" s="359"/>
      <c r="D81" s="363"/>
      <c r="E81" s="363"/>
      <c r="F81" s="363"/>
      <c r="G81" s="359"/>
      <c r="H81" s="359"/>
      <c r="I81" s="107"/>
      <c r="J81" s="107"/>
      <c r="K81" s="364"/>
      <c r="L81" s="364"/>
      <c r="M81" s="364"/>
      <c r="N81" s="365"/>
      <c r="O81" s="364"/>
      <c r="P81" s="365"/>
      <c r="Q81" s="365"/>
      <c r="R81" s="366"/>
      <c r="S81" s="107"/>
      <c r="T81" s="98" t="s">
        <v>213</v>
      </c>
      <c r="AG81" s="46"/>
    </row>
    <row r="82" spans="1:34" ht="15">
      <c r="A82" s="156">
        <f t="shared" si="2"/>
        <v>73</v>
      </c>
      <c r="C82" s="359" t="s">
        <v>595</v>
      </c>
      <c r="D82" s="363">
        <v>191450</v>
      </c>
      <c r="E82" s="363">
        <v>191450</v>
      </c>
      <c r="F82" s="363">
        <v>85489446</v>
      </c>
      <c r="G82" s="108">
        <v>0.62018982327848871</v>
      </c>
      <c r="H82" s="108">
        <v>0.62018982327848871</v>
      </c>
      <c r="I82" s="364">
        <v>2642967.25</v>
      </c>
      <c r="J82" s="364">
        <v>3847025.07</v>
      </c>
      <c r="K82" s="364"/>
      <c r="L82" s="364">
        <v>2009001.98</v>
      </c>
      <c r="M82" s="364">
        <v>297291.03000000003</v>
      </c>
      <c r="N82" s="365">
        <v>514560.98</v>
      </c>
      <c r="O82" s="364"/>
      <c r="P82" s="365">
        <v>-592552.82999999996</v>
      </c>
      <c r="Q82" s="365"/>
      <c r="R82" s="100"/>
      <c r="S82" s="97"/>
      <c r="T82" s="98">
        <v>8718293.4800000004</v>
      </c>
      <c r="U82" s="207">
        <f t="shared" ref="U82:AA82" si="13">L82/$F82</f>
        <v>2.3499999988302649E-2</v>
      </c>
      <c r="V82" s="207">
        <f t="shared" si="13"/>
        <v>3.4775173300339323E-3</v>
      </c>
      <c r="W82" s="207">
        <f t="shared" si="13"/>
        <v>6.0190000529422071E-3</v>
      </c>
      <c r="X82" s="207">
        <f t="shared" si="13"/>
        <v>0</v>
      </c>
      <c r="Y82" s="207">
        <f t="shared" si="13"/>
        <v>-6.9312980458429915E-3</v>
      </c>
      <c r="Z82" s="207">
        <f t="shared" si="13"/>
        <v>0</v>
      </c>
      <c r="AA82" s="207">
        <f t="shared" si="13"/>
        <v>0</v>
      </c>
      <c r="AG82" s="46"/>
      <c r="AH82" s="26"/>
    </row>
    <row r="83" spans="1:34" ht="15">
      <c r="A83" s="156">
        <f t="shared" si="2"/>
        <v>74</v>
      </c>
      <c r="C83" s="359"/>
      <c r="D83" s="363"/>
      <c r="E83" s="363"/>
      <c r="F83" s="363"/>
      <c r="G83" s="108"/>
      <c r="H83" s="359"/>
      <c r="I83" s="364"/>
      <c r="J83" s="364"/>
      <c r="K83" s="364"/>
      <c r="L83" s="364"/>
      <c r="M83" s="364"/>
      <c r="N83" s="365"/>
      <c r="O83" s="364"/>
      <c r="P83" s="365"/>
      <c r="Q83" s="365"/>
      <c r="R83" s="100"/>
      <c r="S83" s="107"/>
      <c r="T83" s="98" t="s">
        <v>213</v>
      </c>
      <c r="AG83" s="46"/>
    </row>
    <row r="84" spans="1:34" ht="15">
      <c r="A84" s="156">
        <f t="shared" si="2"/>
        <v>75</v>
      </c>
      <c r="C84" s="359" t="s">
        <v>596</v>
      </c>
      <c r="D84" s="363">
        <v>282319</v>
      </c>
      <c r="E84" s="363">
        <v>282319</v>
      </c>
      <c r="F84" s="363">
        <v>107348964</v>
      </c>
      <c r="G84" s="108">
        <v>0.51107520902058967</v>
      </c>
      <c r="H84" s="108">
        <v>0.51107520902058967</v>
      </c>
      <c r="I84" s="364">
        <v>3897413.79</v>
      </c>
      <c r="J84" s="364">
        <v>4830703.38</v>
      </c>
      <c r="K84" s="364"/>
      <c r="L84" s="364">
        <v>2150307.1</v>
      </c>
      <c r="M84" s="364">
        <v>469036.01</v>
      </c>
      <c r="N84" s="365">
        <v>646133.41</v>
      </c>
      <c r="O84" s="364"/>
      <c r="P84" s="365">
        <v>-585490.05000000005</v>
      </c>
      <c r="Q84" s="365"/>
      <c r="R84" s="100"/>
      <c r="S84" s="97"/>
      <c r="T84" s="98">
        <v>11408103.639999999</v>
      </c>
      <c r="U84" s="207">
        <f t="shared" ref="U84:AA84" si="14">L84/$F84</f>
        <v>2.0031000019711417E-2</v>
      </c>
      <c r="V84" s="207">
        <f t="shared" si="14"/>
        <v>4.3692644299762407E-3</v>
      </c>
      <c r="W84" s="207">
        <f t="shared" si="14"/>
        <v>6.0189999597946749E-3</v>
      </c>
      <c r="X84" s="207">
        <f t="shared" si="14"/>
        <v>0</v>
      </c>
      <c r="Y84" s="207">
        <f t="shared" si="14"/>
        <v>-5.4540819788442491E-3</v>
      </c>
      <c r="Z84" s="207">
        <f t="shared" si="14"/>
        <v>0</v>
      </c>
      <c r="AA84" s="207">
        <f t="shared" si="14"/>
        <v>0</v>
      </c>
      <c r="AG84" s="46"/>
      <c r="AH84" s="26"/>
    </row>
    <row r="85" spans="1:34" ht="15">
      <c r="A85" s="156">
        <f t="shared" si="2"/>
        <v>76</v>
      </c>
      <c r="C85" s="359"/>
      <c r="D85" s="363"/>
      <c r="E85" s="363"/>
      <c r="F85" s="363"/>
      <c r="G85" s="359"/>
      <c r="H85" s="108"/>
      <c r="I85" s="107"/>
      <c r="J85" s="107"/>
      <c r="K85" s="364"/>
      <c r="L85" s="364"/>
      <c r="M85" s="364"/>
      <c r="N85" s="365"/>
      <c r="O85" s="364"/>
      <c r="P85" s="365"/>
      <c r="Q85" s="365"/>
      <c r="R85" s="366"/>
      <c r="S85" s="107"/>
      <c r="T85" s="98" t="s">
        <v>213</v>
      </c>
      <c r="AG85" s="46"/>
    </row>
    <row r="86" spans="1:34" ht="15">
      <c r="A86" s="156">
        <f t="shared" si="2"/>
        <v>77</v>
      </c>
      <c r="C86" s="452" t="s">
        <v>1128</v>
      </c>
      <c r="D86" s="363">
        <v>204049</v>
      </c>
      <c r="E86" s="363">
        <v>204049</v>
      </c>
      <c r="F86" s="363">
        <v>97278162</v>
      </c>
      <c r="G86" s="108">
        <v>0.64077852742201868</v>
      </c>
      <c r="H86" s="108">
        <v>0.64077852742201868</v>
      </c>
      <c r="I86" s="364">
        <v>2816896.44</v>
      </c>
      <c r="J86" s="364">
        <v>4377517.29</v>
      </c>
      <c r="K86" s="364"/>
      <c r="L86" s="364">
        <v>1409171.45</v>
      </c>
      <c r="M86" s="364">
        <v>976935.57</v>
      </c>
      <c r="N86" s="365">
        <v>585517.26</v>
      </c>
      <c r="O86" s="364"/>
      <c r="P86" s="365">
        <v>-380775.55</v>
      </c>
      <c r="Q86" s="365"/>
      <c r="R86" s="100"/>
      <c r="S86" s="97"/>
      <c r="T86" s="98">
        <v>9785262.459999999</v>
      </c>
      <c r="U86" s="207">
        <f t="shared" ref="U86:AA86" si="15">L86/$F86</f>
        <v>1.4485999951355988E-2</v>
      </c>
      <c r="V86" s="207">
        <f t="shared" si="15"/>
        <v>1.0042701773086542E-2</v>
      </c>
      <c r="W86" s="207">
        <f t="shared" si="15"/>
        <v>6.019000030037574E-3</v>
      </c>
      <c r="X86" s="207">
        <f t="shared" si="15"/>
        <v>0</v>
      </c>
      <c r="Y86" s="207">
        <f t="shared" si="15"/>
        <v>-3.9142963042414387E-3</v>
      </c>
      <c r="Z86" s="207">
        <f t="shared" si="15"/>
        <v>0</v>
      </c>
      <c r="AA86" s="207">
        <f t="shared" si="15"/>
        <v>0</v>
      </c>
      <c r="AG86" s="46"/>
      <c r="AH86" s="26"/>
    </row>
    <row r="87" spans="1:34" ht="15">
      <c r="A87" s="156">
        <f t="shared" si="2"/>
        <v>78</v>
      </c>
      <c r="C87" s="359"/>
      <c r="D87" s="363"/>
      <c r="E87" s="363"/>
      <c r="F87" s="363"/>
      <c r="G87" s="359"/>
      <c r="H87" s="108"/>
      <c r="I87" s="364"/>
      <c r="J87" s="364"/>
      <c r="K87" s="364"/>
      <c r="L87" s="364"/>
      <c r="M87" s="364"/>
      <c r="N87" s="365"/>
      <c r="O87" s="364"/>
      <c r="P87" s="365"/>
      <c r="Q87" s="365"/>
      <c r="R87" s="366"/>
      <c r="S87" s="107"/>
      <c r="T87" s="98"/>
      <c r="AG87" s="46"/>
    </row>
    <row r="88" spans="1:34" ht="15">
      <c r="A88" s="156">
        <f t="shared" si="2"/>
        <v>79</v>
      </c>
      <c r="C88" s="359" t="s">
        <v>587</v>
      </c>
      <c r="D88" s="363">
        <v>202112</v>
      </c>
      <c r="E88" s="363">
        <v>202112</v>
      </c>
      <c r="F88" s="363">
        <v>81899074</v>
      </c>
      <c r="G88" s="108">
        <v>0.60300042562445344</v>
      </c>
      <c r="H88" s="108">
        <v>0.60300042562445344</v>
      </c>
      <c r="I88" s="364">
        <v>2790156.16</v>
      </c>
      <c r="J88" s="364">
        <v>3685458.33</v>
      </c>
      <c r="K88" s="364"/>
      <c r="L88" s="364">
        <v>641433.55000000005</v>
      </c>
      <c r="M88" s="364">
        <v>382437.66</v>
      </c>
      <c r="N88" s="365">
        <v>492950.53</v>
      </c>
      <c r="O88" s="364"/>
      <c r="P88" s="365">
        <v>-381724.07</v>
      </c>
      <c r="Q88" s="365"/>
      <c r="R88" s="100"/>
      <c r="S88" s="97"/>
      <c r="T88" s="98">
        <v>7610712.1600000001</v>
      </c>
      <c r="U88" s="207">
        <f t="shared" ref="U88:AA88" si="16">L88/$F88</f>
        <v>7.8320000296950854E-3</v>
      </c>
      <c r="V88" s="207">
        <f t="shared" si="16"/>
        <v>4.6696212951076827E-3</v>
      </c>
      <c r="W88" s="207">
        <f t="shared" si="16"/>
        <v>6.0190000438832807E-3</v>
      </c>
      <c r="X88" s="207">
        <f t="shared" si="16"/>
        <v>0</v>
      </c>
      <c r="Y88" s="207">
        <f t="shared" si="16"/>
        <v>-4.6609082539809917E-3</v>
      </c>
      <c r="Z88" s="207">
        <f t="shared" si="16"/>
        <v>0</v>
      </c>
      <c r="AA88" s="207">
        <f t="shared" si="16"/>
        <v>0</v>
      </c>
      <c r="AG88" s="46"/>
      <c r="AH88" s="46"/>
    </row>
    <row r="89" spans="1:34" ht="15">
      <c r="A89" s="156">
        <f t="shared" si="2"/>
        <v>80</v>
      </c>
      <c r="C89" s="359"/>
      <c r="D89" s="109" t="s">
        <v>134</v>
      </c>
      <c r="E89" s="109" t="s">
        <v>134</v>
      </c>
      <c r="F89" s="109" t="s">
        <v>134</v>
      </c>
      <c r="G89" s="110" t="s">
        <v>134</v>
      </c>
      <c r="H89" s="110" t="s">
        <v>134</v>
      </c>
      <c r="I89" s="104" t="s">
        <v>134</v>
      </c>
      <c r="J89" s="104" t="s">
        <v>134</v>
      </c>
      <c r="K89" s="104"/>
      <c r="L89" s="104"/>
      <c r="M89" s="104"/>
      <c r="N89" s="105"/>
      <c r="O89" s="104"/>
      <c r="P89" s="105"/>
      <c r="Q89" s="105"/>
      <c r="R89" s="106" t="s">
        <v>134</v>
      </c>
      <c r="S89" s="98"/>
      <c r="T89" s="104" t="s">
        <v>134</v>
      </c>
    </row>
    <row r="90" spans="1:34" ht="15">
      <c r="A90" s="156">
        <f t="shared" si="2"/>
        <v>81</v>
      </c>
      <c r="C90" s="359" t="s">
        <v>108</v>
      </c>
      <c r="D90" s="96">
        <f>SUM(D66:D88)</f>
        <v>2563237</v>
      </c>
      <c r="E90" s="96">
        <f>SUM(E66:E88)</f>
        <v>2563237</v>
      </c>
      <c r="F90" s="96">
        <f>SUM(F66:F88)</f>
        <v>1107226271</v>
      </c>
      <c r="G90" s="108">
        <f>SUM(G66:G88)/12</f>
        <v>0.59826551949514972</v>
      </c>
      <c r="H90" s="108"/>
      <c r="I90" s="98">
        <f>SUM(I66:I88)</f>
        <v>35385486.770000003</v>
      </c>
      <c r="J90" s="98">
        <f>SUM(J66:J88)</f>
        <v>49825182.18</v>
      </c>
      <c r="K90" s="98">
        <f>SUM(K66:K88)</f>
        <v>0</v>
      </c>
      <c r="L90" s="98">
        <f t="shared" ref="L90:R90" si="17">SUM(L66:L88)</f>
        <v>21162323</v>
      </c>
      <c r="M90" s="98">
        <f t="shared" si="17"/>
        <v>5648836.6500000004</v>
      </c>
      <c r="N90" s="99">
        <f t="shared" si="17"/>
        <v>4643787</v>
      </c>
      <c r="O90" s="98">
        <f t="shared" si="17"/>
        <v>0</v>
      </c>
      <c r="P90" s="99">
        <f t="shared" si="17"/>
        <v>-6787460.6600000001</v>
      </c>
      <c r="Q90" s="99">
        <f>SUM(Q66:Q88)</f>
        <v>0</v>
      </c>
      <c r="R90" s="99">
        <f t="shared" si="17"/>
        <v>0</v>
      </c>
      <c r="U90" s="207">
        <f t="shared" ref="U90:AA90" si="18">L90/$F90</f>
        <v>1.9112916261359192E-2</v>
      </c>
      <c r="V90" s="207">
        <f t="shared" si="18"/>
        <v>5.101790661901663E-3</v>
      </c>
      <c r="W90" s="207">
        <f t="shared" si="18"/>
        <v>4.1940722701656347E-3</v>
      </c>
      <c r="X90" s="207">
        <f t="shared" si="18"/>
        <v>0</v>
      </c>
      <c r="Y90" s="207">
        <f t="shared" si="18"/>
        <v>-6.1301477735619947E-3</v>
      </c>
      <c r="Z90" s="207">
        <f t="shared" si="18"/>
        <v>0</v>
      </c>
      <c r="AA90" s="207">
        <f t="shared" si="18"/>
        <v>0</v>
      </c>
    </row>
    <row r="91" spans="1:34" ht="15">
      <c r="A91" s="156">
        <f t="shared" si="2"/>
        <v>82</v>
      </c>
      <c r="C91" s="359"/>
      <c r="D91" s="109" t="s">
        <v>229</v>
      </c>
      <c r="E91" s="109" t="s">
        <v>229</v>
      </c>
      <c r="F91" s="109" t="s">
        <v>229</v>
      </c>
      <c r="G91" s="110" t="s">
        <v>229</v>
      </c>
      <c r="H91" s="110" t="s">
        <v>229</v>
      </c>
      <c r="I91" s="104" t="s">
        <v>229</v>
      </c>
      <c r="J91" s="104" t="s">
        <v>229</v>
      </c>
      <c r="K91" s="104"/>
      <c r="L91" s="104"/>
      <c r="M91" s="104"/>
      <c r="N91" s="105"/>
      <c r="O91" s="104"/>
      <c r="P91" s="105"/>
      <c r="Q91" s="105"/>
      <c r="R91" s="106" t="s">
        <v>229</v>
      </c>
      <c r="S91" s="98"/>
      <c r="T91" s="98">
        <f>SUM(T66:T88)</f>
        <v>109878154.94</v>
      </c>
      <c r="U91" s="93"/>
    </row>
    <row r="92" spans="1:34" ht="15">
      <c r="A92" s="156">
        <f t="shared" si="2"/>
        <v>83</v>
      </c>
      <c r="C92" s="98"/>
      <c r="D92" s="98"/>
      <c r="E92" s="98"/>
      <c r="F92" s="137"/>
      <c r="G92" s="98"/>
      <c r="H92" s="98"/>
      <c r="I92" s="98"/>
      <c r="J92" s="98"/>
      <c r="K92" s="98"/>
      <c r="L92" s="98"/>
      <c r="M92" s="98"/>
      <c r="P92" s="114"/>
      <c r="Q92" s="98"/>
      <c r="R92" s="99"/>
      <c r="S92" s="114" t="s">
        <v>1134</v>
      </c>
      <c r="T92" s="473">
        <f>-L148</f>
        <v>-226417.41999999998</v>
      </c>
      <c r="U92" s="93"/>
    </row>
    <row r="93" spans="1:34" ht="15.75">
      <c r="A93" s="156">
        <f t="shared" ref="A93:A156" si="19">A92+1</f>
        <v>84</v>
      </c>
      <c r="C93" s="467" t="s">
        <v>1136</v>
      </c>
      <c r="D93" s="468"/>
      <c r="E93" s="468"/>
      <c r="F93" s="468"/>
      <c r="G93" s="468"/>
      <c r="H93" s="468"/>
      <c r="I93" s="468"/>
      <c r="J93" s="468"/>
      <c r="K93" s="468"/>
      <c r="L93" s="468"/>
      <c r="M93" s="468"/>
      <c r="N93" s="469"/>
      <c r="O93" s="468"/>
      <c r="P93" s="469"/>
      <c r="Q93" s="469"/>
      <c r="R93" s="95"/>
      <c r="T93" s="472">
        <f>T91+T92</f>
        <v>109651737.52</v>
      </c>
      <c r="U93" s="457">
        <f>revpergl!U46</f>
        <v>109651737.52</v>
      </c>
      <c r="V93" s="5" t="s">
        <v>1137</v>
      </c>
      <c r="W93" s="5" t="s">
        <v>1138</v>
      </c>
      <c r="X93" s="5"/>
    </row>
    <row r="94" spans="1:34" ht="15.75">
      <c r="A94" s="156">
        <f t="shared" si="19"/>
        <v>85</v>
      </c>
      <c r="C94" s="467"/>
      <c r="D94" s="468"/>
      <c r="E94" s="468"/>
      <c r="F94" s="468"/>
      <c r="G94" s="468"/>
      <c r="H94" s="468"/>
      <c r="I94" s="468"/>
      <c r="J94" s="468"/>
      <c r="K94" s="468"/>
      <c r="L94" s="468"/>
      <c r="M94" s="468"/>
      <c r="N94" s="469"/>
      <c r="O94" s="468"/>
      <c r="P94" s="469"/>
      <c r="Q94" s="469"/>
      <c r="R94" s="95"/>
      <c r="S94" s="292" t="s">
        <v>1095</v>
      </c>
      <c r="T94" s="5">
        <f>T126</f>
        <v>7440.2800000000061</v>
      </c>
      <c r="U94" s="457">
        <f>revpergl!U47</f>
        <v>7440.28</v>
      </c>
      <c r="V94" s="5" t="s">
        <v>1137</v>
      </c>
      <c r="W94" s="5" t="s">
        <v>1139</v>
      </c>
      <c r="X94" s="5"/>
    </row>
    <row r="95" spans="1:34" ht="15">
      <c r="A95" s="156">
        <f t="shared" si="19"/>
        <v>86</v>
      </c>
      <c r="C95" s="96"/>
      <c r="D95" s="96"/>
      <c r="E95" s="96"/>
      <c r="F95" s="97"/>
      <c r="G95" s="359"/>
      <c r="H95" s="359"/>
      <c r="I95" s="97"/>
      <c r="J95" s="97"/>
      <c r="K95" s="97"/>
      <c r="L95" s="97"/>
      <c r="M95" s="97"/>
      <c r="N95" s="99"/>
      <c r="O95" s="97"/>
      <c r="P95" s="99"/>
      <c r="Q95" s="99"/>
      <c r="R95" s="100"/>
      <c r="S95" s="468"/>
      <c r="T95" s="471"/>
      <c r="U95" s="457">
        <f>U93+U94</f>
        <v>109659177.8</v>
      </c>
      <c r="V95" s="5"/>
      <c r="W95" s="5"/>
      <c r="X95" s="5"/>
    </row>
    <row r="96" spans="1:34" ht="15.75">
      <c r="A96" s="156">
        <f t="shared" si="19"/>
        <v>87</v>
      </c>
      <c r="C96" s="358" t="s">
        <v>213</v>
      </c>
      <c r="D96" s="359"/>
      <c r="E96" s="359"/>
      <c r="F96" s="359"/>
      <c r="G96" s="359"/>
      <c r="H96" s="359"/>
      <c r="I96" s="359"/>
      <c r="J96" s="359"/>
      <c r="K96" s="359"/>
      <c r="L96" s="359"/>
      <c r="M96" s="359"/>
      <c r="N96" s="99"/>
      <c r="O96" s="359"/>
      <c r="P96" s="101" t="s">
        <v>577</v>
      </c>
      <c r="Q96" s="99"/>
      <c r="R96" s="100"/>
      <c r="S96" s="359"/>
      <c r="T96" s="359"/>
      <c r="U96" s="93"/>
    </row>
    <row r="97" spans="1:21" ht="15">
      <c r="A97" s="156">
        <f t="shared" si="19"/>
        <v>88</v>
      </c>
      <c r="C97" s="359"/>
      <c r="D97" s="359"/>
      <c r="E97" s="359"/>
      <c r="F97" s="359"/>
      <c r="G97" s="359"/>
      <c r="H97" s="359"/>
      <c r="I97" s="360" t="s">
        <v>213</v>
      </c>
      <c r="J97" s="360" t="s">
        <v>213</v>
      </c>
      <c r="K97" s="360" t="s">
        <v>578</v>
      </c>
      <c r="L97" s="360"/>
      <c r="M97" s="360"/>
      <c r="N97" s="101"/>
      <c r="O97" s="360"/>
      <c r="P97" s="101" t="s">
        <v>13</v>
      </c>
      <c r="Q97" s="103" t="s">
        <v>579</v>
      </c>
      <c r="R97" s="113"/>
      <c r="S97" s="359"/>
      <c r="T97" s="359"/>
      <c r="U97" s="93"/>
    </row>
    <row r="98" spans="1:21" ht="15">
      <c r="A98" s="156">
        <f t="shared" si="19"/>
        <v>89</v>
      </c>
      <c r="C98" s="359"/>
      <c r="D98" s="360" t="s">
        <v>12</v>
      </c>
      <c r="E98" s="360" t="s">
        <v>218</v>
      </c>
      <c r="F98" s="359"/>
      <c r="G98" s="360" t="s">
        <v>12</v>
      </c>
      <c r="H98" s="360" t="s">
        <v>218</v>
      </c>
      <c r="I98" s="360" t="s">
        <v>219</v>
      </c>
      <c r="J98" s="360" t="s">
        <v>220</v>
      </c>
      <c r="K98" s="360" t="s">
        <v>580</v>
      </c>
      <c r="L98" s="360" t="s">
        <v>221</v>
      </c>
      <c r="M98" s="360" t="s">
        <v>222</v>
      </c>
      <c r="N98" s="101" t="s">
        <v>343</v>
      </c>
      <c r="O98" s="360" t="s">
        <v>581</v>
      </c>
      <c r="P98" s="101" t="s">
        <v>582</v>
      </c>
      <c r="Q98" s="103" t="s">
        <v>583</v>
      </c>
      <c r="R98" s="361" t="s">
        <v>369</v>
      </c>
      <c r="S98" s="359"/>
      <c r="T98" s="359"/>
      <c r="U98" s="93"/>
    </row>
    <row r="99" spans="1:21" ht="15">
      <c r="A99" s="156">
        <f t="shared" si="19"/>
        <v>90</v>
      </c>
      <c r="C99" s="360" t="s">
        <v>214</v>
      </c>
      <c r="D99" s="360" t="s">
        <v>224</v>
      </c>
      <c r="E99" s="360" t="s">
        <v>224</v>
      </c>
      <c r="F99" s="360" t="s">
        <v>11</v>
      </c>
      <c r="G99" s="360" t="s">
        <v>225</v>
      </c>
      <c r="H99" s="360" t="s">
        <v>225</v>
      </c>
      <c r="I99" s="360" t="s">
        <v>224</v>
      </c>
      <c r="J99" s="360" t="s">
        <v>25</v>
      </c>
      <c r="K99" s="360" t="s">
        <v>220</v>
      </c>
      <c r="L99" s="360" t="s">
        <v>226</v>
      </c>
      <c r="M99" s="360" t="s">
        <v>227</v>
      </c>
      <c r="N99" s="101" t="s">
        <v>344</v>
      </c>
      <c r="O99" s="360" t="s">
        <v>226</v>
      </c>
      <c r="P99" s="101" t="s">
        <v>584</v>
      </c>
      <c r="Q99" s="103" t="s">
        <v>585</v>
      </c>
      <c r="R99" s="361" t="s">
        <v>374</v>
      </c>
      <c r="S99" s="359"/>
      <c r="T99" s="360" t="s">
        <v>108</v>
      </c>
      <c r="U99" s="93"/>
    </row>
    <row r="100" spans="1:21" ht="15">
      <c r="A100" s="156">
        <f t="shared" si="19"/>
        <v>91</v>
      </c>
      <c r="C100" s="362" t="s">
        <v>229</v>
      </c>
      <c r="D100" s="362" t="s">
        <v>229</v>
      </c>
      <c r="E100" s="362" t="s">
        <v>229</v>
      </c>
      <c r="F100" s="362" t="s">
        <v>229</v>
      </c>
      <c r="G100" s="362" t="s">
        <v>229</v>
      </c>
      <c r="H100" s="362" t="s">
        <v>229</v>
      </c>
      <c r="I100" s="362" t="s">
        <v>229</v>
      </c>
      <c r="J100" s="362" t="s">
        <v>229</v>
      </c>
      <c r="K100" s="362" t="s">
        <v>229</v>
      </c>
      <c r="L100" s="362"/>
      <c r="M100" s="362"/>
      <c r="N100" s="105"/>
      <c r="O100" s="362"/>
      <c r="P100" s="105"/>
      <c r="Q100" s="105"/>
      <c r="R100" s="106" t="s">
        <v>229</v>
      </c>
      <c r="S100" s="359"/>
      <c r="T100" s="362" t="s">
        <v>229</v>
      </c>
      <c r="U100" s="93"/>
    </row>
    <row r="101" spans="1:21" ht="15">
      <c r="A101" s="156">
        <f t="shared" si="19"/>
        <v>92</v>
      </c>
      <c r="C101" s="451" t="s">
        <v>213</v>
      </c>
      <c r="D101" s="451"/>
      <c r="E101" s="451"/>
      <c r="F101" s="359"/>
      <c r="G101" s="359"/>
      <c r="H101" s="359"/>
      <c r="I101" s="359"/>
      <c r="J101" s="359"/>
      <c r="K101" s="359"/>
      <c r="L101" s="359"/>
      <c r="M101" s="359"/>
      <c r="N101" s="99"/>
      <c r="O101" s="359"/>
      <c r="P101" s="99"/>
      <c r="Q101" s="99"/>
      <c r="R101" s="100"/>
      <c r="S101" s="359"/>
      <c r="T101" s="359"/>
      <c r="U101" s="93"/>
    </row>
    <row r="102" spans="1:21" ht="15">
      <c r="A102" s="156">
        <f t="shared" si="19"/>
        <v>93</v>
      </c>
      <c r="C102" s="359" t="s">
        <v>588</v>
      </c>
      <c r="D102" s="363"/>
      <c r="E102" s="363"/>
      <c r="F102" s="363">
        <v>52970</v>
      </c>
      <c r="G102" s="108" t="e">
        <f>F102/(31*24*D102)</f>
        <v>#DIV/0!</v>
      </c>
      <c r="H102" s="108" t="e">
        <f>F102/(31*24*E102)</f>
        <v>#DIV/0!</v>
      </c>
      <c r="I102" s="450"/>
      <c r="J102" s="450">
        <v>2376.62</v>
      </c>
      <c r="K102" s="450"/>
      <c r="L102" s="450">
        <v>505.19</v>
      </c>
      <c r="M102" s="450">
        <v>374.59</v>
      </c>
      <c r="N102" s="450">
        <v>127.7</v>
      </c>
      <c r="O102" s="450"/>
      <c r="P102" s="450">
        <v>-247.89</v>
      </c>
      <c r="Q102" s="450"/>
      <c r="R102" s="470"/>
      <c r="S102" s="97"/>
      <c r="T102" s="359">
        <f>SUM(I102:R102)</f>
        <v>3136.21</v>
      </c>
      <c r="U102" s="93"/>
    </row>
    <row r="103" spans="1:21" ht="15">
      <c r="A103" s="156">
        <f t="shared" si="19"/>
        <v>94</v>
      </c>
      <c r="C103" s="359"/>
      <c r="D103" s="363"/>
      <c r="E103" s="363"/>
      <c r="F103" s="363"/>
      <c r="G103" s="108"/>
      <c r="H103" s="108"/>
      <c r="I103" s="450"/>
      <c r="J103" s="450"/>
      <c r="K103" s="450"/>
      <c r="L103" s="450"/>
      <c r="M103" s="450"/>
      <c r="N103" s="450"/>
      <c r="O103" s="450"/>
      <c r="P103" s="450"/>
      <c r="Q103" s="450"/>
      <c r="R103" s="450"/>
      <c r="S103" s="451"/>
      <c r="T103" s="359" t="s">
        <v>213</v>
      </c>
      <c r="U103" s="93"/>
    </row>
    <row r="104" spans="1:21" ht="15">
      <c r="A104" s="156">
        <f t="shared" si="19"/>
        <v>95</v>
      </c>
      <c r="C104" s="359" t="s">
        <v>589</v>
      </c>
      <c r="D104" s="363"/>
      <c r="E104" s="363"/>
      <c r="F104" s="363">
        <v>65955</v>
      </c>
      <c r="G104" s="108" t="e">
        <f>F104/(31*24*D104)</f>
        <v>#DIV/0!</v>
      </c>
      <c r="H104" s="108" t="e">
        <f>F104/(31*24*E104)</f>
        <v>#DIV/0!</v>
      </c>
      <c r="I104" s="450"/>
      <c r="J104" s="450">
        <v>2968.22</v>
      </c>
      <c r="K104" s="450"/>
      <c r="L104" s="450">
        <v>669.53</v>
      </c>
      <c r="M104" s="450">
        <v>492.91</v>
      </c>
      <c r="N104" s="450">
        <v>125.34</v>
      </c>
      <c r="O104" s="450"/>
      <c r="P104" s="450">
        <v>-322.44</v>
      </c>
      <c r="Q104" s="450"/>
      <c r="R104" s="470"/>
      <c r="S104" s="97"/>
      <c r="T104" s="359">
        <f>SUM(I104:R104)</f>
        <v>3933.56</v>
      </c>
      <c r="U104" s="93"/>
    </row>
    <row r="105" spans="1:21" ht="15">
      <c r="A105" s="156">
        <f t="shared" si="19"/>
        <v>96</v>
      </c>
      <c r="C105" s="359"/>
      <c r="D105" s="363"/>
      <c r="E105" s="363"/>
      <c r="F105" s="363"/>
      <c r="G105" s="359"/>
      <c r="H105" s="359"/>
      <c r="I105" s="450"/>
      <c r="J105" s="450"/>
      <c r="K105" s="450"/>
      <c r="L105" s="450"/>
      <c r="M105" s="450"/>
      <c r="N105" s="450"/>
      <c r="O105" s="450"/>
      <c r="P105" s="450"/>
      <c r="Q105" s="450"/>
      <c r="R105" s="450"/>
      <c r="S105" s="451"/>
      <c r="T105" s="359" t="s">
        <v>213</v>
      </c>
      <c r="U105" s="93"/>
    </row>
    <row r="106" spans="1:21" ht="15">
      <c r="A106" s="156">
        <f t="shared" si="19"/>
        <v>97</v>
      </c>
      <c r="C106" s="359" t="s">
        <v>477</v>
      </c>
      <c r="D106" s="363"/>
      <c r="E106" s="363"/>
      <c r="F106" s="363">
        <v>71714</v>
      </c>
      <c r="G106" s="108" t="e">
        <f>F106/(31*24*D106)</f>
        <v>#DIV/0!</v>
      </c>
      <c r="H106" s="108" t="e">
        <f>F106/(31*24*E106)</f>
        <v>#DIV/0!</v>
      </c>
      <c r="I106" s="450"/>
      <c r="J106" s="450">
        <v>3227.37</v>
      </c>
      <c r="K106" s="450"/>
      <c r="L106" s="450">
        <v>1682.06</v>
      </c>
      <c r="M106" s="450">
        <v>574.12</v>
      </c>
      <c r="N106" s="450">
        <v>248.44</v>
      </c>
      <c r="O106" s="450"/>
      <c r="P106" s="450">
        <v>-653.98</v>
      </c>
      <c r="Q106" s="450"/>
      <c r="R106" s="470"/>
      <c r="S106" s="97"/>
      <c r="T106" s="359">
        <f>SUM(I106:R106)</f>
        <v>5078.01</v>
      </c>
      <c r="U106" s="93"/>
    </row>
    <row r="107" spans="1:21" ht="15">
      <c r="A107" s="156">
        <f t="shared" si="19"/>
        <v>98</v>
      </c>
      <c r="C107" s="359"/>
      <c r="D107" s="363"/>
      <c r="E107" s="363"/>
      <c r="F107" s="363"/>
      <c r="G107" s="359"/>
      <c r="H107" s="359"/>
      <c r="I107" s="450"/>
      <c r="J107" s="450"/>
      <c r="K107" s="450"/>
      <c r="L107" s="450"/>
      <c r="M107" s="450"/>
      <c r="N107" s="450"/>
      <c r="O107" s="450"/>
      <c r="P107" s="450"/>
      <c r="Q107" s="450"/>
      <c r="R107" s="450"/>
      <c r="S107" s="451"/>
      <c r="T107" s="359" t="s">
        <v>213</v>
      </c>
      <c r="U107" s="93"/>
    </row>
    <row r="108" spans="1:21" ht="15">
      <c r="A108" s="156">
        <f t="shared" si="19"/>
        <v>99</v>
      </c>
      <c r="C108" s="359" t="s">
        <v>590</v>
      </c>
      <c r="D108" s="363"/>
      <c r="E108" s="363"/>
      <c r="F108" s="363">
        <v>79262</v>
      </c>
      <c r="G108" s="108" t="e">
        <f>F108/(31*24*D108)</f>
        <v>#DIV/0!</v>
      </c>
      <c r="H108" s="108" t="e">
        <f>F108/(31*24*E108)</f>
        <v>#DIV/0!</v>
      </c>
      <c r="I108" s="450"/>
      <c r="J108" s="450">
        <v>3567.01</v>
      </c>
      <c r="K108" s="450"/>
      <c r="L108" s="450">
        <v>1461.45</v>
      </c>
      <c r="M108" s="450">
        <v>634.65</v>
      </c>
      <c r="N108" s="450">
        <v>244.03</v>
      </c>
      <c r="O108" s="450"/>
      <c r="P108" s="450">
        <v>-771.17</v>
      </c>
      <c r="Q108" s="450"/>
      <c r="R108" s="470"/>
      <c r="S108" s="97"/>
      <c r="T108" s="359">
        <f>SUM(I108:R108)</f>
        <v>5135.9699999999993</v>
      </c>
      <c r="U108" s="93"/>
    </row>
    <row r="109" spans="1:21" ht="15">
      <c r="A109" s="156">
        <f t="shared" si="19"/>
        <v>100</v>
      </c>
      <c r="C109" s="359"/>
      <c r="D109" s="363"/>
      <c r="E109" s="363"/>
      <c r="F109" s="363"/>
      <c r="G109" s="108"/>
      <c r="H109" s="108"/>
      <c r="I109" s="450"/>
      <c r="J109" s="450"/>
      <c r="K109" s="450"/>
      <c r="L109" s="450"/>
      <c r="M109" s="450"/>
      <c r="N109" s="450"/>
      <c r="O109" s="450"/>
      <c r="P109" s="450"/>
      <c r="Q109" s="450"/>
      <c r="R109" s="450"/>
      <c r="S109" s="451"/>
      <c r="T109" s="359" t="s">
        <v>213</v>
      </c>
      <c r="U109" s="93"/>
    </row>
    <row r="110" spans="1:21" ht="15">
      <c r="A110" s="156">
        <f t="shared" si="19"/>
        <v>101</v>
      </c>
      <c r="C110" s="359" t="s">
        <v>591</v>
      </c>
      <c r="D110" s="363"/>
      <c r="E110" s="363"/>
      <c r="F110" s="363">
        <v>70188</v>
      </c>
      <c r="G110" s="108" t="e">
        <f>F110/(31*24*D110)</f>
        <v>#DIV/0!</v>
      </c>
      <c r="H110" s="108" t="e">
        <f>F110/(31*24*E110)</f>
        <v>#DIV/0!</v>
      </c>
      <c r="I110" s="450"/>
      <c r="J110" s="450">
        <v>3158.69</v>
      </c>
      <c r="K110" s="450"/>
      <c r="L110" s="450">
        <v>1517.76</v>
      </c>
      <c r="M110" s="450">
        <v>379.16</v>
      </c>
      <c r="N110" s="450">
        <v>211.26</v>
      </c>
      <c r="O110" s="450"/>
      <c r="P110" s="450">
        <v>-609.11</v>
      </c>
      <c r="Q110" s="450"/>
      <c r="R110" s="470"/>
      <c r="S110" s="97"/>
      <c r="T110" s="359">
        <f>SUM(I110:R110)</f>
        <v>4657.76</v>
      </c>
      <c r="U110" s="93"/>
    </row>
    <row r="111" spans="1:21" ht="15">
      <c r="A111" s="156">
        <f t="shared" si="19"/>
        <v>102</v>
      </c>
      <c r="C111" s="359"/>
      <c r="D111" s="363"/>
      <c r="E111" s="363"/>
      <c r="F111" s="363"/>
      <c r="G111" s="359"/>
      <c r="H111" s="359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1"/>
      <c r="T111" s="359" t="s">
        <v>213</v>
      </c>
      <c r="U111" s="93"/>
    </row>
    <row r="112" spans="1:21" ht="15">
      <c r="A112" s="156">
        <f t="shared" si="19"/>
        <v>103</v>
      </c>
      <c r="C112" s="359" t="s">
        <v>592</v>
      </c>
      <c r="D112" s="363"/>
      <c r="E112" s="363"/>
      <c r="F112" s="363">
        <v>64144</v>
      </c>
      <c r="G112" s="108" t="e">
        <f>F112/(31*24*D112)</f>
        <v>#DIV/0!</v>
      </c>
      <c r="H112" s="108" t="e">
        <f>F112/(31*24*E112)</f>
        <v>#DIV/0!</v>
      </c>
      <c r="I112" s="450"/>
      <c r="J112" s="450">
        <v>2886.74</v>
      </c>
      <c r="K112" s="450"/>
      <c r="L112" s="450">
        <v>230.23</v>
      </c>
      <c r="M112" s="450">
        <v>290.54000000000002</v>
      </c>
      <c r="N112" s="450">
        <v>136.19999999999999</v>
      </c>
      <c r="O112" s="450"/>
      <c r="P112" s="450">
        <v>-297.44</v>
      </c>
      <c r="Q112" s="450"/>
      <c r="R112" s="470"/>
      <c r="S112" s="97"/>
      <c r="T112" s="359">
        <f>SUM(I112:R112)</f>
        <v>3246.2699999999995</v>
      </c>
      <c r="U112" s="93"/>
    </row>
    <row r="113" spans="1:21" ht="15">
      <c r="A113" s="156">
        <f t="shared" si="19"/>
        <v>104</v>
      </c>
      <c r="C113" s="359"/>
      <c r="D113" s="363"/>
      <c r="E113" s="363"/>
      <c r="F113" s="363"/>
      <c r="G113" s="359"/>
      <c r="H113" s="359"/>
      <c r="I113" s="450"/>
      <c r="J113" s="450"/>
      <c r="K113" s="450"/>
      <c r="L113" s="450"/>
      <c r="M113" s="450"/>
      <c r="N113" s="450"/>
      <c r="O113" s="450"/>
      <c r="P113" s="450"/>
      <c r="Q113" s="450"/>
      <c r="R113" s="450"/>
      <c r="S113" s="451"/>
      <c r="T113" s="359" t="s">
        <v>213</v>
      </c>
      <c r="U113" s="93"/>
    </row>
    <row r="114" spans="1:21" ht="15">
      <c r="A114" s="156">
        <f t="shared" si="19"/>
        <v>105</v>
      </c>
      <c r="C114" s="359" t="s">
        <v>593</v>
      </c>
      <c r="D114" s="363"/>
      <c r="E114" s="363"/>
      <c r="F114" s="363">
        <v>75432</v>
      </c>
      <c r="G114" s="108" t="e">
        <f>F114/(31*24*D114)</f>
        <v>#DIV/0!</v>
      </c>
      <c r="H114" s="108" t="e">
        <f>F114/(31*24*E114)</f>
        <v>#DIV/0!</v>
      </c>
      <c r="I114" s="450"/>
      <c r="J114" s="450">
        <v>3394.67</v>
      </c>
      <c r="K114" s="450"/>
      <c r="L114" s="450">
        <v>1244.22</v>
      </c>
      <c r="M114" s="450">
        <v>261.85000000000002</v>
      </c>
      <c r="N114" s="450">
        <v>145.16999999999999</v>
      </c>
      <c r="O114" s="450"/>
      <c r="P114" s="450">
        <v>-251.79</v>
      </c>
      <c r="Q114" s="450"/>
      <c r="R114" s="470"/>
      <c r="S114" s="97"/>
      <c r="T114" s="359">
        <f>SUM(I114:R114)</f>
        <v>4794.1200000000008</v>
      </c>
      <c r="U114" s="93"/>
    </row>
    <row r="115" spans="1:21" ht="15">
      <c r="A115" s="156">
        <f t="shared" si="19"/>
        <v>106</v>
      </c>
      <c r="C115" s="359"/>
      <c r="D115" s="363"/>
      <c r="E115" s="363"/>
      <c r="F115" s="363"/>
      <c r="G115" s="108"/>
      <c r="H115" s="108"/>
      <c r="I115" s="450"/>
      <c r="J115" s="450"/>
      <c r="K115" s="450"/>
      <c r="L115" s="450"/>
      <c r="M115" s="450"/>
      <c r="N115" s="450"/>
      <c r="O115" s="450"/>
      <c r="P115" s="450"/>
      <c r="Q115" s="450"/>
      <c r="R115" s="470"/>
      <c r="S115" s="451"/>
      <c r="T115" s="359" t="s">
        <v>213</v>
      </c>
      <c r="U115" s="93"/>
    </row>
    <row r="116" spans="1:21" ht="15">
      <c r="A116" s="156">
        <f t="shared" si="19"/>
        <v>107</v>
      </c>
      <c r="C116" s="359" t="s">
        <v>594</v>
      </c>
      <c r="D116" s="363"/>
      <c r="E116" s="363"/>
      <c r="F116" s="363">
        <v>92017</v>
      </c>
      <c r="G116" s="108" t="e">
        <f>F116/(31*24*D116)</f>
        <v>#DIV/0!</v>
      </c>
      <c r="H116" s="108" t="e">
        <f>F116/(31*24*E116)</f>
        <v>#DIV/0!</v>
      </c>
      <c r="I116" s="450"/>
      <c r="J116" s="450">
        <v>4141.1099999999997</v>
      </c>
      <c r="K116" s="450"/>
      <c r="L116" s="450">
        <v>2080.34</v>
      </c>
      <c r="M116" s="450">
        <v>402.19</v>
      </c>
      <c r="N116" s="450">
        <v>214.43</v>
      </c>
      <c r="O116" s="450"/>
      <c r="P116" s="450">
        <v>-478.38</v>
      </c>
      <c r="Q116" s="450"/>
      <c r="R116" s="470"/>
      <c r="S116" s="97"/>
      <c r="T116" s="359">
        <f>SUM(I116:R116)</f>
        <v>6359.69</v>
      </c>
      <c r="U116" s="93"/>
    </row>
    <row r="117" spans="1:21" ht="15">
      <c r="A117" s="156">
        <f t="shared" si="19"/>
        <v>108</v>
      </c>
      <c r="C117" s="359"/>
      <c r="D117" s="363"/>
      <c r="E117" s="363"/>
      <c r="F117" s="363"/>
      <c r="G117" s="359"/>
      <c r="H117" s="359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1"/>
      <c r="T117" s="359" t="s">
        <v>213</v>
      </c>
      <c r="U117" s="93"/>
    </row>
    <row r="118" spans="1:21" ht="15">
      <c r="A118" s="156">
        <f t="shared" si="19"/>
        <v>109</v>
      </c>
      <c r="C118" s="359" t="s">
        <v>595</v>
      </c>
      <c r="D118" s="363"/>
      <c r="E118" s="363"/>
      <c r="F118" s="363">
        <v>81693</v>
      </c>
      <c r="G118" s="108" t="e">
        <f>F118/(31*24*D118)</f>
        <v>#DIV/0!</v>
      </c>
      <c r="H118" s="108" t="e">
        <f>F118/(31*24*E118)</f>
        <v>#DIV/0!</v>
      </c>
      <c r="I118" s="450"/>
      <c r="J118" s="450">
        <v>3676.51</v>
      </c>
      <c r="K118" s="450"/>
      <c r="L118" s="450">
        <v>3157.88</v>
      </c>
      <c r="M118" s="450">
        <v>365.45</v>
      </c>
      <c r="N118" s="450">
        <v>536.47</v>
      </c>
      <c r="O118" s="450"/>
      <c r="P118" s="450">
        <v>-627.69000000000005</v>
      </c>
      <c r="Q118" s="450"/>
      <c r="R118" s="470"/>
      <c r="S118" s="97"/>
      <c r="T118" s="359">
        <f>SUM(I118:R118)</f>
        <v>7108.6200000000008</v>
      </c>
      <c r="U118" s="93"/>
    </row>
    <row r="119" spans="1:21" ht="15">
      <c r="A119" s="156">
        <f t="shared" si="19"/>
        <v>110</v>
      </c>
      <c r="C119" s="359"/>
      <c r="D119" s="363"/>
      <c r="E119" s="363"/>
      <c r="F119" s="363"/>
      <c r="G119" s="359"/>
      <c r="H119" s="359"/>
      <c r="I119" s="450"/>
      <c r="J119" s="450"/>
      <c r="K119" s="450"/>
      <c r="L119" s="450"/>
      <c r="M119" s="450"/>
      <c r="N119" s="450"/>
      <c r="O119" s="450"/>
      <c r="P119" s="450"/>
      <c r="Q119" s="450"/>
      <c r="R119" s="450"/>
      <c r="S119" s="451"/>
      <c r="T119" s="359" t="s">
        <v>213</v>
      </c>
      <c r="U119" s="93"/>
    </row>
    <row r="120" spans="1:21" ht="15">
      <c r="A120" s="156">
        <f t="shared" si="19"/>
        <v>111</v>
      </c>
      <c r="C120" s="359" t="s">
        <v>596</v>
      </c>
      <c r="D120" s="363"/>
      <c r="E120" s="363"/>
      <c r="F120" s="363">
        <v>44919</v>
      </c>
      <c r="G120" s="108" t="e">
        <f>F120/(31*24*D120)</f>
        <v>#DIV/0!</v>
      </c>
      <c r="H120" s="108" t="e">
        <f>F120/(31*24*E120)</f>
        <v>#DIV/0!</v>
      </c>
      <c r="I120" s="450"/>
      <c r="J120" s="450">
        <v>2021.58</v>
      </c>
      <c r="K120" s="450"/>
      <c r="L120" s="450">
        <v>1721.76</v>
      </c>
      <c r="M120" s="450">
        <v>283.26</v>
      </c>
      <c r="N120" s="450">
        <v>319.39999999999998</v>
      </c>
      <c r="O120" s="450"/>
      <c r="P120" s="450">
        <v>-475.06</v>
      </c>
      <c r="Q120" s="450"/>
      <c r="R120" s="470"/>
      <c r="S120" s="97"/>
      <c r="T120" s="359">
        <f>SUM(I120:R120)</f>
        <v>3870.94</v>
      </c>
      <c r="U120" s="93"/>
    </row>
    <row r="121" spans="1:21" ht="15">
      <c r="A121" s="156">
        <f t="shared" si="19"/>
        <v>112</v>
      </c>
      <c r="C121" s="359"/>
      <c r="D121" s="363"/>
      <c r="E121" s="363"/>
      <c r="F121" s="363"/>
      <c r="G121" s="359"/>
      <c r="H121" s="359"/>
      <c r="I121" s="450"/>
      <c r="J121" s="450"/>
      <c r="K121" s="450"/>
      <c r="L121" s="450"/>
      <c r="M121" s="450"/>
      <c r="N121" s="450"/>
      <c r="O121" s="450"/>
      <c r="P121" s="450"/>
      <c r="Q121" s="450"/>
      <c r="R121" s="450"/>
      <c r="S121" s="451"/>
      <c r="T121" s="359" t="s">
        <v>213</v>
      </c>
      <c r="U121" s="93"/>
    </row>
    <row r="122" spans="1:21" ht="15">
      <c r="A122" s="156">
        <f t="shared" si="19"/>
        <v>113</v>
      </c>
      <c r="C122" s="359" t="s">
        <v>586</v>
      </c>
      <c r="D122" s="363">
        <v>0</v>
      </c>
      <c r="E122" s="363">
        <v>0</v>
      </c>
      <c r="F122" s="363">
        <v>31873</v>
      </c>
      <c r="G122" s="108" t="e">
        <v>#DIV/0!</v>
      </c>
      <c r="H122" s="108" t="e">
        <v>#DIV/0!</v>
      </c>
      <c r="I122" s="450"/>
      <c r="J122" s="450">
        <v>1434.58</v>
      </c>
      <c r="K122" s="450"/>
      <c r="L122" s="450">
        <v>996.29</v>
      </c>
      <c r="M122" s="450">
        <v>140.47999999999999</v>
      </c>
      <c r="N122" s="450">
        <v>236.61</v>
      </c>
      <c r="O122" s="450"/>
      <c r="P122" s="450">
        <v>-273.24</v>
      </c>
      <c r="Q122" s="450"/>
      <c r="R122" s="470"/>
      <c r="S122" s="97"/>
      <c r="T122" s="359">
        <v>2534.7200000000003</v>
      </c>
      <c r="U122" s="93"/>
    </row>
    <row r="123" spans="1:21" ht="15">
      <c r="A123" s="156">
        <f t="shared" si="19"/>
        <v>114</v>
      </c>
      <c r="C123" s="359"/>
      <c r="D123" s="363"/>
      <c r="E123" s="363"/>
      <c r="F123" s="363"/>
      <c r="G123" s="359"/>
      <c r="H123" s="359"/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1"/>
      <c r="T123" s="359"/>
      <c r="U123" s="93"/>
    </row>
    <row r="124" spans="1:21" ht="15">
      <c r="A124" s="156">
        <f t="shared" si="19"/>
        <v>115</v>
      </c>
      <c r="C124" s="359" t="s">
        <v>587</v>
      </c>
      <c r="D124" s="363">
        <v>0</v>
      </c>
      <c r="E124" s="363">
        <v>0</v>
      </c>
      <c r="F124" s="363">
        <v>-679018</v>
      </c>
      <c r="G124" s="108" t="e">
        <v>#DIV/0!</v>
      </c>
      <c r="H124" s="108" t="e">
        <v>#DIV/0!</v>
      </c>
      <c r="I124" s="450"/>
      <c r="J124" s="450">
        <v>-30559.91</v>
      </c>
      <c r="K124" s="450"/>
      <c r="L124" s="450">
        <v>-9965.84</v>
      </c>
      <c r="M124" s="450">
        <v>-4124.55</v>
      </c>
      <c r="N124" s="450">
        <v>-2059.6</v>
      </c>
      <c r="O124" s="450"/>
      <c r="P124" s="450">
        <v>4294.3100000000004</v>
      </c>
      <c r="Q124" s="450"/>
      <c r="R124" s="470"/>
      <c r="S124" s="97"/>
      <c r="T124" s="359">
        <v>-42415.590000000004</v>
      </c>
      <c r="U124" s="93"/>
    </row>
    <row r="125" spans="1:21" ht="15">
      <c r="A125" s="156">
        <f t="shared" si="19"/>
        <v>116</v>
      </c>
      <c r="C125" s="359"/>
      <c r="D125" s="109" t="s">
        <v>134</v>
      </c>
      <c r="E125" s="109" t="s">
        <v>134</v>
      </c>
      <c r="F125" s="109" t="s">
        <v>134</v>
      </c>
      <c r="G125" s="110" t="s">
        <v>134</v>
      </c>
      <c r="H125" s="110" t="s">
        <v>134</v>
      </c>
      <c r="I125" s="362" t="s">
        <v>134</v>
      </c>
      <c r="J125" s="362" t="s">
        <v>134</v>
      </c>
      <c r="K125" s="362"/>
      <c r="L125" s="362"/>
      <c r="M125" s="362"/>
      <c r="N125" s="105"/>
      <c r="O125" s="362"/>
      <c r="P125" s="105"/>
      <c r="Q125" s="105"/>
      <c r="R125" s="106" t="s">
        <v>134</v>
      </c>
      <c r="S125" s="359"/>
      <c r="T125" s="362" t="s">
        <v>134</v>
      </c>
      <c r="U125" s="93"/>
    </row>
    <row r="126" spans="1:21" ht="15">
      <c r="A126" s="156">
        <f t="shared" si="19"/>
        <v>117</v>
      </c>
      <c r="C126" s="359" t="s">
        <v>108</v>
      </c>
      <c r="D126" s="96">
        <f>SUM(D102:D124)</f>
        <v>0</v>
      </c>
      <c r="E126" s="96">
        <f>SUM(E102:E124)</f>
        <v>0</v>
      </c>
      <c r="F126" s="96">
        <f>SUM(F102:F124)</f>
        <v>51149</v>
      </c>
      <c r="G126" s="108"/>
      <c r="H126" s="108"/>
      <c r="I126" s="359">
        <f>SUM(I102:I124)</f>
        <v>0</v>
      </c>
      <c r="J126" s="359">
        <f>SUM(J102:J124)</f>
        <v>2293.190000000006</v>
      </c>
      <c r="K126" s="359">
        <f>SUM(K102:K124)</f>
        <v>0</v>
      </c>
      <c r="L126" s="359">
        <f t="shared" ref="L126:R126" si="20">SUM(L102:L124)</f>
        <v>5300.869999999999</v>
      </c>
      <c r="M126" s="359">
        <f t="shared" si="20"/>
        <v>74.649999999998727</v>
      </c>
      <c r="N126" s="99">
        <f t="shared" si="20"/>
        <v>485.45000000000027</v>
      </c>
      <c r="O126" s="359">
        <f t="shared" si="20"/>
        <v>0</v>
      </c>
      <c r="P126" s="99">
        <f t="shared" si="20"/>
        <v>-713.88000000000011</v>
      </c>
      <c r="Q126" s="99">
        <f>SUM(Q102:Q124)</f>
        <v>0</v>
      </c>
      <c r="R126" s="99">
        <f t="shared" si="20"/>
        <v>0</v>
      </c>
      <c r="S126" s="359"/>
      <c r="T126" s="359">
        <f>SUM(T102:T124)</f>
        <v>7440.2800000000061</v>
      </c>
      <c r="U126" s="93"/>
    </row>
    <row r="127" spans="1:21" ht="15">
      <c r="A127" s="156">
        <f t="shared" si="19"/>
        <v>118</v>
      </c>
      <c r="C127" s="359"/>
      <c r="D127" s="109" t="s">
        <v>229</v>
      </c>
      <c r="E127" s="109" t="s">
        <v>229</v>
      </c>
      <c r="F127" s="109" t="s">
        <v>229</v>
      </c>
      <c r="G127" s="110" t="s">
        <v>229</v>
      </c>
      <c r="H127" s="110" t="s">
        <v>229</v>
      </c>
      <c r="I127" s="362" t="s">
        <v>229</v>
      </c>
      <c r="J127" s="362" t="s">
        <v>229</v>
      </c>
      <c r="K127" s="362"/>
      <c r="L127" s="362"/>
      <c r="M127" s="362"/>
      <c r="N127" s="105"/>
      <c r="O127" s="362"/>
      <c r="P127" s="105"/>
      <c r="Q127" s="105"/>
      <c r="R127" s="106" t="s">
        <v>229</v>
      </c>
      <c r="S127" s="359"/>
      <c r="T127" s="362" t="s">
        <v>229</v>
      </c>
      <c r="U127" s="93"/>
    </row>
    <row r="128" spans="1:21" ht="15">
      <c r="A128" s="156">
        <f t="shared" si="19"/>
        <v>119</v>
      </c>
      <c r="C128" s="98"/>
      <c r="D128" s="98"/>
      <c r="E128" s="98"/>
      <c r="F128" s="137"/>
      <c r="G128" s="98"/>
      <c r="H128" s="98"/>
      <c r="I128" s="98"/>
      <c r="J128" s="98">
        <f>F126*0.045</f>
        <v>2301.7049999999999</v>
      </c>
      <c r="K128" s="98"/>
      <c r="L128" s="98"/>
      <c r="M128" s="98"/>
      <c r="P128" s="114"/>
      <c r="Q128" s="98"/>
      <c r="R128" s="99"/>
      <c r="S128" s="114"/>
      <c r="T128" s="97"/>
      <c r="U128" s="93"/>
    </row>
    <row r="129" spans="1:21" ht="15">
      <c r="A129" s="156">
        <f t="shared" si="19"/>
        <v>120</v>
      </c>
      <c r="C129" s="98"/>
      <c r="D129" s="98"/>
      <c r="E129" s="98"/>
      <c r="F129" s="137"/>
      <c r="G129" s="98"/>
      <c r="H129" s="98"/>
      <c r="I129" s="98"/>
      <c r="J129" s="98">
        <f>J128-J126</f>
        <v>8.514999999993961</v>
      </c>
      <c r="K129" s="98"/>
      <c r="L129" s="98"/>
      <c r="M129" s="98"/>
      <c r="P129" s="114"/>
      <c r="Q129" s="98"/>
      <c r="R129" s="99"/>
      <c r="S129" s="114"/>
      <c r="T129" s="97"/>
      <c r="U129" s="93"/>
    </row>
    <row r="130" spans="1:21" ht="15">
      <c r="A130" s="156">
        <f t="shared" si="19"/>
        <v>121</v>
      </c>
      <c r="C130" s="98"/>
      <c r="D130" s="98"/>
      <c r="E130" s="98"/>
      <c r="F130" s="137"/>
      <c r="G130" s="98"/>
      <c r="H130" s="98"/>
      <c r="I130" s="98"/>
      <c r="J130" s="98"/>
      <c r="K130" s="98"/>
      <c r="L130" s="98"/>
      <c r="M130" s="98"/>
      <c r="P130" s="114"/>
      <c r="Q130" s="98"/>
      <c r="R130" s="99"/>
      <c r="S130" s="114"/>
      <c r="T130" s="97"/>
      <c r="U130" s="93"/>
    </row>
    <row r="131" spans="1:21" ht="15">
      <c r="A131" s="156">
        <f t="shared" si="19"/>
        <v>122</v>
      </c>
      <c r="C131" s="98"/>
      <c r="D131" s="98"/>
      <c r="E131" s="98"/>
      <c r="F131" s="137"/>
      <c r="G131" s="98"/>
      <c r="H131" s="98"/>
      <c r="I131" s="98"/>
      <c r="J131" s="98"/>
      <c r="K131" s="98"/>
      <c r="L131" s="98"/>
      <c r="M131" s="98"/>
      <c r="P131" s="114"/>
      <c r="Q131" s="98"/>
      <c r="R131" s="99"/>
      <c r="S131" s="114"/>
      <c r="T131" s="97"/>
      <c r="U131" s="93"/>
    </row>
    <row r="132" spans="1:21" ht="15">
      <c r="A132" s="156">
        <f t="shared" si="19"/>
        <v>123</v>
      </c>
      <c r="C132" s="98"/>
      <c r="D132" s="98"/>
      <c r="E132" s="98"/>
      <c r="F132" s="137"/>
      <c r="G132" s="98"/>
      <c r="H132" s="98"/>
      <c r="I132" s="98"/>
      <c r="J132" s="98"/>
      <c r="K132" s="98"/>
      <c r="L132" s="98"/>
      <c r="M132" s="98"/>
      <c r="P132" s="114"/>
      <c r="Q132" s="98"/>
      <c r="R132" s="99"/>
      <c r="S132" s="114"/>
      <c r="T132" s="97"/>
      <c r="U132" s="93"/>
    </row>
    <row r="133" spans="1:21" ht="15">
      <c r="A133" s="156">
        <f t="shared" si="19"/>
        <v>124</v>
      </c>
      <c r="C133" s="98"/>
      <c r="D133" s="98"/>
      <c r="E133" s="98"/>
      <c r="F133" s="137"/>
      <c r="G133" s="98"/>
      <c r="H133" s="98"/>
      <c r="I133" s="98"/>
      <c r="J133" s="98"/>
      <c r="K133" s="98"/>
      <c r="L133" s="98"/>
      <c r="M133" s="98"/>
      <c r="P133" s="114"/>
      <c r="Q133" s="98"/>
      <c r="R133" s="99"/>
      <c r="S133" s="114"/>
      <c r="T133" s="97"/>
      <c r="U133" s="93"/>
    </row>
    <row r="134" spans="1:21" ht="15">
      <c r="A134" s="156">
        <f t="shared" si="19"/>
        <v>125</v>
      </c>
      <c r="C134" s="98"/>
      <c r="D134" s="98"/>
      <c r="E134" s="98"/>
      <c r="F134" s="137"/>
      <c r="G134" s="98"/>
      <c r="H134" s="98"/>
      <c r="I134" s="98"/>
      <c r="J134" s="98"/>
      <c r="K134" s="98"/>
      <c r="L134" s="98"/>
      <c r="M134" s="98"/>
      <c r="P134" s="114"/>
      <c r="Q134" s="98"/>
      <c r="R134" s="99"/>
      <c r="S134" s="114"/>
      <c r="T134" s="97"/>
      <c r="U134" s="93"/>
    </row>
    <row r="135" spans="1:21" ht="15">
      <c r="A135" s="156">
        <f t="shared" si="19"/>
        <v>126</v>
      </c>
      <c r="C135" s="98" t="s">
        <v>1135</v>
      </c>
      <c r="D135" s="464">
        <v>163</v>
      </c>
      <c r="E135" s="464">
        <v>184.1</v>
      </c>
      <c r="F135" s="464">
        <v>241</v>
      </c>
      <c r="G135" s="464">
        <v>582.20000000000005</v>
      </c>
      <c r="H135" s="464">
        <v>588</v>
      </c>
      <c r="I135" s="464">
        <v>592</v>
      </c>
      <c r="J135" s="464">
        <v>903</v>
      </c>
      <c r="K135" s="464">
        <v>935</v>
      </c>
      <c r="L135" s="460" t="s">
        <v>1132</v>
      </c>
      <c r="N135" s="156"/>
      <c r="P135" s="114"/>
      <c r="Q135" s="98" t="s">
        <v>213</v>
      </c>
      <c r="S135" s="113"/>
      <c r="U135" s="93"/>
    </row>
    <row r="136" spans="1:21" ht="15">
      <c r="A136" s="156">
        <f t="shared" si="19"/>
        <v>127</v>
      </c>
      <c r="C136" s="458" t="s">
        <v>1133</v>
      </c>
      <c r="D136" s="453">
        <v>2145.44</v>
      </c>
      <c r="E136" s="453">
        <v>48.59</v>
      </c>
      <c r="F136" s="453">
        <v>-970.03</v>
      </c>
      <c r="G136" s="453">
        <v>3844.97</v>
      </c>
      <c r="H136" s="453">
        <v>1347.16</v>
      </c>
      <c r="I136" s="453">
        <v>949.65</v>
      </c>
      <c r="J136" s="453">
        <v>778.01</v>
      </c>
      <c r="K136" s="453">
        <v>8023.44</v>
      </c>
      <c r="L136" s="453">
        <v>16167.23</v>
      </c>
      <c r="M136" s="30"/>
      <c r="N136" s="483">
        <v>183399</v>
      </c>
      <c r="O136" s="474"/>
      <c r="Q136" s="98" t="s">
        <v>213</v>
      </c>
      <c r="S136" s="113"/>
      <c r="U136" s="93"/>
    </row>
    <row r="137" spans="1:21" ht="15">
      <c r="A137" s="156">
        <f t="shared" si="19"/>
        <v>128</v>
      </c>
      <c r="C137" s="455" t="s">
        <v>424</v>
      </c>
      <c r="D137" s="453">
        <v>2234.29</v>
      </c>
      <c r="E137" s="453">
        <v>154.38</v>
      </c>
      <c r="F137" s="453">
        <v>-993.38</v>
      </c>
      <c r="G137" s="453">
        <v>4137.04</v>
      </c>
      <c r="H137" s="453">
        <v>1325.47</v>
      </c>
      <c r="I137" s="453">
        <v>1022.88</v>
      </c>
      <c r="J137" s="453">
        <v>701.67</v>
      </c>
      <c r="K137" s="453">
        <v>7974.01</v>
      </c>
      <c r="L137" s="453">
        <v>16556.36</v>
      </c>
      <c r="N137" s="483">
        <v>181884</v>
      </c>
      <c r="O137" s="474"/>
      <c r="P137" s="100"/>
      <c r="Q137" s="98"/>
      <c r="S137" s="113"/>
      <c r="U137" s="93"/>
    </row>
    <row r="138" spans="1:21" ht="15">
      <c r="A138" s="156">
        <f t="shared" si="19"/>
        <v>129</v>
      </c>
      <c r="C138" s="455" t="s">
        <v>235</v>
      </c>
      <c r="D138" s="453">
        <v>2066.77</v>
      </c>
      <c r="E138" s="453">
        <v>41.7</v>
      </c>
      <c r="F138" s="453">
        <v>-887.7</v>
      </c>
      <c r="G138" s="453">
        <v>3672.09</v>
      </c>
      <c r="H138" s="453">
        <v>806.63</v>
      </c>
      <c r="I138" s="453">
        <v>905.46</v>
      </c>
      <c r="J138" s="453">
        <v>549.32000000000005</v>
      </c>
      <c r="K138" s="453">
        <v>7640.8</v>
      </c>
      <c r="L138" s="453">
        <v>14795.07</v>
      </c>
      <c r="N138" s="483">
        <v>150426</v>
      </c>
      <c r="O138" s="474"/>
      <c r="P138" s="115"/>
      <c r="Q138" s="111"/>
      <c r="R138" s="111"/>
      <c r="S138" s="113"/>
      <c r="T138" s="93"/>
      <c r="U138" s="93"/>
    </row>
    <row r="139" spans="1:21" ht="15">
      <c r="A139" s="156">
        <f t="shared" si="19"/>
        <v>130</v>
      </c>
      <c r="C139" s="455" t="s">
        <v>1129</v>
      </c>
      <c r="D139" s="453">
        <v>2329.94</v>
      </c>
      <c r="E139" s="453">
        <v>45.88</v>
      </c>
      <c r="F139" s="453">
        <v>-1049.08</v>
      </c>
      <c r="G139" s="453">
        <v>4058</v>
      </c>
      <c r="H139" s="453">
        <v>1027.8399999999999</v>
      </c>
      <c r="I139" s="453">
        <v>1000</v>
      </c>
      <c r="J139" s="453">
        <v>660.9</v>
      </c>
      <c r="K139" s="453">
        <v>9411.2000000000007</v>
      </c>
      <c r="L139" s="453">
        <v>17484.68</v>
      </c>
      <c r="N139" s="483">
        <v>177738</v>
      </c>
      <c r="O139" s="474"/>
      <c r="P139" s="100"/>
      <c r="Q139" s="98"/>
      <c r="R139" s="98"/>
      <c r="S139" s="113"/>
      <c r="T139" s="93"/>
      <c r="U139" s="93"/>
    </row>
    <row r="140" spans="1:21" ht="15">
      <c r="A140" s="156">
        <f t="shared" si="19"/>
        <v>131</v>
      </c>
      <c r="C140" s="455" t="s">
        <v>1130</v>
      </c>
      <c r="D140" s="453">
        <v>2455.2199999999998</v>
      </c>
      <c r="E140" s="453">
        <v>50.53</v>
      </c>
      <c r="F140" s="453">
        <v>-1127.1400000000001</v>
      </c>
      <c r="G140" s="453">
        <v>4115.26</v>
      </c>
      <c r="H140" s="453">
        <v>1079.72</v>
      </c>
      <c r="I140" s="453">
        <v>1012.98</v>
      </c>
      <c r="J140" s="453">
        <v>847.5</v>
      </c>
      <c r="K140" s="453">
        <v>10351.629999999999</v>
      </c>
      <c r="L140" s="453">
        <v>18785.699999999997</v>
      </c>
      <c r="N140" s="483">
        <v>189167</v>
      </c>
      <c r="O140" s="474"/>
      <c r="P140" s="100"/>
      <c r="Q140" s="98"/>
      <c r="R140" s="98"/>
      <c r="S140" s="113"/>
      <c r="T140" s="93"/>
      <c r="U140" s="93"/>
    </row>
    <row r="141" spans="1:21" ht="15">
      <c r="A141" s="156">
        <f t="shared" si="19"/>
        <v>132</v>
      </c>
      <c r="C141" s="455" t="s">
        <v>419</v>
      </c>
      <c r="D141" s="453">
        <v>2029.33</v>
      </c>
      <c r="E141" s="453">
        <v>68.61</v>
      </c>
      <c r="F141" s="453">
        <v>-915.36</v>
      </c>
      <c r="G141" s="454">
        <v>3260.32</v>
      </c>
      <c r="H141" s="454">
        <v>924.35</v>
      </c>
      <c r="I141" s="453">
        <v>802.21</v>
      </c>
      <c r="J141" s="453">
        <v>447.12</v>
      </c>
      <c r="K141" s="453">
        <v>8639.5</v>
      </c>
      <c r="L141" s="453">
        <v>15256.08</v>
      </c>
      <c r="N141" s="483">
        <v>188543</v>
      </c>
      <c r="O141" s="474"/>
      <c r="Q141" s="98"/>
      <c r="R141" s="98"/>
      <c r="S141" s="113"/>
      <c r="T141" s="93"/>
      <c r="U141" s="93"/>
    </row>
    <row r="142" spans="1:21" ht="15">
      <c r="A142" s="156">
        <f t="shared" si="19"/>
        <v>133</v>
      </c>
      <c r="C142" s="455" t="s">
        <v>1131</v>
      </c>
      <c r="D142" s="453">
        <v>2281.31</v>
      </c>
      <c r="E142" s="453">
        <v>87.33</v>
      </c>
      <c r="F142" s="453">
        <v>-1005.48</v>
      </c>
      <c r="G142" s="454">
        <v>3713.42</v>
      </c>
      <c r="H142" s="454">
        <v>990.1</v>
      </c>
      <c r="I142" s="453">
        <v>914.19</v>
      </c>
      <c r="J142" s="453">
        <v>463.04</v>
      </c>
      <c r="K142" s="453">
        <v>9314.07</v>
      </c>
      <c r="L142" s="453">
        <v>16757.98</v>
      </c>
      <c r="N142" s="483">
        <v>177053</v>
      </c>
      <c r="O142" s="474"/>
      <c r="Q142" s="113"/>
      <c r="R142" s="93"/>
      <c r="S142" s="93"/>
    </row>
    <row r="143" spans="1:21" ht="15">
      <c r="A143" s="156">
        <f t="shared" si="19"/>
        <v>134</v>
      </c>
      <c r="C143" s="457" t="s">
        <v>420</v>
      </c>
      <c r="D143" s="453">
        <v>2266.41</v>
      </c>
      <c r="E143" s="453">
        <v>149.22999999999999</v>
      </c>
      <c r="F143" s="453">
        <v>-944.86</v>
      </c>
      <c r="G143" s="454">
        <v>3700.78</v>
      </c>
      <c r="H143" s="454">
        <v>1136.93</v>
      </c>
      <c r="I143" s="454">
        <v>912.42</v>
      </c>
      <c r="J143" s="454">
        <v>443.83</v>
      </c>
      <c r="K143" s="393">
        <v>8082.91</v>
      </c>
      <c r="L143" s="454">
        <v>15747.65</v>
      </c>
      <c r="N143" s="484">
        <v>147657</v>
      </c>
      <c r="O143" s="474"/>
      <c r="R143" s="93"/>
      <c r="S143" s="93"/>
    </row>
    <row r="144" spans="1:21" ht="15">
      <c r="A144" s="156">
        <f t="shared" si="19"/>
        <v>135</v>
      </c>
      <c r="C144" s="457" t="s">
        <v>421</v>
      </c>
      <c r="D144" s="453">
        <v>2820.07</v>
      </c>
      <c r="E144" s="453">
        <v>206.1</v>
      </c>
      <c r="F144" s="453">
        <v>-1213.53</v>
      </c>
      <c r="G144" s="454">
        <v>4638.5</v>
      </c>
      <c r="H144" s="454">
        <v>1542.89</v>
      </c>
      <c r="I144" s="454">
        <v>1144.08</v>
      </c>
      <c r="J144" s="454">
        <v>742.43</v>
      </c>
      <c r="K144" s="393">
        <v>10344.9</v>
      </c>
      <c r="L144" s="393">
        <v>20225.440000000002</v>
      </c>
      <c r="N144" s="484">
        <v>174761</v>
      </c>
      <c r="O144" s="474"/>
      <c r="R144" s="93"/>
      <c r="S144" s="93"/>
    </row>
    <row r="145" spans="1:19" ht="15">
      <c r="A145" s="156">
        <f t="shared" si="19"/>
        <v>136</v>
      </c>
      <c r="C145" s="457" t="s">
        <v>422</v>
      </c>
      <c r="D145" s="453">
        <v>3172.15</v>
      </c>
      <c r="E145" s="453">
        <v>357.37</v>
      </c>
      <c r="F145" s="453">
        <v>-1436.41</v>
      </c>
      <c r="G145" s="454">
        <v>5432.39</v>
      </c>
      <c r="H145" s="454">
        <v>1972.61</v>
      </c>
      <c r="I145" s="454">
        <v>1341.75</v>
      </c>
      <c r="J145" s="454">
        <v>1154</v>
      </c>
      <c r="K145" s="393">
        <v>11946.33</v>
      </c>
      <c r="L145" s="454">
        <v>23940.190000000002</v>
      </c>
      <c r="N145" s="483">
        <v>204507</v>
      </c>
      <c r="O145" s="474"/>
      <c r="R145" s="93"/>
      <c r="S145" s="93"/>
    </row>
    <row r="146" spans="1:19" ht="15">
      <c r="A146" s="156">
        <f t="shared" si="19"/>
        <v>137</v>
      </c>
      <c r="C146" s="459" t="s">
        <v>1121</v>
      </c>
      <c r="D146" s="453">
        <v>3715.67</v>
      </c>
      <c r="E146" s="453">
        <v>397.74</v>
      </c>
      <c r="F146" s="453">
        <v>-1680.49</v>
      </c>
      <c r="G146" s="454">
        <v>5909.36</v>
      </c>
      <c r="H146" s="454">
        <v>2079.17</v>
      </c>
      <c r="I146" s="454">
        <v>1458.25</v>
      </c>
      <c r="J146" s="454">
        <v>1812.28</v>
      </c>
      <c r="K146" s="393">
        <v>14316.14</v>
      </c>
      <c r="L146" s="454">
        <v>28008.12</v>
      </c>
      <c r="N146" s="483">
        <v>241845</v>
      </c>
      <c r="O146" s="481"/>
      <c r="R146" s="93"/>
      <c r="S146" s="93"/>
    </row>
    <row r="147" spans="1:19" ht="15">
      <c r="A147" s="156">
        <f t="shared" si="19"/>
        <v>138</v>
      </c>
      <c r="C147" s="457" t="s">
        <v>418</v>
      </c>
      <c r="D147" s="460">
        <v>3123.98</v>
      </c>
      <c r="E147" s="460">
        <v>516.62</v>
      </c>
      <c r="F147" s="460">
        <v>-1361.58</v>
      </c>
      <c r="G147" s="461">
        <v>4747.2700000000004</v>
      </c>
      <c r="H147" s="461">
        <v>1758.21</v>
      </c>
      <c r="I147" s="461">
        <v>1171.25</v>
      </c>
      <c r="J147" s="461">
        <v>1104.49</v>
      </c>
      <c r="K147" s="462">
        <v>11632.68</v>
      </c>
      <c r="L147" s="461">
        <v>22692.92</v>
      </c>
      <c r="N147" s="483">
        <v>242117</v>
      </c>
      <c r="O147" s="482"/>
      <c r="R147" s="93"/>
      <c r="S147" s="93"/>
    </row>
    <row r="148" spans="1:19" ht="15.75" thickBot="1">
      <c r="A148" s="156">
        <f t="shared" si="19"/>
        <v>139</v>
      </c>
      <c r="C148" s="93"/>
      <c r="D148" s="463">
        <f>SUM(D136:D147)</f>
        <v>30640.579999999998</v>
      </c>
      <c r="E148" s="463">
        <f t="shared" ref="E148:L148" si="21">SUM(E136:E147)</f>
        <v>2124.08</v>
      </c>
      <c r="F148" s="463">
        <f t="shared" si="21"/>
        <v>-13585.039999999999</v>
      </c>
      <c r="G148" s="463">
        <f t="shared" si="21"/>
        <v>51229.399999999994</v>
      </c>
      <c r="H148" s="463">
        <f t="shared" si="21"/>
        <v>15991.080000000002</v>
      </c>
      <c r="I148" s="463">
        <f t="shared" si="21"/>
        <v>12635.119999999999</v>
      </c>
      <c r="J148" s="463">
        <f t="shared" si="21"/>
        <v>9704.59</v>
      </c>
      <c r="K148" s="463">
        <f t="shared" si="21"/>
        <v>117677.60999999999</v>
      </c>
      <c r="L148" s="463">
        <f t="shared" si="21"/>
        <v>226417.41999999998</v>
      </c>
      <c r="M148" s="52" t="s">
        <v>602</v>
      </c>
      <c r="N148" s="482">
        <f>SUM(N136:N147)</f>
        <v>2259097</v>
      </c>
      <c r="R148" s="93"/>
      <c r="S148" s="93"/>
    </row>
    <row r="149" spans="1:19" ht="13.5" thickTop="1">
      <c r="A149" s="156">
        <f t="shared" si="19"/>
        <v>140</v>
      </c>
      <c r="C149" s="93"/>
      <c r="D149" s="466">
        <f>D148/$L$148</f>
        <v>0.13532783829088768</v>
      </c>
      <c r="E149" s="466">
        <f t="shared" ref="E149:L149" si="22">E148/$L$148</f>
        <v>9.381256972188801E-3</v>
      </c>
      <c r="F149" s="466">
        <f t="shared" si="22"/>
        <v>-5.9999977033569234E-2</v>
      </c>
      <c r="G149" s="466">
        <f t="shared" si="22"/>
        <v>0.22626085925720732</v>
      </c>
      <c r="H149" s="466">
        <f t="shared" si="22"/>
        <v>7.0626544547676598E-2</v>
      </c>
      <c r="I149" s="466">
        <f t="shared" si="22"/>
        <v>5.5804540127698657E-2</v>
      </c>
      <c r="J149" s="466">
        <f t="shared" si="22"/>
        <v>4.2861498907637061E-2</v>
      </c>
      <c r="K149" s="466">
        <f t="shared" si="22"/>
        <v>0.51973743893027313</v>
      </c>
      <c r="L149" s="466">
        <f t="shared" si="22"/>
        <v>1</v>
      </c>
      <c r="M149" s="465">
        <f>SUM(D149:K149)</f>
        <v>1</v>
      </c>
      <c r="R149" s="93"/>
      <c r="S149" s="93"/>
    </row>
    <row r="150" spans="1:19">
      <c r="A150" s="156">
        <f t="shared" si="19"/>
        <v>141</v>
      </c>
      <c r="C150" s="456" t="s">
        <v>275</v>
      </c>
      <c r="D150" s="466">
        <f>D149*0.9</f>
        <v>0.12179505446179892</v>
      </c>
      <c r="E150" s="466">
        <f>E149*0.4</f>
        <v>3.7525027888755205E-3</v>
      </c>
      <c r="F150" s="93"/>
      <c r="G150" s="93"/>
      <c r="H150" s="93"/>
      <c r="I150" s="93"/>
      <c r="J150" s="93"/>
      <c r="K150" s="111"/>
      <c r="L150" s="466">
        <f>SUM(D150:K150)</f>
        <v>0.12554755725067443</v>
      </c>
      <c r="M150" s="93"/>
      <c r="N150" s="1"/>
      <c r="O150" s="38"/>
      <c r="P150" s="38"/>
      <c r="R150" s="93"/>
      <c r="S150" s="93"/>
    </row>
    <row r="151" spans="1:19">
      <c r="A151" s="156">
        <f t="shared" si="19"/>
        <v>142</v>
      </c>
      <c r="C151" s="456" t="s">
        <v>277</v>
      </c>
      <c r="D151" s="466">
        <f>D149-D150</f>
        <v>1.3532783829088763E-2</v>
      </c>
      <c r="E151" s="466">
        <f>E149-E150</f>
        <v>5.6287541833132809E-3</v>
      </c>
      <c r="F151" s="466">
        <f>F149</f>
        <v>-5.9999977033569234E-2</v>
      </c>
      <c r="G151" s="466">
        <f>G149</f>
        <v>0.22626085925720732</v>
      </c>
      <c r="H151" s="466">
        <f t="shared" ref="H151:K151" si="23">H149</f>
        <v>7.0626544547676598E-2</v>
      </c>
      <c r="I151" s="466">
        <f t="shared" si="23"/>
        <v>5.5804540127698657E-2</v>
      </c>
      <c r="J151" s="466">
        <f t="shared" si="23"/>
        <v>4.2861498907637061E-2</v>
      </c>
      <c r="K151" s="466">
        <f t="shared" si="23"/>
        <v>0.51973743893027313</v>
      </c>
      <c r="L151" s="466">
        <f>SUM(D151:K151)</f>
        <v>0.87445244274932565</v>
      </c>
      <c r="M151" s="93"/>
      <c r="N151" s="1"/>
      <c r="P151" s="38"/>
      <c r="R151" s="93"/>
      <c r="S151" s="93"/>
    </row>
    <row r="152" spans="1:19">
      <c r="A152" s="156">
        <f t="shared" si="19"/>
        <v>143</v>
      </c>
      <c r="C152" s="93"/>
      <c r="D152" s="93"/>
      <c r="E152" s="93"/>
      <c r="F152" s="93"/>
      <c r="G152" s="93"/>
      <c r="H152" s="93"/>
      <c r="I152" s="93"/>
      <c r="J152" s="93"/>
      <c r="K152" s="111"/>
      <c r="L152" s="466">
        <f>L150+L151</f>
        <v>1</v>
      </c>
      <c r="M152" s="93"/>
      <c r="N152" s="1"/>
      <c r="P152" s="38"/>
      <c r="R152" s="93"/>
      <c r="S152" s="93"/>
    </row>
    <row r="153" spans="1:19">
      <c r="A153" s="156">
        <f t="shared" si="19"/>
        <v>144</v>
      </c>
      <c r="C153" s="93"/>
      <c r="D153" s="93"/>
      <c r="E153" s="93"/>
      <c r="F153" s="93"/>
      <c r="G153" s="93"/>
      <c r="H153" s="93"/>
      <c r="I153" s="93"/>
      <c r="J153" s="93"/>
      <c r="K153" s="111"/>
      <c r="L153" s="93"/>
      <c r="M153" s="93"/>
      <c r="N153" s="1"/>
      <c r="P153" s="38"/>
      <c r="Q153" s="113"/>
      <c r="R153" s="93"/>
      <c r="S153" s="93"/>
    </row>
    <row r="154" spans="1:19">
      <c r="A154" s="156">
        <f t="shared" si="19"/>
        <v>145</v>
      </c>
      <c r="C154" s="1" t="s">
        <v>276</v>
      </c>
      <c r="D154" s="38">
        <f>L150</f>
        <v>0.12554755725067443</v>
      </c>
      <c r="E154" s="93"/>
      <c r="F154" s="116"/>
      <c r="G154" s="93"/>
      <c r="H154" s="93"/>
      <c r="I154" s="93"/>
      <c r="J154" s="93"/>
      <c r="K154" s="111"/>
      <c r="L154" s="93"/>
      <c r="M154" s="93"/>
      <c r="N154" s="1"/>
      <c r="P154" s="38"/>
      <c r="Q154" s="113"/>
      <c r="R154" s="93"/>
      <c r="S154" s="93"/>
    </row>
    <row r="155" spans="1:19">
      <c r="A155" s="156">
        <f t="shared" si="19"/>
        <v>146</v>
      </c>
      <c r="C155" s="1" t="s">
        <v>277</v>
      </c>
      <c r="D155" s="38">
        <f>G151+H151</f>
        <v>0.29688740380488393</v>
      </c>
      <c r="G155" s="93"/>
      <c r="H155" s="93"/>
      <c r="I155" s="93"/>
      <c r="J155" s="93"/>
      <c r="K155" s="111"/>
      <c r="L155" s="93"/>
      <c r="M155" s="93"/>
      <c r="P155" s="38"/>
      <c r="Q155" s="113"/>
      <c r="R155" s="93"/>
      <c r="S155" s="93"/>
    </row>
    <row r="156" spans="1:19">
      <c r="A156" s="156">
        <f t="shared" si="19"/>
        <v>147</v>
      </c>
      <c r="C156" s="1" t="s">
        <v>278</v>
      </c>
      <c r="D156" s="38">
        <f>I151+D151+E151+F151</f>
        <v>1.4966101106531467E-2</v>
      </c>
    </row>
    <row r="157" spans="1:19">
      <c r="A157" s="156">
        <f t="shared" ref="A157:A194" si="24">A156+1</f>
        <v>148</v>
      </c>
      <c r="C157" s="1" t="s">
        <v>279</v>
      </c>
      <c r="D157" s="38">
        <f>J151</f>
        <v>4.2861498907637061E-2</v>
      </c>
    </row>
    <row r="158" spans="1:19">
      <c r="A158" s="156">
        <f t="shared" si="24"/>
        <v>149</v>
      </c>
      <c r="C158" s="1" t="s">
        <v>280</v>
      </c>
      <c r="D158" s="38">
        <f>K151</f>
        <v>0.51973743893027313</v>
      </c>
    </row>
    <row r="159" spans="1:19">
      <c r="A159" s="156">
        <f t="shared" si="24"/>
        <v>150</v>
      </c>
      <c r="D159" s="38">
        <f>SUM(D154:D158)</f>
        <v>1</v>
      </c>
    </row>
    <row r="160" spans="1:19">
      <c r="A160" s="156">
        <f t="shared" si="24"/>
        <v>151</v>
      </c>
      <c r="D160" s="38"/>
    </row>
    <row r="161" spans="1:20">
      <c r="A161" s="156">
        <f t="shared" si="24"/>
        <v>152</v>
      </c>
      <c r="D161" t="s">
        <v>434</v>
      </c>
      <c r="H161" t="s">
        <v>1142</v>
      </c>
      <c r="L161" t="s">
        <v>344</v>
      </c>
      <c r="P161" t="s">
        <v>254</v>
      </c>
    </row>
    <row r="162" spans="1:20">
      <c r="A162" s="156">
        <f t="shared" si="24"/>
        <v>153</v>
      </c>
      <c r="D162" t="s">
        <v>1143</v>
      </c>
      <c r="E162" t="s">
        <v>432</v>
      </c>
      <c r="F162" t="s">
        <v>1144</v>
      </c>
      <c r="G162" t="s">
        <v>457</v>
      </c>
      <c r="H162" t="s">
        <v>1143</v>
      </c>
      <c r="I162" t="s">
        <v>432</v>
      </c>
      <c r="J162" t="s">
        <v>1144</v>
      </c>
      <c r="K162" t="s">
        <v>457</v>
      </c>
      <c r="L162" t="s">
        <v>1143</v>
      </c>
      <c r="M162" t="s">
        <v>432</v>
      </c>
      <c r="N162" t="s">
        <v>1144</v>
      </c>
      <c r="O162" t="s">
        <v>457</v>
      </c>
      <c r="P162" t="s">
        <v>1143</v>
      </c>
      <c r="Q162" t="s">
        <v>432</v>
      </c>
      <c r="R162" t="s">
        <v>1144</v>
      </c>
      <c r="S162" t="s">
        <v>457</v>
      </c>
    </row>
    <row r="163" spans="1:20">
      <c r="A163" s="156">
        <f t="shared" si="24"/>
        <v>154</v>
      </c>
      <c r="C163" s="388">
        <v>44621</v>
      </c>
      <c r="D163">
        <v>825094.85</v>
      </c>
      <c r="E163">
        <v>4.1900000000000004</v>
      </c>
      <c r="F163">
        <v>1754.42</v>
      </c>
      <c r="G163">
        <v>826853.46</v>
      </c>
      <c r="H163">
        <v>611835.64</v>
      </c>
      <c r="I163">
        <v>-1.73</v>
      </c>
      <c r="J163">
        <v>1300.8800000000001</v>
      </c>
      <c r="K163">
        <v>613134.79</v>
      </c>
      <c r="L163">
        <v>208552.25</v>
      </c>
      <c r="M163">
        <v>-0.69</v>
      </c>
      <c r="N163">
        <v>443.46</v>
      </c>
      <c r="O163">
        <v>208995.02</v>
      </c>
      <c r="P163">
        <v>-404896.64</v>
      </c>
      <c r="Q163">
        <v>2.35</v>
      </c>
      <c r="R163">
        <v>-860.89</v>
      </c>
      <c r="S163">
        <v>-405755.18000000005</v>
      </c>
    </row>
    <row r="164" spans="1:20">
      <c r="A164" s="156">
        <f t="shared" si="24"/>
        <v>155</v>
      </c>
      <c r="C164" s="388">
        <v>44652</v>
      </c>
      <c r="D164">
        <v>771699.62</v>
      </c>
      <c r="E164">
        <v>-32.39</v>
      </c>
      <c r="F164">
        <v>1846.41</v>
      </c>
      <c r="G164">
        <v>773513.64</v>
      </c>
      <c r="H164">
        <v>568149.19999999995</v>
      </c>
      <c r="I164">
        <v>-23.85</v>
      </c>
      <c r="J164">
        <v>1359.35</v>
      </c>
      <c r="K164">
        <v>569484.69999999995</v>
      </c>
      <c r="L164">
        <v>144473.88</v>
      </c>
      <c r="M164">
        <v>-6.21</v>
      </c>
      <c r="N164">
        <v>345.69</v>
      </c>
      <c r="O164">
        <v>144813.36000000002</v>
      </c>
      <c r="P164">
        <v>-371619.68</v>
      </c>
      <c r="Q164">
        <v>15.59</v>
      </c>
      <c r="R164">
        <v>-889.22</v>
      </c>
      <c r="S164">
        <v>-372493.30999999994</v>
      </c>
    </row>
    <row r="165" spans="1:20">
      <c r="A165" s="156">
        <f t="shared" si="24"/>
        <v>156</v>
      </c>
      <c r="C165" s="388">
        <v>44682</v>
      </c>
      <c r="D165">
        <v>1639554.33</v>
      </c>
      <c r="E165">
        <v>-16.239999999999998</v>
      </c>
      <c r="F165">
        <v>3528.25</v>
      </c>
      <c r="G165">
        <v>1643066.34</v>
      </c>
      <c r="H165">
        <v>559623.05000000005</v>
      </c>
      <c r="I165">
        <v>-6.59</v>
      </c>
      <c r="J165">
        <v>1204.24</v>
      </c>
      <c r="K165">
        <v>560820.70000000007</v>
      </c>
      <c r="L165">
        <v>242104.11</v>
      </c>
      <c r="M165">
        <v>-2.5299999999999998</v>
      </c>
      <c r="N165">
        <v>521.04</v>
      </c>
      <c r="O165">
        <v>242622.62</v>
      </c>
      <c r="P165">
        <v>-637490.96</v>
      </c>
      <c r="Q165">
        <v>6.51</v>
      </c>
      <c r="R165">
        <v>-1371.84</v>
      </c>
      <c r="S165">
        <v>-638856.28999999992</v>
      </c>
    </row>
    <row r="166" spans="1:20">
      <c r="A166" s="156">
        <f t="shared" si="24"/>
        <v>157</v>
      </c>
      <c r="C166" s="388">
        <v>44713</v>
      </c>
      <c r="D166">
        <v>1574635.92</v>
      </c>
      <c r="E166">
        <v>14.11</v>
      </c>
      <c r="F166">
        <v>3277.1</v>
      </c>
      <c r="G166">
        <v>1577927.1300000001</v>
      </c>
      <c r="H166">
        <v>683781.78</v>
      </c>
      <c r="I166">
        <v>6.72</v>
      </c>
      <c r="J166">
        <v>1423.06</v>
      </c>
      <c r="K166">
        <v>685211.56</v>
      </c>
      <c r="L166">
        <v>262867.48</v>
      </c>
      <c r="M166">
        <v>2.5</v>
      </c>
      <c r="N166">
        <v>547.12</v>
      </c>
      <c r="O166">
        <v>263417.09999999998</v>
      </c>
      <c r="P166">
        <v>-830859.18</v>
      </c>
      <c r="Q166">
        <v>-8.2899999999999991</v>
      </c>
      <c r="R166">
        <v>-1729.25</v>
      </c>
      <c r="S166">
        <v>-832596.72000000009</v>
      </c>
    </row>
    <row r="167" spans="1:20">
      <c r="A167" s="156">
        <f t="shared" si="24"/>
        <v>158</v>
      </c>
      <c r="C167" s="388">
        <v>44743</v>
      </c>
      <c r="D167">
        <v>2284902.17</v>
      </c>
      <c r="E167">
        <v>4.25</v>
      </c>
      <c r="F167">
        <v>4090.51</v>
      </c>
      <c r="G167">
        <v>2288996.9299999997</v>
      </c>
      <c r="H167">
        <v>570892.73</v>
      </c>
      <c r="I167">
        <v>-8.52</v>
      </c>
      <c r="J167">
        <v>1022.04</v>
      </c>
      <c r="K167">
        <v>571906.25</v>
      </c>
      <c r="L167">
        <v>317951.38</v>
      </c>
      <c r="M167">
        <v>-2.89</v>
      </c>
      <c r="N167">
        <v>569.24</v>
      </c>
      <c r="O167">
        <v>318517.73</v>
      </c>
      <c r="P167">
        <v>-917023.64</v>
      </c>
      <c r="Q167">
        <v>5.12</v>
      </c>
      <c r="R167">
        <v>-1641.66</v>
      </c>
      <c r="S167">
        <v>-918660.18</v>
      </c>
    </row>
    <row r="168" spans="1:20">
      <c r="A168" s="156">
        <f t="shared" si="24"/>
        <v>159</v>
      </c>
      <c r="C168" s="388">
        <v>44774</v>
      </c>
      <c r="D168">
        <v>401461.79</v>
      </c>
      <c r="E168">
        <v>-88.35</v>
      </c>
      <c r="F168">
        <v>676.98</v>
      </c>
      <c r="G168">
        <v>402050.42</v>
      </c>
      <c r="H168">
        <v>506354.66</v>
      </c>
      <c r="I168">
        <v>-77.599999999999994</v>
      </c>
      <c r="J168">
        <v>853.84</v>
      </c>
      <c r="K168">
        <v>507130.9</v>
      </c>
      <c r="L168">
        <v>237318.11</v>
      </c>
      <c r="M168">
        <v>-37.11</v>
      </c>
      <c r="N168">
        <v>400.25</v>
      </c>
      <c r="O168">
        <v>237681.25</v>
      </c>
      <c r="P168">
        <v>-518352.9</v>
      </c>
      <c r="Q168">
        <v>84.33</v>
      </c>
      <c r="R168">
        <v>-874.17</v>
      </c>
      <c r="S168">
        <v>-519142.74</v>
      </c>
    </row>
    <row r="169" spans="1:20">
      <c r="A169" s="156">
        <f t="shared" si="24"/>
        <v>160</v>
      </c>
      <c r="C169" s="388">
        <v>44805</v>
      </c>
      <c r="D169">
        <v>1663231.28</v>
      </c>
      <c r="E169">
        <v>-2</v>
      </c>
      <c r="F169">
        <v>2920.29</v>
      </c>
      <c r="G169">
        <v>1666149.57</v>
      </c>
      <c r="H169">
        <v>350031.51</v>
      </c>
      <c r="I169">
        <v>-3.3</v>
      </c>
      <c r="J169">
        <v>614.64</v>
      </c>
      <c r="K169">
        <v>350642.85000000003</v>
      </c>
      <c r="L169">
        <v>194023.62</v>
      </c>
      <c r="M169">
        <v>-1.59</v>
      </c>
      <c r="N169">
        <v>340.7</v>
      </c>
      <c r="O169">
        <v>194362.73</v>
      </c>
      <c r="P169">
        <v>-336584.6</v>
      </c>
      <c r="Q169">
        <v>3.42</v>
      </c>
      <c r="R169">
        <v>-591.02</v>
      </c>
      <c r="S169">
        <v>-337172.2</v>
      </c>
    </row>
    <row r="170" spans="1:20">
      <c r="A170" s="156">
        <f t="shared" si="24"/>
        <v>161</v>
      </c>
      <c r="C170" s="388">
        <v>44835</v>
      </c>
      <c r="D170">
        <v>1817834.82</v>
      </c>
      <c r="E170">
        <v>-192.66</v>
      </c>
      <c r="F170">
        <v>3338.24</v>
      </c>
      <c r="G170">
        <v>1820980.4000000001</v>
      </c>
      <c r="H170">
        <v>351431.3</v>
      </c>
      <c r="I170">
        <v>-37.44</v>
      </c>
      <c r="J170">
        <v>645.35</v>
      </c>
      <c r="K170">
        <v>352039.20999999996</v>
      </c>
      <c r="L170">
        <v>187378.15</v>
      </c>
      <c r="M170">
        <v>-20.02</v>
      </c>
      <c r="N170">
        <v>344.1</v>
      </c>
      <c r="O170">
        <v>187702.23</v>
      </c>
      <c r="P170">
        <v>-418023.22</v>
      </c>
      <c r="Q170">
        <v>43.99</v>
      </c>
      <c r="R170">
        <v>-767.66</v>
      </c>
      <c r="S170">
        <v>-418746.88999999996</v>
      </c>
    </row>
    <row r="171" spans="1:20">
      <c r="A171" s="156">
        <f t="shared" si="24"/>
        <v>162</v>
      </c>
      <c r="C171" s="388">
        <v>44866</v>
      </c>
      <c r="D171">
        <v>2759908.67</v>
      </c>
      <c r="E171">
        <v>-3.16</v>
      </c>
      <c r="F171">
        <v>6755.53</v>
      </c>
      <c r="G171">
        <v>2766661.0399999996</v>
      </c>
      <c r="H171">
        <v>319380.59000000003</v>
      </c>
      <c r="I171">
        <v>0.94</v>
      </c>
      <c r="J171">
        <v>781.84</v>
      </c>
      <c r="K171">
        <v>320163.37000000005</v>
      </c>
      <c r="L171">
        <v>468810.84</v>
      </c>
      <c r="M171">
        <v>-1.73</v>
      </c>
      <c r="N171">
        <v>1147.49</v>
      </c>
      <c r="O171">
        <v>469956.60000000003</v>
      </c>
      <c r="P171">
        <v>-548588.53</v>
      </c>
      <c r="Q171" s="60">
        <v>0.19</v>
      </c>
      <c r="R171">
        <v>-1342.8</v>
      </c>
      <c r="S171">
        <v>-549931.14000000013</v>
      </c>
    </row>
    <row r="172" spans="1:20">
      <c r="A172" s="156">
        <f t="shared" si="24"/>
        <v>163</v>
      </c>
      <c r="C172" s="388">
        <v>44896</v>
      </c>
      <c r="D172">
        <v>3311587.2</v>
      </c>
      <c r="E172">
        <v>59.11</v>
      </c>
      <c r="F172">
        <v>7839</v>
      </c>
      <c r="G172">
        <v>3319485.31</v>
      </c>
      <c r="H172">
        <v>544895.06000000006</v>
      </c>
      <c r="I172">
        <v>8.67</v>
      </c>
      <c r="J172">
        <v>1289.8800000000001</v>
      </c>
      <c r="K172">
        <v>546193.6100000001</v>
      </c>
      <c r="L172">
        <v>614360.15</v>
      </c>
      <c r="M172">
        <v>11.03</v>
      </c>
      <c r="N172">
        <v>1454.23</v>
      </c>
      <c r="O172">
        <v>615825.41</v>
      </c>
      <c r="P172">
        <v>-913736.57</v>
      </c>
      <c r="Q172">
        <v>-15.35</v>
      </c>
      <c r="R172" s="1">
        <v>-2162.96</v>
      </c>
      <c r="S172">
        <v>-915914.87999999989</v>
      </c>
      <c r="T172" s="38"/>
    </row>
    <row r="173" spans="1:20">
      <c r="A173" s="156">
        <f t="shared" si="24"/>
        <v>164</v>
      </c>
      <c r="C173" s="388">
        <v>44927</v>
      </c>
      <c r="D173">
        <v>3144789.92</v>
      </c>
      <c r="E173">
        <v>0.9</v>
      </c>
      <c r="F173">
        <v>7559.78</v>
      </c>
      <c r="G173">
        <v>3152350.5999999996</v>
      </c>
      <c r="H173">
        <v>443458.96</v>
      </c>
      <c r="I173">
        <v>-20.82</v>
      </c>
      <c r="J173">
        <v>1066.0899999999999</v>
      </c>
      <c r="K173">
        <v>444504.23000000004</v>
      </c>
      <c r="L173">
        <v>746823.11</v>
      </c>
      <c r="M173">
        <v>-5.27</v>
      </c>
      <c r="N173">
        <v>1795.28</v>
      </c>
      <c r="O173">
        <v>748613.12</v>
      </c>
      <c r="P173">
        <v>-862180.02</v>
      </c>
      <c r="Q173">
        <v>13.7</v>
      </c>
      <c r="R173" s="1">
        <v>-2072.61</v>
      </c>
      <c r="S173">
        <v>-864238.93</v>
      </c>
      <c r="T173" s="38"/>
    </row>
    <row r="174" spans="1:20">
      <c r="A174" s="156">
        <f t="shared" si="24"/>
        <v>165</v>
      </c>
      <c r="C174" s="388">
        <v>44958</v>
      </c>
      <c r="D174">
        <v>1425954.23</v>
      </c>
      <c r="E174">
        <v>-10174.59</v>
      </c>
      <c r="F174">
        <v>3634.1</v>
      </c>
      <c r="G174">
        <v>1419413.74</v>
      </c>
      <c r="H174">
        <v>342690.65</v>
      </c>
      <c r="I174">
        <v>-3964.44</v>
      </c>
      <c r="J174">
        <v>873.34</v>
      </c>
      <c r="K174">
        <v>339599.55000000005</v>
      </c>
      <c r="L174">
        <v>496333.07</v>
      </c>
      <c r="M174">
        <v>-2154.65</v>
      </c>
      <c r="N174">
        <v>1264.93</v>
      </c>
      <c r="O174">
        <v>495443.35</v>
      </c>
      <c r="P174">
        <v>-386121.46</v>
      </c>
      <c r="Q174">
        <v>4186.51</v>
      </c>
      <c r="R174" s="1">
        <v>-984.04</v>
      </c>
      <c r="S174">
        <v>-382918.99</v>
      </c>
      <c r="T174" s="38"/>
    </row>
    <row r="175" spans="1:20">
      <c r="A175" s="156">
        <f t="shared" si="24"/>
        <v>166</v>
      </c>
      <c r="F175">
        <v>47220.609999999993</v>
      </c>
      <c r="J175">
        <v>12434.550000000003</v>
      </c>
      <c r="N175">
        <v>9173.5299999999988</v>
      </c>
      <c r="R175" s="1">
        <v>-15288.119999999999</v>
      </c>
      <c r="T175" s="38">
        <v>53540.570000000007</v>
      </c>
    </row>
    <row r="176" spans="1:20">
      <c r="A176" s="156">
        <f t="shared" si="24"/>
        <v>167</v>
      </c>
      <c r="R176" s="1"/>
      <c r="T176" s="38"/>
    </row>
    <row r="177" spans="1:20">
      <c r="A177" s="156">
        <f t="shared" si="24"/>
        <v>168</v>
      </c>
      <c r="T177" s="38"/>
    </row>
    <row r="178" spans="1:20">
      <c r="A178" s="156">
        <f t="shared" si="24"/>
        <v>169</v>
      </c>
    </row>
    <row r="179" spans="1:20" ht="15">
      <c r="A179" s="156">
        <f t="shared" si="24"/>
        <v>170</v>
      </c>
      <c r="C179" s="474"/>
      <c r="D179" s="475" t="s">
        <v>1148</v>
      </c>
      <c r="E179" s="474">
        <v>2022</v>
      </c>
      <c r="F179" s="474"/>
      <c r="H179">
        <v>2023</v>
      </c>
    </row>
    <row r="180" spans="1:20">
      <c r="A180" s="156">
        <f t="shared" si="24"/>
        <v>171</v>
      </c>
      <c r="C180" s="474"/>
      <c r="D180" s="474"/>
      <c r="E180" s="474"/>
      <c r="F180" s="474"/>
    </row>
    <row r="181" spans="1:20" ht="15">
      <c r="A181" s="156">
        <f t="shared" si="24"/>
        <v>172</v>
      </c>
      <c r="C181" s="475" t="s">
        <v>1149</v>
      </c>
      <c r="D181" s="475" t="s">
        <v>1150</v>
      </c>
      <c r="E181" s="474"/>
      <c r="F181" s="476">
        <v>21132.67</v>
      </c>
      <c r="H181">
        <v>241845</v>
      </c>
    </row>
    <row r="182" spans="1:20" ht="15">
      <c r="A182" s="156">
        <f t="shared" si="24"/>
        <v>173</v>
      </c>
      <c r="C182" s="475" t="s">
        <v>474</v>
      </c>
      <c r="D182" s="475" t="s">
        <v>1151</v>
      </c>
      <c r="E182" s="474"/>
      <c r="F182" s="476">
        <v>22679.96</v>
      </c>
      <c r="H182">
        <v>242117</v>
      </c>
    </row>
    <row r="183" spans="1:20" ht="15">
      <c r="A183" s="156">
        <f t="shared" si="24"/>
        <v>174</v>
      </c>
      <c r="C183" s="475" t="s">
        <v>475</v>
      </c>
      <c r="D183" s="475" t="s">
        <v>1152</v>
      </c>
      <c r="E183" s="474"/>
      <c r="F183" s="476">
        <v>16167.23</v>
      </c>
    </row>
    <row r="184" spans="1:20" ht="15">
      <c r="A184" s="156">
        <f t="shared" si="24"/>
        <v>175</v>
      </c>
      <c r="C184" s="475" t="s">
        <v>476</v>
      </c>
      <c r="D184" s="475" t="s">
        <v>1153</v>
      </c>
      <c r="E184" s="474"/>
      <c r="F184" s="476">
        <v>16556.36</v>
      </c>
    </row>
    <row r="185" spans="1:20" ht="15">
      <c r="A185" s="156">
        <f t="shared" si="24"/>
        <v>176</v>
      </c>
      <c r="C185" s="475" t="s">
        <v>477</v>
      </c>
      <c r="D185" s="475" t="s">
        <v>1154</v>
      </c>
      <c r="E185" s="474"/>
      <c r="F185" s="476">
        <v>14795.07</v>
      </c>
    </row>
    <row r="186" spans="1:20" ht="15">
      <c r="A186" s="156">
        <f t="shared" si="24"/>
        <v>177</v>
      </c>
      <c r="C186" s="477" t="s">
        <v>590</v>
      </c>
      <c r="D186" s="475" t="s">
        <v>1155</v>
      </c>
      <c r="E186" s="474"/>
      <c r="F186" s="478">
        <v>17484.68</v>
      </c>
    </row>
    <row r="187" spans="1:20" ht="15">
      <c r="A187" s="156">
        <f t="shared" si="24"/>
        <v>178</v>
      </c>
      <c r="C187" s="477" t="s">
        <v>591</v>
      </c>
      <c r="D187" s="475" t="s">
        <v>1156</v>
      </c>
      <c r="E187" s="474"/>
      <c r="F187" s="478">
        <v>18785.7</v>
      </c>
    </row>
    <row r="188" spans="1:20" ht="15">
      <c r="A188" s="156">
        <f t="shared" si="24"/>
        <v>179</v>
      </c>
      <c r="C188" s="477" t="s">
        <v>480</v>
      </c>
      <c r="D188" s="475" t="s">
        <v>1157</v>
      </c>
      <c r="E188" s="474"/>
      <c r="F188" s="478">
        <v>15256.08</v>
      </c>
    </row>
    <row r="189" spans="1:20" ht="15">
      <c r="A189" s="156">
        <f t="shared" si="24"/>
        <v>180</v>
      </c>
      <c r="C189" s="477" t="s">
        <v>1158</v>
      </c>
      <c r="D189" s="475" t="s">
        <v>1159</v>
      </c>
      <c r="E189" s="474"/>
      <c r="F189" s="478">
        <v>16757.98</v>
      </c>
    </row>
    <row r="190" spans="1:20" ht="15">
      <c r="A190" s="156">
        <f t="shared" si="24"/>
        <v>181</v>
      </c>
      <c r="C190" s="477" t="s">
        <v>1160</v>
      </c>
      <c r="D190" s="477" t="s">
        <v>1161</v>
      </c>
      <c r="E190" s="474"/>
      <c r="F190" s="478">
        <v>15747.65</v>
      </c>
    </row>
    <row r="191" spans="1:20" ht="15">
      <c r="A191" s="156">
        <f t="shared" si="24"/>
        <v>182</v>
      </c>
      <c r="C191" s="477" t="s">
        <v>483</v>
      </c>
      <c r="D191" s="477" t="s">
        <v>1162</v>
      </c>
      <c r="E191" s="474"/>
      <c r="F191" s="478">
        <v>20225.439999999999</v>
      </c>
    </row>
    <row r="192" spans="1:20" ht="15.75" thickBot="1">
      <c r="A192" s="156">
        <f t="shared" si="24"/>
        <v>183</v>
      </c>
      <c r="C192" s="477" t="s">
        <v>484</v>
      </c>
      <c r="D192" s="479" t="s">
        <v>1163</v>
      </c>
      <c r="E192" s="474"/>
      <c r="F192" s="480">
        <v>23940.19</v>
      </c>
    </row>
    <row r="193" spans="1:6" ht="15">
      <c r="A193" s="156">
        <f t="shared" si="24"/>
        <v>184</v>
      </c>
      <c r="C193" s="474"/>
      <c r="D193" s="477" t="s">
        <v>1164</v>
      </c>
      <c r="E193" s="474"/>
      <c r="F193" s="478">
        <v>219529.01</v>
      </c>
    </row>
    <row r="194" spans="1:6">
      <c r="A194" s="156">
        <f t="shared" si="24"/>
        <v>185</v>
      </c>
    </row>
  </sheetData>
  <mergeCells count="5">
    <mergeCell ref="A1:L1"/>
    <mergeCell ref="A2:L2"/>
    <mergeCell ref="A4:L4"/>
    <mergeCell ref="C9:E9"/>
    <mergeCell ref="A3:L3"/>
  </mergeCells>
  <phoneticPr fontId="10" type="noConversion"/>
  <pageMargins left="0.2" right="0.25" top="0.25" bottom="0.25" header="0.3" footer="0.3"/>
  <pageSetup scale="46" orientation="landscape" r:id="rId1"/>
  <headerFooter alignWithMargins="0">
    <oddFooter>&amp;C&amp;12Exhibit 9, Page 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21"/>
  <sheetViews>
    <sheetView topLeftCell="B183" workbookViewId="0">
      <selection activeCell="X202" sqref="X202"/>
    </sheetView>
  </sheetViews>
  <sheetFormatPr defaultRowHeight="12.75"/>
  <cols>
    <col min="7" max="7" width="16.7109375" bestFit="1" customWidth="1"/>
    <col min="8" max="8" width="13.7109375" bestFit="1" customWidth="1"/>
    <col min="9" max="9" width="14.85546875" hidden="1" customWidth="1"/>
    <col min="10" max="12" width="14.42578125" hidden="1" customWidth="1"/>
    <col min="13" max="16" width="13.42578125" hidden="1" customWidth="1"/>
    <col min="17" max="17" width="14.42578125" hidden="1" customWidth="1"/>
    <col min="18" max="18" width="15" hidden="1" customWidth="1"/>
    <col min="19" max="20" width="13.42578125" hidden="1" customWidth="1"/>
    <col min="21" max="23" width="14.42578125" bestFit="1" customWidth="1"/>
    <col min="24" max="24" width="11.7109375" bestFit="1" customWidth="1"/>
  </cols>
  <sheetData>
    <row r="1" spans="1:21" ht="20.25">
      <c r="A1" s="416" t="s">
        <v>659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</row>
    <row r="2" spans="1:21">
      <c r="A2" s="417" t="s">
        <v>660</v>
      </c>
      <c r="B2" s="417"/>
      <c r="C2" s="418" t="s">
        <v>76</v>
      </c>
      <c r="D2" s="418"/>
      <c r="E2" s="418"/>
      <c r="F2" s="418" t="s">
        <v>77</v>
      </c>
      <c r="G2" s="418"/>
      <c r="H2" s="418"/>
      <c r="I2" s="419" t="s">
        <v>661</v>
      </c>
      <c r="J2" s="419" t="s">
        <v>662</v>
      </c>
      <c r="K2" s="419" t="s">
        <v>663</v>
      </c>
      <c r="L2" s="419" t="s">
        <v>664</v>
      </c>
      <c r="M2" s="419" t="s">
        <v>665</v>
      </c>
      <c r="N2" s="419" t="s">
        <v>666</v>
      </c>
      <c r="O2" s="419" t="s">
        <v>667</v>
      </c>
      <c r="P2" s="419" t="s">
        <v>668</v>
      </c>
      <c r="Q2" s="419" t="s">
        <v>669</v>
      </c>
      <c r="R2" s="419" t="s">
        <v>670</v>
      </c>
      <c r="S2" s="419" t="s">
        <v>671</v>
      </c>
      <c r="T2" s="419" t="s">
        <v>672</v>
      </c>
      <c r="U2" s="417" t="s">
        <v>217</v>
      </c>
    </row>
    <row r="3" spans="1:21">
      <c r="A3" s="420" t="s">
        <v>673</v>
      </c>
      <c r="B3" s="420"/>
      <c r="C3" s="421" t="s">
        <v>674</v>
      </c>
      <c r="D3" s="421"/>
      <c r="E3" s="421"/>
      <c r="F3" s="421"/>
      <c r="G3" s="421"/>
      <c r="H3" s="421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</row>
    <row r="4" spans="1:21">
      <c r="A4" s="422">
        <v>0</v>
      </c>
      <c r="B4" s="422"/>
      <c r="C4" s="421" t="s">
        <v>675</v>
      </c>
      <c r="D4" s="421"/>
      <c r="E4" s="421"/>
      <c r="F4" s="421" t="s">
        <v>676</v>
      </c>
      <c r="G4" s="421"/>
      <c r="H4" s="421"/>
      <c r="I4" s="423">
        <v>7341438</v>
      </c>
      <c r="J4" s="423">
        <v>6143266.96</v>
      </c>
      <c r="K4" s="423">
        <v>7279810.1699999999</v>
      </c>
      <c r="L4" s="423">
        <v>8273420.29</v>
      </c>
      <c r="M4" s="423">
        <v>10874229.17</v>
      </c>
      <c r="N4" s="423">
        <v>9925464.5700000003</v>
      </c>
      <c r="O4" s="423">
        <v>8188827</v>
      </c>
      <c r="P4" s="423">
        <v>6250238.0300000003</v>
      </c>
      <c r="Q4" s="423">
        <v>8241479.7000000002</v>
      </c>
      <c r="R4" s="423">
        <v>10537584.92</v>
      </c>
      <c r="S4" s="423">
        <v>8944147.6099999994</v>
      </c>
      <c r="T4" s="423">
        <v>6287708.0300000003</v>
      </c>
      <c r="U4" s="423">
        <v>98287614.450000003</v>
      </c>
    </row>
    <row r="5" spans="1:21">
      <c r="A5" s="422">
        <v>0</v>
      </c>
      <c r="B5" s="422"/>
      <c r="C5" s="421" t="s">
        <v>677</v>
      </c>
      <c r="D5" s="421"/>
      <c r="E5" s="421"/>
      <c r="F5" s="421" t="s">
        <v>678</v>
      </c>
      <c r="G5" s="421"/>
      <c r="H5" s="421"/>
      <c r="I5" s="423">
        <v>11334.68</v>
      </c>
      <c r="J5" s="423">
        <v>8684.17</v>
      </c>
      <c r="K5" s="423">
        <v>9648.8700000000008</v>
      </c>
      <c r="L5" s="423">
        <v>10426.299999999999</v>
      </c>
      <c r="M5" s="423">
        <v>14780.32</v>
      </c>
      <c r="N5" s="423">
        <v>13336.21</v>
      </c>
      <c r="O5" s="423">
        <v>11644.87</v>
      </c>
      <c r="P5" s="423">
        <v>9100.48</v>
      </c>
      <c r="Q5" s="423">
        <v>10098.450000000001</v>
      </c>
      <c r="R5" s="423">
        <v>51133.43</v>
      </c>
      <c r="S5" s="423">
        <v>388225.72</v>
      </c>
      <c r="T5" s="423">
        <v>731282.71</v>
      </c>
      <c r="U5" s="423">
        <v>1269696.21</v>
      </c>
    </row>
    <row r="6" spans="1:21">
      <c r="A6" s="422">
        <v>0</v>
      </c>
      <c r="B6" s="422"/>
      <c r="C6" s="421" t="s">
        <v>679</v>
      </c>
      <c r="D6" s="421"/>
      <c r="E6" s="421"/>
      <c r="F6" s="421" t="s">
        <v>680</v>
      </c>
      <c r="G6" s="421"/>
      <c r="H6" s="421"/>
      <c r="I6" s="423">
        <v>1161994.43</v>
      </c>
      <c r="J6" s="423">
        <v>1082794.17</v>
      </c>
      <c r="K6" s="423">
        <v>1290063.55</v>
      </c>
      <c r="L6" s="423">
        <v>1403952.3</v>
      </c>
      <c r="M6" s="423">
        <v>1748085.81</v>
      </c>
      <c r="N6" s="423">
        <v>1632844.29</v>
      </c>
      <c r="O6" s="423">
        <v>1716307.37</v>
      </c>
      <c r="P6" s="423">
        <v>1435065.75</v>
      </c>
      <c r="Q6" s="423">
        <v>1234936.8500000001</v>
      </c>
      <c r="R6" s="423">
        <v>1392083.31</v>
      </c>
      <c r="S6" s="423">
        <v>1360645.07</v>
      </c>
      <c r="T6" s="423">
        <v>1113067.42</v>
      </c>
      <c r="U6" s="423">
        <v>16571840.32</v>
      </c>
    </row>
    <row r="7" spans="1:21">
      <c r="A7" s="422">
        <v>0</v>
      </c>
      <c r="B7" s="422"/>
      <c r="C7" s="421" t="s">
        <v>681</v>
      </c>
      <c r="D7" s="421"/>
      <c r="E7" s="421"/>
      <c r="F7" s="421" t="s">
        <v>682</v>
      </c>
      <c r="G7" s="421"/>
      <c r="H7" s="421"/>
      <c r="I7" s="423">
        <v>1410432.87</v>
      </c>
      <c r="J7" s="423">
        <v>1266854.73</v>
      </c>
      <c r="K7" s="423">
        <v>537348.56999999995</v>
      </c>
      <c r="L7" s="423">
        <v>2247194.9</v>
      </c>
      <c r="M7" s="423">
        <v>1824667.22</v>
      </c>
      <c r="N7" s="423">
        <v>1871486.42</v>
      </c>
      <c r="O7" s="423">
        <v>2026226.78</v>
      </c>
      <c r="P7" s="423">
        <v>1672340.21</v>
      </c>
      <c r="Q7" s="423">
        <v>1334578.47</v>
      </c>
      <c r="R7" s="423">
        <v>1511492.38</v>
      </c>
      <c r="S7" s="423">
        <v>1584545.92</v>
      </c>
      <c r="T7" s="423">
        <v>1233850.8999999999</v>
      </c>
      <c r="U7" s="423">
        <v>18521019.370000001</v>
      </c>
    </row>
    <row r="8" spans="1:21">
      <c r="A8" s="422">
        <v>0</v>
      </c>
      <c r="B8" s="422"/>
      <c r="C8" s="421" t="s">
        <v>683</v>
      </c>
      <c r="D8" s="421"/>
      <c r="E8" s="421"/>
      <c r="F8" s="421" t="s">
        <v>684</v>
      </c>
      <c r="G8" s="421"/>
      <c r="H8" s="421"/>
      <c r="I8" s="423">
        <v>742688.26</v>
      </c>
      <c r="J8" s="423">
        <v>683552.68</v>
      </c>
      <c r="K8" s="423">
        <v>1455198.91</v>
      </c>
      <c r="L8" s="423">
        <v>36699.86</v>
      </c>
      <c r="M8" s="423">
        <v>793992.91</v>
      </c>
      <c r="N8" s="423">
        <v>820601.22</v>
      </c>
      <c r="O8" s="423">
        <v>912214.43</v>
      </c>
      <c r="P8" s="423">
        <v>801346.04</v>
      </c>
      <c r="Q8" s="423">
        <v>707493.39</v>
      </c>
      <c r="R8" s="423">
        <v>701033.81</v>
      </c>
      <c r="S8" s="423">
        <v>787022.82</v>
      </c>
      <c r="T8" s="423">
        <v>635731.17000000004</v>
      </c>
      <c r="U8" s="423">
        <v>9077575.5</v>
      </c>
    </row>
    <row r="9" spans="1:21">
      <c r="A9" s="422">
        <v>0</v>
      </c>
      <c r="B9" s="422"/>
      <c r="C9" s="421" t="s">
        <v>685</v>
      </c>
      <c r="D9" s="421"/>
      <c r="E9" s="421"/>
      <c r="F9" s="421" t="s">
        <v>686</v>
      </c>
      <c r="G9" s="421"/>
      <c r="H9" s="421"/>
      <c r="I9" s="423">
        <v>1443379.46</v>
      </c>
      <c r="J9" s="423">
        <v>1479468.04</v>
      </c>
      <c r="K9" s="423">
        <v>1609079.28</v>
      </c>
      <c r="L9" s="423">
        <v>1339076.81</v>
      </c>
      <c r="M9" s="423">
        <v>1666142.54</v>
      </c>
      <c r="N9" s="423">
        <v>1651771.1</v>
      </c>
      <c r="O9" s="423">
        <v>1939415.39</v>
      </c>
      <c r="P9" s="423">
        <v>1897280.23</v>
      </c>
      <c r="Q9" s="423">
        <v>1522820.93</v>
      </c>
      <c r="R9" s="423">
        <v>1713004.1</v>
      </c>
      <c r="S9" s="423">
        <v>1688445.24</v>
      </c>
      <c r="T9" s="423">
        <v>1352652.58</v>
      </c>
      <c r="U9" s="423">
        <v>19302535.699999999</v>
      </c>
    </row>
    <row r="10" spans="1:21">
      <c r="A10" s="422">
        <v>0</v>
      </c>
      <c r="B10" s="422"/>
      <c r="C10" s="421" t="s">
        <v>687</v>
      </c>
      <c r="D10" s="421"/>
      <c r="E10" s="421"/>
      <c r="F10" s="421" t="s">
        <v>688</v>
      </c>
      <c r="G10" s="421"/>
      <c r="H10" s="421"/>
      <c r="I10" s="423">
        <v>2642.18</v>
      </c>
      <c r="J10" s="423">
        <v>2607.15</v>
      </c>
      <c r="K10" s="423">
        <v>2655.21</v>
      </c>
      <c r="L10" s="423">
        <v>2199.5</v>
      </c>
      <c r="M10" s="423">
        <v>1973.54</v>
      </c>
      <c r="N10" s="423">
        <v>2427.31</v>
      </c>
      <c r="O10" s="423">
        <v>2492.33</v>
      </c>
      <c r="P10" s="423">
        <v>2714.71</v>
      </c>
      <c r="Q10" s="423">
        <v>2765.01</v>
      </c>
      <c r="R10" s="423">
        <v>0</v>
      </c>
      <c r="S10" s="423">
        <v>3025.01</v>
      </c>
      <c r="T10" s="423">
        <v>2851.93</v>
      </c>
      <c r="U10" s="423">
        <v>28353.88</v>
      </c>
    </row>
    <row r="11" spans="1:21">
      <c r="A11" s="422">
        <v>0</v>
      </c>
      <c r="B11" s="422"/>
      <c r="C11" s="421" t="s">
        <v>689</v>
      </c>
      <c r="D11" s="421"/>
      <c r="E11" s="421"/>
      <c r="F11" s="421" t="s">
        <v>690</v>
      </c>
      <c r="G11" s="421"/>
      <c r="H11" s="421"/>
      <c r="I11" s="423">
        <v>14557092.720000001</v>
      </c>
      <c r="J11" s="423">
        <v>37764328.07</v>
      </c>
      <c r="K11" s="423">
        <v>26224733.190000001</v>
      </c>
      <c r="L11" s="423">
        <v>30934128.5</v>
      </c>
      <c r="M11" s="423">
        <v>27373826.27</v>
      </c>
      <c r="N11" s="423">
        <v>29165953.120000001</v>
      </c>
      <c r="O11" s="423">
        <v>27716746.390000001</v>
      </c>
      <c r="P11" s="423">
        <v>18054573.199999999</v>
      </c>
      <c r="Q11" s="423">
        <v>17536157.050000001</v>
      </c>
      <c r="R11" s="423">
        <v>22865582.469999999</v>
      </c>
      <c r="S11" s="423">
        <v>12654303.210000001</v>
      </c>
      <c r="T11" s="423">
        <v>10536194.67</v>
      </c>
      <c r="U11" s="423">
        <v>275383618.86000001</v>
      </c>
    </row>
    <row r="12" spans="1:21">
      <c r="A12" s="422">
        <v>0</v>
      </c>
      <c r="B12" s="422"/>
      <c r="C12" s="421" t="s">
        <v>691</v>
      </c>
      <c r="D12" s="421"/>
      <c r="E12" s="421"/>
      <c r="F12" s="421" t="s">
        <v>692</v>
      </c>
      <c r="G12" s="421"/>
      <c r="H12" s="421"/>
      <c r="I12" s="423">
        <v>30319.21</v>
      </c>
      <c r="J12" s="423">
        <v>-16047226.74</v>
      </c>
      <c r="K12" s="423">
        <v>31568.51</v>
      </c>
      <c r="L12" s="423">
        <v>31328.67</v>
      </c>
      <c r="M12" s="423">
        <v>34205.32</v>
      </c>
      <c r="N12" s="423">
        <v>34339.160000000003</v>
      </c>
      <c r="O12" s="423">
        <v>34471.75</v>
      </c>
      <c r="P12" s="423">
        <v>34249.129999999997</v>
      </c>
      <c r="Q12" s="423">
        <v>41262.239999999998</v>
      </c>
      <c r="R12" s="423">
        <v>45476.35</v>
      </c>
      <c r="S12" s="423">
        <v>37849.120000000003</v>
      </c>
      <c r="T12" s="423">
        <v>36477.93</v>
      </c>
      <c r="U12" s="423">
        <v>-15655679.35</v>
      </c>
    </row>
    <row r="13" spans="1:21">
      <c r="A13" s="422">
        <v>0</v>
      </c>
      <c r="B13" s="422"/>
      <c r="C13" s="421" t="s">
        <v>693</v>
      </c>
      <c r="D13" s="421"/>
      <c r="E13" s="421"/>
      <c r="F13" s="421" t="s">
        <v>694</v>
      </c>
      <c r="G13" s="421"/>
      <c r="H13" s="421"/>
      <c r="I13" s="423">
        <v>1282332.8600000001</v>
      </c>
      <c r="J13" s="423">
        <v>1337276.73</v>
      </c>
      <c r="K13" s="423">
        <v>1781190.15</v>
      </c>
      <c r="L13" s="423">
        <v>1940575.36</v>
      </c>
      <c r="M13" s="423">
        <v>1896047.25</v>
      </c>
      <c r="N13" s="423">
        <v>1863312.5</v>
      </c>
      <c r="O13" s="423">
        <v>1853824.45</v>
      </c>
      <c r="P13" s="423">
        <v>2273634.34</v>
      </c>
      <c r="Q13" s="423">
        <v>1550388.81</v>
      </c>
      <c r="R13" s="423">
        <v>2112027.59</v>
      </c>
      <c r="S13" s="423">
        <v>2256364.6800000002</v>
      </c>
      <c r="T13" s="423">
        <v>1227706.78</v>
      </c>
      <c r="U13" s="423">
        <v>21374681.5</v>
      </c>
    </row>
    <row r="14" spans="1:21">
      <c r="A14" s="422">
        <v>0</v>
      </c>
      <c r="B14" s="422"/>
      <c r="C14" s="421" t="s">
        <v>695</v>
      </c>
      <c r="D14" s="421"/>
      <c r="E14" s="421"/>
      <c r="F14" s="421" t="s">
        <v>696</v>
      </c>
      <c r="G14" s="421"/>
      <c r="H14" s="421"/>
      <c r="I14" s="423">
        <v>0</v>
      </c>
      <c r="J14" s="423">
        <v>1166.3699999999999</v>
      </c>
      <c r="K14" s="423">
        <v>0</v>
      </c>
      <c r="L14" s="423">
        <v>0</v>
      </c>
      <c r="M14" s="423">
        <v>0</v>
      </c>
      <c r="N14" s="423">
        <v>0</v>
      </c>
      <c r="O14" s="423">
        <v>0</v>
      </c>
      <c r="P14" s="423">
        <v>0</v>
      </c>
      <c r="Q14" s="423">
        <v>0</v>
      </c>
      <c r="R14" s="423">
        <v>0</v>
      </c>
      <c r="S14" s="423">
        <v>0</v>
      </c>
      <c r="T14" s="423">
        <v>0</v>
      </c>
      <c r="U14" s="423">
        <v>1166.3699999999999</v>
      </c>
    </row>
    <row r="15" spans="1:21">
      <c r="A15" s="422">
        <v>0</v>
      </c>
      <c r="B15" s="422"/>
      <c r="C15" s="421" t="s">
        <v>697</v>
      </c>
      <c r="D15" s="421"/>
      <c r="E15" s="421"/>
      <c r="F15" s="421" t="s">
        <v>698</v>
      </c>
      <c r="G15" s="421"/>
      <c r="H15" s="421"/>
      <c r="I15" s="423">
        <v>13849923.800000001</v>
      </c>
      <c r="J15" s="423">
        <v>20805329.789999999</v>
      </c>
      <c r="K15" s="423">
        <v>24022062.059999999</v>
      </c>
      <c r="L15" s="423">
        <v>26427524.48</v>
      </c>
      <c r="M15" s="423">
        <v>8652797.4800000004</v>
      </c>
      <c r="N15" s="423">
        <v>1916139.93</v>
      </c>
      <c r="O15" s="423">
        <v>2068932.92</v>
      </c>
      <c r="P15" s="423">
        <v>1822002.89</v>
      </c>
      <c r="Q15" s="423">
        <v>1782032.08</v>
      </c>
      <c r="R15" s="423">
        <v>1331511.7</v>
      </c>
      <c r="S15" s="423">
        <v>1815157.5</v>
      </c>
      <c r="T15" s="423">
        <v>1622808.97</v>
      </c>
      <c r="U15" s="423">
        <v>106116223.59999999</v>
      </c>
    </row>
    <row r="16" spans="1:21">
      <c r="A16" s="422">
        <v>0</v>
      </c>
      <c r="B16" s="422"/>
      <c r="C16" s="421" t="s">
        <v>699</v>
      </c>
      <c r="D16" s="421"/>
      <c r="E16" s="421"/>
      <c r="F16" s="421" t="s">
        <v>700</v>
      </c>
      <c r="G16" s="421"/>
      <c r="H16" s="421"/>
      <c r="I16" s="423">
        <v>28668.94</v>
      </c>
      <c r="J16" s="423">
        <v>30312.91</v>
      </c>
      <c r="K16" s="423">
        <v>30414.55</v>
      </c>
      <c r="L16" s="423">
        <v>30210.07</v>
      </c>
      <c r="M16" s="423">
        <v>31635.55</v>
      </c>
      <c r="N16" s="423">
        <v>23631.79</v>
      </c>
      <c r="O16" s="423">
        <v>20449.939999999999</v>
      </c>
      <c r="P16" s="423">
        <v>20312.37</v>
      </c>
      <c r="Q16" s="423">
        <v>26587.23</v>
      </c>
      <c r="R16" s="423">
        <v>31548.66</v>
      </c>
      <c r="S16" s="423">
        <v>23460.13</v>
      </c>
      <c r="T16" s="423">
        <v>22332.6</v>
      </c>
      <c r="U16" s="423">
        <v>319564.74</v>
      </c>
    </row>
    <row r="17" spans="1:21">
      <c r="A17" s="422">
        <v>0</v>
      </c>
      <c r="B17" s="422"/>
      <c r="C17" s="421" t="s">
        <v>701</v>
      </c>
      <c r="D17" s="421"/>
      <c r="E17" s="421"/>
      <c r="F17" s="421" t="s">
        <v>702</v>
      </c>
      <c r="G17" s="421"/>
      <c r="H17" s="421"/>
      <c r="I17" s="423">
        <v>147773.64000000001</v>
      </c>
      <c r="J17" s="423">
        <v>142343.17000000001</v>
      </c>
      <c r="K17" s="423">
        <v>147388.21</v>
      </c>
      <c r="L17" s="423">
        <v>130537.27</v>
      </c>
      <c r="M17" s="423">
        <v>155429.19</v>
      </c>
      <c r="N17" s="423">
        <v>167028.96</v>
      </c>
      <c r="O17" s="423">
        <v>176486.39</v>
      </c>
      <c r="P17" s="423">
        <v>174095.39</v>
      </c>
      <c r="Q17" s="423">
        <v>149520.21</v>
      </c>
      <c r="R17" s="423">
        <v>142249.81</v>
      </c>
      <c r="S17" s="423">
        <v>151998.9</v>
      </c>
      <c r="T17" s="423">
        <v>129647.25</v>
      </c>
      <c r="U17" s="423">
        <v>1814498.39</v>
      </c>
    </row>
    <row r="18" spans="1:21">
      <c r="A18" s="422">
        <v>0</v>
      </c>
      <c r="B18" s="422"/>
      <c r="C18" s="421" t="s">
        <v>703</v>
      </c>
      <c r="D18" s="421"/>
      <c r="E18" s="421"/>
      <c r="F18" s="421" t="s">
        <v>704</v>
      </c>
      <c r="G18" s="421"/>
      <c r="H18" s="421"/>
      <c r="I18" s="423">
        <v>1091656.21</v>
      </c>
      <c r="J18" s="423">
        <v>1052256.17</v>
      </c>
      <c r="K18" s="423">
        <v>1095275.92</v>
      </c>
      <c r="L18" s="423">
        <v>938767.52</v>
      </c>
      <c r="M18" s="423">
        <v>1252167.99</v>
      </c>
      <c r="N18" s="423">
        <v>1143865.08</v>
      </c>
      <c r="O18" s="423">
        <v>1235777.98</v>
      </c>
      <c r="P18" s="423">
        <v>1236922.79</v>
      </c>
      <c r="Q18" s="423">
        <v>1122780.2</v>
      </c>
      <c r="R18" s="423">
        <v>1025757.93</v>
      </c>
      <c r="S18" s="423">
        <v>1015787.53</v>
      </c>
      <c r="T18" s="423">
        <v>877379.54</v>
      </c>
      <c r="U18" s="423">
        <v>13088394.859999999</v>
      </c>
    </row>
    <row r="19" spans="1:21">
      <c r="A19" s="422">
        <v>0</v>
      </c>
      <c r="B19" s="422"/>
      <c r="C19" s="421" t="s">
        <v>705</v>
      </c>
      <c r="D19" s="421"/>
      <c r="E19" s="421"/>
      <c r="F19" s="421" t="s">
        <v>706</v>
      </c>
      <c r="G19" s="421"/>
      <c r="H19" s="421"/>
      <c r="I19" s="423">
        <v>33358.85</v>
      </c>
      <c r="J19" s="423">
        <v>34093.46</v>
      </c>
      <c r="K19" s="423">
        <v>33657.32</v>
      </c>
      <c r="L19" s="423">
        <v>33225.82</v>
      </c>
      <c r="M19" s="423">
        <v>33076.71</v>
      </c>
      <c r="N19" s="423">
        <v>33292.43</v>
      </c>
      <c r="O19" s="423">
        <v>37091.71</v>
      </c>
      <c r="P19" s="423">
        <v>42666.32</v>
      </c>
      <c r="Q19" s="423">
        <v>41837.82</v>
      </c>
      <c r="R19" s="423">
        <v>39375.22</v>
      </c>
      <c r="S19" s="423">
        <v>39922.93</v>
      </c>
      <c r="T19" s="423">
        <v>36792.29</v>
      </c>
      <c r="U19" s="423">
        <v>438390.88</v>
      </c>
    </row>
    <row r="20" spans="1:21">
      <c r="A20" s="422">
        <v>0</v>
      </c>
      <c r="B20" s="422"/>
      <c r="C20" s="421" t="s">
        <v>707</v>
      </c>
      <c r="D20" s="421"/>
      <c r="E20" s="421"/>
      <c r="F20" s="421" t="s">
        <v>708</v>
      </c>
      <c r="G20" s="421"/>
      <c r="H20" s="421"/>
      <c r="I20" s="423">
        <v>2951.87</v>
      </c>
      <c r="J20" s="423">
        <v>2628.47</v>
      </c>
      <c r="K20" s="423">
        <v>2622.15</v>
      </c>
      <c r="L20" s="423">
        <v>2434.73</v>
      </c>
      <c r="M20" s="423">
        <v>2245.1</v>
      </c>
      <c r="N20" s="423">
        <v>2748.48</v>
      </c>
      <c r="O20" s="423">
        <v>2974.68</v>
      </c>
      <c r="P20" s="423">
        <v>2820.02</v>
      </c>
      <c r="Q20" s="423">
        <v>2639.58</v>
      </c>
      <c r="R20" s="423">
        <v>2720.31</v>
      </c>
      <c r="S20" s="423">
        <v>3052.2</v>
      </c>
      <c r="T20" s="423">
        <v>2688.14</v>
      </c>
      <c r="U20" s="423">
        <v>32525.73</v>
      </c>
    </row>
    <row r="21" spans="1:21">
      <c r="A21" s="422">
        <v>0</v>
      </c>
      <c r="B21" s="422"/>
      <c r="C21" s="421" t="s">
        <v>709</v>
      </c>
      <c r="D21" s="421"/>
      <c r="E21" s="421"/>
      <c r="F21" s="421" t="s">
        <v>710</v>
      </c>
      <c r="G21" s="421"/>
      <c r="H21" s="421"/>
      <c r="I21" s="423">
        <v>3444.47</v>
      </c>
      <c r="J21" s="423">
        <v>2572.87</v>
      </c>
      <c r="K21" s="423">
        <v>2863.13</v>
      </c>
      <c r="L21" s="423">
        <v>2473.12</v>
      </c>
      <c r="M21" s="423">
        <v>3152.89</v>
      </c>
      <c r="N21" s="423">
        <v>4088.62</v>
      </c>
      <c r="O21" s="423">
        <v>3559.85</v>
      </c>
      <c r="P21" s="423">
        <v>3470.18</v>
      </c>
      <c r="Q21" s="423">
        <v>4231.28</v>
      </c>
      <c r="R21" s="423">
        <v>3574.67</v>
      </c>
      <c r="S21" s="423">
        <v>3426.28</v>
      </c>
      <c r="T21" s="423">
        <v>3736.72</v>
      </c>
      <c r="U21" s="423">
        <v>40594.080000000002</v>
      </c>
    </row>
    <row r="22" spans="1:21">
      <c r="A22" s="422">
        <v>0</v>
      </c>
      <c r="B22" s="422"/>
      <c r="C22" s="421" t="s">
        <v>711</v>
      </c>
      <c r="D22" s="421"/>
      <c r="E22" s="421"/>
      <c r="F22" s="421" t="s">
        <v>712</v>
      </c>
      <c r="G22" s="421"/>
      <c r="H22" s="421"/>
      <c r="I22" s="423">
        <v>23525.47</v>
      </c>
      <c r="J22" s="423">
        <v>21596.35</v>
      </c>
      <c r="K22" s="423">
        <v>17398.7</v>
      </c>
      <c r="L22" s="423">
        <v>17096.46</v>
      </c>
      <c r="M22" s="423">
        <v>18482.02</v>
      </c>
      <c r="N22" s="423">
        <v>19030.73</v>
      </c>
      <c r="O22" s="423">
        <v>21183.03</v>
      </c>
      <c r="P22" s="423">
        <v>22008.080000000002</v>
      </c>
      <c r="Q22" s="423">
        <v>20566.919999999998</v>
      </c>
      <c r="R22" s="423">
        <v>23323.759999999998</v>
      </c>
      <c r="S22" s="423">
        <v>22739.279999999999</v>
      </c>
      <c r="T22" s="423">
        <v>22543.14</v>
      </c>
      <c r="U22" s="423">
        <v>249493.94</v>
      </c>
    </row>
    <row r="23" spans="1:21">
      <c r="A23" s="422">
        <v>0</v>
      </c>
      <c r="B23" s="422"/>
      <c r="C23" s="421" t="s">
        <v>713</v>
      </c>
      <c r="D23" s="421"/>
      <c r="E23" s="421"/>
      <c r="F23" s="421" t="s">
        <v>714</v>
      </c>
      <c r="G23" s="421"/>
      <c r="H23" s="421"/>
      <c r="I23" s="423">
        <v>168275.27</v>
      </c>
      <c r="J23" s="423">
        <v>171037.91</v>
      </c>
      <c r="K23" s="423">
        <v>187875.99</v>
      </c>
      <c r="L23" s="423">
        <v>181133.42</v>
      </c>
      <c r="M23" s="423">
        <v>190965.51</v>
      </c>
      <c r="N23" s="423">
        <v>222304.03</v>
      </c>
      <c r="O23" s="423">
        <v>258086.06</v>
      </c>
      <c r="P23" s="423">
        <v>196049.97</v>
      </c>
      <c r="Q23" s="423">
        <v>190568.2</v>
      </c>
      <c r="R23" s="423">
        <v>183160.56</v>
      </c>
      <c r="S23" s="423">
        <v>184170.05</v>
      </c>
      <c r="T23" s="423">
        <v>163433.89000000001</v>
      </c>
      <c r="U23" s="423">
        <v>2297060.86</v>
      </c>
    </row>
    <row r="24" spans="1:21">
      <c r="A24" s="422">
        <v>0</v>
      </c>
      <c r="B24" s="422"/>
      <c r="C24" s="421" t="s">
        <v>715</v>
      </c>
      <c r="D24" s="421"/>
      <c r="E24" s="421"/>
      <c r="F24" s="421" t="s">
        <v>716</v>
      </c>
      <c r="G24" s="421"/>
      <c r="H24" s="421"/>
      <c r="I24" s="423">
        <v>2765.31</v>
      </c>
      <c r="J24" s="423">
        <v>2519.37</v>
      </c>
      <c r="K24" s="423">
        <v>2233.5</v>
      </c>
      <c r="L24" s="423">
        <v>2003.45</v>
      </c>
      <c r="M24" s="423">
        <v>2167.4499999999998</v>
      </c>
      <c r="N24" s="423">
        <v>2380.5300000000002</v>
      </c>
      <c r="O24" s="423">
        <v>2538.4</v>
      </c>
      <c r="P24" s="423">
        <v>2314.4499999999998</v>
      </c>
      <c r="Q24" s="423">
        <v>2272.06</v>
      </c>
      <c r="R24" s="423">
        <v>2809.71</v>
      </c>
      <c r="S24" s="423">
        <v>3155.96</v>
      </c>
      <c r="T24" s="423">
        <v>2566.62</v>
      </c>
      <c r="U24" s="423">
        <v>29726.81</v>
      </c>
    </row>
    <row r="25" spans="1:21">
      <c r="A25" s="422">
        <v>0</v>
      </c>
      <c r="B25" s="422"/>
      <c r="C25" s="421" t="s">
        <v>717</v>
      </c>
      <c r="D25" s="421"/>
      <c r="E25" s="421"/>
      <c r="F25" s="421" t="s">
        <v>718</v>
      </c>
      <c r="G25" s="421"/>
      <c r="H25" s="421"/>
      <c r="I25" s="423">
        <v>5938.85</v>
      </c>
      <c r="J25" s="423">
        <v>5052.49</v>
      </c>
      <c r="K25" s="423">
        <v>6436.47</v>
      </c>
      <c r="L25" s="423">
        <v>5769.48</v>
      </c>
      <c r="M25" s="423">
        <v>5802.41</v>
      </c>
      <c r="N25" s="423">
        <v>4424.4399999999996</v>
      </c>
      <c r="O25" s="423">
        <v>3043.84</v>
      </c>
      <c r="P25" s="423">
        <v>1625.09</v>
      </c>
      <c r="Q25" s="423">
        <v>1427.48</v>
      </c>
      <c r="R25" s="423">
        <v>1396.82</v>
      </c>
      <c r="S25" s="423">
        <v>1582.18</v>
      </c>
      <c r="T25" s="423">
        <v>1336.06</v>
      </c>
      <c r="U25" s="423">
        <v>43835.61</v>
      </c>
    </row>
    <row r="26" spans="1:21">
      <c r="A26" s="422">
        <v>0</v>
      </c>
      <c r="B26" s="422"/>
      <c r="C26" s="421" t="s">
        <v>719</v>
      </c>
      <c r="D26" s="421"/>
      <c r="E26" s="421"/>
      <c r="F26" s="421" t="s">
        <v>720</v>
      </c>
      <c r="G26" s="421"/>
      <c r="H26" s="421"/>
      <c r="I26" s="423">
        <v>464650.54</v>
      </c>
      <c r="J26" s="423">
        <v>436172.58</v>
      </c>
      <c r="K26" s="423">
        <v>499848.29</v>
      </c>
      <c r="L26" s="423">
        <v>467678.57</v>
      </c>
      <c r="M26" s="423">
        <v>608108.76</v>
      </c>
      <c r="N26" s="423">
        <v>616298.04</v>
      </c>
      <c r="O26" s="423">
        <v>680589.05</v>
      </c>
      <c r="P26" s="423">
        <v>613704.4</v>
      </c>
      <c r="Q26" s="423">
        <v>550012.11</v>
      </c>
      <c r="R26" s="423">
        <v>510276.74</v>
      </c>
      <c r="S26" s="423">
        <v>510564.12</v>
      </c>
      <c r="T26" s="423">
        <v>462223.72</v>
      </c>
      <c r="U26" s="423">
        <v>6420126.9199999999</v>
      </c>
    </row>
    <row r="27" spans="1:21">
      <c r="A27" s="422">
        <v>0</v>
      </c>
      <c r="B27" s="422"/>
      <c r="C27" s="421" t="s">
        <v>721</v>
      </c>
      <c r="D27" s="421"/>
      <c r="E27" s="421"/>
      <c r="F27" s="421" t="s">
        <v>722</v>
      </c>
      <c r="G27" s="421"/>
      <c r="H27" s="421"/>
      <c r="I27" s="423">
        <v>55734.62</v>
      </c>
      <c r="J27" s="423">
        <v>51700.83</v>
      </c>
      <c r="K27" s="423">
        <v>49373.23</v>
      </c>
      <c r="L27" s="423">
        <v>46266.12</v>
      </c>
      <c r="M27" s="423">
        <v>50276.3</v>
      </c>
      <c r="N27" s="423">
        <v>51555.85</v>
      </c>
      <c r="O27" s="423">
        <v>48147.27</v>
      </c>
      <c r="P27" s="423">
        <v>57602.68</v>
      </c>
      <c r="Q27" s="423">
        <v>49968.93</v>
      </c>
      <c r="R27" s="423">
        <v>52574.17</v>
      </c>
      <c r="S27" s="423">
        <v>63825.71</v>
      </c>
      <c r="T27" s="423">
        <v>47186.65</v>
      </c>
      <c r="U27" s="423">
        <v>624212.36</v>
      </c>
    </row>
    <row r="28" spans="1:21">
      <c r="A28" s="422">
        <v>0</v>
      </c>
      <c r="B28" s="422"/>
      <c r="C28" s="421" t="s">
        <v>723</v>
      </c>
      <c r="D28" s="421"/>
      <c r="E28" s="421"/>
      <c r="F28" s="421" t="s">
        <v>724</v>
      </c>
      <c r="G28" s="421"/>
      <c r="H28" s="421"/>
      <c r="I28" s="423">
        <v>362162.17</v>
      </c>
      <c r="J28" s="423">
        <v>316642.25</v>
      </c>
      <c r="K28" s="423">
        <v>350051.93</v>
      </c>
      <c r="L28" s="423">
        <v>307732.01</v>
      </c>
      <c r="M28" s="423">
        <v>391086.66</v>
      </c>
      <c r="N28" s="423">
        <v>402205.57</v>
      </c>
      <c r="O28" s="423">
        <v>466332.39</v>
      </c>
      <c r="P28" s="423">
        <v>442617.32</v>
      </c>
      <c r="Q28" s="423">
        <v>374341.58</v>
      </c>
      <c r="R28" s="423">
        <v>360458.18</v>
      </c>
      <c r="S28" s="423">
        <v>400320.91</v>
      </c>
      <c r="T28" s="423">
        <v>320102.84999999998</v>
      </c>
      <c r="U28" s="423">
        <v>4494053.82</v>
      </c>
    </row>
    <row r="29" spans="1:21">
      <c r="A29" s="422">
        <v>0</v>
      </c>
      <c r="B29" s="422"/>
      <c r="C29" s="421" t="s">
        <v>725</v>
      </c>
      <c r="D29" s="421"/>
      <c r="E29" s="421"/>
      <c r="F29" s="421" t="s">
        <v>726</v>
      </c>
      <c r="G29" s="421"/>
      <c r="H29" s="421"/>
      <c r="I29" s="423">
        <v>95487.41</v>
      </c>
      <c r="J29" s="423">
        <v>80269.37</v>
      </c>
      <c r="K29" s="423">
        <v>76985.259999999995</v>
      </c>
      <c r="L29" s="423">
        <v>70402.179999999993</v>
      </c>
      <c r="M29" s="423">
        <v>83971.96</v>
      </c>
      <c r="N29" s="423">
        <v>92574.61</v>
      </c>
      <c r="O29" s="423">
        <v>104172.08</v>
      </c>
      <c r="P29" s="423">
        <v>110977.7</v>
      </c>
      <c r="Q29" s="423">
        <v>89197.23</v>
      </c>
      <c r="R29" s="423">
        <v>87144.47</v>
      </c>
      <c r="S29" s="423">
        <v>93019.16</v>
      </c>
      <c r="T29" s="423">
        <v>81738.399999999994</v>
      </c>
      <c r="U29" s="423">
        <v>1065939.83</v>
      </c>
    </row>
    <row r="30" spans="1:21">
      <c r="A30" s="422">
        <v>0</v>
      </c>
      <c r="B30" s="422"/>
      <c r="C30" s="421" t="s">
        <v>727</v>
      </c>
      <c r="D30" s="421"/>
      <c r="E30" s="421"/>
      <c r="F30" s="421" t="s">
        <v>728</v>
      </c>
      <c r="G30" s="421"/>
      <c r="H30" s="421"/>
      <c r="I30" s="423">
        <v>38241.57</v>
      </c>
      <c r="J30" s="423">
        <v>37408.69</v>
      </c>
      <c r="K30" s="423">
        <v>36248.49</v>
      </c>
      <c r="L30" s="423">
        <v>36377.360000000001</v>
      </c>
      <c r="M30" s="423">
        <v>37681.279999999999</v>
      </c>
      <c r="N30" s="423">
        <v>37632.44</v>
      </c>
      <c r="O30" s="423">
        <v>38513.699999999997</v>
      </c>
      <c r="P30" s="423">
        <v>38423.81</v>
      </c>
      <c r="Q30" s="423">
        <v>33653.29</v>
      </c>
      <c r="R30" s="423">
        <v>36239.85</v>
      </c>
      <c r="S30" s="423">
        <v>37354.86</v>
      </c>
      <c r="T30" s="423">
        <v>35285.980000000003</v>
      </c>
      <c r="U30" s="423">
        <v>443061.32</v>
      </c>
    </row>
    <row r="31" spans="1:21">
      <c r="A31" s="422">
        <v>0</v>
      </c>
      <c r="B31" s="422"/>
      <c r="C31" s="421" t="s">
        <v>729</v>
      </c>
      <c r="D31" s="421"/>
      <c r="E31" s="421"/>
      <c r="F31" s="421" t="s">
        <v>730</v>
      </c>
      <c r="G31" s="421"/>
      <c r="H31" s="421"/>
      <c r="I31" s="423">
        <v>86386.57</v>
      </c>
      <c r="J31" s="423">
        <v>80083.679999999993</v>
      </c>
      <c r="K31" s="423">
        <v>84016.86</v>
      </c>
      <c r="L31" s="423">
        <v>102565.06</v>
      </c>
      <c r="M31" s="423">
        <v>146471.17000000001</v>
      </c>
      <c r="N31" s="423">
        <v>130399.55</v>
      </c>
      <c r="O31" s="423">
        <v>113524.99</v>
      </c>
      <c r="P31" s="423">
        <v>83281.649999999994</v>
      </c>
      <c r="Q31" s="423">
        <v>90063.8</v>
      </c>
      <c r="R31" s="423">
        <v>121829.28</v>
      </c>
      <c r="S31" s="423">
        <v>111226.79</v>
      </c>
      <c r="T31" s="423">
        <v>91696.82</v>
      </c>
      <c r="U31" s="423">
        <v>1241546.22</v>
      </c>
    </row>
    <row r="32" spans="1:21">
      <c r="A32" s="422">
        <v>0</v>
      </c>
      <c r="B32" s="422"/>
      <c r="C32" s="421" t="s">
        <v>731</v>
      </c>
      <c r="D32" s="421"/>
      <c r="E32" s="421"/>
      <c r="F32" s="421" t="s">
        <v>732</v>
      </c>
      <c r="G32" s="421"/>
      <c r="H32" s="421"/>
      <c r="I32" s="423">
        <v>252489.47</v>
      </c>
      <c r="J32" s="423">
        <v>240714.38</v>
      </c>
      <c r="K32" s="423">
        <v>295309.90999999997</v>
      </c>
      <c r="L32" s="423">
        <v>299659.36</v>
      </c>
      <c r="M32" s="423">
        <v>334421.5</v>
      </c>
      <c r="N32" s="423">
        <v>335204.65999999997</v>
      </c>
      <c r="O32" s="423">
        <v>349402.56</v>
      </c>
      <c r="P32" s="423">
        <v>282545.14</v>
      </c>
      <c r="Q32" s="423">
        <v>311017</v>
      </c>
      <c r="R32" s="423">
        <v>344644.84</v>
      </c>
      <c r="S32" s="423">
        <v>292993.96000000002</v>
      </c>
      <c r="T32" s="423">
        <v>242460.36</v>
      </c>
      <c r="U32" s="423">
        <v>3580863.14</v>
      </c>
    </row>
    <row r="33" spans="1:22">
      <c r="A33" s="422">
        <v>0</v>
      </c>
      <c r="B33" s="422"/>
      <c r="C33" s="421" t="s">
        <v>733</v>
      </c>
      <c r="D33" s="421"/>
      <c r="E33" s="421"/>
      <c r="F33" s="421" t="s">
        <v>734</v>
      </c>
      <c r="G33" s="421"/>
      <c r="H33" s="421"/>
      <c r="I33" s="423">
        <v>63819.81</v>
      </c>
      <c r="J33" s="423">
        <v>47882.57</v>
      </c>
      <c r="K33" s="423">
        <v>44031.72</v>
      </c>
      <c r="L33" s="423">
        <v>55474</v>
      </c>
      <c r="M33" s="423">
        <v>66972.55</v>
      </c>
      <c r="N33" s="423">
        <v>76776.45</v>
      </c>
      <c r="O33" s="423">
        <v>75659.03</v>
      </c>
      <c r="P33" s="423">
        <v>68014.95</v>
      </c>
      <c r="Q33" s="423">
        <v>50417.25</v>
      </c>
      <c r="R33" s="423">
        <v>67719.070000000007</v>
      </c>
      <c r="S33" s="423">
        <v>57845.85</v>
      </c>
      <c r="T33" s="423">
        <v>11966.67</v>
      </c>
      <c r="U33" s="423">
        <v>686579.92</v>
      </c>
    </row>
    <row r="34" spans="1:22">
      <c r="A34" s="422">
        <v>0</v>
      </c>
      <c r="B34" s="422"/>
      <c r="C34" s="421" t="s">
        <v>735</v>
      </c>
      <c r="D34" s="421"/>
      <c r="E34" s="421"/>
      <c r="F34" s="421" t="s">
        <v>736</v>
      </c>
      <c r="G34" s="421"/>
      <c r="H34" s="421"/>
      <c r="I34" s="423">
        <v>0</v>
      </c>
      <c r="J34" s="423">
        <v>11.5</v>
      </c>
      <c r="K34" s="423">
        <v>5.75</v>
      </c>
      <c r="L34" s="423">
        <v>5.75</v>
      </c>
      <c r="M34" s="423">
        <v>0</v>
      </c>
      <c r="N34" s="423">
        <v>0</v>
      </c>
      <c r="O34" s="423">
        <v>11.5</v>
      </c>
      <c r="P34" s="423">
        <v>23</v>
      </c>
      <c r="Q34" s="423">
        <v>32</v>
      </c>
      <c r="R34" s="423">
        <v>0</v>
      </c>
      <c r="S34" s="423">
        <v>11.5</v>
      </c>
      <c r="T34" s="423">
        <v>3.25</v>
      </c>
      <c r="U34" s="423">
        <v>104.25</v>
      </c>
    </row>
    <row r="35" spans="1:22">
      <c r="A35" s="422">
        <v>0</v>
      </c>
      <c r="B35" s="422"/>
      <c r="C35" s="421" t="s">
        <v>737</v>
      </c>
      <c r="D35" s="421"/>
      <c r="E35" s="421"/>
      <c r="F35" s="421" t="s">
        <v>738</v>
      </c>
      <c r="G35" s="421"/>
      <c r="H35" s="421"/>
      <c r="I35" s="423">
        <v>2455.81</v>
      </c>
      <c r="J35" s="423">
        <v>1724</v>
      </c>
      <c r="K35" s="423">
        <v>1638.03</v>
      </c>
      <c r="L35" s="423">
        <v>1491.14</v>
      </c>
      <c r="M35" s="423">
        <v>1722.89</v>
      </c>
      <c r="N35" s="423">
        <v>2437.75</v>
      </c>
      <c r="O35" s="423">
        <v>2288.64</v>
      </c>
      <c r="P35" s="423">
        <v>2381.7800000000002</v>
      </c>
      <c r="Q35" s="423">
        <v>1559.5</v>
      </c>
      <c r="R35" s="423">
        <v>1247.25</v>
      </c>
      <c r="S35" s="423">
        <v>1723.39</v>
      </c>
      <c r="T35" s="423">
        <v>1765.89</v>
      </c>
      <c r="U35" s="423">
        <v>22436.07</v>
      </c>
    </row>
    <row r="36" spans="1:22">
      <c r="A36" s="422">
        <v>0</v>
      </c>
      <c r="B36" s="422"/>
      <c r="C36" s="421" t="s">
        <v>739</v>
      </c>
      <c r="D36" s="421"/>
      <c r="E36" s="421"/>
      <c r="F36" s="421" t="s">
        <v>740</v>
      </c>
      <c r="G36" s="421"/>
      <c r="H36" s="421"/>
      <c r="I36" s="423">
        <v>2907.75</v>
      </c>
      <c r="J36" s="423">
        <v>2281.25</v>
      </c>
      <c r="K36" s="423">
        <v>2080.5</v>
      </c>
      <c r="L36" s="423">
        <v>1825.25</v>
      </c>
      <c r="M36" s="423">
        <v>2141</v>
      </c>
      <c r="N36" s="423">
        <v>3195.25</v>
      </c>
      <c r="O36" s="423">
        <v>2726.75</v>
      </c>
      <c r="P36" s="423">
        <v>2692.5</v>
      </c>
      <c r="Q36" s="423">
        <v>1856.5</v>
      </c>
      <c r="R36" s="423">
        <v>1528.75</v>
      </c>
      <c r="S36" s="423">
        <v>2065</v>
      </c>
      <c r="T36" s="423">
        <v>2312</v>
      </c>
      <c r="U36" s="423">
        <v>27612.5</v>
      </c>
    </row>
    <row r="37" spans="1:22">
      <c r="A37" s="422">
        <v>0</v>
      </c>
      <c r="B37" s="422"/>
      <c r="C37" s="421" t="s">
        <v>741</v>
      </c>
      <c r="D37" s="421"/>
      <c r="E37" s="421"/>
      <c r="F37" s="421" t="s">
        <v>742</v>
      </c>
      <c r="G37" s="421"/>
      <c r="H37" s="421"/>
      <c r="I37" s="423">
        <v>158</v>
      </c>
      <c r="J37" s="423">
        <v>79</v>
      </c>
      <c r="K37" s="423">
        <v>0</v>
      </c>
      <c r="L37" s="423">
        <v>79</v>
      </c>
      <c r="M37" s="423">
        <v>79</v>
      </c>
      <c r="N37" s="423">
        <v>0</v>
      </c>
      <c r="O37" s="423">
        <v>0</v>
      </c>
      <c r="P37" s="423">
        <v>79</v>
      </c>
      <c r="Q37" s="423">
        <v>0</v>
      </c>
      <c r="R37" s="423">
        <v>0</v>
      </c>
      <c r="S37" s="423">
        <v>0</v>
      </c>
      <c r="T37" s="423">
        <v>158</v>
      </c>
      <c r="U37" s="423">
        <v>632</v>
      </c>
    </row>
    <row r="38" spans="1:22">
      <c r="A38" s="422">
        <v>0</v>
      </c>
      <c r="B38" s="422"/>
      <c r="C38" s="421" t="s">
        <v>743</v>
      </c>
      <c r="D38" s="421"/>
      <c r="E38" s="421"/>
      <c r="F38" s="421" t="s">
        <v>744</v>
      </c>
      <c r="G38" s="421"/>
      <c r="H38" s="421"/>
      <c r="I38" s="423">
        <v>0</v>
      </c>
      <c r="J38" s="423">
        <v>0</v>
      </c>
      <c r="K38" s="423">
        <v>0</v>
      </c>
      <c r="L38" s="423">
        <v>0</v>
      </c>
      <c r="M38" s="423">
        <v>0</v>
      </c>
      <c r="N38" s="423">
        <v>95.14</v>
      </c>
      <c r="O38" s="423">
        <v>95.14</v>
      </c>
      <c r="P38" s="423">
        <v>0</v>
      </c>
      <c r="Q38" s="423">
        <v>0</v>
      </c>
      <c r="R38" s="423">
        <v>0</v>
      </c>
      <c r="S38" s="423">
        <v>0</v>
      </c>
      <c r="T38" s="423">
        <v>0</v>
      </c>
      <c r="U38" s="423">
        <v>190.28</v>
      </c>
    </row>
    <row r="39" spans="1:22">
      <c r="A39" s="422">
        <v>0</v>
      </c>
      <c r="B39" s="422"/>
      <c r="C39" s="421" t="s">
        <v>745</v>
      </c>
      <c r="D39" s="421"/>
      <c r="E39" s="421"/>
      <c r="F39" s="421" t="s">
        <v>746</v>
      </c>
      <c r="G39" s="421"/>
      <c r="H39" s="421"/>
      <c r="I39" s="423">
        <v>0</v>
      </c>
      <c r="J39" s="423">
        <v>0</v>
      </c>
      <c r="K39" s="423">
        <v>0</v>
      </c>
      <c r="L39" s="423">
        <v>0</v>
      </c>
      <c r="M39" s="423">
        <v>0</v>
      </c>
      <c r="N39" s="423">
        <v>50</v>
      </c>
      <c r="O39" s="423">
        <v>0</v>
      </c>
      <c r="P39" s="423">
        <v>0</v>
      </c>
      <c r="Q39" s="423">
        <v>0</v>
      </c>
      <c r="R39" s="423">
        <v>0</v>
      </c>
      <c r="S39" s="423">
        <v>0</v>
      </c>
      <c r="T39" s="423">
        <v>0</v>
      </c>
      <c r="U39" s="423">
        <v>50</v>
      </c>
    </row>
    <row r="40" spans="1:22">
      <c r="A40" s="422">
        <v>0</v>
      </c>
      <c r="B40" s="422"/>
      <c r="C40" s="421" t="s">
        <v>747</v>
      </c>
      <c r="D40" s="421"/>
      <c r="E40" s="421"/>
      <c r="F40" s="421" t="s">
        <v>748</v>
      </c>
      <c r="G40" s="421"/>
      <c r="H40" s="421"/>
      <c r="I40" s="423">
        <v>62103.96</v>
      </c>
      <c r="J40" s="423">
        <v>62103.96</v>
      </c>
      <c r="K40" s="423">
        <v>62103.96</v>
      </c>
      <c r="L40" s="423">
        <v>62103.96</v>
      </c>
      <c r="M40" s="423">
        <v>62103.96</v>
      </c>
      <c r="N40" s="423">
        <v>62103.96</v>
      </c>
      <c r="O40" s="423">
        <v>62103.96</v>
      </c>
      <c r="P40" s="423">
        <v>62103.96</v>
      </c>
      <c r="Q40" s="423">
        <v>62103.96</v>
      </c>
      <c r="R40" s="423">
        <v>62103.92</v>
      </c>
      <c r="S40" s="423">
        <v>60249.72</v>
      </c>
      <c r="T40" s="423">
        <v>60249.72</v>
      </c>
      <c r="U40" s="423">
        <v>741539</v>
      </c>
    </row>
    <row r="41" spans="1:22">
      <c r="A41" s="422">
        <v>0</v>
      </c>
      <c r="B41" s="422"/>
      <c r="C41" s="421" t="s">
        <v>749</v>
      </c>
      <c r="D41" s="421"/>
      <c r="E41" s="421"/>
      <c r="F41" s="421" t="s">
        <v>750</v>
      </c>
      <c r="G41" s="421"/>
      <c r="H41" s="421"/>
      <c r="I41" s="423">
        <v>16812</v>
      </c>
      <c r="J41" s="423">
        <v>16812</v>
      </c>
      <c r="K41" s="423">
        <v>16812</v>
      </c>
      <c r="L41" s="423">
        <v>16812</v>
      </c>
      <c r="M41" s="423">
        <v>16812</v>
      </c>
      <c r="N41" s="423">
        <v>16812</v>
      </c>
      <c r="O41" s="423">
        <v>16812</v>
      </c>
      <c r="P41" s="423">
        <v>16812</v>
      </c>
      <c r="Q41" s="423">
        <v>16812</v>
      </c>
      <c r="R41" s="423">
        <v>21283.200000000001</v>
      </c>
      <c r="S41" s="423">
        <v>17184.599999999999</v>
      </c>
      <c r="T41" s="423">
        <v>17184.599999999999</v>
      </c>
      <c r="U41" s="423">
        <v>206960.4</v>
      </c>
    </row>
    <row r="42" spans="1:22">
      <c r="A42" s="422">
        <v>0</v>
      </c>
      <c r="B42" s="422"/>
      <c r="C42" s="421" t="s">
        <v>751</v>
      </c>
      <c r="D42" s="421"/>
      <c r="E42" s="421"/>
      <c r="F42" s="421" t="s">
        <v>752</v>
      </c>
      <c r="G42" s="421"/>
      <c r="H42" s="421"/>
      <c r="I42" s="423">
        <v>16129.23</v>
      </c>
      <c r="J42" s="423">
        <v>16129.23</v>
      </c>
      <c r="K42" s="423">
        <v>16129.23</v>
      </c>
      <c r="L42" s="423">
        <v>16129.23</v>
      </c>
      <c r="M42" s="423">
        <v>16129.23</v>
      </c>
      <c r="N42" s="423">
        <v>16129.23</v>
      </c>
      <c r="O42" s="423">
        <v>16129.23</v>
      </c>
      <c r="P42" s="423">
        <v>16129.23</v>
      </c>
      <c r="Q42" s="423">
        <v>16129.23</v>
      </c>
      <c r="R42" s="423">
        <v>16129.28</v>
      </c>
      <c r="S42" s="423">
        <v>16790.82</v>
      </c>
      <c r="T42" s="423">
        <v>16790.82</v>
      </c>
      <c r="U42" s="423">
        <v>194873.99</v>
      </c>
    </row>
    <row r="43" spans="1:22">
      <c r="A43" s="422">
        <v>0</v>
      </c>
      <c r="B43" s="422"/>
      <c r="C43" s="421" t="s">
        <v>753</v>
      </c>
      <c r="D43" s="421"/>
      <c r="E43" s="421"/>
      <c r="F43" s="421" t="s">
        <v>754</v>
      </c>
      <c r="G43" s="421"/>
      <c r="H43" s="421"/>
      <c r="I43" s="423">
        <v>50</v>
      </c>
      <c r="J43" s="423">
        <v>50</v>
      </c>
      <c r="K43" s="423">
        <v>50</v>
      </c>
      <c r="L43" s="423">
        <v>50</v>
      </c>
      <c r="M43" s="423">
        <v>50</v>
      </c>
      <c r="N43" s="423">
        <v>50</v>
      </c>
      <c r="O43" s="423">
        <v>50</v>
      </c>
      <c r="P43" s="423">
        <v>50</v>
      </c>
      <c r="Q43" s="423">
        <v>50</v>
      </c>
      <c r="R43" s="423">
        <v>50</v>
      </c>
      <c r="S43" s="423">
        <v>50</v>
      </c>
      <c r="T43" s="423">
        <v>50.52</v>
      </c>
      <c r="U43" s="423">
        <v>600.52</v>
      </c>
    </row>
    <row r="44" spans="1:22">
      <c r="A44" s="424" t="s">
        <v>755</v>
      </c>
      <c r="B44" s="424"/>
      <c r="C44" s="424"/>
      <c r="D44" s="424"/>
      <c r="E44" s="424"/>
      <c r="F44" s="424"/>
      <c r="G44" s="424"/>
      <c r="H44" s="424"/>
      <c r="I44" s="425">
        <v>44861526.259999998</v>
      </c>
      <c r="J44" s="425">
        <v>57382580.579999998</v>
      </c>
      <c r="K44" s="425">
        <v>67304209.569999993</v>
      </c>
      <c r="L44" s="425">
        <v>75474829.299999997</v>
      </c>
      <c r="M44" s="425">
        <v>58393900.909999996</v>
      </c>
      <c r="N44" s="425">
        <v>52363991.420000002</v>
      </c>
      <c r="O44" s="425">
        <v>50208853.850000001</v>
      </c>
      <c r="P44" s="425">
        <v>37752268.789999999</v>
      </c>
      <c r="Q44" s="425">
        <v>37173658.340000004</v>
      </c>
      <c r="R44" s="425">
        <v>45400076.509999998</v>
      </c>
      <c r="S44" s="425">
        <v>34634253.729999997</v>
      </c>
      <c r="T44" s="425">
        <v>27433965.59</v>
      </c>
      <c r="U44" s="425">
        <v>588384114.85000002</v>
      </c>
    </row>
    <row r="45" spans="1:22">
      <c r="A45" s="420" t="s">
        <v>673</v>
      </c>
      <c r="B45" s="420"/>
      <c r="C45" s="421" t="s">
        <v>756</v>
      </c>
      <c r="D45" s="421"/>
      <c r="E45" s="421"/>
      <c r="F45" s="421"/>
      <c r="G45" s="421"/>
      <c r="H45" s="421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</row>
    <row r="46" spans="1:22">
      <c r="A46" s="422">
        <v>0</v>
      </c>
      <c r="B46" s="422"/>
      <c r="C46" s="421" t="s">
        <v>757</v>
      </c>
      <c r="D46" s="421"/>
      <c r="E46" s="421"/>
      <c r="F46" s="421" t="s">
        <v>758</v>
      </c>
      <c r="G46" s="421"/>
      <c r="H46" s="421"/>
      <c r="I46" s="423">
        <v>7954301.5800000001</v>
      </c>
      <c r="J46" s="423">
        <v>6424277.29</v>
      </c>
      <c r="K46" s="423">
        <v>8031884.1200000001</v>
      </c>
      <c r="L46" s="423">
        <v>8914216.6300000008</v>
      </c>
      <c r="M46" s="423">
        <v>11664331.84</v>
      </c>
      <c r="N46" s="423">
        <v>10901182.279999999</v>
      </c>
      <c r="O46" s="423">
        <v>10714826.050000001</v>
      </c>
      <c r="P46" s="423">
        <v>7619212.6600000001</v>
      </c>
      <c r="Q46" s="423">
        <v>8698068.0399999991</v>
      </c>
      <c r="R46" s="423">
        <v>11384163.449999999</v>
      </c>
      <c r="S46" s="423">
        <v>9757254.3399999999</v>
      </c>
      <c r="T46" s="423">
        <v>7588019.2400000002</v>
      </c>
      <c r="U46" s="423">
        <v>109651737.52</v>
      </c>
    </row>
    <row r="47" spans="1:22">
      <c r="A47" s="422">
        <v>0</v>
      </c>
      <c r="B47" s="422"/>
      <c r="C47" s="421" t="s">
        <v>759</v>
      </c>
      <c r="D47" s="421"/>
      <c r="E47" s="421"/>
      <c r="F47" s="421" t="s">
        <v>760</v>
      </c>
      <c r="G47" s="421"/>
      <c r="H47" s="421"/>
      <c r="I47" s="423">
        <v>3136.21</v>
      </c>
      <c r="J47" s="423">
        <v>3933.56</v>
      </c>
      <c r="K47" s="423">
        <v>5078.01</v>
      </c>
      <c r="L47" s="423">
        <v>5135.97</v>
      </c>
      <c r="M47" s="423">
        <v>4657.76</v>
      </c>
      <c r="N47" s="423">
        <v>3246.27</v>
      </c>
      <c r="O47" s="423">
        <v>4794.12</v>
      </c>
      <c r="P47" s="423">
        <v>6359.69</v>
      </c>
      <c r="Q47" s="423">
        <v>7108.62</v>
      </c>
      <c r="R47" s="423">
        <v>3870.94</v>
      </c>
      <c r="S47" s="423">
        <v>2534.7199999999998</v>
      </c>
      <c r="T47" s="423">
        <v>-42415.59</v>
      </c>
      <c r="U47" s="423">
        <v>7440.28</v>
      </c>
      <c r="V47" s="115">
        <f>U46+U47</f>
        <v>109659177.8</v>
      </c>
    </row>
    <row r="48" spans="1:22">
      <c r="A48" s="422">
        <v>0</v>
      </c>
      <c r="B48" s="422"/>
      <c r="C48" s="421" t="s">
        <v>761</v>
      </c>
      <c r="D48" s="421"/>
      <c r="E48" s="421"/>
      <c r="F48" s="421" t="s">
        <v>762</v>
      </c>
      <c r="G48" s="421"/>
      <c r="H48" s="421"/>
      <c r="I48" s="423">
        <v>160379.54</v>
      </c>
      <c r="J48" s="423">
        <v>162713.74</v>
      </c>
      <c r="K48" s="423">
        <v>178922.66</v>
      </c>
      <c r="L48" s="423">
        <v>171232.28</v>
      </c>
      <c r="M48" s="423">
        <v>182393.56</v>
      </c>
      <c r="N48" s="423">
        <v>212364.27</v>
      </c>
      <c r="O48" s="423">
        <v>248242.58</v>
      </c>
      <c r="P48" s="423">
        <v>188062.52</v>
      </c>
      <c r="Q48" s="423">
        <v>182217.78</v>
      </c>
      <c r="R48" s="423">
        <v>174855.6</v>
      </c>
      <c r="S48" s="423">
        <v>175912.44</v>
      </c>
      <c r="T48" s="423">
        <v>155041.84</v>
      </c>
      <c r="U48" s="423">
        <v>2192338.81</v>
      </c>
    </row>
    <row r="49" spans="1:22">
      <c r="A49" s="422">
        <v>0</v>
      </c>
      <c r="B49" s="422"/>
      <c r="C49" s="421" t="s">
        <v>763</v>
      </c>
      <c r="D49" s="421"/>
      <c r="E49" s="421"/>
      <c r="F49" s="421" t="s">
        <v>764</v>
      </c>
      <c r="G49" s="421"/>
      <c r="H49" s="421"/>
      <c r="I49" s="423">
        <v>2589.2600000000002</v>
      </c>
      <c r="J49" s="423">
        <v>2352.39</v>
      </c>
      <c r="K49" s="423">
        <v>2081.9499999999998</v>
      </c>
      <c r="L49" s="423">
        <v>1855.68</v>
      </c>
      <c r="M49" s="423">
        <v>2022.34</v>
      </c>
      <c r="N49" s="423">
        <v>2226.52</v>
      </c>
      <c r="O49" s="423">
        <v>2388.11</v>
      </c>
      <c r="P49" s="423">
        <v>2170.35</v>
      </c>
      <c r="Q49" s="423">
        <v>2125.0300000000002</v>
      </c>
      <c r="R49" s="423">
        <v>2636.43</v>
      </c>
      <c r="S49" s="423">
        <v>2969.3</v>
      </c>
      <c r="T49" s="423">
        <v>2392</v>
      </c>
      <c r="U49" s="423">
        <v>27809.360000000001</v>
      </c>
    </row>
    <row r="50" spans="1:22">
      <c r="A50" s="422">
        <v>0</v>
      </c>
      <c r="B50" s="422"/>
      <c r="C50" s="421" t="s">
        <v>765</v>
      </c>
      <c r="D50" s="421"/>
      <c r="E50" s="421"/>
      <c r="F50" s="421" t="s">
        <v>766</v>
      </c>
      <c r="G50" s="421"/>
      <c r="H50" s="421"/>
      <c r="I50" s="423">
        <v>5644.81</v>
      </c>
      <c r="J50" s="423">
        <v>4779.3100000000004</v>
      </c>
      <c r="K50" s="423">
        <v>6121.87</v>
      </c>
      <c r="L50" s="423">
        <v>5448.44</v>
      </c>
      <c r="M50" s="423">
        <v>5518.62</v>
      </c>
      <c r="N50" s="423">
        <v>4191.4799999999996</v>
      </c>
      <c r="O50" s="423">
        <v>2861.6</v>
      </c>
      <c r="P50" s="423">
        <v>1490.74</v>
      </c>
      <c r="Q50" s="423">
        <v>1298.19</v>
      </c>
      <c r="R50" s="423">
        <v>1267.97</v>
      </c>
      <c r="S50" s="423">
        <v>1453.34</v>
      </c>
      <c r="T50" s="423">
        <v>1212.8499999999999</v>
      </c>
      <c r="U50" s="423">
        <v>41289.22</v>
      </c>
    </row>
    <row r="51" spans="1:22">
      <c r="A51" s="422">
        <v>0</v>
      </c>
      <c r="B51" s="422"/>
      <c r="C51" s="421" t="s">
        <v>767</v>
      </c>
      <c r="D51" s="421"/>
      <c r="E51" s="421"/>
      <c r="F51" s="421" t="s">
        <v>768</v>
      </c>
      <c r="G51" s="421"/>
      <c r="H51" s="421"/>
      <c r="I51" s="423">
        <v>434245.12</v>
      </c>
      <c r="J51" s="423">
        <v>406767.69</v>
      </c>
      <c r="K51" s="423">
        <v>468161.39</v>
      </c>
      <c r="L51" s="423">
        <v>434434.57</v>
      </c>
      <c r="M51" s="423">
        <v>572946.6</v>
      </c>
      <c r="N51" s="423">
        <v>581077.01</v>
      </c>
      <c r="O51" s="423">
        <v>647013.48</v>
      </c>
      <c r="P51" s="423">
        <v>580958.39</v>
      </c>
      <c r="Q51" s="423">
        <v>517942.1</v>
      </c>
      <c r="R51" s="423">
        <v>479041.7</v>
      </c>
      <c r="S51" s="423">
        <v>479682.15</v>
      </c>
      <c r="T51" s="423">
        <v>430763.86</v>
      </c>
      <c r="U51" s="423">
        <v>6033034.0599999996</v>
      </c>
    </row>
    <row r="52" spans="1:22">
      <c r="A52" s="422">
        <v>0</v>
      </c>
      <c r="B52" s="422"/>
      <c r="C52" s="421" t="s">
        <v>769</v>
      </c>
      <c r="D52" s="421"/>
      <c r="E52" s="421"/>
      <c r="F52" s="421" t="s">
        <v>770</v>
      </c>
      <c r="G52" s="421"/>
      <c r="H52" s="421"/>
      <c r="I52" s="423">
        <v>53860.82</v>
      </c>
      <c r="J52" s="423">
        <v>49904.32</v>
      </c>
      <c r="K52" s="423">
        <v>47692.480000000003</v>
      </c>
      <c r="L52" s="423">
        <v>44496.52</v>
      </c>
      <c r="M52" s="423">
        <v>48681.89</v>
      </c>
      <c r="N52" s="423">
        <v>49903.47</v>
      </c>
      <c r="O52" s="423">
        <v>46910.53</v>
      </c>
      <c r="P52" s="423">
        <v>56023.49</v>
      </c>
      <c r="Q52" s="423">
        <v>48463.32</v>
      </c>
      <c r="R52" s="423">
        <v>50992.26</v>
      </c>
      <c r="S52" s="423">
        <v>61771.16</v>
      </c>
      <c r="T52" s="423">
        <v>45550.79</v>
      </c>
      <c r="U52" s="423">
        <v>604251.05000000005</v>
      </c>
    </row>
    <row r="53" spans="1:22">
      <c r="A53" s="422">
        <v>0</v>
      </c>
      <c r="B53" s="422"/>
      <c r="C53" s="421" t="s">
        <v>771</v>
      </c>
      <c r="D53" s="421"/>
      <c r="E53" s="421"/>
      <c r="F53" s="421" t="s">
        <v>772</v>
      </c>
      <c r="G53" s="421"/>
      <c r="H53" s="421"/>
      <c r="I53" s="423">
        <v>347674.11</v>
      </c>
      <c r="J53" s="423">
        <v>303504.01</v>
      </c>
      <c r="K53" s="423">
        <v>335694</v>
      </c>
      <c r="L53" s="423">
        <v>293037.14</v>
      </c>
      <c r="M53" s="423">
        <v>375815.42</v>
      </c>
      <c r="N53" s="423">
        <v>386647.27</v>
      </c>
      <c r="O53" s="423">
        <v>451245.83</v>
      </c>
      <c r="P53" s="423">
        <v>427384.33</v>
      </c>
      <c r="Q53" s="423">
        <v>360747.34</v>
      </c>
      <c r="R53" s="423">
        <v>347067.56</v>
      </c>
      <c r="S53" s="423">
        <v>385203.41</v>
      </c>
      <c r="T53" s="423">
        <v>306450.67</v>
      </c>
      <c r="U53" s="423">
        <v>4320471.09</v>
      </c>
    </row>
    <row r="54" spans="1:22">
      <c r="A54" s="422">
        <v>0</v>
      </c>
      <c r="B54" s="422"/>
      <c r="C54" s="421" t="s">
        <v>773</v>
      </c>
      <c r="D54" s="421"/>
      <c r="E54" s="421"/>
      <c r="F54" s="421" t="s">
        <v>774</v>
      </c>
      <c r="G54" s="421"/>
      <c r="H54" s="421"/>
      <c r="I54" s="423">
        <v>90160.02</v>
      </c>
      <c r="J54" s="423">
        <v>75435.789999999994</v>
      </c>
      <c r="K54" s="423">
        <v>72329.009999999995</v>
      </c>
      <c r="L54" s="423">
        <v>65594.990000000005</v>
      </c>
      <c r="M54" s="423">
        <v>79182.960000000006</v>
      </c>
      <c r="N54" s="423">
        <v>87529.2</v>
      </c>
      <c r="O54" s="423">
        <v>99286.23</v>
      </c>
      <c r="P54" s="423">
        <v>105750.51</v>
      </c>
      <c r="Q54" s="423">
        <v>84505.45</v>
      </c>
      <c r="R54" s="423">
        <v>82426.58</v>
      </c>
      <c r="S54" s="423">
        <v>88060.14</v>
      </c>
      <c r="T54" s="423">
        <v>76778.02</v>
      </c>
      <c r="U54" s="423">
        <v>1007038.9</v>
      </c>
    </row>
    <row r="55" spans="1:22">
      <c r="A55" s="422">
        <v>0</v>
      </c>
      <c r="B55" s="422"/>
      <c r="C55" s="421" t="s">
        <v>775</v>
      </c>
      <c r="D55" s="421"/>
      <c r="E55" s="421"/>
      <c r="F55" s="421" t="s">
        <v>776</v>
      </c>
      <c r="G55" s="421"/>
      <c r="H55" s="421"/>
      <c r="I55" s="423">
        <v>1439455.21</v>
      </c>
      <c r="J55" s="423">
        <v>1475349.94</v>
      </c>
      <c r="K55" s="423">
        <v>1604652.56</v>
      </c>
      <c r="L55" s="423">
        <v>1334836.7</v>
      </c>
      <c r="M55" s="423">
        <v>1661780.4</v>
      </c>
      <c r="N55" s="423">
        <v>1647520.96</v>
      </c>
      <c r="O55" s="423">
        <v>1935169.64</v>
      </c>
      <c r="P55" s="423">
        <v>1892924.84</v>
      </c>
      <c r="Q55" s="423">
        <v>1519064.85</v>
      </c>
      <c r="R55" s="423">
        <v>1708634.46</v>
      </c>
      <c r="S55" s="423">
        <v>1684189.96</v>
      </c>
      <c r="T55" s="423">
        <v>1348724.66</v>
      </c>
      <c r="U55" s="423">
        <v>19252304.18</v>
      </c>
    </row>
    <row r="56" spans="1:22">
      <c r="A56" s="422">
        <v>0</v>
      </c>
      <c r="B56" s="422"/>
      <c r="C56" s="421" t="s">
        <v>777</v>
      </c>
      <c r="D56" s="421"/>
      <c r="E56" s="421"/>
      <c r="F56" s="421" t="s">
        <v>778</v>
      </c>
      <c r="G56" s="421"/>
      <c r="H56" s="421"/>
      <c r="I56" s="423">
        <v>1274626.4099999999</v>
      </c>
      <c r="J56" s="423">
        <v>1328133.95</v>
      </c>
      <c r="K56" s="423">
        <v>1771682.42</v>
      </c>
      <c r="L56" s="423">
        <v>1931545.13</v>
      </c>
      <c r="M56" s="423">
        <v>1886556.01</v>
      </c>
      <c r="N56" s="423">
        <v>1853895.19</v>
      </c>
      <c r="O56" s="423">
        <v>1844609.31</v>
      </c>
      <c r="P56" s="423">
        <v>2264355.81</v>
      </c>
      <c r="Q56" s="423">
        <v>1541155.16</v>
      </c>
      <c r="R56" s="423">
        <v>2103593.73</v>
      </c>
      <c r="S56" s="423">
        <v>2247312.12</v>
      </c>
      <c r="T56" s="423">
        <v>1219082.56</v>
      </c>
      <c r="U56" s="423">
        <v>21266547.800000001</v>
      </c>
    </row>
    <row r="57" spans="1:22">
      <c r="A57" s="422">
        <v>0</v>
      </c>
      <c r="B57" s="422"/>
      <c r="C57" s="421" t="s">
        <v>779</v>
      </c>
      <c r="D57" s="421"/>
      <c r="E57" s="421"/>
      <c r="F57" s="421" t="s">
        <v>780</v>
      </c>
      <c r="G57" s="421"/>
      <c r="H57" s="421"/>
      <c r="I57" s="423">
        <v>33024.21</v>
      </c>
      <c r="J57" s="423">
        <v>33724.400000000001</v>
      </c>
      <c r="K57" s="423">
        <v>33291.440000000002</v>
      </c>
      <c r="L57" s="423">
        <v>32856.94</v>
      </c>
      <c r="M57" s="423">
        <v>32757.15</v>
      </c>
      <c r="N57" s="423">
        <v>32967.99</v>
      </c>
      <c r="O57" s="423">
        <v>36651.11</v>
      </c>
      <c r="P57" s="423">
        <v>42006.84</v>
      </c>
      <c r="Q57" s="423">
        <v>41157.699999999997</v>
      </c>
      <c r="R57" s="423">
        <v>38793.51</v>
      </c>
      <c r="S57" s="423">
        <v>39383.53</v>
      </c>
      <c r="T57" s="423">
        <v>36254.57</v>
      </c>
      <c r="U57" s="423">
        <v>432869.39</v>
      </c>
    </row>
    <row r="58" spans="1:22">
      <c r="A58" s="422">
        <v>0</v>
      </c>
      <c r="B58" s="422"/>
      <c r="C58" s="421" t="s">
        <v>781</v>
      </c>
      <c r="D58" s="421"/>
      <c r="E58" s="421"/>
      <c r="F58" s="421" t="s">
        <v>782</v>
      </c>
      <c r="G58" s="421"/>
      <c r="H58" s="421"/>
      <c r="I58" s="423">
        <v>2796.01</v>
      </c>
      <c r="J58" s="423">
        <v>2488.98</v>
      </c>
      <c r="K58" s="423">
        <v>2480.75</v>
      </c>
      <c r="L58" s="423">
        <v>2297.5100000000002</v>
      </c>
      <c r="M58" s="423">
        <v>2124.4699999999998</v>
      </c>
      <c r="N58" s="423">
        <v>2605</v>
      </c>
      <c r="O58" s="423">
        <v>2836.74</v>
      </c>
      <c r="P58" s="423">
        <v>2679.3</v>
      </c>
      <c r="Q58" s="423">
        <v>2500.7600000000002</v>
      </c>
      <c r="R58" s="423">
        <v>2578.1999999999998</v>
      </c>
      <c r="S58" s="423">
        <v>2899.26</v>
      </c>
      <c r="T58" s="423">
        <v>2541.56</v>
      </c>
      <c r="U58" s="423">
        <v>30828.54</v>
      </c>
    </row>
    <row r="59" spans="1:22">
      <c r="A59" s="422">
        <v>0</v>
      </c>
      <c r="B59" s="422"/>
      <c r="C59" s="421" t="s">
        <v>783</v>
      </c>
      <c r="D59" s="421"/>
      <c r="E59" s="421"/>
      <c r="F59" s="421" t="s">
        <v>784</v>
      </c>
      <c r="G59" s="421"/>
      <c r="H59" s="421"/>
      <c r="I59" s="423">
        <v>3279.5</v>
      </c>
      <c r="J59" s="423">
        <v>2450.9299999999998</v>
      </c>
      <c r="K59" s="423">
        <v>2724.99</v>
      </c>
      <c r="L59" s="423">
        <v>2353.02</v>
      </c>
      <c r="M59" s="423">
        <v>3003.54</v>
      </c>
      <c r="N59" s="423">
        <v>3896.91</v>
      </c>
      <c r="O59" s="423">
        <v>3418.66</v>
      </c>
      <c r="P59" s="423">
        <v>3316.8</v>
      </c>
      <c r="Q59" s="423">
        <v>4036.85</v>
      </c>
      <c r="R59" s="423">
        <v>3417.42</v>
      </c>
      <c r="S59" s="423">
        <v>3271.03</v>
      </c>
      <c r="T59" s="423">
        <v>3547.09</v>
      </c>
      <c r="U59" s="423">
        <v>38716.74</v>
      </c>
    </row>
    <row r="60" spans="1:22">
      <c r="A60" s="422">
        <v>0</v>
      </c>
      <c r="B60" s="422"/>
      <c r="C60" s="421" t="s">
        <v>785</v>
      </c>
      <c r="D60" s="421"/>
      <c r="E60" s="421"/>
      <c r="F60" s="421" t="s">
        <v>786</v>
      </c>
      <c r="G60" s="421"/>
      <c r="H60" s="421"/>
      <c r="I60" s="423">
        <v>22758.76</v>
      </c>
      <c r="J60" s="423">
        <v>20900.89</v>
      </c>
      <c r="K60" s="423">
        <v>16851.330000000002</v>
      </c>
      <c r="L60" s="423">
        <v>16517.169999999998</v>
      </c>
      <c r="M60" s="423">
        <v>17926.96</v>
      </c>
      <c r="N60" s="423">
        <v>18464.84</v>
      </c>
      <c r="O60" s="423">
        <v>20613.43</v>
      </c>
      <c r="P60" s="423">
        <v>21425.03</v>
      </c>
      <c r="Q60" s="423">
        <v>19985.04</v>
      </c>
      <c r="R60" s="423">
        <v>22627.93</v>
      </c>
      <c r="S60" s="423">
        <v>22066</v>
      </c>
      <c r="T60" s="423">
        <v>21808.080000000002</v>
      </c>
      <c r="U60" s="423">
        <v>241945.46</v>
      </c>
    </row>
    <row r="61" spans="1:22">
      <c r="A61" s="422">
        <v>0</v>
      </c>
      <c r="B61" s="422"/>
      <c r="C61" s="421" t="s">
        <v>787</v>
      </c>
      <c r="D61" s="421"/>
      <c r="E61" s="421"/>
      <c r="F61" s="421" t="s">
        <v>788</v>
      </c>
      <c r="G61" s="421"/>
      <c r="H61" s="421"/>
      <c r="I61" s="423">
        <v>0</v>
      </c>
      <c r="J61" s="423">
        <v>1166.3699999999999</v>
      </c>
      <c r="K61" s="423">
        <v>0</v>
      </c>
      <c r="L61" s="423">
        <v>0</v>
      </c>
      <c r="M61" s="423">
        <v>0</v>
      </c>
      <c r="N61" s="423">
        <v>0</v>
      </c>
      <c r="O61" s="423">
        <v>0</v>
      </c>
      <c r="P61" s="423">
        <v>0</v>
      </c>
      <c r="Q61" s="423">
        <v>0</v>
      </c>
      <c r="R61" s="423">
        <v>0</v>
      </c>
      <c r="S61" s="423">
        <v>0</v>
      </c>
      <c r="T61" s="423">
        <v>0</v>
      </c>
      <c r="U61" s="423">
        <v>1166.3699999999999</v>
      </c>
    </row>
    <row r="62" spans="1:22">
      <c r="A62" s="422">
        <v>0</v>
      </c>
      <c r="B62" s="422"/>
      <c r="C62" s="421" t="s">
        <v>789</v>
      </c>
      <c r="D62" s="421"/>
      <c r="E62" s="421"/>
      <c r="F62" s="421" t="s">
        <v>790</v>
      </c>
      <c r="G62" s="421"/>
      <c r="H62" s="421"/>
      <c r="I62" s="423">
        <v>13848399.119999999</v>
      </c>
      <c r="J62" s="423">
        <v>20805595.399999999</v>
      </c>
      <c r="K62" s="423">
        <v>24021646.199999999</v>
      </c>
      <c r="L62" s="423">
        <v>26429749.800000001</v>
      </c>
      <c r="M62" s="423">
        <v>8660644.4199999999</v>
      </c>
      <c r="N62" s="423">
        <v>1919243.32</v>
      </c>
      <c r="O62" s="423">
        <v>2068968.2</v>
      </c>
      <c r="P62" s="423">
        <v>1822003.1</v>
      </c>
      <c r="Q62" s="423">
        <v>1782028.14</v>
      </c>
      <c r="R62" s="423">
        <v>1331506.23</v>
      </c>
      <c r="S62" s="423">
        <v>1815158.04</v>
      </c>
      <c r="T62" s="423">
        <v>1622815.01</v>
      </c>
      <c r="U62" s="423">
        <v>106127756.98</v>
      </c>
    </row>
    <row r="63" spans="1:22">
      <c r="A63" s="422">
        <v>0</v>
      </c>
      <c r="B63" s="422"/>
      <c r="C63" s="421" t="s">
        <v>791</v>
      </c>
      <c r="D63" s="421"/>
      <c r="E63" s="421"/>
      <c r="F63" s="421" t="s">
        <v>792</v>
      </c>
      <c r="G63" s="421"/>
      <c r="H63" s="421"/>
      <c r="I63" s="423">
        <v>2642.18</v>
      </c>
      <c r="J63" s="423">
        <v>2607.15</v>
      </c>
      <c r="K63" s="423">
        <v>2655.21</v>
      </c>
      <c r="L63" s="423">
        <v>2199.5</v>
      </c>
      <c r="M63" s="423">
        <v>1973.54</v>
      </c>
      <c r="N63" s="423">
        <v>2427.31</v>
      </c>
      <c r="O63" s="423">
        <v>2492.33</v>
      </c>
      <c r="P63" s="423">
        <v>2714.71</v>
      </c>
      <c r="Q63" s="423">
        <v>19713929.960000001</v>
      </c>
      <c r="R63" s="423">
        <v>-19711164.949999999</v>
      </c>
      <c r="S63" s="423">
        <v>3025.01</v>
      </c>
      <c r="T63" s="423">
        <v>2851.93</v>
      </c>
      <c r="U63" s="423">
        <v>28353.88</v>
      </c>
      <c r="V63" s="409">
        <f>SUM(I63:T63)</f>
        <v>28353.880000001343</v>
      </c>
    </row>
    <row r="64" spans="1:22">
      <c r="A64" s="422">
        <v>0</v>
      </c>
      <c r="B64" s="422"/>
      <c r="C64" s="421" t="s">
        <v>793</v>
      </c>
      <c r="D64" s="421"/>
      <c r="E64" s="421"/>
      <c r="F64" s="421" t="s">
        <v>794</v>
      </c>
      <c r="G64" s="421"/>
      <c r="H64" s="421"/>
      <c r="I64" s="423">
        <v>14555877.039999999</v>
      </c>
      <c r="J64" s="423">
        <v>21685902.960000001</v>
      </c>
      <c r="K64" s="423">
        <v>26224330.280000001</v>
      </c>
      <c r="L64" s="423">
        <v>30935334.579999998</v>
      </c>
      <c r="M64" s="423">
        <v>27373555.780000001</v>
      </c>
      <c r="N64" s="423">
        <v>29165903.739999998</v>
      </c>
      <c r="O64" s="423">
        <v>27717029.010000002</v>
      </c>
      <c r="P64" s="423">
        <v>18054143.829999998</v>
      </c>
      <c r="Q64" s="423">
        <v>-2174672.12</v>
      </c>
      <c r="R64" s="423">
        <v>42576493.369999997</v>
      </c>
      <c r="S64" s="423">
        <v>12654328.5</v>
      </c>
      <c r="T64" s="423">
        <v>10537239.99</v>
      </c>
      <c r="U64" s="423">
        <v>259305466.96000001</v>
      </c>
      <c r="V64" s="409">
        <f>SUM(I64:T64)</f>
        <v>259305466.95999998</v>
      </c>
    </row>
    <row r="65" spans="1:21">
      <c r="A65" s="422">
        <v>0</v>
      </c>
      <c r="B65" s="422"/>
      <c r="C65" s="421" t="s">
        <v>795</v>
      </c>
      <c r="D65" s="421"/>
      <c r="E65" s="421"/>
      <c r="F65" s="421" t="s">
        <v>796</v>
      </c>
      <c r="G65" s="421"/>
      <c r="H65" s="421"/>
      <c r="I65" s="423">
        <v>142289.88</v>
      </c>
      <c r="J65" s="423">
        <v>136809.37</v>
      </c>
      <c r="K65" s="423">
        <v>141806.23000000001</v>
      </c>
      <c r="L65" s="423">
        <v>124815.91</v>
      </c>
      <c r="M65" s="423">
        <v>149805.93</v>
      </c>
      <c r="N65" s="423">
        <v>161004.01999999999</v>
      </c>
      <c r="O65" s="423">
        <v>171210.48</v>
      </c>
      <c r="P65" s="423">
        <v>168547.01</v>
      </c>
      <c r="Q65" s="423">
        <v>144568.9</v>
      </c>
      <c r="R65" s="423">
        <v>137395.24</v>
      </c>
      <c r="S65" s="423">
        <v>146846.15</v>
      </c>
      <c r="T65" s="423">
        <v>124526.77</v>
      </c>
      <c r="U65" s="423">
        <v>1749625.89</v>
      </c>
    </row>
    <row r="66" spans="1:21">
      <c r="A66" s="422">
        <v>0</v>
      </c>
      <c r="B66" s="422"/>
      <c r="C66" s="421" t="s">
        <v>797</v>
      </c>
      <c r="D66" s="421"/>
      <c r="E66" s="421"/>
      <c r="F66" s="421" t="s">
        <v>798</v>
      </c>
      <c r="G66" s="421"/>
      <c r="H66" s="421"/>
      <c r="I66" s="423">
        <v>1086749.08</v>
      </c>
      <c r="J66" s="423">
        <v>1047417.93</v>
      </c>
      <c r="K66" s="423">
        <v>1091377.3600000001</v>
      </c>
      <c r="L66" s="423">
        <v>933944.73</v>
      </c>
      <c r="M66" s="423">
        <v>1247112.44</v>
      </c>
      <c r="N66" s="423">
        <v>1139318.93</v>
      </c>
      <c r="O66" s="423">
        <v>1231293.74</v>
      </c>
      <c r="P66" s="423">
        <v>1232030.77</v>
      </c>
      <c r="Q66" s="423">
        <v>1118208.8500000001</v>
      </c>
      <c r="R66" s="423">
        <v>1021082.44</v>
      </c>
      <c r="S66" s="423">
        <v>1011131.99</v>
      </c>
      <c r="T66" s="423">
        <v>872950.22</v>
      </c>
      <c r="U66" s="423">
        <v>13032618.48</v>
      </c>
    </row>
    <row r="67" spans="1:21">
      <c r="A67" s="424" t="s">
        <v>799</v>
      </c>
      <c r="B67" s="424"/>
      <c r="C67" s="424"/>
      <c r="D67" s="424"/>
      <c r="E67" s="424"/>
      <c r="F67" s="424"/>
      <c r="G67" s="424"/>
      <c r="H67" s="424"/>
      <c r="I67" s="425">
        <v>41463888.869999997</v>
      </c>
      <c r="J67" s="425">
        <v>53976216.369999997</v>
      </c>
      <c r="K67" s="425">
        <v>64061464.259999998</v>
      </c>
      <c r="L67" s="425">
        <v>71681903.209999993</v>
      </c>
      <c r="M67" s="425">
        <v>53972791.630000003</v>
      </c>
      <c r="N67" s="425">
        <v>48175615.979999997</v>
      </c>
      <c r="O67" s="425">
        <v>47251861.18</v>
      </c>
      <c r="P67" s="425">
        <v>34493560.719999999</v>
      </c>
      <c r="Q67" s="425">
        <v>33614439.960000001</v>
      </c>
      <c r="R67" s="425">
        <v>41761280.07</v>
      </c>
      <c r="S67" s="425">
        <v>30584452.59</v>
      </c>
      <c r="T67" s="425">
        <v>24356136.120000001</v>
      </c>
      <c r="U67" s="425">
        <v>545393610.96000004</v>
      </c>
    </row>
    <row r="68" spans="1:21">
      <c r="A68" s="420" t="s">
        <v>673</v>
      </c>
      <c r="B68" s="420"/>
      <c r="C68" s="421" t="s">
        <v>814</v>
      </c>
      <c r="D68" s="421"/>
      <c r="E68" s="421"/>
      <c r="F68" s="421"/>
      <c r="G68" s="421"/>
      <c r="H68" s="421"/>
      <c r="I68" s="113">
        <f>I63+I64</f>
        <v>14558519.219999999</v>
      </c>
      <c r="J68" s="113">
        <f t="shared" ref="J68:T68" si="0">J63+J64</f>
        <v>21688510.109999999</v>
      </c>
      <c r="K68" s="113">
        <f t="shared" si="0"/>
        <v>26226985.490000002</v>
      </c>
      <c r="L68" s="113">
        <f t="shared" si="0"/>
        <v>30937534.079999998</v>
      </c>
      <c r="M68" s="113">
        <f t="shared" si="0"/>
        <v>27375529.32</v>
      </c>
      <c r="N68" s="113">
        <f t="shared" si="0"/>
        <v>29168331.049999997</v>
      </c>
      <c r="O68" s="113">
        <f t="shared" si="0"/>
        <v>27719521.34</v>
      </c>
      <c r="P68" s="113">
        <f t="shared" si="0"/>
        <v>18056858.539999999</v>
      </c>
      <c r="Q68" s="113">
        <f t="shared" si="0"/>
        <v>17539257.84</v>
      </c>
      <c r="R68" s="113">
        <f t="shared" si="0"/>
        <v>22865328.419999998</v>
      </c>
      <c r="S68" s="113">
        <f t="shared" si="0"/>
        <v>12657353.51</v>
      </c>
      <c r="T68" s="113">
        <f t="shared" si="0"/>
        <v>10540091.92</v>
      </c>
      <c r="U68" s="113"/>
    </row>
    <row r="69" spans="1:21">
      <c r="A69" s="420"/>
      <c r="B69" s="420"/>
      <c r="C69" s="421"/>
      <c r="D69" s="421"/>
      <c r="E69" s="421"/>
      <c r="F69" s="421"/>
      <c r="G69" s="421"/>
      <c r="H69" s="421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</row>
    <row r="70" spans="1:21">
      <c r="A70" s="422">
        <v>0</v>
      </c>
      <c r="B70" s="422"/>
      <c r="C70" s="421" t="s">
        <v>815</v>
      </c>
      <c r="D70" s="421"/>
      <c r="E70" s="421"/>
      <c r="F70" s="421" t="s">
        <v>816</v>
      </c>
      <c r="G70" s="421"/>
      <c r="H70" s="421"/>
      <c r="I70" s="423">
        <v>22194.73</v>
      </c>
      <c r="J70" s="423">
        <v>22327.49</v>
      </c>
      <c r="K70" s="423">
        <v>22229.53</v>
      </c>
      <c r="L70" s="423">
        <v>22229.53</v>
      </c>
      <c r="M70" s="423">
        <v>22229.53</v>
      </c>
      <c r="N70" s="423">
        <v>22229.53</v>
      </c>
      <c r="O70" s="423">
        <v>22229.53</v>
      </c>
      <c r="P70" s="423">
        <v>22229.53</v>
      </c>
      <c r="Q70" s="423">
        <v>22229.53</v>
      </c>
      <c r="R70" s="423">
        <v>20599.25</v>
      </c>
      <c r="S70" s="423">
        <v>22331.61</v>
      </c>
      <c r="T70" s="423">
        <v>22331.85</v>
      </c>
      <c r="U70" s="423">
        <v>265391.64</v>
      </c>
    </row>
    <row r="71" spans="1:21">
      <c r="A71" s="422">
        <v>0</v>
      </c>
      <c r="B71" s="422"/>
      <c r="C71" s="421" t="s">
        <v>817</v>
      </c>
      <c r="D71" s="421"/>
      <c r="E71" s="421"/>
      <c r="F71" s="421" t="s">
        <v>818</v>
      </c>
      <c r="G71" s="421"/>
      <c r="H71" s="421"/>
      <c r="I71" s="423">
        <v>4628.13</v>
      </c>
      <c r="J71" s="423">
        <v>4887.5600000000004</v>
      </c>
      <c r="K71" s="423">
        <v>3890.12</v>
      </c>
      <c r="L71" s="423">
        <v>4932.13</v>
      </c>
      <c r="M71" s="423">
        <v>4782.41</v>
      </c>
      <c r="N71" s="423">
        <v>3530.56</v>
      </c>
      <c r="O71" s="423">
        <v>4083.27</v>
      </c>
      <c r="P71" s="423">
        <v>4002.24</v>
      </c>
      <c r="Q71" s="423">
        <v>5026.49</v>
      </c>
      <c r="R71" s="423">
        <v>5775.58</v>
      </c>
      <c r="S71" s="423">
        <v>7060.46</v>
      </c>
      <c r="T71" s="423">
        <v>4947.82</v>
      </c>
      <c r="U71" s="423">
        <v>57546.77</v>
      </c>
    </row>
    <row r="72" spans="1:21">
      <c r="A72" s="422">
        <v>0</v>
      </c>
      <c r="B72" s="422"/>
      <c r="C72" s="421" t="s">
        <v>819</v>
      </c>
      <c r="D72" s="421"/>
      <c r="E72" s="421"/>
      <c r="F72" s="421" t="s">
        <v>820</v>
      </c>
      <c r="G72" s="421"/>
      <c r="H72" s="421"/>
      <c r="I72" s="423">
        <v>0</v>
      </c>
      <c r="J72" s="423">
        <v>0</v>
      </c>
      <c r="K72" s="423">
        <v>0</v>
      </c>
      <c r="L72" s="423">
        <v>0</v>
      </c>
      <c r="M72" s="423">
        <v>0</v>
      </c>
      <c r="N72" s="423">
        <v>1556.59</v>
      </c>
      <c r="O72" s="423">
        <v>0</v>
      </c>
      <c r="P72" s="423">
        <v>0</v>
      </c>
      <c r="Q72" s="423">
        <v>0</v>
      </c>
      <c r="R72" s="423">
        <v>16.48</v>
      </c>
      <c r="S72" s="423">
        <v>-3.37</v>
      </c>
      <c r="T72" s="423">
        <v>0</v>
      </c>
      <c r="U72" s="423">
        <v>1569.7</v>
      </c>
    </row>
    <row r="73" spans="1:21">
      <c r="A73" s="422">
        <v>0</v>
      </c>
      <c r="B73" s="422"/>
      <c r="C73" s="421" t="s">
        <v>821</v>
      </c>
      <c r="D73" s="421"/>
      <c r="E73" s="421"/>
      <c r="F73" s="421" t="s">
        <v>822</v>
      </c>
      <c r="G73" s="421"/>
      <c r="H73" s="421"/>
      <c r="I73" s="423">
        <v>90043.199999999997</v>
      </c>
      <c r="J73" s="423">
        <v>-11220.75</v>
      </c>
      <c r="K73" s="423">
        <v>48886.2</v>
      </c>
      <c r="L73" s="423">
        <v>96592.49</v>
      </c>
      <c r="M73" s="423">
        <v>-12165.71</v>
      </c>
      <c r="N73" s="423">
        <v>110796.75</v>
      </c>
      <c r="O73" s="423">
        <v>53393.42</v>
      </c>
      <c r="P73" s="423">
        <v>77808.78</v>
      </c>
      <c r="Q73" s="423">
        <v>88875.48</v>
      </c>
      <c r="R73" s="423">
        <v>59313.53</v>
      </c>
      <c r="S73" s="423">
        <v>53293.04</v>
      </c>
      <c r="T73" s="423">
        <v>65210.38</v>
      </c>
      <c r="U73" s="423">
        <v>720826.81</v>
      </c>
    </row>
    <row r="74" spans="1:21">
      <c r="A74" s="422">
        <v>0</v>
      </c>
      <c r="B74" s="422"/>
      <c r="C74" s="421" t="s">
        <v>823</v>
      </c>
      <c r="D74" s="421"/>
      <c r="E74" s="421"/>
      <c r="F74" s="421" t="s">
        <v>824</v>
      </c>
      <c r="G74" s="421"/>
      <c r="H74" s="421"/>
      <c r="I74" s="423">
        <v>12466.14</v>
      </c>
      <c r="J74" s="423">
        <v>13584.64</v>
      </c>
      <c r="K74" s="423">
        <v>13584.64</v>
      </c>
      <c r="L74" s="423">
        <v>13584.64</v>
      </c>
      <c r="M74" s="423">
        <v>13584.64</v>
      </c>
      <c r="N74" s="423">
        <v>13584.64</v>
      </c>
      <c r="O74" s="423">
        <v>13584.64</v>
      </c>
      <c r="P74" s="423">
        <v>13584.64</v>
      </c>
      <c r="Q74" s="423">
        <v>13584.64</v>
      </c>
      <c r="R74" s="423">
        <v>11904.42</v>
      </c>
      <c r="S74" s="423">
        <v>13688.79</v>
      </c>
      <c r="T74" s="423">
        <v>13688.79</v>
      </c>
      <c r="U74" s="423">
        <v>160425.26</v>
      </c>
    </row>
    <row r="75" spans="1:21">
      <c r="A75" s="422">
        <v>0</v>
      </c>
      <c r="B75" s="422"/>
      <c r="C75" s="421" t="s">
        <v>825</v>
      </c>
      <c r="D75" s="421"/>
      <c r="E75" s="421"/>
      <c r="F75" s="421" t="s">
        <v>826</v>
      </c>
      <c r="G75" s="421"/>
      <c r="H75" s="421"/>
      <c r="I75" s="423">
        <v>121901.38</v>
      </c>
      <c r="J75" s="423">
        <v>35650.01</v>
      </c>
      <c r="K75" s="423">
        <v>19202.97</v>
      </c>
      <c r="L75" s="423">
        <v>22131.39</v>
      </c>
      <c r="M75" s="423">
        <v>43110.43</v>
      </c>
      <c r="N75" s="423">
        <v>38792.589999999997</v>
      </c>
      <c r="O75" s="423">
        <v>42470.400000000001</v>
      </c>
      <c r="P75" s="423">
        <v>25491.05</v>
      </c>
      <c r="Q75" s="423">
        <v>37628.04</v>
      </c>
      <c r="R75" s="423">
        <v>55771.62</v>
      </c>
      <c r="S75" s="423">
        <v>44260.03</v>
      </c>
      <c r="T75" s="423">
        <v>21703.81</v>
      </c>
      <c r="U75" s="423">
        <v>508113.72</v>
      </c>
    </row>
    <row r="76" spans="1:21">
      <c r="A76" s="422">
        <v>0</v>
      </c>
      <c r="B76" s="422"/>
      <c r="C76" s="421" t="s">
        <v>827</v>
      </c>
      <c r="D76" s="421"/>
      <c r="E76" s="421"/>
      <c r="F76" s="421" t="s">
        <v>828</v>
      </c>
      <c r="G76" s="421"/>
      <c r="H76" s="421"/>
      <c r="I76" s="423">
        <v>5369.25</v>
      </c>
      <c r="J76" s="423">
        <v>5842.02</v>
      </c>
      <c r="K76" s="423">
        <v>5842.02</v>
      </c>
      <c r="L76" s="423">
        <v>5842.02</v>
      </c>
      <c r="M76" s="423">
        <v>5842.02</v>
      </c>
      <c r="N76" s="423">
        <v>5842.02</v>
      </c>
      <c r="O76" s="423">
        <v>5842.02</v>
      </c>
      <c r="P76" s="423">
        <v>5842.02</v>
      </c>
      <c r="Q76" s="423">
        <v>5842.02</v>
      </c>
      <c r="R76" s="423">
        <v>5119.45</v>
      </c>
      <c r="S76" s="423">
        <v>5886.81</v>
      </c>
      <c r="T76" s="423">
        <v>5886.81</v>
      </c>
      <c r="U76" s="423">
        <v>68998.48</v>
      </c>
    </row>
    <row r="77" spans="1:21">
      <c r="A77" s="422">
        <v>0</v>
      </c>
      <c r="B77" s="422"/>
      <c r="C77" s="421" t="s">
        <v>829</v>
      </c>
      <c r="D77" s="421"/>
      <c r="E77" s="421"/>
      <c r="F77" s="421" t="s">
        <v>830</v>
      </c>
      <c r="G77" s="421"/>
      <c r="H77" s="421"/>
      <c r="I77" s="423">
        <v>241187.55</v>
      </c>
      <c r="J77" s="423">
        <v>230979.39</v>
      </c>
      <c r="K77" s="423">
        <v>224260.84</v>
      </c>
      <c r="L77" s="423">
        <v>218170.16</v>
      </c>
      <c r="M77" s="423">
        <v>219001.52</v>
      </c>
      <c r="N77" s="423">
        <v>276706.98</v>
      </c>
      <c r="O77" s="423">
        <v>292000.74</v>
      </c>
      <c r="P77" s="423">
        <v>205709.34</v>
      </c>
      <c r="Q77" s="423">
        <v>228013.25</v>
      </c>
      <c r="R77" s="423">
        <v>310226.06</v>
      </c>
      <c r="S77" s="423">
        <v>302519.59000000003</v>
      </c>
      <c r="T77" s="423">
        <v>254460.91</v>
      </c>
      <c r="U77" s="423">
        <v>3003236.33</v>
      </c>
    </row>
    <row r="78" spans="1:21">
      <c r="A78" s="422">
        <v>0</v>
      </c>
      <c r="B78" s="422"/>
      <c r="C78" s="421" t="s">
        <v>831</v>
      </c>
      <c r="D78" s="421"/>
      <c r="E78" s="421"/>
      <c r="F78" s="421" t="s">
        <v>832</v>
      </c>
      <c r="G78" s="421"/>
      <c r="H78" s="421"/>
      <c r="I78" s="423">
        <v>0</v>
      </c>
      <c r="J78" s="423">
        <v>0</v>
      </c>
      <c r="K78" s="423">
        <v>0</v>
      </c>
      <c r="L78" s="423">
        <v>0</v>
      </c>
      <c r="M78" s="423">
        <v>61.46</v>
      </c>
      <c r="N78" s="423">
        <v>0</v>
      </c>
      <c r="O78" s="423">
        <v>0</v>
      </c>
      <c r="P78" s="423">
        <v>0</v>
      </c>
      <c r="Q78" s="423">
        <v>0</v>
      </c>
      <c r="R78" s="423">
        <v>0</v>
      </c>
      <c r="S78" s="423">
        <v>-1028.51</v>
      </c>
      <c r="T78" s="423">
        <v>0</v>
      </c>
      <c r="U78" s="423">
        <v>-967.05</v>
      </c>
    </row>
    <row r="79" spans="1:21">
      <c r="A79" s="424" t="s">
        <v>833</v>
      </c>
      <c r="B79" s="424"/>
      <c r="C79" s="424"/>
      <c r="D79" s="424"/>
      <c r="E79" s="424"/>
      <c r="F79" s="424"/>
      <c r="G79" s="424"/>
      <c r="H79" s="424"/>
      <c r="I79" s="425">
        <v>497790.38</v>
      </c>
      <c r="J79" s="425">
        <v>302050.36</v>
      </c>
      <c r="K79" s="425">
        <v>337896.32</v>
      </c>
      <c r="L79" s="425">
        <v>383482.36</v>
      </c>
      <c r="M79" s="425">
        <v>296446.3</v>
      </c>
      <c r="N79" s="425">
        <v>473039.66</v>
      </c>
      <c r="O79" s="425">
        <v>433604.02</v>
      </c>
      <c r="P79" s="425">
        <v>354667.6</v>
      </c>
      <c r="Q79" s="425">
        <v>401199.45</v>
      </c>
      <c r="R79" s="425">
        <v>468726.39</v>
      </c>
      <c r="S79" s="425">
        <v>448008.45</v>
      </c>
      <c r="T79" s="425">
        <v>388230.37</v>
      </c>
      <c r="U79" s="425">
        <v>4785141.66</v>
      </c>
    </row>
    <row r="80" spans="1:21">
      <c r="A80" s="420" t="s">
        <v>673</v>
      </c>
      <c r="B80" s="420"/>
      <c r="C80" s="421" t="s">
        <v>834</v>
      </c>
      <c r="D80" s="421"/>
      <c r="E80" s="421"/>
      <c r="F80" s="421"/>
      <c r="G80" s="421"/>
      <c r="H80" s="421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</row>
    <row r="81" spans="1:21">
      <c r="A81" s="422">
        <v>0</v>
      </c>
      <c r="B81" s="422"/>
      <c r="C81" s="421" t="s">
        <v>835</v>
      </c>
      <c r="D81" s="421"/>
      <c r="E81" s="421"/>
      <c r="F81" s="421" t="s">
        <v>836</v>
      </c>
      <c r="G81" s="421"/>
      <c r="H81" s="421"/>
      <c r="I81" s="423">
        <v>53470.27</v>
      </c>
      <c r="J81" s="423">
        <v>36548.1</v>
      </c>
      <c r="K81" s="423">
        <v>45433.24</v>
      </c>
      <c r="L81" s="423">
        <v>40314.720000000001</v>
      </c>
      <c r="M81" s="423">
        <v>45241.72</v>
      </c>
      <c r="N81" s="423">
        <v>33114.6</v>
      </c>
      <c r="O81" s="423">
        <v>36575.449999999997</v>
      </c>
      <c r="P81" s="423">
        <v>83408.850000000006</v>
      </c>
      <c r="Q81" s="423">
        <v>51325.599999999999</v>
      </c>
      <c r="R81" s="423">
        <v>46503.39</v>
      </c>
      <c r="S81" s="423">
        <v>31319.3</v>
      </c>
      <c r="T81" s="423">
        <v>41339.11</v>
      </c>
      <c r="U81" s="423">
        <v>544594.35</v>
      </c>
    </row>
    <row r="82" spans="1:21">
      <c r="A82" s="422">
        <v>0</v>
      </c>
      <c r="B82" s="422"/>
      <c r="C82" s="421" t="s">
        <v>837</v>
      </c>
      <c r="D82" s="421"/>
      <c r="E82" s="421"/>
      <c r="F82" s="421" t="s">
        <v>838</v>
      </c>
      <c r="G82" s="421"/>
      <c r="H82" s="421"/>
      <c r="I82" s="423">
        <v>45529.09</v>
      </c>
      <c r="J82" s="423">
        <v>6699.1</v>
      </c>
      <c r="K82" s="423">
        <v>8575.2999999999993</v>
      </c>
      <c r="L82" s="423">
        <v>8694.6200000000008</v>
      </c>
      <c r="M82" s="423">
        <v>8366.65</v>
      </c>
      <c r="N82" s="423">
        <v>8477.83</v>
      </c>
      <c r="O82" s="423">
        <v>6460.01</v>
      </c>
      <c r="P82" s="423">
        <v>8797.4</v>
      </c>
      <c r="Q82" s="423">
        <v>7140.08</v>
      </c>
      <c r="R82" s="423">
        <v>8619.07</v>
      </c>
      <c r="S82" s="423">
        <v>51360.06</v>
      </c>
      <c r="T82" s="423">
        <v>8616.9699999999993</v>
      </c>
      <c r="U82" s="423">
        <v>177336.18</v>
      </c>
    </row>
    <row r="83" spans="1:21">
      <c r="A83" s="422">
        <v>0</v>
      </c>
      <c r="B83" s="422"/>
      <c r="C83" s="421" t="s">
        <v>839</v>
      </c>
      <c r="D83" s="421"/>
      <c r="E83" s="421"/>
      <c r="F83" s="421" t="s">
        <v>840</v>
      </c>
      <c r="G83" s="421"/>
      <c r="H83" s="421"/>
      <c r="I83" s="423">
        <v>8091.78</v>
      </c>
      <c r="J83" s="423">
        <v>3004.23</v>
      </c>
      <c r="K83" s="423">
        <v>2471.5300000000002</v>
      </c>
      <c r="L83" s="423">
        <v>27621.69</v>
      </c>
      <c r="M83" s="423">
        <v>22435.99</v>
      </c>
      <c r="N83" s="423">
        <v>34177.440000000002</v>
      </c>
      <c r="O83" s="423">
        <v>2456.16</v>
      </c>
      <c r="P83" s="423">
        <v>2658.71</v>
      </c>
      <c r="Q83" s="423">
        <v>3167.25</v>
      </c>
      <c r="R83" s="423">
        <v>6357.68</v>
      </c>
      <c r="S83" s="423">
        <v>10706.05</v>
      </c>
      <c r="T83" s="423">
        <v>2150.94</v>
      </c>
      <c r="U83" s="423">
        <v>125299.45</v>
      </c>
    </row>
    <row r="84" spans="1:21">
      <c r="A84" s="422">
        <v>0</v>
      </c>
      <c r="B84" s="422"/>
      <c r="C84" s="421" t="s">
        <v>841</v>
      </c>
      <c r="D84" s="421"/>
      <c r="E84" s="421"/>
      <c r="F84" s="421" t="s">
        <v>842</v>
      </c>
      <c r="G84" s="421"/>
      <c r="H84" s="421"/>
      <c r="I84" s="423">
        <v>3146.58</v>
      </c>
      <c r="J84" s="423">
        <v>3146.58</v>
      </c>
      <c r="K84" s="423">
        <v>3146.58</v>
      </c>
      <c r="L84" s="423">
        <v>3146.58</v>
      </c>
      <c r="M84" s="423">
        <v>3146.58</v>
      </c>
      <c r="N84" s="423">
        <v>3146.58</v>
      </c>
      <c r="O84" s="423">
        <v>3146.58</v>
      </c>
      <c r="P84" s="423">
        <v>3146.58</v>
      </c>
      <c r="Q84" s="423">
        <v>3146.58</v>
      </c>
      <c r="R84" s="423">
        <v>3146.58</v>
      </c>
      <c r="S84" s="423">
        <v>3384</v>
      </c>
      <c r="T84" s="423">
        <v>3384</v>
      </c>
      <c r="U84" s="423">
        <v>38233.800000000003</v>
      </c>
    </row>
    <row r="85" spans="1:21">
      <c r="A85" s="422">
        <v>0</v>
      </c>
      <c r="B85" s="422"/>
      <c r="C85" s="421" t="s">
        <v>843</v>
      </c>
      <c r="D85" s="421"/>
      <c r="E85" s="421"/>
      <c r="F85" s="421" t="s">
        <v>844</v>
      </c>
      <c r="G85" s="421"/>
      <c r="H85" s="421"/>
      <c r="I85" s="423">
        <v>419271.41</v>
      </c>
      <c r="J85" s="423">
        <v>368703.51</v>
      </c>
      <c r="K85" s="423">
        <v>361698.81</v>
      </c>
      <c r="L85" s="423">
        <v>397570.71</v>
      </c>
      <c r="M85" s="423">
        <v>375293.42</v>
      </c>
      <c r="N85" s="423">
        <v>449874.87</v>
      </c>
      <c r="O85" s="423">
        <v>342245.34</v>
      </c>
      <c r="P85" s="423">
        <v>387544.92</v>
      </c>
      <c r="Q85" s="423">
        <v>404884.49</v>
      </c>
      <c r="R85" s="423">
        <v>659912.69999999995</v>
      </c>
      <c r="S85" s="423">
        <v>472701.54</v>
      </c>
      <c r="T85" s="423">
        <v>440852.11</v>
      </c>
      <c r="U85" s="423">
        <v>5080553.83</v>
      </c>
    </row>
    <row r="86" spans="1:21">
      <c r="A86" s="422">
        <v>0</v>
      </c>
      <c r="B86" s="422"/>
      <c r="C86" s="421" t="s">
        <v>845</v>
      </c>
      <c r="D86" s="421"/>
      <c r="E86" s="421"/>
      <c r="F86" s="421" t="s">
        <v>846</v>
      </c>
      <c r="G86" s="421"/>
      <c r="H86" s="421"/>
      <c r="I86" s="423">
        <v>138293.46</v>
      </c>
      <c r="J86" s="423">
        <v>0</v>
      </c>
      <c r="K86" s="423">
        <v>0</v>
      </c>
      <c r="L86" s="423">
        <v>0</v>
      </c>
      <c r="M86" s="423">
        <v>24697.37</v>
      </c>
      <c r="N86" s="423">
        <v>-34741.339999999997</v>
      </c>
      <c r="O86" s="423">
        <v>0</v>
      </c>
      <c r="P86" s="423">
        <v>0</v>
      </c>
      <c r="Q86" s="423">
        <v>0</v>
      </c>
      <c r="R86" s="423">
        <v>0</v>
      </c>
      <c r="S86" s="423">
        <v>-10873.96</v>
      </c>
      <c r="T86" s="423">
        <v>46.62</v>
      </c>
      <c r="U86" s="423">
        <v>117422.15</v>
      </c>
    </row>
    <row r="87" spans="1:21">
      <c r="A87" s="422">
        <v>0</v>
      </c>
      <c r="B87" s="422"/>
      <c r="C87" s="421" t="s">
        <v>847</v>
      </c>
      <c r="D87" s="421"/>
      <c r="E87" s="421"/>
      <c r="F87" s="421" t="s">
        <v>848</v>
      </c>
      <c r="G87" s="421"/>
      <c r="H87" s="421"/>
      <c r="I87" s="423">
        <v>3146.58</v>
      </c>
      <c r="J87" s="423">
        <v>3146.58</v>
      </c>
      <c r="K87" s="423">
        <v>3146.58</v>
      </c>
      <c r="L87" s="423">
        <v>3146.58</v>
      </c>
      <c r="M87" s="423">
        <v>3146.58</v>
      </c>
      <c r="N87" s="423">
        <v>3146.58</v>
      </c>
      <c r="O87" s="423">
        <v>3146.58</v>
      </c>
      <c r="P87" s="423">
        <v>3146.58</v>
      </c>
      <c r="Q87" s="423">
        <v>3146.58</v>
      </c>
      <c r="R87" s="423">
        <v>3146.58</v>
      </c>
      <c r="S87" s="423">
        <v>3384</v>
      </c>
      <c r="T87" s="423">
        <v>3384</v>
      </c>
      <c r="U87" s="423">
        <v>38233.800000000003</v>
      </c>
    </row>
    <row r="88" spans="1:21">
      <c r="A88" s="422">
        <v>0</v>
      </c>
      <c r="B88" s="422"/>
      <c r="C88" s="421" t="s">
        <v>849</v>
      </c>
      <c r="D88" s="421"/>
      <c r="E88" s="421"/>
      <c r="F88" s="421" t="s">
        <v>850</v>
      </c>
      <c r="G88" s="421"/>
      <c r="H88" s="421"/>
      <c r="I88" s="423">
        <v>479426.68</v>
      </c>
      <c r="J88" s="423">
        <v>397736.76</v>
      </c>
      <c r="K88" s="423">
        <v>612509.72</v>
      </c>
      <c r="L88" s="423">
        <v>387219.54</v>
      </c>
      <c r="M88" s="423">
        <v>772767.25</v>
      </c>
      <c r="N88" s="423">
        <v>450201.98</v>
      </c>
      <c r="O88" s="423">
        <v>321380.89</v>
      </c>
      <c r="P88" s="423">
        <v>319481.90000000002</v>
      </c>
      <c r="Q88" s="423">
        <v>899665.49</v>
      </c>
      <c r="R88" s="423">
        <v>902439.09</v>
      </c>
      <c r="S88" s="423">
        <v>390370.05</v>
      </c>
      <c r="T88" s="423">
        <v>343450.19</v>
      </c>
      <c r="U88" s="423">
        <v>6276649.54</v>
      </c>
    </row>
    <row r="89" spans="1:21">
      <c r="A89" s="422">
        <v>0</v>
      </c>
      <c r="B89" s="422"/>
      <c r="C89" s="421" t="s">
        <v>851</v>
      </c>
      <c r="D89" s="421"/>
      <c r="E89" s="421"/>
      <c r="F89" s="421" t="s">
        <v>852</v>
      </c>
      <c r="G89" s="421"/>
      <c r="H89" s="421"/>
      <c r="I89" s="423">
        <v>0</v>
      </c>
      <c r="J89" s="423">
        <v>-56.82</v>
      </c>
      <c r="K89" s="423">
        <v>120.34</v>
      </c>
      <c r="L89" s="423">
        <v>1418.45</v>
      </c>
      <c r="M89" s="423">
        <v>638.61</v>
      </c>
      <c r="N89" s="423">
        <v>-490.9</v>
      </c>
      <c r="O89" s="423">
        <v>2144.5100000000002</v>
      </c>
      <c r="P89" s="423">
        <v>-3586.49</v>
      </c>
      <c r="Q89" s="423">
        <v>0</v>
      </c>
      <c r="R89" s="423">
        <v>0.4</v>
      </c>
      <c r="S89" s="423">
        <v>2503.6</v>
      </c>
      <c r="T89" s="423">
        <v>83.06</v>
      </c>
      <c r="U89" s="423">
        <v>2774.76</v>
      </c>
    </row>
    <row r="90" spans="1:21">
      <c r="A90" s="422">
        <v>0</v>
      </c>
      <c r="B90" s="422"/>
      <c r="C90" s="421" t="s">
        <v>853</v>
      </c>
      <c r="D90" s="421"/>
      <c r="E90" s="421"/>
      <c r="F90" s="421" t="s">
        <v>854</v>
      </c>
      <c r="G90" s="421"/>
      <c r="H90" s="421"/>
      <c r="I90" s="423">
        <v>57072.99</v>
      </c>
      <c r="J90" s="423">
        <v>44846.73</v>
      </c>
      <c r="K90" s="423">
        <v>52690.55</v>
      </c>
      <c r="L90" s="423">
        <v>57672.92</v>
      </c>
      <c r="M90" s="423">
        <v>52111.519999999997</v>
      </c>
      <c r="N90" s="423">
        <v>72276.639999999999</v>
      </c>
      <c r="O90" s="423">
        <v>51184.2</v>
      </c>
      <c r="P90" s="423">
        <v>34923.040000000001</v>
      </c>
      <c r="Q90" s="423">
        <v>57696.9</v>
      </c>
      <c r="R90" s="423">
        <v>39998.07</v>
      </c>
      <c r="S90" s="423">
        <v>48548.69</v>
      </c>
      <c r="T90" s="423">
        <v>20427.740000000002</v>
      </c>
      <c r="U90" s="423">
        <v>589449.99</v>
      </c>
    </row>
    <row r="91" spans="1:21">
      <c r="A91" s="422">
        <v>0</v>
      </c>
      <c r="B91" s="422"/>
      <c r="C91" s="421" t="s">
        <v>855</v>
      </c>
      <c r="D91" s="421"/>
      <c r="E91" s="421"/>
      <c r="F91" s="421" t="s">
        <v>856</v>
      </c>
      <c r="G91" s="421"/>
      <c r="H91" s="421"/>
      <c r="I91" s="423">
        <v>932.51</v>
      </c>
      <c r="J91" s="423">
        <v>4177.3</v>
      </c>
      <c r="K91" s="423">
        <v>5675.59</v>
      </c>
      <c r="L91" s="423">
        <v>1810.59</v>
      </c>
      <c r="M91" s="423">
        <v>4823.26</v>
      </c>
      <c r="N91" s="423">
        <v>4557.45</v>
      </c>
      <c r="O91" s="423">
        <v>6558.16</v>
      </c>
      <c r="P91" s="423">
        <v>1414.79</v>
      </c>
      <c r="Q91" s="423">
        <v>9098.7800000000007</v>
      </c>
      <c r="R91" s="423">
        <v>4823.49</v>
      </c>
      <c r="S91" s="423">
        <v>1136.73</v>
      </c>
      <c r="T91" s="423">
        <v>688.8</v>
      </c>
      <c r="U91" s="423">
        <v>45697.45</v>
      </c>
    </row>
    <row r="92" spans="1:21">
      <c r="A92" s="422">
        <v>0</v>
      </c>
      <c r="B92" s="422"/>
      <c r="C92" s="421" t="s">
        <v>857</v>
      </c>
      <c r="D92" s="421"/>
      <c r="E92" s="421"/>
      <c r="F92" s="421" t="s">
        <v>858</v>
      </c>
      <c r="G92" s="421"/>
      <c r="H92" s="421"/>
      <c r="I92" s="423">
        <v>2155.3000000000002</v>
      </c>
      <c r="J92" s="423">
        <v>2004.73</v>
      </c>
      <c r="K92" s="423">
        <v>1533.15</v>
      </c>
      <c r="L92" s="423">
        <v>1660.81</v>
      </c>
      <c r="M92" s="423">
        <v>1139.8399999999999</v>
      </c>
      <c r="N92" s="423">
        <v>2274.41</v>
      </c>
      <c r="O92" s="423">
        <v>1652.96</v>
      </c>
      <c r="P92" s="423">
        <v>1443.14</v>
      </c>
      <c r="Q92" s="423">
        <v>2895.63</v>
      </c>
      <c r="R92" s="423">
        <v>3950.13</v>
      </c>
      <c r="S92" s="423">
        <v>3076.3</v>
      </c>
      <c r="T92" s="423">
        <v>1426.8</v>
      </c>
      <c r="U92" s="423">
        <v>25213.200000000001</v>
      </c>
    </row>
    <row r="93" spans="1:21">
      <c r="A93" s="422">
        <v>0</v>
      </c>
      <c r="B93" s="422"/>
      <c r="C93" s="421" t="s">
        <v>859</v>
      </c>
      <c r="D93" s="421"/>
      <c r="E93" s="421"/>
      <c r="F93" s="421" t="s">
        <v>860</v>
      </c>
      <c r="G93" s="421"/>
      <c r="H93" s="421"/>
      <c r="I93" s="423">
        <v>44701.52</v>
      </c>
      <c r="J93" s="423">
        <v>167.06</v>
      </c>
      <c r="K93" s="423">
        <v>4317.1400000000003</v>
      </c>
      <c r="L93" s="423">
        <v>1475.99</v>
      </c>
      <c r="M93" s="423">
        <v>3731.33</v>
      </c>
      <c r="N93" s="423">
        <v>17237.13</v>
      </c>
      <c r="O93" s="423">
        <v>580.87</v>
      </c>
      <c r="P93" s="423">
        <v>686.84</v>
      </c>
      <c r="Q93" s="423">
        <v>22332.87</v>
      </c>
      <c r="R93" s="423">
        <v>66936.53</v>
      </c>
      <c r="S93" s="423">
        <v>696.42</v>
      </c>
      <c r="T93" s="423">
        <v>1857</v>
      </c>
      <c r="U93" s="423">
        <v>164720.70000000001</v>
      </c>
    </row>
    <row r="94" spans="1:21">
      <c r="A94" s="422">
        <v>0</v>
      </c>
      <c r="B94" s="422"/>
      <c r="C94" s="421" t="s">
        <v>861</v>
      </c>
      <c r="D94" s="421"/>
      <c r="E94" s="421"/>
      <c r="F94" s="421" t="s">
        <v>862</v>
      </c>
      <c r="G94" s="421"/>
      <c r="H94" s="421"/>
      <c r="I94" s="423">
        <v>28555.18</v>
      </c>
      <c r="J94" s="423">
        <v>38362.239999999998</v>
      </c>
      <c r="K94" s="423">
        <v>35837.96</v>
      </c>
      <c r="L94" s="423">
        <v>16962.11</v>
      </c>
      <c r="M94" s="423">
        <v>13651.44</v>
      </c>
      <c r="N94" s="423">
        <v>17616.36</v>
      </c>
      <c r="O94" s="423">
        <v>24242.09</v>
      </c>
      <c r="P94" s="423">
        <v>7015.31</v>
      </c>
      <c r="Q94" s="423">
        <v>14103.2</v>
      </c>
      <c r="R94" s="423">
        <v>17351.82</v>
      </c>
      <c r="S94" s="423">
        <v>26850.21</v>
      </c>
      <c r="T94" s="423">
        <v>37163.589999999997</v>
      </c>
      <c r="U94" s="423">
        <v>277711.51</v>
      </c>
    </row>
    <row r="95" spans="1:21">
      <c r="A95" s="424" t="s">
        <v>863</v>
      </c>
      <c r="B95" s="424"/>
      <c r="C95" s="424"/>
      <c r="D95" s="424"/>
      <c r="E95" s="424"/>
      <c r="F95" s="424"/>
      <c r="G95" s="424"/>
      <c r="H95" s="424"/>
      <c r="I95" s="425">
        <v>1283793.3500000001</v>
      </c>
      <c r="J95" s="425">
        <v>908486.1</v>
      </c>
      <c r="K95" s="425">
        <v>1137156.49</v>
      </c>
      <c r="L95" s="425">
        <v>948715.31</v>
      </c>
      <c r="M95" s="425">
        <v>1331191.56</v>
      </c>
      <c r="N95" s="425">
        <v>1060869.6299999999</v>
      </c>
      <c r="O95" s="425">
        <v>801773.8</v>
      </c>
      <c r="P95" s="425">
        <v>850081.57</v>
      </c>
      <c r="Q95" s="425">
        <v>1478603.45</v>
      </c>
      <c r="R95" s="425">
        <v>1763185.53</v>
      </c>
      <c r="S95" s="425">
        <v>1035162.99</v>
      </c>
      <c r="T95" s="425">
        <v>904870.93</v>
      </c>
      <c r="U95" s="425">
        <v>13503890.710000001</v>
      </c>
    </row>
    <row r="96" spans="1:21">
      <c r="A96" s="420" t="s">
        <v>673</v>
      </c>
      <c r="B96" s="420"/>
      <c r="C96" s="421" t="s">
        <v>864</v>
      </c>
      <c r="D96" s="421"/>
      <c r="E96" s="421"/>
      <c r="F96" s="421"/>
      <c r="G96" s="421"/>
      <c r="H96" s="421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</row>
    <row r="97" spans="1:21">
      <c r="A97" s="422">
        <v>0</v>
      </c>
      <c r="B97" s="422"/>
      <c r="C97" s="421" t="s">
        <v>865</v>
      </c>
      <c r="D97" s="421"/>
      <c r="E97" s="421"/>
      <c r="F97" s="421" t="s">
        <v>866</v>
      </c>
      <c r="G97" s="421"/>
      <c r="H97" s="421"/>
      <c r="I97" s="423">
        <v>226296.71</v>
      </c>
      <c r="J97" s="423">
        <v>218606.96</v>
      </c>
      <c r="K97" s="423">
        <v>223280.47</v>
      </c>
      <c r="L97" s="423">
        <v>212637.69</v>
      </c>
      <c r="M97" s="423">
        <v>203416.28</v>
      </c>
      <c r="N97" s="423">
        <v>218686.37</v>
      </c>
      <c r="O97" s="423">
        <v>262835.09999999998</v>
      </c>
      <c r="P97" s="423">
        <v>157279.75</v>
      </c>
      <c r="Q97" s="423">
        <v>213915.15</v>
      </c>
      <c r="R97" s="423">
        <v>292560.58</v>
      </c>
      <c r="S97" s="423">
        <v>206351.72</v>
      </c>
      <c r="T97" s="423">
        <v>207441.16</v>
      </c>
      <c r="U97" s="423">
        <v>2643307.94</v>
      </c>
    </row>
    <row r="98" spans="1:21">
      <c r="A98" s="422">
        <v>0</v>
      </c>
      <c r="B98" s="422"/>
      <c r="C98" s="421" t="s">
        <v>867</v>
      </c>
      <c r="D98" s="421"/>
      <c r="E98" s="421"/>
      <c r="F98" s="421" t="s">
        <v>868</v>
      </c>
      <c r="G98" s="421"/>
      <c r="H98" s="421"/>
      <c r="I98" s="423">
        <v>323.82</v>
      </c>
      <c r="J98" s="423">
        <v>274.69</v>
      </c>
      <c r="K98" s="423">
        <v>274.77</v>
      </c>
      <c r="L98" s="423">
        <v>274.58</v>
      </c>
      <c r="M98" s="423">
        <v>274.43</v>
      </c>
      <c r="N98" s="423">
        <v>323.68</v>
      </c>
      <c r="O98" s="423">
        <v>275.42</v>
      </c>
      <c r="P98" s="423">
        <v>224.64</v>
      </c>
      <c r="Q98" s="423">
        <v>323.51</v>
      </c>
      <c r="R98" s="423">
        <v>177.79</v>
      </c>
      <c r="S98" s="423">
        <v>340.22</v>
      </c>
      <c r="T98" s="423">
        <v>289.14999999999998</v>
      </c>
      <c r="U98" s="423">
        <v>3376.7</v>
      </c>
    </row>
    <row r="99" spans="1:21">
      <c r="A99" s="422">
        <v>0</v>
      </c>
      <c r="B99" s="422"/>
      <c r="C99" s="421" t="s">
        <v>869</v>
      </c>
      <c r="D99" s="421"/>
      <c r="E99" s="421"/>
      <c r="F99" s="421" t="s">
        <v>870</v>
      </c>
      <c r="G99" s="421"/>
      <c r="H99" s="421"/>
      <c r="I99" s="423">
        <v>320.81</v>
      </c>
      <c r="J99" s="423">
        <v>271.68</v>
      </c>
      <c r="K99" s="423">
        <v>271.76</v>
      </c>
      <c r="L99" s="423">
        <v>271.57</v>
      </c>
      <c r="M99" s="423">
        <v>271.42</v>
      </c>
      <c r="N99" s="423">
        <v>320.67</v>
      </c>
      <c r="O99" s="423">
        <v>272.41000000000003</v>
      </c>
      <c r="P99" s="423">
        <v>221.63</v>
      </c>
      <c r="Q99" s="423">
        <v>320.5</v>
      </c>
      <c r="R99" s="423">
        <v>223.78</v>
      </c>
      <c r="S99" s="423">
        <v>337.21</v>
      </c>
      <c r="T99" s="423">
        <v>286.14</v>
      </c>
      <c r="U99" s="423">
        <v>3389.58</v>
      </c>
    </row>
    <row r="100" spans="1:21">
      <c r="A100" s="422">
        <v>0</v>
      </c>
      <c r="B100" s="422"/>
      <c r="C100" s="421" t="s">
        <v>871</v>
      </c>
      <c r="D100" s="421"/>
      <c r="E100" s="421"/>
      <c r="F100" s="421" t="s">
        <v>872</v>
      </c>
      <c r="G100" s="421"/>
      <c r="H100" s="421"/>
      <c r="I100" s="423">
        <v>11.52</v>
      </c>
      <c r="J100" s="423">
        <v>11.12</v>
      </c>
      <c r="K100" s="423">
        <v>11.37</v>
      </c>
      <c r="L100" s="423">
        <v>10.81</v>
      </c>
      <c r="M100" s="423">
        <v>10.34</v>
      </c>
      <c r="N100" s="423">
        <v>11.1</v>
      </c>
      <c r="O100" s="423">
        <v>13.33</v>
      </c>
      <c r="P100" s="423">
        <v>7.98</v>
      </c>
      <c r="Q100" s="423">
        <v>10.58</v>
      </c>
      <c r="R100" s="423">
        <v>14.42</v>
      </c>
      <c r="S100" s="423">
        <v>8.23</v>
      </c>
      <c r="T100" s="423">
        <v>9.5</v>
      </c>
      <c r="U100" s="423">
        <v>130.30000000000001</v>
      </c>
    </row>
    <row r="101" spans="1:21">
      <c r="A101" s="422">
        <v>0</v>
      </c>
      <c r="B101" s="422"/>
      <c r="C101" s="421" t="s">
        <v>873</v>
      </c>
      <c r="D101" s="421"/>
      <c r="E101" s="421"/>
      <c r="F101" s="421" t="s">
        <v>874</v>
      </c>
      <c r="G101" s="421"/>
      <c r="H101" s="421"/>
      <c r="I101" s="423">
        <v>46.1</v>
      </c>
      <c r="J101" s="423">
        <v>44.47</v>
      </c>
      <c r="K101" s="423">
        <v>45.46</v>
      </c>
      <c r="L101" s="423">
        <v>43.25</v>
      </c>
      <c r="M101" s="423">
        <v>41.37</v>
      </c>
      <c r="N101" s="423">
        <v>44.4</v>
      </c>
      <c r="O101" s="423">
        <v>53.33</v>
      </c>
      <c r="P101" s="423">
        <v>31.91</v>
      </c>
      <c r="Q101" s="423">
        <v>42.33</v>
      </c>
      <c r="R101" s="423">
        <v>57.67</v>
      </c>
      <c r="S101" s="423">
        <v>32.909999999999997</v>
      </c>
      <c r="T101" s="423">
        <v>38.01</v>
      </c>
      <c r="U101" s="423">
        <v>521.21</v>
      </c>
    </row>
    <row r="102" spans="1:21">
      <c r="A102" s="422">
        <v>0</v>
      </c>
      <c r="B102" s="422"/>
      <c r="C102" s="421" t="s">
        <v>875</v>
      </c>
      <c r="D102" s="421"/>
      <c r="E102" s="421"/>
      <c r="F102" s="421" t="s">
        <v>876</v>
      </c>
      <c r="G102" s="421"/>
      <c r="H102" s="421"/>
      <c r="I102" s="423">
        <v>10000</v>
      </c>
      <c r="J102" s="423">
        <v>10000</v>
      </c>
      <c r="K102" s="423">
        <v>10000</v>
      </c>
      <c r="L102" s="423">
        <v>10000</v>
      </c>
      <c r="M102" s="423">
        <v>10000</v>
      </c>
      <c r="N102" s="423">
        <v>10000</v>
      </c>
      <c r="O102" s="423">
        <v>10000</v>
      </c>
      <c r="P102" s="423">
        <v>10000</v>
      </c>
      <c r="Q102" s="423">
        <v>10000</v>
      </c>
      <c r="R102" s="423">
        <v>-89587.93</v>
      </c>
      <c r="S102" s="423">
        <v>10417</v>
      </c>
      <c r="T102" s="423">
        <v>10417</v>
      </c>
      <c r="U102" s="423">
        <v>21246.07</v>
      </c>
    </row>
    <row r="103" spans="1:21">
      <c r="A103" s="422">
        <v>0</v>
      </c>
      <c r="B103" s="422"/>
      <c r="C103" s="421" t="s">
        <v>877</v>
      </c>
      <c r="D103" s="421"/>
      <c r="E103" s="421"/>
      <c r="F103" s="421" t="s">
        <v>878</v>
      </c>
      <c r="G103" s="421"/>
      <c r="H103" s="421"/>
      <c r="I103" s="423">
        <v>0</v>
      </c>
      <c r="J103" s="423">
        <v>0</v>
      </c>
      <c r="K103" s="423">
        <v>0</v>
      </c>
      <c r="L103" s="423">
        <v>0</v>
      </c>
      <c r="M103" s="423">
        <v>0</v>
      </c>
      <c r="N103" s="423">
        <v>24173.279999999999</v>
      </c>
      <c r="O103" s="423">
        <v>0</v>
      </c>
      <c r="P103" s="423">
        <v>0</v>
      </c>
      <c r="Q103" s="423">
        <v>0</v>
      </c>
      <c r="R103" s="423">
        <v>0</v>
      </c>
      <c r="S103" s="423">
        <v>0</v>
      </c>
      <c r="T103" s="423">
        <v>0</v>
      </c>
      <c r="U103" s="423">
        <v>24173.279999999999</v>
      </c>
    </row>
    <row r="104" spans="1:21">
      <c r="A104" s="424" t="s">
        <v>879</v>
      </c>
      <c r="B104" s="424"/>
      <c r="C104" s="424"/>
      <c r="D104" s="424"/>
      <c r="E104" s="424"/>
      <c r="F104" s="424"/>
      <c r="G104" s="424"/>
      <c r="H104" s="424"/>
      <c r="I104" s="425">
        <v>236998.96</v>
      </c>
      <c r="J104" s="425">
        <v>229208.92</v>
      </c>
      <c r="K104" s="425">
        <v>233883.83</v>
      </c>
      <c r="L104" s="425">
        <v>223237.9</v>
      </c>
      <c r="M104" s="425">
        <v>214013.84</v>
      </c>
      <c r="N104" s="425">
        <v>253559.5</v>
      </c>
      <c r="O104" s="425">
        <v>273449.59000000003</v>
      </c>
      <c r="P104" s="425">
        <v>167765.91</v>
      </c>
      <c r="Q104" s="425">
        <v>224612.07</v>
      </c>
      <c r="R104" s="425">
        <v>203446.31</v>
      </c>
      <c r="S104" s="425">
        <v>217487.29</v>
      </c>
      <c r="T104" s="425">
        <v>218480.96</v>
      </c>
      <c r="U104" s="425">
        <v>2696145.08</v>
      </c>
    </row>
    <row r="105" spans="1:21">
      <c r="A105" s="420" t="s">
        <v>673</v>
      </c>
      <c r="B105" s="420"/>
      <c r="C105" s="421" t="s">
        <v>880</v>
      </c>
      <c r="D105" s="421"/>
      <c r="E105" s="421"/>
      <c r="F105" s="421"/>
      <c r="G105" s="421"/>
      <c r="H105" s="421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</row>
    <row r="106" spans="1:21">
      <c r="A106" s="422">
        <v>0</v>
      </c>
      <c r="B106" s="422"/>
      <c r="C106" s="421" t="s">
        <v>881</v>
      </c>
      <c r="D106" s="421"/>
      <c r="E106" s="421"/>
      <c r="F106" s="421" t="s">
        <v>882</v>
      </c>
      <c r="G106" s="421"/>
      <c r="H106" s="421"/>
      <c r="I106" s="423">
        <v>18869.79</v>
      </c>
      <c r="J106" s="423">
        <v>10762.22</v>
      </c>
      <c r="K106" s="423">
        <v>11961.54</v>
      </c>
      <c r="L106" s="423">
        <v>12278.6</v>
      </c>
      <c r="M106" s="423">
        <v>11695.63</v>
      </c>
      <c r="N106" s="423">
        <v>14463.04</v>
      </c>
      <c r="O106" s="423">
        <v>14711.11</v>
      </c>
      <c r="P106" s="423">
        <v>11811.61</v>
      </c>
      <c r="Q106" s="423">
        <v>12676.33</v>
      </c>
      <c r="R106" s="423">
        <v>12064.35</v>
      </c>
      <c r="S106" s="423">
        <v>13097.84</v>
      </c>
      <c r="T106" s="423">
        <v>12449.92</v>
      </c>
      <c r="U106" s="423">
        <v>156841.98000000001</v>
      </c>
    </row>
    <row r="107" spans="1:21">
      <c r="A107" s="422">
        <v>0</v>
      </c>
      <c r="B107" s="422"/>
      <c r="C107" s="421" t="s">
        <v>883</v>
      </c>
      <c r="D107" s="421"/>
      <c r="E107" s="421"/>
      <c r="F107" s="421" t="s">
        <v>884</v>
      </c>
      <c r="G107" s="421"/>
      <c r="H107" s="421"/>
      <c r="I107" s="423">
        <v>1.59</v>
      </c>
      <c r="J107" s="423">
        <v>0.91</v>
      </c>
      <c r="K107" s="423">
        <v>1.01</v>
      </c>
      <c r="L107" s="423">
        <v>1.02</v>
      </c>
      <c r="M107" s="423">
        <v>0.98</v>
      </c>
      <c r="N107" s="423">
        <v>1.22</v>
      </c>
      <c r="O107" s="423">
        <v>1.24</v>
      </c>
      <c r="P107" s="423">
        <v>0.98</v>
      </c>
      <c r="Q107" s="423">
        <v>1.02</v>
      </c>
      <c r="R107" s="423">
        <v>0.95</v>
      </c>
      <c r="S107" s="423">
        <v>1.07</v>
      </c>
      <c r="T107" s="423">
        <v>0.91</v>
      </c>
      <c r="U107" s="423">
        <v>12.9</v>
      </c>
    </row>
    <row r="108" spans="1:21">
      <c r="A108" s="422">
        <v>0</v>
      </c>
      <c r="B108" s="422"/>
      <c r="C108" s="421" t="s">
        <v>885</v>
      </c>
      <c r="D108" s="421"/>
      <c r="E108" s="421"/>
      <c r="F108" s="421" t="s">
        <v>886</v>
      </c>
      <c r="G108" s="421"/>
      <c r="H108" s="421"/>
      <c r="I108" s="423">
        <v>1.59</v>
      </c>
      <c r="J108" s="423">
        <v>0.91</v>
      </c>
      <c r="K108" s="423">
        <v>1.01</v>
      </c>
      <c r="L108" s="423">
        <v>1.02</v>
      </c>
      <c r="M108" s="423">
        <v>0.98</v>
      </c>
      <c r="N108" s="423">
        <v>1.22</v>
      </c>
      <c r="O108" s="423">
        <v>1.24</v>
      </c>
      <c r="P108" s="423">
        <v>0.98</v>
      </c>
      <c r="Q108" s="423">
        <v>1.02</v>
      </c>
      <c r="R108" s="423">
        <v>0.95</v>
      </c>
      <c r="S108" s="423">
        <v>1.07</v>
      </c>
      <c r="T108" s="423">
        <v>0.91</v>
      </c>
      <c r="U108" s="423">
        <v>12.9</v>
      </c>
    </row>
    <row r="109" spans="1:21">
      <c r="A109" s="422">
        <v>0</v>
      </c>
      <c r="B109" s="422"/>
      <c r="C109" s="421" t="s">
        <v>887</v>
      </c>
      <c r="D109" s="421"/>
      <c r="E109" s="421"/>
      <c r="F109" s="421" t="s">
        <v>888</v>
      </c>
      <c r="G109" s="421"/>
      <c r="H109" s="421"/>
      <c r="I109" s="423">
        <v>4.76</v>
      </c>
      <c r="J109" s="423">
        <v>2.72</v>
      </c>
      <c r="K109" s="423">
        <v>3.02</v>
      </c>
      <c r="L109" s="423">
        <v>3.07</v>
      </c>
      <c r="M109" s="423">
        <v>2.95</v>
      </c>
      <c r="N109" s="423">
        <v>3.64</v>
      </c>
      <c r="O109" s="423">
        <v>3.7</v>
      </c>
      <c r="P109" s="423">
        <v>2.96</v>
      </c>
      <c r="Q109" s="423">
        <v>3.07</v>
      </c>
      <c r="R109" s="423">
        <v>2.86</v>
      </c>
      <c r="S109" s="423">
        <v>3.19</v>
      </c>
      <c r="T109" s="423">
        <v>2.74</v>
      </c>
      <c r="U109" s="423">
        <v>38.68</v>
      </c>
    </row>
    <row r="110" spans="1:21">
      <c r="A110" s="422">
        <v>0</v>
      </c>
      <c r="B110" s="422"/>
      <c r="C110" s="421" t="s">
        <v>889</v>
      </c>
      <c r="D110" s="421"/>
      <c r="E110" s="421"/>
      <c r="F110" s="421" t="s">
        <v>890</v>
      </c>
      <c r="G110" s="421"/>
      <c r="H110" s="421"/>
      <c r="I110" s="423">
        <v>19.09</v>
      </c>
      <c r="J110" s="423">
        <v>10.86</v>
      </c>
      <c r="K110" s="423">
        <v>12.09</v>
      </c>
      <c r="L110" s="423">
        <v>12.28</v>
      </c>
      <c r="M110" s="423">
        <v>11.79</v>
      </c>
      <c r="N110" s="423">
        <v>14.54</v>
      </c>
      <c r="O110" s="423">
        <v>14.76</v>
      </c>
      <c r="P110" s="423">
        <v>11.82</v>
      </c>
      <c r="Q110" s="423">
        <v>12.29</v>
      </c>
      <c r="R110" s="423">
        <v>11.42</v>
      </c>
      <c r="S110" s="423">
        <v>12.79</v>
      </c>
      <c r="T110" s="423">
        <v>10.95</v>
      </c>
      <c r="U110" s="423">
        <v>154.68</v>
      </c>
    </row>
    <row r="111" spans="1:21">
      <c r="A111" s="424" t="s">
        <v>891</v>
      </c>
      <c r="B111" s="424"/>
      <c r="C111" s="424"/>
      <c r="D111" s="424"/>
      <c r="E111" s="424"/>
      <c r="F111" s="424"/>
      <c r="G111" s="424"/>
      <c r="H111" s="424"/>
      <c r="I111" s="425">
        <v>18896.82</v>
      </c>
      <c r="J111" s="425">
        <v>10777.62</v>
      </c>
      <c r="K111" s="425">
        <v>11978.67</v>
      </c>
      <c r="L111" s="425">
        <v>12295.99</v>
      </c>
      <c r="M111" s="425">
        <v>11712.33</v>
      </c>
      <c r="N111" s="425">
        <v>14483.66</v>
      </c>
      <c r="O111" s="425">
        <v>14732.05</v>
      </c>
      <c r="P111" s="425">
        <v>11828.35</v>
      </c>
      <c r="Q111" s="425">
        <v>12693.73</v>
      </c>
      <c r="R111" s="425">
        <v>12080.53</v>
      </c>
      <c r="S111" s="425">
        <v>13115.96</v>
      </c>
      <c r="T111" s="425">
        <v>12465.43</v>
      </c>
      <c r="U111" s="425">
        <v>157061.14000000001</v>
      </c>
    </row>
    <row r="112" spans="1:21">
      <c r="A112" s="420" t="s">
        <v>673</v>
      </c>
      <c r="B112" s="420"/>
      <c r="C112" s="421" t="s">
        <v>892</v>
      </c>
      <c r="D112" s="421"/>
      <c r="E112" s="421"/>
      <c r="F112" s="421"/>
      <c r="G112" s="421"/>
      <c r="H112" s="421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</row>
    <row r="113" spans="1:21">
      <c r="A113" s="422">
        <v>0</v>
      </c>
      <c r="B113" s="422"/>
      <c r="C113" s="421" t="s">
        <v>893</v>
      </c>
      <c r="D113" s="421"/>
      <c r="E113" s="421"/>
      <c r="F113" s="421" t="s">
        <v>894</v>
      </c>
      <c r="G113" s="421"/>
      <c r="H113" s="421"/>
      <c r="I113" s="423">
        <v>182384.36</v>
      </c>
      <c r="J113" s="423">
        <v>164077.23000000001</v>
      </c>
      <c r="K113" s="423">
        <v>170617.47</v>
      </c>
      <c r="L113" s="423">
        <v>163923.29999999999</v>
      </c>
      <c r="M113" s="423">
        <v>158019.85</v>
      </c>
      <c r="N113" s="423">
        <v>187082.35</v>
      </c>
      <c r="O113" s="423">
        <v>166427.93</v>
      </c>
      <c r="P113" s="423">
        <v>158683.85999999999</v>
      </c>
      <c r="Q113" s="423">
        <v>173122.92</v>
      </c>
      <c r="R113" s="423">
        <v>235598.17</v>
      </c>
      <c r="S113" s="423">
        <v>178200.2</v>
      </c>
      <c r="T113" s="423">
        <v>173116.82</v>
      </c>
      <c r="U113" s="423">
        <v>2111254.46</v>
      </c>
    </row>
    <row r="114" spans="1:21">
      <c r="A114" s="422">
        <v>0</v>
      </c>
      <c r="B114" s="422"/>
      <c r="C114" s="421" t="s">
        <v>895</v>
      </c>
      <c r="D114" s="421"/>
      <c r="E114" s="421"/>
      <c r="F114" s="421" t="s">
        <v>896</v>
      </c>
      <c r="G114" s="421"/>
      <c r="H114" s="421"/>
      <c r="I114" s="423">
        <v>0</v>
      </c>
      <c r="J114" s="423">
        <v>3260.2</v>
      </c>
      <c r="K114" s="423">
        <v>3035.16</v>
      </c>
      <c r="L114" s="423">
        <v>288.23</v>
      </c>
      <c r="M114" s="423">
        <v>2898.17</v>
      </c>
      <c r="N114" s="423">
        <v>10531.53</v>
      </c>
      <c r="O114" s="423">
        <v>382.24</v>
      </c>
      <c r="P114" s="423">
        <v>0</v>
      </c>
      <c r="Q114" s="423">
        <v>0</v>
      </c>
      <c r="R114" s="423">
        <v>158.88</v>
      </c>
      <c r="S114" s="423">
        <v>-38.22</v>
      </c>
      <c r="T114" s="423">
        <v>0</v>
      </c>
      <c r="U114" s="423">
        <v>20516.189999999999</v>
      </c>
    </row>
    <row r="115" spans="1:21">
      <c r="A115" s="422">
        <v>0</v>
      </c>
      <c r="B115" s="422"/>
      <c r="C115" s="421" t="s">
        <v>897</v>
      </c>
      <c r="D115" s="421"/>
      <c r="E115" s="421"/>
      <c r="F115" s="421" t="s">
        <v>898</v>
      </c>
      <c r="G115" s="421"/>
      <c r="H115" s="421"/>
      <c r="I115" s="423">
        <v>0</v>
      </c>
      <c r="J115" s="423">
        <v>0</v>
      </c>
      <c r="K115" s="423">
        <v>0</v>
      </c>
      <c r="L115" s="423">
        <v>0</v>
      </c>
      <c r="M115" s="423">
        <v>0</v>
      </c>
      <c r="N115" s="423">
        <v>5821.95</v>
      </c>
      <c r="O115" s="423">
        <v>0</v>
      </c>
      <c r="P115" s="423">
        <v>0</v>
      </c>
      <c r="Q115" s="423">
        <v>0</v>
      </c>
      <c r="R115" s="423">
        <v>0</v>
      </c>
      <c r="S115" s="423">
        <v>0</v>
      </c>
      <c r="T115" s="423">
        <v>0</v>
      </c>
      <c r="U115" s="423">
        <v>5821.95</v>
      </c>
    </row>
    <row r="116" spans="1:21">
      <c r="A116" s="422">
        <v>0</v>
      </c>
      <c r="B116" s="422"/>
      <c r="C116" s="421" t="s">
        <v>899</v>
      </c>
      <c r="D116" s="421"/>
      <c r="E116" s="421"/>
      <c r="F116" s="421" t="s">
        <v>900</v>
      </c>
      <c r="G116" s="421"/>
      <c r="H116" s="421"/>
      <c r="I116" s="423">
        <v>0</v>
      </c>
      <c r="J116" s="423">
        <v>0</v>
      </c>
      <c r="K116" s="423">
        <v>147.93</v>
      </c>
      <c r="L116" s="423">
        <v>84.62</v>
      </c>
      <c r="M116" s="423">
        <v>0</v>
      </c>
      <c r="N116" s="423">
        <v>0</v>
      </c>
      <c r="O116" s="423">
        <v>-84.62</v>
      </c>
      <c r="P116" s="423">
        <v>0</v>
      </c>
      <c r="Q116" s="423">
        <v>0</v>
      </c>
      <c r="R116" s="423">
        <v>1.66</v>
      </c>
      <c r="S116" s="423">
        <v>-0.37</v>
      </c>
      <c r="T116" s="423">
        <v>0</v>
      </c>
      <c r="U116" s="423">
        <v>149.22</v>
      </c>
    </row>
    <row r="117" spans="1:21">
      <c r="A117" s="422">
        <v>0</v>
      </c>
      <c r="B117" s="422"/>
      <c r="C117" s="421" t="s">
        <v>901</v>
      </c>
      <c r="D117" s="421"/>
      <c r="E117" s="421"/>
      <c r="F117" s="421" t="s">
        <v>902</v>
      </c>
      <c r="G117" s="421"/>
      <c r="H117" s="421"/>
      <c r="I117" s="423">
        <v>7.92</v>
      </c>
      <c r="J117" s="423">
        <v>6.07</v>
      </c>
      <c r="K117" s="423">
        <v>12.99</v>
      </c>
      <c r="L117" s="423">
        <v>7.1</v>
      </c>
      <c r="M117" s="423">
        <v>5.93</v>
      </c>
      <c r="N117" s="423">
        <v>10.130000000000001</v>
      </c>
      <c r="O117" s="423">
        <v>8.14</v>
      </c>
      <c r="P117" s="423">
        <v>7.76</v>
      </c>
      <c r="Q117" s="423">
        <v>8.3800000000000008</v>
      </c>
      <c r="R117" s="423">
        <v>5.28</v>
      </c>
      <c r="S117" s="423">
        <v>10.71</v>
      </c>
      <c r="T117" s="423">
        <v>32.71</v>
      </c>
      <c r="U117" s="423">
        <v>123.12</v>
      </c>
    </row>
    <row r="118" spans="1:21">
      <c r="A118" s="422">
        <v>0</v>
      </c>
      <c r="B118" s="422"/>
      <c r="C118" s="421" t="s">
        <v>903</v>
      </c>
      <c r="D118" s="421"/>
      <c r="E118" s="421"/>
      <c r="F118" s="421" t="s">
        <v>904</v>
      </c>
      <c r="G118" s="421"/>
      <c r="H118" s="421"/>
      <c r="I118" s="423">
        <v>7.92</v>
      </c>
      <c r="J118" s="423">
        <v>6.07</v>
      </c>
      <c r="K118" s="423">
        <v>12.99</v>
      </c>
      <c r="L118" s="423">
        <v>7.1</v>
      </c>
      <c r="M118" s="423">
        <v>5.93</v>
      </c>
      <c r="N118" s="423">
        <v>10.130000000000001</v>
      </c>
      <c r="O118" s="423">
        <v>8.14</v>
      </c>
      <c r="P118" s="423">
        <v>7.76</v>
      </c>
      <c r="Q118" s="423">
        <v>8.3800000000000008</v>
      </c>
      <c r="R118" s="423">
        <v>5.28</v>
      </c>
      <c r="S118" s="423">
        <v>10.71</v>
      </c>
      <c r="T118" s="423">
        <v>32.71</v>
      </c>
      <c r="U118" s="423">
        <v>123.12</v>
      </c>
    </row>
    <row r="119" spans="1:21">
      <c r="A119" s="422">
        <v>0</v>
      </c>
      <c r="B119" s="422"/>
      <c r="C119" s="421" t="s">
        <v>905</v>
      </c>
      <c r="D119" s="421"/>
      <c r="E119" s="421"/>
      <c r="F119" s="421" t="s">
        <v>906</v>
      </c>
      <c r="G119" s="421"/>
      <c r="H119" s="421"/>
      <c r="I119" s="423">
        <v>0.6</v>
      </c>
      <c r="J119" s="423">
        <v>0</v>
      </c>
      <c r="K119" s="423">
        <v>0</v>
      </c>
      <c r="L119" s="423">
        <v>1240.9000000000001</v>
      </c>
      <c r="M119" s="423">
        <v>149.41999999999999</v>
      </c>
      <c r="N119" s="423">
        <v>1383.78</v>
      </c>
      <c r="O119" s="423">
        <v>1076.19</v>
      </c>
      <c r="P119" s="423">
        <v>1025.17</v>
      </c>
      <c r="Q119" s="423">
        <v>618.79</v>
      </c>
      <c r="R119" s="423">
        <v>205.81</v>
      </c>
      <c r="S119" s="423">
        <v>-13.83</v>
      </c>
      <c r="T119" s="423">
        <v>0</v>
      </c>
      <c r="U119" s="423">
        <v>5686.83</v>
      </c>
    </row>
    <row r="120" spans="1:21">
      <c r="A120" s="422">
        <v>0</v>
      </c>
      <c r="B120" s="422"/>
      <c r="C120" s="421" t="s">
        <v>907</v>
      </c>
      <c r="D120" s="421"/>
      <c r="E120" s="421"/>
      <c r="F120" s="421" t="s">
        <v>908</v>
      </c>
      <c r="G120" s="421"/>
      <c r="H120" s="421"/>
      <c r="I120" s="423">
        <v>0</v>
      </c>
      <c r="J120" s="423">
        <v>0</v>
      </c>
      <c r="K120" s="423">
        <v>0</v>
      </c>
      <c r="L120" s="423">
        <v>63.85</v>
      </c>
      <c r="M120" s="423">
        <v>7.9</v>
      </c>
      <c r="N120" s="423">
        <v>72.87</v>
      </c>
      <c r="O120" s="423">
        <v>65.19</v>
      </c>
      <c r="P120" s="423">
        <v>62.16</v>
      </c>
      <c r="Q120" s="423">
        <v>33.5</v>
      </c>
      <c r="R120" s="423">
        <v>10.54</v>
      </c>
      <c r="S120" s="423">
        <v>161.13999999999999</v>
      </c>
      <c r="T120" s="423">
        <v>0</v>
      </c>
      <c r="U120" s="423">
        <v>477.15</v>
      </c>
    </row>
    <row r="121" spans="1:21">
      <c r="A121" s="422">
        <v>0</v>
      </c>
      <c r="B121" s="422"/>
      <c r="C121" s="421" t="s">
        <v>909</v>
      </c>
      <c r="D121" s="421"/>
      <c r="E121" s="421"/>
      <c r="F121" s="421" t="s">
        <v>910</v>
      </c>
      <c r="G121" s="421"/>
      <c r="H121" s="421"/>
      <c r="I121" s="423">
        <v>0.6</v>
      </c>
      <c r="J121" s="423">
        <v>0</v>
      </c>
      <c r="K121" s="423">
        <v>0</v>
      </c>
      <c r="L121" s="423">
        <v>0</v>
      </c>
      <c r="M121" s="423">
        <v>896.4</v>
      </c>
      <c r="N121" s="423">
        <v>0</v>
      </c>
      <c r="O121" s="423">
        <v>0</v>
      </c>
      <c r="P121" s="423">
        <v>0</v>
      </c>
      <c r="Q121" s="423">
        <v>0</v>
      </c>
      <c r="R121" s="423">
        <v>9.82</v>
      </c>
      <c r="S121" s="423">
        <v>-2.2000000000000002</v>
      </c>
      <c r="T121" s="423">
        <v>0</v>
      </c>
      <c r="U121" s="423">
        <v>904.62</v>
      </c>
    </row>
    <row r="122" spans="1:21">
      <c r="A122" s="422">
        <v>0</v>
      </c>
      <c r="B122" s="422"/>
      <c r="C122" s="421" t="s">
        <v>911</v>
      </c>
      <c r="D122" s="421"/>
      <c r="E122" s="421"/>
      <c r="F122" s="421" t="s">
        <v>912</v>
      </c>
      <c r="G122" s="421"/>
      <c r="H122" s="421"/>
      <c r="I122" s="423">
        <v>0</v>
      </c>
      <c r="J122" s="423">
        <v>0</v>
      </c>
      <c r="K122" s="423">
        <v>0</v>
      </c>
      <c r="L122" s="423">
        <v>0</v>
      </c>
      <c r="M122" s="423">
        <v>47.41</v>
      </c>
      <c r="N122" s="423">
        <v>0</v>
      </c>
      <c r="O122" s="423">
        <v>0</v>
      </c>
      <c r="P122" s="423">
        <v>0</v>
      </c>
      <c r="Q122" s="423">
        <v>0</v>
      </c>
      <c r="R122" s="423">
        <v>0</v>
      </c>
      <c r="S122" s="423">
        <v>0</v>
      </c>
      <c r="T122" s="423">
        <v>0</v>
      </c>
      <c r="U122" s="423">
        <v>47.41</v>
      </c>
    </row>
    <row r="123" spans="1:21">
      <c r="A123" s="422">
        <v>0</v>
      </c>
      <c r="B123" s="422"/>
      <c r="C123" s="421" t="s">
        <v>913</v>
      </c>
      <c r="D123" s="421"/>
      <c r="E123" s="421"/>
      <c r="F123" s="421" t="s">
        <v>914</v>
      </c>
      <c r="G123" s="421"/>
      <c r="H123" s="421"/>
      <c r="I123" s="423">
        <v>85.71</v>
      </c>
      <c r="J123" s="423">
        <v>54.9</v>
      </c>
      <c r="K123" s="423">
        <v>88.35</v>
      </c>
      <c r="L123" s="423">
        <v>65.11</v>
      </c>
      <c r="M123" s="423">
        <v>56.57</v>
      </c>
      <c r="N123" s="423">
        <v>95.83</v>
      </c>
      <c r="O123" s="423">
        <v>63.83</v>
      </c>
      <c r="P123" s="423">
        <v>64.91</v>
      </c>
      <c r="Q123" s="423">
        <v>79.44</v>
      </c>
      <c r="R123" s="423">
        <v>53.92</v>
      </c>
      <c r="S123" s="423">
        <v>96.71</v>
      </c>
      <c r="T123" s="423">
        <v>532.51</v>
      </c>
      <c r="U123" s="423">
        <v>1337.79</v>
      </c>
    </row>
    <row r="124" spans="1:21">
      <c r="A124" s="422">
        <v>0</v>
      </c>
      <c r="B124" s="422"/>
      <c r="C124" s="421" t="s">
        <v>915</v>
      </c>
      <c r="D124" s="421"/>
      <c r="E124" s="421"/>
      <c r="F124" s="421" t="s">
        <v>916</v>
      </c>
      <c r="G124" s="421"/>
      <c r="H124" s="421"/>
      <c r="I124" s="423">
        <v>85.71</v>
      </c>
      <c r="J124" s="423">
        <v>54.9</v>
      </c>
      <c r="K124" s="423">
        <v>88.36</v>
      </c>
      <c r="L124" s="423">
        <v>65.11</v>
      </c>
      <c r="M124" s="423">
        <v>56.57</v>
      </c>
      <c r="N124" s="423">
        <v>95.82</v>
      </c>
      <c r="O124" s="423">
        <v>63.84</v>
      </c>
      <c r="P124" s="423">
        <v>64.91</v>
      </c>
      <c r="Q124" s="423">
        <v>79.459999999999994</v>
      </c>
      <c r="R124" s="423">
        <v>53.92</v>
      </c>
      <c r="S124" s="423">
        <v>96.72</v>
      </c>
      <c r="T124" s="423">
        <v>532.51</v>
      </c>
      <c r="U124" s="423">
        <v>1337.83</v>
      </c>
    </row>
    <row r="125" spans="1:21">
      <c r="A125" s="422">
        <v>0</v>
      </c>
      <c r="B125" s="422"/>
      <c r="C125" s="421" t="s">
        <v>917</v>
      </c>
      <c r="D125" s="421"/>
      <c r="E125" s="421"/>
      <c r="F125" s="421" t="s">
        <v>918</v>
      </c>
      <c r="G125" s="421"/>
      <c r="H125" s="421"/>
      <c r="I125" s="423">
        <v>19330.580000000002</v>
      </c>
      <c r="J125" s="423">
        <v>46247.66</v>
      </c>
      <c r="K125" s="423">
        <v>17201.46</v>
      </c>
      <c r="L125" s="423">
        <v>18737.11</v>
      </c>
      <c r="M125" s="423">
        <v>22559.94</v>
      </c>
      <c r="N125" s="423">
        <v>25084.75</v>
      </c>
      <c r="O125" s="423">
        <v>20468.09</v>
      </c>
      <c r="P125" s="423">
        <v>15522.37</v>
      </c>
      <c r="Q125" s="423">
        <v>14481.57</v>
      </c>
      <c r="R125" s="423">
        <v>25868.76</v>
      </c>
      <c r="S125" s="423">
        <v>22411.22</v>
      </c>
      <c r="T125" s="423">
        <v>25056.75</v>
      </c>
      <c r="U125" s="423">
        <v>272970.26</v>
      </c>
    </row>
    <row r="126" spans="1:21">
      <c r="A126" s="422">
        <v>0</v>
      </c>
      <c r="B126" s="422"/>
      <c r="C126" s="421" t="s">
        <v>919</v>
      </c>
      <c r="D126" s="421"/>
      <c r="E126" s="421"/>
      <c r="F126" s="421" t="s">
        <v>920</v>
      </c>
      <c r="G126" s="421"/>
      <c r="H126" s="421"/>
      <c r="I126" s="423">
        <v>72.03</v>
      </c>
      <c r="J126" s="423">
        <v>226.44</v>
      </c>
      <c r="K126" s="423">
        <v>83.12</v>
      </c>
      <c r="L126" s="423">
        <v>92.93</v>
      </c>
      <c r="M126" s="423">
        <v>88.13</v>
      </c>
      <c r="N126" s="423">
        <v>35.47</v>
      </c>
      <c r="O126" s="423">
        <v>14.34</v>
      </c>
      <c r="P126" s="423">
        <v>15.7</v>
      </c>
      <c r="Q126" s="423">
        <v>13.1</v>
      </c>
      <c r="R126" s="423">
        <v>21.2</v>
      </c>
      <c r="S126" s="423">
        <v>14.64</v>
      </c>
      <c r="T126" s="423">
        <v>17.920000000000002</v>
      </c>
      <c r="U126" s="423">
        <v>695.02</v>
      </c>
    </row>
    <row r="127" spans="1:21">
      <c r="A127" s="422">
        <v>0</v>
      </c>
      <c r="B127" s="422"/>
      <c r="C127" s="421" t="s">
        <v>921</v>
      </c>
      <c r="D127" s="421"/>
      <c r="E127" s="421"/>
      <c r="F127" s="421" t="s">
        <v>922</v>
      </c>
      <c r="G127" s="421"/>
      <c r="H127" s="421"/>
      <c r="I127" s="423">
        <v>75.75</v>
      </c>
      <c r="J127" s="423">
        <v>232.33</v>
      </c>
      <c r="K127" s="423">
        <v>81.99</v>
      </c>
      <c r="L127" s="423">
        <v>94.1</v>
      </c>
      <c r="M127" s="423">
        <v>95.95</v>
      </c>
      <c r="N127" s="423">
        <v>92.4</v>
      </c>
      <c r="O127" s="423">
        <v>80.42</v>
      </c>
      <c r="P127" s="423">
        <v>87.58</v>
      </c>
      <c r="Q127" s="423">
        <v>75.2</v>
      </c>
      <c r="R127" s="423">
        <v>118.83</v>
      </c>
      <c r="S127" s="423">
        <v>83.26</v>
      </c>
      <c r="T127" s="423">
        <v>101.78</v>
      </c>
      <c r="U127" s="423">
        <v>1219.5899999999999</v>
      </c>
    </row>
    <row r="128" spans="1:21">
      <c r="A128" s="422">
        <v>0</v>
      </c>
      <c r="B128" s="422"/>
      <c r="C128" s="421" t="s">
        <v>923</v>
      </c>
      <c r="D128" s="421"/>
      <c r="E128" s="421"/>
      <c r="F128" s="421" t="s">
        <v>924</v>
      </c>
      <c r="G128" s="421"/>
      <c r="H128" s="421"/>
      <c r="I128" s="423">
        <v>82.71</v>
      </c>
      <c r="J128" s="423">
        <v>247.46</v>
      </c>
      <c r="K128" s="423">
        <v>99.82</v>
      </c>
      <c r="L128" s="423">
        <v>108.43</v>
      </c>
      <c r="M128" s="423">
        <v>116.75</v>
      </c>
      <c r="N128" s="423">
        <v>115.41</v>
      </c>
      <c r="O128" s="423">
        <v>96.44</v>
      </c>
      <c r="P128" s="423">
        <v>105.44</v>
      </c>
      <c r="Q128" s="423">
        <v>90.85</v>
      </c>
      <c r="R128" s="423">
        <v>139.13</v>
      </c>
      <c r="S128" s="423">
        <v>95.41</v>
      </c>
      <c r="T128" s="423">
        <v>120.06</v>
      </c>
      <c r="U128" s="423">
        <v>1417.91</v>
      </c>
    </row>
    <row r="129" spans="1:24">
      <c r="A129" s="422">
        <v>0</v>
      </c>
      <c r="B129" s="422"/>
      <c r="C129" s="421" t="s">
        <v>925</v>
      </c>
      <c r="D129" s="421"/>
      <c r="E129" s="421"/>
      <c r="F129" s="421" t="s">
        <v>926</v>
      </c>
      <c r="G129" s="421"/>
      <c r="H129" s="421"/>
      <c r="I129" s="423">
        <v>329.07</v>
      </c>
      <c r="J129" s="423">
        <v>1008.04</v>
      </c>
      <c r="K129" s="423">
        <v>357.35</v>
      </c>
      <c r="L129" s="423">
        <v>416.98</v>
      </c>
      <c r="M129" s="423">
        <v>463.4</v>
      </c>
      <c r="N129" s="423">
        <v>443.01</v>
      </c>
      <c r="O129" s="423">
        <v>397.39</v>
      </c>
      <c r="P129" s="423">
        <v>420.26</v>
      </c>
      <c r="Q129" s="423">
        <v>343.93</v>
      </c>
      <c r="R129" s="423">
        <v>531.08000000000004</v>
      </c>
      <c r="S129" s="423">
        <v>360.06</v>
      </c>
      <c r="T129" s="423">
        <v>456.23</v>
      </c>
      <c r="U129" s="423">
        <v>5526.8</v>
      </c>
    </row>
    <row r="130" spans="1:24">
      <c r="A130" s="422">
        <v>0</v>
      </c>
      <c r="B130" s="422"/>
      <c r="C130" s="421" t="s">
        <v>927</v>
      </c>
      <c r="D130" s="421"/>
      <c r="E130" s="421"/>
      <c r="F130" s="421" t="s">
        <v>928</v>
      </c>
      <c r="G130" s="421"/>
      <c r="H130" s="421"/>
      <c r="I130" s="423">
        <v>14396.54</v>
      </c>
      <c r="J130" s="423">
        <v>59015.5</v>
      </c>
      <c r="K130" s="423">
        <v>-48124.959999999999</v>
      </c>
      <c r="L130" s="423">
        <v>4151.6899999999996</v>
      </c>
      <c r="M130" s="423">
        <v>1199.3599999999999</v>
      </c>
      <c r="N130" s="423">
        <v>4124.45</v>
      </c>
      <c r="O130" s="423">
        <v>26609.41</v>
      </c>
      <c r="P130" s="423">
        <v>27642.86</v>
      </c>
      <c r="Q130" s="423">
        <v>1697.67</v>
      </c>
      <c r="R130" s="423">
        <v>9957.7999999999993</v>
      </c>
      <c r="S130" s="423">
        <v>4857.7</v>
      </c>
      <c r="T130" s="423">
        <v>2894.46</v>
      </c>
      <c r="U130" s="423">
        <v>108422.48</v>
      </c>
    </row>
    <row r="131" spans="1:24">
      <c r="A131" s="422">
        <v>0</v>
      </c>
      <c r="B131" s="422"/>
      <c r="C131" s="421" t="s">
        <v>929</v>
      </c>
      <c r="D131" s="421"/>
      <c r="E131" s="421"/>
      <c r="F131" s="421" t="s">
        <v>930</v>
      </c>
      <c r="G131" s="421"/>
      <c r="H131" s="421"/>
      <c r="I131" s="423">
        <v>53.64</v>
      </c>
      <c r="J131" s="423">
        <v>288.95999999999998</v>
      </c>
      <c r="K131" s="423">
        <v>-232.55</v>
      </c>
      <c r="L131" s="423">
        <v>20.62</v>
      </c>
      <c r="M131" s="423">
        <v>4.6900000000000004</v>
      </c>
      <c r="N131" s="423">
        <v>5.83</v>
      </c>
      <c r="O131" s="423">
        <v>18.64</v>
      </c>
      <c r="P131" s="423">
        <v>6306.17</v>
      </c>
      <c r="Q131" s="423">
        <v>11213.98</v>
      </c>
      <c r="R131" s="423">
        <v>3267.94</v>
      </c>
      <c r="S131" s="423">
        <v>1958.63</v>
      </c>
      <c r="T131" s="423">
        <v>8788.67</v>
      </c>
      <c r="U131" s="423">
        <v>31695.22</v>
      </c>
    </row>
    <row r="132" spans="1:24">
      <c r="A132" s="422">
        <v>0</v>
      </c>
      <c r="B132" s="422"/>
      <c r="C132" s="421" t="s">
        <v>931</v>
      </c>
      <c r="D132" s="421"/>
      <c r="E132" s="421"/>
      <c r="F132" s="421" t="s">
        <v>932</v>
      </c>
      <c r="G132" s="421"/>
      <c r="H132" s="421"/>
      <c r="I132" s="423">
        <v>56.41</v>
      </c>
      <c r="J132" s="423">
        <v>296.47000000000003</v>
      </c>
      <c r="K132" s="423">
        <v>-229.39</v>
      </c>
      <c r="L132" s="423">
        <v>20.87</v>
      </c>
      <c r="M132" s="423">
        <v>5.0999999999999996</v>
      </c>
      <c r="N132" s="423">
        <v>15.19</v>
      </c>
      <c r="O132" s="423">
        <v>104.55</v>
      </c>
      <c r="P132" s="423">
        <v>6434.18</v>
      </c>
      <c r="Q132" s="423">
        <v>11221.26</v>
      </c>
      <c r="R132" s="423">
        <v>3305.51</v>
      </c>
      <c r="S132" s="423">
        <v>1977.05</v>
      </c>
      <c r="T132" s="423">
        <v>8798.35</v>
      </c>
      <c r="U132" s="423">
        <v>32005.55</v>
      </c>
    </row>
    <row r="133" spans="1:24">
      <c r="A133" s="422">
        <v>0</v>
      </c>
      <c r="B133" s="422"/>
      <c r="C133" s="421" t="s">
        <v>933</v>
      </c>
      <c r="D133" s="421"/>
      <c r="E133" s="421"/>
      <c r="F133" s="421" t="s">
        <v>934</v>
      </c>
      <c r="G133" s="421"/>
      <c r="H133" s="421"/>
      <c r="I133" s="423">
        <v>61.6</v>
      </c>
      <c r="J133" s="423">
        <v>315.77999999999997</v>
      </c>
      <c r="K133" s="423">
        <v>-279.25</v>
      </c>
      <c r="L133" s="423">
        <v>24.06</v>
      </c>
      <c r="M133" s="423">
        <v>6.21</v>
      </c>
      <c r="N133" s="423">
        <v>18.98</v>
      </c>
      <c r="O133" s="423">
        <v>125.37</v>
      </c>
      <c r="P133" s="423">
        <v>187.77</v>
      </c>
      <c r="Q133" s="423">
        <v>10.65</v>
      </c>
      <c r="R133" s="423">
        <v>53.55</v>
      </c>
      <c r="S133" s="423">
        <v>25.64</v>
      </c>
      <c r="T133" s="423">
        <v>13.87</v>
      </c>
      <c r="U133" s="423">
        <v>564.23</v>
      </c>
    </row>
    <row r="134" spans="1:24">
      <c r="A134" s="422">
        <v>0</v>
      </c>
      <c r="B134" s="422"/>
      <c r="C134" s="421" t="s">
        <v>935</v>
      </c>
      <c r="D134" s="421"/>
      <c r="E134" s="421"/>
      <c r="F134" s="421" t="s">
        <v>936</v>
      </c>
      <c r="G134" s="421"/>
      <c r="H134" s="421"/>
      <c r="I134" s="423">
        <v>245.08</v>
      </c>
      <c r="J134" s="423">
        <v>2538.83</v>
      </c>
      <c r="K134" s="423">
        <v>-799.77</v>
      </c>
      <c r="L134" s="423">
        <v>1212.5</v>
      </c>
      <c r="M134" s="423">
        <v>1064.6400000000001</v>
      </c>
      <c r="N134" s="423">
        <v>960.84</v>
      </c>
      <c r="O134" s="423">
        <v>676.62</v>
      </c>
      <c r="P134" s="423">
        <v>1348.41</v>
      </c>
      <c r="Q134" s="423">
        <v>160.32</v>
      </c>
      <c r="R134" s="423">
        <v>204.43</v>
      </c>
      <c r="S134" s="423">
        <v>359.25</v>
      </c>
      <c r="T134" s="423">
        <v>1015.2</v>
      </c>
      <c r="U134" s="423">
        <v>8986.35</v>
      </c>
    </row>
    <row r="135" spans="1:24">
      <c r="A135" s="422">
        <v>0</v>
      </c>
      <c r="B135" s="422"/>
      <c r="C135" s="421" t="s">
        <v>937</v>
      </c>
      <c r="D135" s="421"/>
      <c r="E135" s="421"/>
      <c r="F135" s="421" t="s">
        <v>938</v>
      </c>
      <c r="G135" s="421"/>
      <c r="H135" s="421"/>
      <c r="I135" s="423">
        <v>0</v>
      </c>
      <c r="J135" s="423">
        <v>0</v>
      </c>
      <c r="K135" s="423">
        <v>66381.87</v>
      </c>
      <c r="L135" s="423">
        <v>7772.37</v>
      </c>
      <c r="M135" s="423">
        <v>10852.83</v>
      </c>
      <c r="N135" s="423">
        <v>6865.99</v>
      </c>
      <c r="O135" s="423">
        <v>560</v>
      </c>
      <c r="P135" s="423">
        <v>0</v>
      </c>
      <c r="Q135" s="423">
        <v>0</v>
      </c>
      <c r="R135" s="423">
        <v>0</v>
      </c>
      <c r="S135" s="423">
        <v>0</v>
      </c>
      <c r="T135" s="423">
        <v>0</v>
      </c>
      <c r="U135" s="423">
        <v>92433.06</v>
      </c>
      <c r="V135" s="115">
        <f>U130+U131+U132+U133+U134+U135</f>
        <v>274106.89</v>
      </c>
    </row>
    <row r="136" spans="1:24">
      <c r="A136" s="422">
        <v>0</v>
      </c>
      <c r="B136" s="422"/>
      <c r="C136" s="421" t="s">
        <v>939</v>
      </c>
      <c r="D136" s="421"/>
      <c r="E136" s="421"/>
      <c r="F136" s="421" t="s">
        <v>940</v>
      </c>
      <c r="G136" s="421"/>
      <c r="H136" s="421"/>
      <c r="I136" s="423">
        <v>0</v>
      </c>
      <c r="J136" s="423">
        <v>0</v>
      </c>
      <c r="K136" s="423">
        <v>0</v>
      </c>
      <c r="L136" s="423">
        <v>0</v>
      </c>
      <c r="M136" s="423">
        <v>0</v>
      </c>
      <c r="N136" s="423">
        <v>5000</v>
      </c>
      <c r="O136" s="423">
        <v>0</v>
      </c>
      <c r="P136" s="423">
        <v>0</v>
      </c>
      <c r="Q136" s="423">
        <v>0</v>
      </c>
      <c r="R136" s="423">
        <v>0</v>
      </c>
      <c r="S136" s="423">
        <v>0</v>
      </c>
      <c r="T136" s="423">
        <v>0</v>
      </c>
      <c r="U136" s="423">
        <v>5000</v>
      </c>
    </row>
    <row r="137" spans="1:24">
      <c r="A137" s="422">
        <v>0</v>
      </c>
      <c r="B137" s="422"/>
      <c r="C137" s="421" t="s">
        <v>941</v>
      </c>
      <c r="D137" s="421"/>
      <c r="E137" s="421"/>
      <c r="F137" s="421" t="s">
        <v>942</v>
      </c>
      <c r="G137" s="421"/>
      <c r="H137" s="421"/>
      <c r="I137" s="423">
        <v>800.52</v>
      </c>
      <c r="J137" s="423">
        <v>0</v>
      </c>
      <c r="K137" s="423">
        <v>-27.05</v>
      </c>
      <c r="L137" s="423">
        <v>0</v>
      </c>
      <c r="M137" s="423">
        <v>0</v>
      </c>
      <c r="N137" s="423">
        <v>0</v>
      </c>
      <c r="O137" s="423">
        <v>0</v>
      </c>
      <c r="P137" s="423">
        <v>0</v>
      </c>
      <c r="Q137" s="423">
        <v>0</v>
      </c>
      <c r="R137" s="423">
        <v>0</v>
      </c>
      <c r="S137" s="423">
        <v>0</v>
      </c>
      <c r="T137" s="423">
        <v>0</v>
      </c>
      <c r="U137" s="423">
        <v>773.47</v>
      </c>
    </row>
    <row r="138" spans="1:24">
      <c r="A138" s="422">
        <v>0</v>
      </c>
      <c r="B138" s="422"/>
      <c r="C138" s="421" t="s">
        <v>943</v>
      </c>
      <c r="D138" s="421"/>
      <c r="E138" s="421"/>
      <c r="F138" s="421" t="s">
        <v>944</v>
      </c>
      <c r="G138" s="421"/>
      <c r="H138" s="421"/>
      <c r="I138" s="423">
        <v>0</v>
      </c>
      <c r="J138" s="423">
        <v>0</v>
      </c>
      <c r="K138" s="423">
        <v>0</v>
      </c>
      <c r="L138" s="423">
        <v>0</v>
      </c>
      <c r="M138" s="423">
        <v>0</v>
      </c>
      <c r="N138" s="423">
        <v>2188.1999999999998</v>
      </c>
      <c r="O138" s="423">
        <v>28.61</v>
      </c>
      <c r="P138" s="423">
        <v>0</v>
      </c>
      <c r="Q138" s="423">
        <v>0</v>
      </c>
      <c r="R138" s="423">
        <v>2229.6</v>
      </c>
      <c r="S138" s="423">
        <v>0</v>
      </c>
      <c r="T138" s="423">
        <v>0</v>
      </c>
      <c r="U138" s="423">
        <v>4446.41</v>
      </c>
    </row>
    <row r="139" spans="1:24">
      <c r="A139" s="422">
        <v>0</v>
      </c>
      <c r="B139" s="422"/>
      <c r="C139" s="421" t="s">
        <v>945</v>
      </c>
      <c r="D139" s="421"/>
      <c r="E139" s="421"/>
      <c r="F139" s="421" t="s">
        <v>946</v>
      </c>
      <c r="G139" s="421"/>
      <c r="H139" s="421"/>
      <c r="I139" s="423">
        <v>39825.39</v>
      </c>
      <c r="J139" s="423">
        <v>38767.74</v>
      </c>
      <c r="K139" s="423">
        <v>40925.410000000003</v>
      </c>
      <c r="L139" s="423">
        <v>35233.97</v>
      </c>
      <c r="M139" s="423">
        <v>36366.26</v>
      </c>
      <c r="N139" s="423">
        <v>40004.480000000003</v>
      </c>
      <c r="O139" s="423">
        <v>43369.48</v>
      </c>
      <c r="P139" s="423">
        <v>85754.1</v>
      </c>
      <c r="Q139" s="423">
        <v>30107.73</v>
      </c>
      <c r="R139" s="423">
        <v>41614.44</v>
      </c>
      <c r="S139" s="423">
        <v>36802.61</v>
      </c>
      <c r="T139" s="423">
        <v>26475.200000000001</v>
      </c>
      <c r="U139" s="423">
        <v>495246.81</v>
      </c>
    </row>
    <row r="140" spans="1:24">
      <c r="A140" s="422">
        <v>0</v>
      </c>
      <c r="B140" s="422"/>
      <c r="C140" s="421" t="s">
        <v>947</v>
      </c>
      <c r="D140" s="421"/>
      <c r="E140" s="421"/>
      <c r="F140" s="421" t="s">
        <v>948</v>
      </c>
      <c r="G140" s="421"/>
      <c r="H140" s="421"/>
      <c r="I140" s="423">
        <v>18697.02</v>
      </c>
      <c r="J140" s="423">
        <v>17961.150000000001</v>
      </c>
      <c r="K140" s="423">
        <v>16873.810000000001</v>
      </c>
      <c r="L140" s="423">
        <v>29615</v>
      </c>
      <c r="M140" s="423">
        <v>13861.44</v>
      </c>
      <c r="N140" s="423">
        <v>13312.22</v>
      </c>
      <c r="O140" s="423">
        <v>17831.03</v>
      </c>
      <c r="P140" s="423">
        <v>13229.23</v>
      </c>
      <c r="Q140" s="423">
        <v>12604.83</v>
      </c>
      <c r="R140" s="423">
        <v>33268.43</v>
      </c>
      <c r="S140" s="423">
        <v>10936.29</v>
      </c>
      <c r="T140" s="423">
        <v>15812.54</v>
      </c>
      <c r="U140" s="423">
        <v>214002.99</v>
      </c>
      <c r="X140" s="115"/>
    </row>
    <row r="141" spans="1:24">
      <c r="A141" s="422">
        <v>0</v>
      </c>
      <c r="B141" s="422"/>
      <c r="C141" s="421" t="s">
        <v>949</v>
      </c>
      <c r="D141" s="421"/>
      <c r="E141" s="421"/>
      <c r="F141" s="421" t="s">
        <v>950</v>
      </c>
      <c r="G141" s="421"/>
      <c r="H141" s="421"/>
      <c r="I141" s="423">
        <v>0</v>
      </c>
      <c r="J141" s="423">
        <v>0</v>
      </c>
      <c r="K141" s="423">
        <v>0</v>
      </c>
      <c r="L141" s="423">
        <v>-84.62</v>
      </c>
      <c r="M141" s="423">
        <v>0</v>
      </c>
      <c r="N141" s="423">
        <v>0</v>
      </c>
      <c r="O141" s="423">
        <v>84.62</v>
      </c>
      <c r="P141" s="423">
        <v>0</v>
      </c>
      <c r="Q141" s="423">
        <v>0</v>
      </c>
      <c r="R141" s="423">
        <v>0</v>
      </c>
      <c r="S141" s="423">
        <v>0</v>
      </c>
      <c r="T141" s="423">
        <v>0</v>
      </c>
      <c r="U141" s="423">
        <v>0</v>
      </c>
    </row>
    <row r="142" spans="1:24">
      <c r="A142" s="422">
        <v>0</v>
      </c>
      <c r="B142" s="422"/>
      <c r="C142" s="421" t="s">
        <v>951</v>
      </c>
      <c r="D142" s="421"/>
      <c r="E142" s="421"/>
      <c r="F142" s="421" t="s">
        <v>952</v>
      </c>
      <c r="G142" s="421"/>
      <c r="H142" s="421"/>
      <c r="I142" s="423">
        <v>218.07</v>
      </c>
      <c r="J142" s="423">
        <v>277.76</v>
      </c>
      <c r="K142" s="423">
        <v>279.3</v>
      </c>
      <c r="L142" s="423">
        <v>322.02</v>
      </c>
      <c r="M142" s="423">
        <v>196.22</v>
      </c>
      <c r="N142" s="423">
        <v>75.38</v>
      </c>
      <c r="O142" s="423">
        <v>42.87</v>
      </c>
      <c r="P142" s="423">
        <v>100.13</v>
      </c>
      <c r="Q142" s="423">
        <v>38.25</v>
      </c>
      <c r="R142" s="423">
        <v>60.63</v>
      </c>
      <c r="S142" s="423">
        <v>33.57</v>
      </c>
      <c r="T142" s="423">
        <v>30.48</v>
      </c>
      <c r="U142" s="423">
        <v>1674.68</v>
      </c>
    </row>
    <row r="143" spans="1:24">
      <c r="A143" s="422">
        <v>0</v>
      </c>
      <c r="B143" s="422"/>
      <c r="C143" s="421" t="s">
        <v>953</v>
      </c>
      <c r="D143" s="421"/>
      <c r="E143" s="421"/>
      <c r="F143" s="421" t="s">
        <v>954</v>
      </c>
      <c r="G143" s="421"/>
      <c r="H143" s="421"/>
      <c r="I143" s="423">
        <v>229.33</v>
      </c>
      <c r="J143" s="423">
        <v>284.99</v>
      </c>
      <c r="K143" s="423">
        <v>275.51</v>
      </c>
      <c r="L143" s="423">
        <v>326.06</v>
      </c>
      <c r="M143" s="423">
        <v>213.62</v>
      </c>
      <c r="N143" s="423">
        <v>196.4</v>
      </c>
      <c r="O143" s="423">
        <v>240.46</v>
      </c>
      <c r="P143" s="423">
        <v>558.5</v>
      </c>
      <c r="Q143" s="423">
        <v>219.51</v>
      </c>
      <c r="R143" s="423">
        <v>339.82</v>
      </c>
      <c r="S143" s="423">
        <v>190.99</v>
      </c>
      <c r="T143" s="423">
        <v>173.13</v>
      </c>
      <c r="U143" s="423">
        <v>3248.32</v>
      </c>
    </row>
    <row r="144" spans="1:24">
      <c r="A144" s="422">
        <v>0</v>
      </c>
      <c r="B144" s="422"/>
      <c r="C144" s="421" t="s">
        <v>955</v>
      </c>
      <c r="D144" s="421"/>
      <c r="E144" s="421"/>
      <c r="F144" s="421" t="s">
        <v>956</v>
      </c>
      <c r="G144" s="421"/>
      <c r="H144" s="421"/>
      <c r="I144" s="423">
        <v>250.41</v>
      </c>
      <c r="J144" s="423">
        <v>303.55</v>
      </c>
      <c r="K144" s="423">
        <v>335.39</v>
      </c>
      <c r="L144" s="423">
        <v>375.74</v>
      </c>
      <c r="M144" s="423">
        <v>259.94</v>
      </c>
      <c r="N144" s="423">
        <v>245.3</v>
      </c>
      <c r="O144" s="423">
        <v>288.33999999999997</v>
      </c>
      <c r="P144" s="423">
        <v>672.36</v>
      </c>
      <c r="Q144" s="423">
        <v>265.16000000000003</v>
      </c>
      <c r="R144" s="423">
        <v>397.85</v>
      </c>
      <c r="S144" s="423">
        <v>57.72</v>
      </c>
      <c r="T144" s="423">
        <v>204.23</v>
      </c>
      <c r="U144" s="423">
        <v>3655.99</v>
      </c>
    </row>
    <row r="145" spans="1:22">
      <c r="A145" s="422">
        <v>0</v>
      </c>
      <c r="B145" s="422"/>
      <c r="C145" s="421" t="s">
        <v>957</v>
      </c>
      <c r="D145" s="421"/>
      <c r="E145" s="421"/>
      <c r="F145" s="421" t="s">
        <v>958</v>
      </c>
      <c r="G145" s="421"/>
      <c r="H145" s="421"/>
      <c r="I145" s="423">
        <v>996.26</v>
      </c>
      <c r="J145" s="423">
        <v>1236.49</v>
      </c>
      <c r="K145" s="423">
        <v>1200.74</v>
      </c>
      <c r="L145" s="423">
        <v>1444.9</v>
      </c>
      <c r="M145" s="423">
        <v>1031.72</v>
      </c>
      <c r="N145" s="423">
        <v>941.61</v>
      </c>
      <c r="O145" s="423">
        <v>1188.21</v>
      </c>
      <c r="P145" s="423">
        <v>2679.91</v>
      </c>
      <c r="Q145" s="423">
        <v>1003.88</v>
      </c>
      <c r="R145" s="423">
        <v>1518.67</v>
      </c>
      <c r="S145" s="423">
        <v>825.94</v>
      </c>
      <c r="T145" s="423">
        <v>776.05</v>
      </c>
      <c r="U145" s="423">
        <v>14844.38</v>
      </c>
      <c r="V145" s="409">
        <f>SUM(U138:U145)</f>
        <v>737119.58</v>
      </c>
    </row>
    <row r="146" spans="1:22">
      <c r="A146" s="422">
        <v>0</v>
      </c>
      <c r="B146" s="422"/>
      <c r="C146" s="421" t="s">
        <v>959</v>
      </c>
      <c r="D146" s="421"/>
      <c r="E146" s="421"/>
      <c r="F146" s="421" t="s">
        <v>960</v>
      </c>
      <c r="G146" s="421"/>
      <c r="H146" s="421"/>
      <c r="I146" s="423">
        <v>79373.91</v>
      </c>
      <c r="J146" s="423">
        <v>101360.11</v>
      </c>
      <c r="K146" s="423">
        <v>80434.240000000005</v>
      </c>
      <c r="L146" s="423">
        <v>78413.77</v>
      </c>
      <c r="M146" s="423">
        <v>79940.41</v>
      </c>
      <c r="N146" s="423">
        <v>73007.8</v>
      </c>
      <c r="O146" s="423">
        <v>73748.820000000007</v>
      </c>
      <c r="P146" s="423">
        <v>74327.05</v>
      </c>
      <c r="Q146" s="423">
        <v>83188.210000000006</v>
      </c>
      <c r="R146" s="423">
        <v>84678.32</v>
      </c>
      <c r="S146" s="423">
        <v>86809.9</v>
      </c>
      <c r="T146" s="423">
        <v>70677.13</v>
      </c>
      <c r="U146" s="423">
        <v>965959.67</v>
      </c>
    </row>
    <row r="147" spans="1:22">
      <c r="A147" s="422">
        <v>0</v>
      </c>
      <c r="B147" s="422"/>
      <c r="C147" s="421" t="s">
        <v>961</v>
      </c>
      <c r="D147" s="421"/>
      <c r="E147" s="421"/>
      <c r="F147" s="421" t="s">
        <v>962</v>
      </c>
      <c r="G147" s="421"/>
      <c r="H147" s="421"/>
      <c r="I147" s="423">
        <v>3.44</v>
      </c>
      <c r="J147" s="423">
        <v>3.75</v>
      </c>
      <c r="K147" s="423">
        <v>6.12</v>
      </c>
      <c r="L147" s="423">
        <v>3.39</v>
      </c>
      <c r="M147" s="423">
        <v>3</v>
      </c>
      <c r="N147" s="423">
        <v>3.95</v>
      </c>
      <c r="O147" s="423">
        <v>3.61</v>
      </c>
      <c r="P147" s="423">
        <v>3.64</v>
      </c>
      <c r="Q147" s="423">
        <v>4.08</v>
      </c>
      <c r="R147" s="423">
        <v>2.15</v>
      </c>
      <c r="S147" s="423">
        <v>5.22</v>
      </c>
      <c r="T147" s="423">
        <v>14.11</v>
      </c>
      <c r="U147" s="423">
        <v>56.46</v>
      </c>
    </row>
    <row r="148" spans="1:22">
      <c r="A148" s="422">
        <v>0</v>
      </c>
      <c r="B148" s="422"/>
      <c r="C148" s="421" t="s">
        <v>963</v>
      </c>
      <c r="D148" s="421"/>
      <c r="E148" s="421"/>
      <c r="F148" s="421" t="s">
        <v>964</v>
      </c>
      <c r="G148" s="421"/>
      <c r="H148" s="421"/>
      <c r="I148" s="423">
        <v>3.44</v>
      </c>
      <c r="J148" s="423">
        <v>3.75</v>
      </c>
      <c r="K148" s="423">
        <v>6.12</v>
      </c>
      <c r="L148" s="423">
        <v>3.39</v>
      </c>
      <c r="M148" s="423">
        <v>3</v>
      </c>
      <c r="N148" s="423">
        <v>3.95</v>
      </c>
      <c r="O148" s="423">
        <v>3.61</v>
      </c>
      <c r="P148" s="423">
        <v>3.64</v>
      </c>
      <c r="Q148" s="423">
        <v>4.08</v>
      </c>
      <c r="R148" s="423">
        <v>2.15</v>
      </c>
      <c r="S148" s="423">
        <v>5.22</v>
      </c>
      <c r="T148" s="423">
        <v>14.11</v>
      </c>
      <c r="U148" s="423">
        <v>56.46</v>
      </c>
    </row>
    <row r="149" spans="1:22">
      <c r="A149" s="422">
        <v>0</v>
      </c>
      <c r="B149" s="422"/>
      <c r="C149" s="421" t="s">
        <v>965</v>
      </c>
      <c r="D149" s="421"/>
      <c r="E149" s="421"/>
      <c r="F149" s="421" t="s">
        <v>966</v>
      </c>
      <c r="G149" s="421"/>
      <c r="H149" s="421"/>
      <c r="I149" s="423">
        <v>0</v>
      </c>
      <c r="J149" s="423">
        <v>0</v>
      </c>
      <c r="K149" s="423">
        <v>0</v>
      </c>
      <c r="L149" s="423">
        <v>30.54</v>
      </c>
      <c r="M149" s="423">
        <v>4</v>
      </c>
      <c r="N149" s="423">
        <v>28.44</v>
      </c>
      <c r="O149" s="423">
        <v>28.89</v>
      </c>
      <c r="P149" s="423">
        <v>29.11</v>
      </c>
      <c r="Q149" s="423">
        <v>16.3</v>
      </c>
      <c r="R149" s="423">
        <v>4.3</v>
      </c>
      <c r="S149" s="423">
        <v>0</v>
      </c>
      <c r="T149" s="423">
        <v>0</v>
      </c>
      <c r="U149" s="423">
        <v>141.58000000000001</v>
      </c>
    </row>
    <row r="150" spans="1:22">
      <c r="A150" s="422">
        <v>0</v>
      </c>
      <c r="B150" s="422"/>
      <c r="C150" s="421" t="s">
        <v>967</v>
      </c>
      <c r="D150" s="421"/>
      <c r="E150" s="421"/>
      <c r="F150" s="421" t="s">
        <v>968</v>
      </c>
      <c r="G150" s="421"/>
      <c r="H150" s="421"/>
      <c r="I150" s="423">
        <v>0</v>
      </c>
      <c r="J150" s="423">
        <v>0</v>
      </c>
      <c r="K150" s="423">
        <v>0</v>
      </c>
      <c r="L150" s="423">
        <v>0</v>
      </c>
      <c r="M150" s="423">
        <v>23.99</v>
      </c>
      <c r="N150" s="423">
        <v>0</v>
      </c>
      <c r="O150" s="423">
        <v>0</v>
      </c>
      <c r="P150" s="423">
        <v>0</v>
      </c>
      <c r="Q150" s="423">
        <v>0</v>
      </c>
      <c r="R150" s="423">
        <v>0</v>
      </c>
      <c r="S150" s="423">
        <v>0</v>
      </c>
      <c r="T150" s="423">
        <v>0</v>
      </c>
      <c r="U150" s="423">
        <v>23.99</v>
      </c>
    </row>
    <row r="151" spans="1:22">
      <c r="A151" s="424" t="s">
        <v>969</v>
      </c>
      <c r="B151" s="424"/>
      <c r="C151" s="424"/>
      <c r="D151" s="424"/>
      <c r="E151" s="424"/>
      <c r="F151" s="424"/>
      <c r="G151" s="424"/>
      <c r="H151" s="424"/>
      <c r="I151" s="425">
        <v>357674.02</v>
      </c>
      <c r="J151" s="425">
        <v>438076.13</v>
      </c>
      <c r="K151" s="425">
        <v>348852.53</v>
      </c>
      <c r="L151" s="425">
        <v>344081.14</v>
      </c>
      <c r="M151" s="425">
        <v>330504.75</v>
      </c>
      <c r="N151" s="425">
        <v>377874.44</v>
      </c>
      <c r="O151" s="425">
        <v>354020.7</v>
      </c>
      <c r="P151" s="425">
        <v>395344.94</v>
      </c>
      <c r="Q151" s="425">
        <v>340711.43</v>
      </c>
      <c r="R151" s="425">
        <v>443687.87</v>
      </c>
      <c r="S151" s="425">
        <v>346331.89</v>
      </c>
      <c r="T151" s="425">
        <v>335687.53</v>
      </c>
      <c r="U151" s="425">
        <v>4412847.37</v>
      </c>
    </row>
    <row r="152" spans="1:22">
      <c r="A152" s="420" t="s">
        <v>673</v>
      </c>
      <c r="B152" s="420"/>
      <c r="C152" s="420" t="s">
        <v>970</v>
      </c>
      <c r="D152" s="420"/>
      <c r="E152" s="420"/>
      <c r="F152" s="420"/>
      <c r="G152" s="420"/>
      <c r="H152" s="420"/>
      <c r="I152" s="423">
        <v>43859042.399999999</v>
      </c>
      <c r="J152" s="423">
        <v>55864815.5</v>
      </c>
      <c r="K152" s="423">
        <v>66131232.100000001</v>
      </c>
      <c r="L152" s="423">
        <v>73593715.909999996</v>
      </c>
      <c r="M152" s="423">
        <v>56156660.409999996</v>
      </c>
      <c r="N152" s="423">
        <v>50355442.869999997</v>
      </c>
      <c r="O152" s="423">
        <v>49129441.340000004</v>
      </c>
      <c r="P152" s="423">
        <v>36273249.090000004</v>
      </c>
      <c r="Q152" s="423">
        <v>36072260.090000004</v>
      </c>
      <c r="R152" s="423">
        <v>44652406.700000003</v>
      </c>
      <c r="S152" s="423">
        <v>32644559.170000002</v>
      </c>
      <c r="T152" s="423">
        <v>26215871.34</v>
      </c>
      <c r="U152" s="423">
        <v>570948696.91999996</v>
      </c>
    </row>
    <row r="153" spans="1:22">
      <c r="A153" s="420" t="s">
        <v>673</v>
      </c>
      <c r="B153" s="420"/>
      <c r="C153" s="421" t="s">
        <v>971</v>
      </c>
      <c r="D153" s="421"/>
      <c r="E153" s="421"/>
      <c r="F153" s="421"/>
      <c r="G153" s="421"/>
      <c r="H153" s="421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</row>
    <row r="154" spans="1:22">
      <c r="A154" s="422">
        <v>0</v>
      </c>
      <c r="B154" s="422"/>
      <c r="C154" s="421" t="s">
        <v>972</v>
      </c>
      <c r="D154" s="421"/>
      <c r="E154" s="421"/>
      <c r="F154" s="421" t="s">
        <v>973</v>
      </c>
      <c r="G154" s="421"/>
      <c r="H154" s="421"/>
      <c r="I154" s="423">
        <v>5122.2700000000004</v>
      </c>
      <c r="J154" s="423">
        <v>5122.2700000000004</v>
      </c>
      <c r="K154" s="423">
        <v>5122.2700000000004</v>
      </c>
      <c r="L154" s="423">
        <v>5122.2700000000004</v>
      </c>
      <c r="M154" s="423">
        <v>5122.2700000000004</v>
      </c>
      <c r="N154" s="423">
        <v>5122.2700000000004</v>
      </c>
      <c r="O154" s="423">
        <v>5122.2700000000004</v>
      </c>
      <c r="P154" s="423">
        <v>5122.2700000000004</v>
      </c>
      <c r="Q154" s="423">
        <v>5122.2700000000004</v>
      </c>
      <c r="R154" s="423">
        <v>5122.2700000000004</v>
      </c>
      <c r="S154" s="423">
        <v>5128.03</v>
      </c>
      <c r="T154" s="423">
        <v>5128.03</v>
      </c>
      <c r="U154" s="423">
        <v>61478.76</v>
      </c>
    </row>
    <row r="155" spans="1:22">
      <c r="A155" s="422">
        <v>0</v>
      </c>
      <c r="B155" s="422"/>
      <c r="C155" s="421" t="s">
        <v>974</v>
      </c>
      <c r="D155" s="421"/>
      <c r="E155" s="421"/>
      <c r="F155" s="421" t="s">
        <v>975</v>
      </c>
      <c r="G155" s="421"/>
      <c r="H155" s="421"/>
      <c r="I155" s="423">
        <v>1132239.48</v>
      </c>
      <c r="J155" s="423">
        <v>1136545.3899999999</v>
      </c>
      <c r="K155" s="423">
        <v>1137776.3400000001</v>
      </c>
      <c r="L155" s="423">
        <v>1140333.71</v>
      </c>
      <c r="M155" s="423">
        <v>1143711.76</v>
      </c>
      <c r="N155" s="423">
        <v>1145708.46</v>
      </c>
      <c r="O155" s="423">
        <v>1148902.3799999999</v>
      </c>
      <c r="P155" s="423">
        <v>1151608.5</v>
      </c>
      <c r="Q155" s="423">
        <v>1153577.6499999999</v>
      </c>
      <c r="R155" s="423">
        <v>1157506.29</v>
      </c>
      <c r="S155" s="423">
        <v>1160105.57</v>
      </c>
      <c r="T155" s="423">
        <v>1163801.8999999999</v>
      </c>
      <c r="U155" s="423">
        <v>13771817.43</v>
      </c>
    </row>
    <row r="156" spans="1:22">
      <c r="A156" s="422">
        <v>0</v>
      </c>
      <c r="B156" s="422"/>
      <c r="C156" s="421" t="s">
        <v>976</v>
      </c>
      <c r="D156" s="421"/>
      <c r="E156" s="421"/>
      <c r="F156" s="421" t="s">
        <v>977</v>
      </c>
      <c r="G156" s="421"/>
      <c r="H156" s="421"/>
      <c r="I156" s="423">
        <v>40611.480000000003</v>
      </c>
      <c r="J156" s="423">
        <v>40537.4</v>
      </c>
      <c r="K156" s="423">
        <v>40505.910000000003</v>
      </c>
      <c r="L156" s="423">
        <v>38701.24</v>
      </c>
      <c r="M156" s="423">
        <v>36682.18</v>
      </c>
      <c r="N156" s="423">
        <v>36682.050000000003</v>
      </c>
      <c r="O156" s="423">
        <v>36268.1</v>
      </c>
      <c r="P156" s="423">
        <v>36321.03</v>
      </c>
      <c r="Q156" s="423">
        <v>36344.400000000001</v>
      </c>
      <c r="R156" s="423">
        <v>36306.83</v>
      </c>
      <c r="S156" s="423">
        <v>36069.980000000003</v>
      </c>
      <c r="T156" s="423">
        <v>36140.67</v>
      </c>
      <c r="U156" s="423">
        <v>451171.27</v>
      </c>
    </row>
    <row r="157" spans="1:22">
      <c r="A157" s="422">
        <v>0</v>
      </c>
      <c r="B157" s="422"/>
      <c r="C157" s="421" t="s">
        <v>978</v>
      </c>
      <c r="D157" s="421"/>
      <c r="E157" s="421"/>
      <c r="F157" s="421" t="s">
        <v>979</v>
      </c>
      <c r="G157" s="421"/>
      <c r="H157" s="421"/>
      <c r="I157" s="423">
        <v>19240.61</v>
      </c>
      <c r="J157" s="423">
        <v>19240.61</v>
      </c>
      <c r="K157" s="423">
        <v>19240.61</v>
      </c>
      <c r="L157" s="423">
        <v>19240.61</v>
      </c>
      <c r="M157" s="423">
        <v>19240.61</v>
      </c>
      <c r="N157" s="423">
        <v>19240.61</v>
      </c>
      <c r="O157" s="423">
        <v>19240.61</v>
      </c>
      <c r="P157" s="423">
        <v>19240.61</v>
      </c>
      <c r="Q157" s="423">
        <v>19240.61</v>
      </c>
      <c r="R157" s="423">
        <v>19240.61</v>
      </c>
      <c r="S157" s="423">
        <v>19240.61</v>
      </c>
      <c r="T157" s="423">
        <v>19240.61</v>
      </c>
      <c r="U157" s="423">
        <v>230887.32</v>
      </c>
    </row>
    <row r="158" spans="1:22">
      <c r="A158" s="424" t="s">
        <v>980</v>
      </c>
      <c r="B158" s="424"/>
      <c r="C158" s="424"/>
      <c r="D158" s="424"/>
      <c r="E158" s="424"/>
      <c r="F158" s="424"/>
      <c r="G158" s="424"/>
      <c r="H158" s="424"/>
      <c r="I158" s="425">
        <v>1197213.8400000001</v>
      </c>
      <c r="J158" s="425">
        <v>1201445.67</v>
      </c>
      <c r="K158" s="425">
        <v>1202645.1299999999</v>
      </c>
      <c r="L158" s="425">
        <v>1203397.83</v>
      </c>
      <c r="M158" s="425">
        <v>1204756.82</v>
      </c>
      <c r="N158" s="425">
        <v>1206753.3899999999</v>
      </c>
      <c r="O158" s="425">
        <v>1209533.3600000001</v>
      </c>
      <c r="P158" s="425">
        <v>1212292.4099999999</v>
      </c>
      <c r="Q158" s="425">
        <v>1214284.93</v>
      </c>
      <c r="R158" s="425">
        <v>1218176</v>
      </c>
      <c r="S158" s="425">
        <v>1220544.19</v>
      </c>
      <c r="T158" s="425">
        <v>1224311.21</v>
      </c>
      <c r="U158" s="425">
        <v>14515354.779999999</v>
      </c>
    </row>
    <row r="159" spans="1:22">
      <c r="A159" s="420" t="s">
        <v>673</v>
      </c>
      <c r="B159" s="420"/>
      <c r="C159" s="421" t="s">
        <v>981</v>
      </c>
      <c r="D159" s="421"/>
      <c r="E159" s="421"/>
      <c r="F159" s="421"/>
      <c r="G159" s="421"/>
      <c r="H159" s="421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</row>
    <row r="160" spans="1:22">
      <c r="A160" s="422">
        <v>0</v>
      </c>
      <c r="B160" s="422"/>
      <c r="C160" s="421" t="s">
        <v>982</v>
      </c>
      <c r="D160" s="421"/>
      <c r="E160" s="421"/>
      <c r="F160" s="421" t="s">
        <v>983</v>
      </c>
      <c r="G160" s="421"/>
      <c r="H160" s="421"/>
      <c r="I160" s="423">
        <v>13598.98</v>
      </c>
      <c r="J160" s="423">
        <v>13598.98</v>
      </c>
      <c r="K160" s="423">
        <v>13598.98</v>
      </c>
      <c r="L160" s="423">
        <v>13598.95</v>
      </c>
      <c r="M160" s="423">
        <v>10463.36</v>
      </c>
      <c r="N160" s="423">
        <v>10463.36</v>
      </c>
      <c r="O160" s="423">
        <v>10463.36</v>
      </c>
      <c r="P160" s="423">
        <v>10463.36</v>
      </c>
      <c r="Q160" s="423">
        <v>10463.36</v>
      </c>
      <c r="R160" s="423">
        <v>10463.36</v>
      </c>
      <c r="S160" s="423">
        <v>10463.36</v>
      </c>
      <c r="T160" s="423">
        <v>10463.36</v>
      </c>
      <c r="U160" s="423">
        <v>138102.76999999999</v>
      </c>
    </row>
    <row r="161" spans="1:21">
      <c r="A161" s="422">
        <v>0</v>
      </c>
      <c r="B161" s="422"/>
      <c r="C161" s="421" t="s">
        <v>984</v>
      </c>
      <c r="D161" s="421"/>
      <c r="E161" s="421"/>
      <c r="F161" s="421" t="s">
        <v>985</v>
      </c>
      <c r="G161" s="421"/>
      <c r="H161" s="421"/>
      <c r="I161" s="423">
        <v>14413.51</v>
      </c>
      <c r="J161" s="423">
        <v>14413.51</v>
      </c>
      <c r="K161" s="423">
        <v>14413.51</v>
      </c>
      <c r="L161" s="423">
        <v>14413.51</v>
      </c>
      <c r="M161" s="423">
        <v>17190.68</v>
      </c>
      <c r="N161" s="423">
        <v>17190.68</v>
      </c>
      <c r="O161" s="423">
        <v>17190.68</v>
      </c>
      <c r="P161" s="423">
        <v>17190.68</v>
      </c>
      <c r="Q161" s="423">
        <v>17190.68</v>
      </c>
      <c r="R161" s="423">
        <v>17190.68</v>
      </c>
      <c r="S161" s="423">
        <v>17190.68</v>
      </c>
      <c r="T161" s="423">
        <v>17190.68</v>
      </c>
      <c r="U161" s="423">
        <v>195179.48</v>
      </c>
    </row>
    <row r="162" spans="1:21">
      <c r="A162" s="422">
        <v>0</v>
      </c>
      <c r="B162" s="422"/>
      <c r="C162" s="421" t="s">
        <v>986</v>
      </c>
      <c r="D162" s="421"/>
      <c r="E162" s="421"/>
      <c r="F162" s="421" t="s">
        <v>987</v>
      </c>
      <c r="G162" s="421"/>
      <c r="H162" s="421"/>
      <c r="I162" s="423">
        <v>15345.29</v>
      </c>
      <c r="J162" s="423">
        <v>15345.29</v>
      </c>
      <c r="K162" s="423">
        <v>15345.29</v>
      </c>
      <c r="L162" s="423">
        <v>15345.29</v>
      </c>
      <c r="M162" s="423">
        <v>18547.150000000001</v>
      </c>
      <c r="N162" s="423">
        <v>18547.150000000001</v>
      </c>
      <c r="O162" s="423">
        <v>18547.150000000001</v>
      </c>
      <c r="P162" s="423">
        <v>18547.150000000001</v>
      </c>
      <c r="Q162" s="423">
        <v>18547.150000000001</v>
      </c>
      <c r="R162" s="423">
        <v>18547.150000000001</v>
      </c>
      <c r="S162" s="423">
        <v>18547.150000000001</v>
      </c>
      <c r="T162" s="423">
        <v>18547.150000000001</v>
      </c>
      <c r="U162" s="423">
        <v>209758.36</v>
      </c>
    </row>
    <row r="163" spans="1:21">
      <c r="A163" s="422">
        <v>0</v>
      </c>
      <c r="B163" s="422"/>
      <c r="C163" s="421" t="s">
        <v>988</v>
      </c>
      <c r="D163" s="421"/>
      <c r="E163" s="421"/>
      <c r="F163" s="421" t="s">
        <v>989</v>
      </c>
      <c r="G163" s="421"/>
      <c r="H163" s="421"/>
      <c r="I163" s="423">
        <v>3262.82</v>
      </c>
      <c r="J163" s="423">
        <v>3262.82</v>
      </c>
      <c r="K163" s="423">
        <v>3262.82</v>
      </c>
      <c r="L163" s="423">
        <v>3262.82</v>
      </c>
      <c r="M163" s="423">
        <v>2501.2600000000002</v>
      </c>
      <c r="N163" s="423">
        <v>2501.2600000000002</v>
      </c>
      <c r="O163" s="423">
        <v>2501.2600000000002</v>
      </c>
      <c r="P163" s="423">
        <v>2501.2600000000002</v>
      </c>
      <c r="Q163" s="423">
        <v>2501.2600000000002</v>
      </c>
      <c r="R163" s="423">
        <v>2501.2600000000002</v>
      </c>
      <c r="S163" s="423">
        <v>2501.2600000000002</v>
      </c>
      <c r="T163" s="423">
        <v>2501.2600000000002</v>
      </c>
      <c r="U163" s="423">
        <v>33061.360000000001</v>
      </c>
    </row>
    <row r="164" spans="1:21">
      <c r="A164" s="422">
        <v>0</v>
      </c>
      <c r="B164" s="422"/>
      <c r="C164" s="421" t="s">
        <v>990</v>
      </c>
      <c r="D164" s="421"/>
      <c r="E164" s="421"/>
      <c r="F164" s="421" t="s">
        <v>991</v>
      </c>
      <c r="G164" s="421"/>
      <c r="H164" s="421"/>
      <c r="I164" s="423">
        <v>1442.15</v>
      </c>
      <c r="J164" s="423">
        <v>1442.15</v>
      </c>
      <c r="K164" s="423">
        <v>1442.15</v>
      </c>
      <c r="L164" s="423">
        <v>1442.15</v>
      </c>
      <c r="M164" s="423">
        <v>953.54</v>
      </c>
      <c r="N164" s="423">
        <v>953.54</v>
      </c>
      <c r="O164" s="423">
        <v>953.54</v>
      </c>
      <c r="P164" s="423">
        <v>953.54</v>
      </c>
      <c r="Q164" s="423">
        <v>953.54</v>
      </c>
      <c r="R164" s="423">
        <v>953.54</v>
      </c>
      <c r="S164" s="423">
        <v>953.54</v>
      </c>
      <c r="T164" s="423">
        <v>953.54</v>
      </c>
      <c r="U164" s="423">
        <v>13396.92</v>
      </c>
    </row>
    <row r="165" spans="1:21">
      <c r="A165" s="422">
        <v>0</v>
      </c>
      <c r="B165" s="422"/>
      <c r="C165" s="421" t="s">
        <v>992</v>
      </c>
      <c r="D165" s="421"/>
      <c r="E165" s="421"/>
      <c r="F165" s="421" t="s">
        <v>993</v>
      </c>
      <c r="G165" s="421"/>
      <c r="H165" s="421"/>
      <c r="I165" s="423">
        <v>0</v>
      </c>
      <c r="J165" s="423">
        <v>12667</v>
      </c>
      <c r="K165" s="423">
        <v>1878</v>
      </c>
      <c r="L165" s="423">
        <v>12667</v>
      </c>
      <c r="M165" s="423">
        <v>0</v>
      </c>
      <c r="N165" s="423">
        <v>175</v>
      </c>
      <c r="O165" s="423">
        <v>12666</v>
      </c>
      <c r="P165" s="423">
        <v>0</v>
      </c>
      <c r="Q165" s="423">
        <v>0</v>
      </c>
      <c r="R165" s="423">
        <v>0</v>
      </c>
      <c r="S165" s="423">
        <v>0</v>
      </c>
      <c r="T165" s="423">
        <v>0</v>
      </c>
      <c r="U165" s="423">
        <v>40053</v>
      </c>
    </row>
    <row r="166" spans="1:21">
      <c r="A166" s="424" t="s">
        <v>994</v>
      </c>
      <c r="B166" s="424"/>
      <c r="C166" s="424"/>
      <c r="D166" s="424"/>
      <c r="E166" s="424"/>
      <c r="F166" s="424"/>
      <c r="G166" s="424"/>
      <c r="H166" s="424"/>
      <c r="I166" s="425">
        <v>48062.75</v>
      </c>
      <c r="J166" s="425">
        <v>60729.75</v>
      </c>
      <c r="K166" s="425">
        <v>49940.75</v>
      </c>
      <c r="L166" s="425">
        <v>60729.72</v>
      </c>
      <c r="M166" s="425">
        <v>49655.99</v>
      </c>
      <c r="N166" s="425">
        <v>49830.99</v>
      </c>
      <c r="O166" s="425">
        <v>62321.99</v>
      </c>
      <c r="P166" s="425">
        <v>49655.99</v>
      </c>
      <c r="Q166" s="425">
        <v>49655.99</v>
      </c>
      <c r="R166" s="425">
        <v>49655.99</v>
      </c>
      <c r="S166" s="425">
        <v>49655.99</v>
      </c>
      <c r="T166" s="425">
        <v>49655.99</v>
      </c>
      <c r="U166" s="425">
        <v>629551.89</v>
      </c>
    </row>
    <row r="167" spans="1:21">
      <c r="A167" s="420" t="s">
        <v>673</v>
      </c>
      <c r="B167" s="420"/>
      <c r="C167" s="421" t="s">
        <v>995</v>
      </c>
      <c r="D167" s="421"/>
      <c r="E167" s="421"/>
      <c r="F167" s="421"/>
      <c r="G167" s="421"/>
      <c r="H167" s="421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</row>
    <row r="168" spans="1:21">
      <c r="A168" s="422">
        <v>0</v>
      </c>
      <c r="B168" s="422"/>
      <c r="C168" s="421" t="s">
        <v>996</v>
      </c>
      <c r="D168" s="421"/>
      <c r="E168" s="421"/>
      <c r="F168" s="421" t="s">
        <v>997</v>
      </c>
      <c r="G168" s="421"/>
      <c r="H168" s="421"/>
      <c r="I168" s="423">
        <v>30599.66</v>
      </c>
      <c r="J168" s="423">
        <v>29318.73</v>
      </c>
      <c r="K168" s="423">
        <v>30219.119999999999</v>
      </c>
      <c r="L168" s="423">
        <v>28949.97</v>
      </c>
      <c r="M168" s="423">
        <v>29837.55</v>
      </c>
      <c r="N168" s="423">
        <v>29647.119999999999</v>
      </c>
      <c r="O168" s="423">
        <v>28734.48</v>
      </c>
      <c r="P168" s="423">
        <v>29610.82</v>
      </c>
      <c r="Q168" s="423">
        <v>28356.81</v>
      </c>
      <c r="R168" s="423">
        <v>28166.85</v>
      </c>
      <c r="S168" s="423">
        <v>30298.080000000002</v>
      </c>
      <c r="T168" s="423">
        <v>25935.71</v>
      </c>
      <c r="U168" s="423">
        <v>349674.9</v>
      </c>
    </row>
    <row r="169" spans="1:21">
      <c r="A169" s="422">
        <v>0</v>
      </c>
      <c r="B169" s="422"/>
      <c r="C169" s="421" t="s">
        <v>998</v>
      </c>
      <c r="D169" s="421"/>
      <c r="E169" s="421"/>
      <c r="F169" s="421" t="s">
        <v>999</v>
      </c>
      <c r="G169" s="421"/>
      <c r="H169" s="421"/>
      <c r="I169" s="423">
        <v>3427.81</v>
      </c>
      <c r="J169" s="423">
        <v>3427.81</v>
      </c>
      <c r="K169" s="423">
        <v>3427.81</v>
      </c>
      <c r="L169" s="423">
        <v>3427.81</v>
      </c>
      <c r="M169" s="423">
        <v>3427.81</v>
      </c>
      <c r="N169" s="423">
        <v>3427.81</v>
      </c>
      <c r="O169" s="423">
        <v>3427.81</v>
      </c>
      <c r="P169" s="423">
        <v>3427.81</v>
      </c>
      <c r="Q169" s="423">
        <v>3427.81</v>
      </c>
      <c r="R169" s="423">
        <v>3427.81</v>
      </c>
      <c r="S169" s="423">
        <v>3199.97</v>
      </c>
      <c r="T169" s="423">
        <v>3199.97</v>
      </c>
      <c r="U169" s="423">
        <v>40678.04</v>
      </c>
    </row>
    <row r="170" spans="1:21">
      <c r="A170" s="422">
        <v>0</v>
      </c>
      <c r="B170" s="422"/>
      <c r="C170" s="421" t="s">
        <v>1000</v>
      </c>
      <c r="D170" s="421"/>
      <c r="E170" s="421"/>
      <c r="F170" s="421" t="s">
        <v>1001</v>
      </c>
      <c r="G170" s="421"/>
      <c r="H170" s="421"/>
      <c r="I170" s="423">
        <v>74815.16</v>
      </c>
      <c r="J170" s="423">
        <v>72401.759999999995</v>
      </c>
      <c r="K170" s="423">
        <v>73005.11</v>
      </c>
      <c r="L170" s="423">
        <v>71483.990000000005</v>
      </c>
      <c r="M170" s="423">
        <v>73866.789999999994</v>
      </c>
      <c r="N170" s="423">
        <v>72079.679999999993</v>
      </c>
      <c r="O170" s="423">
        <v>70557.490000000005</v>
      </c>
      <c r="P170" s="423">
        <v>72909.41</v>
      </c>
      <c r="Q170" s="423">
        <v>71145.48</v>
      </c>
      <c r="R170" s="423">
        <v>71942.94</v>
      </c>
      <c r="S170" s="423">
        <v>71942.94</v>
      </c>
      <c r="T170" s="423">
        <v>67881.63</v>
      </c>
      <c r="U170" s="423">
        <v>864032.38</v>
      </c>
    </row>
    <row r="171" spans="1:21">
      <c r="A171" s="422">
        <v>0</v>
      </c>
      <c r="B171" s="422"/>
      <c r="C171" s="421" t="s">
        <v>1002</v>
      </c>
      <c r="D171" s="421"/>
      <c r="E171" s="421"/>
      <c r="F171" s="421" t="s">
        <v>1003</v>
      </c>
      <c r="G171" s="421"/>
      <c r="H171" s="421"/>
      <c r="I171" s="423">
        <v>11770.28</v>
      </c>
      <c r="J171" s="423">
        <v>11170.34</v>
      </c>
      <c r="K171" s="423">
        <v>11382.58</v>
      </c>
      <c r="L171" s="423">
        <v>10834.5</v>
      </c>
      <c r="M171" s="423">
        <v>10955.75</v>
      </c>
      <c r="N171" s="423">
        <v>10804.9</v>
      </c>
      <c r="O171" s="423">
        <v>10254.629999999999</v>
      </c>
      <c r="P171" s="423">
        <v>13183.45</v>
      </c>
      <c r="Q171" s="423">
        <v>17212.919999999998</v>
      </c>
      <c r="R171" s="423">
        <v>17490.91</v>
      </c>
      <c r="S171" s="423">
        <v>17209.88</v>
      </c>
      <c r="T171" s="423">
        <v>15363.58</v>
      </c>
      <c r="U171" s="423">
        <v>157633.72</v>
      </c>
    </row>
    <row r="172" spans="1:21">
      <c r="A172" s="422">
        <v>0</v>
      </c>
      <c r="B172" s="422"/>
      <c r="C172" s="421" t="s">
        <v>1004</v>
      </c>
      <c r="D172" s="421"/>
      <c r="E172" s="421"/>
      <c r="F172" s="421" t="s">
        <v>1005</v>
      </c>
      <c r="G172" s="421"/>
      <c r="H172" s="421"/>
      <c r="I172" s="423">
        <v>162717</v>
      </c>
      <c r="J172" s="423">
        <v>172393.43</v>
      </c>
      <c r="K172" s="423">
        <v>178139.88</v>
      </c>
      <c r="L172" s="423">
        <v>173088.98</v>
      </c>
      <c r="M172" s="423">
        <v>176907.63</v>
      </c>
      <c r="N172" s="423">
        <v>176907.63</v>
      </c>
      <c r="O172" s="423">
        <v>171904.12</v>
      </c>
      <c r="P172" s="423">
        <v>175680.05</v>
      </c>
      <c r="Q172" s="423">
        <v>170012.95</v>
      </c>
      <c r="R172" s="423">
        <v>193407.45</v>
      </c>
      <c r="S172" s="423">
        <v>202609.79</v>
      </c>
      <c r="T172" s="423">
        <v>183002.39</v>
      </c>
      <c r="U172" s="423">
        <v>2136771.2999999998</v>
      </c>
    </row>
    <row r="173" spans="1:21">
      <c r="A173" s="424" t="s">
        <v>1006</v>
      </c>
      <c r="B173" s="424"/>
      <c r="C173" s="424"/>
      <c r="D173" s="424"/>
      <c r="E173" s="424"/>
      <c r="F173" s="424"/>
      <c r="G173" s="424"/>
      <c r="H173" s="424"/>
      <c r="I173" s="425">
        <v>283329.90999999997</v>
      </c>
      <c r="J173" s="425">
        <v>288712.07</v>
      </c>
      <c r="K173" s="425">
        <v>296174.5</v>
      </c>
      <c r="L173" s="425">
        <v>287785.25</v>
      </c>
      <c r="M173" s="425">
        <v>294995.53000000003</v>
      </c>
      <c r="N173" s="425">
        <v>292867.14</v>
      </c>
      <c r="O173" s="425">
        <v>284878.53000000003</v>
      </c>
      <c r="P173" s="425">
        <v>294811.53999999998</v>
      </c>
      <c r="Q173" s="425">
        <v>290155.96999999997</v>
      </c>
      <c r="R173" s="425">
        <v>314435.96000000002</v>
      </c>
      <c r="S173" s="425">
        <v>325260.65999999997</v>
      </c>
      <c r="T173" s="425">
        <v>295383.28000000003</v>
      </c>
      <c r="U173" s="425">
        <v>3548790.34</v>
      </c>
    </row>
    <row r="174" spans="1:21">
      <c r="A174" s="420" t="s">
        <v>673</v>
      </c>
      <c r="B174" s="420"/>
      <c r="C174" s="421" t="s">
        <v>1007</v>
      </c>
      <c r="D174" s="421"/>
      <c r="E174" s="421"/>
      <c r="F174" s="421"/>
      <c r="G174" s="421"/>
      <c r="H174" s="421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</row>
    <row r="175" spans="1:21">
      <c r="A175" s="422">
        <v>0</v>
      </c>
      <c r="B175" s="422"/>
      <c r="C175" s="421" t="s">
        <v>1008</v>
      </c>
      <c r="D175" s="421"/>
      <c r="E175" s="421"/>
      <c r="F175" s="421" t="s">
        <v>1009</v>
      </c>
      <c r="G175" s="421"/>
      <c r="H175" s="421"/>
      <c r="I175" s="423">
        <v>343.59</v>
      </c>
      <c r="J175" s="423">
        <v>347.83</v>
      </c>
      <c r="K175" s="423">
        <v>350.91</v>
      </c>
      <c r="L175" s="423">
        <v>354.18</v>
      </c>
      <c r="M175" s="423">
        <v>354.29</v>
      </c>
      <c r="N175" s="423">
        <v>356.74</v>
      </c>
      <c r="O175" s="423">
        <v>360.28</v>
      </c>
      <c r="P175" s="423">
        <v>363.52</v>
      </c>
      <c r="Q175" s="423">
        <v>366.95</v>
      </c>
      <c r="R175" s="423">
        <v>369.05</v>
      </c>
      <c r="S175" s="423">
        <v>13742.99</v>
      </c>
      <c r="T175" s="423">
        <v>13547.9</v>
      </c>
      <c r="U175" s="423">
        <v>30858.23</v>
      </c>
    </row>
    <row r="176" spans="1:21">
      <c r="A176" s="422">
        <v>0</v>
      </c>
      <c r="B176" s="422"/>
      <c r="C176" s="421" t="s">
        <v>1010</v>
      </c>
      <c r="D176" s="421"/>
      <c r="E176" s="421"/>
      <c r="F176" s="421" t="s">
        <v>1011</v>
      </c>
      <c r="G176" s="421"/>
      <c r="H176" s="421"/>
      <c r="I176" s="423">
        <v>0</v>
      </c>
      <c r="J176" s="423">
        <v>0</v>
      </c>
      <c r="K176" s="423">
        <v>0</v>
      </c>
      <c r="L176" s="423">
        <v>0</v>
      </c>
      <c r="M176" s="423">
        <v>0</v>
      </c>
      <c r="N176" s="423">
        <v>0</v>
      </c>
      <c r="O176" s="423">
        <v>0</v>
      </c>
      <c r="P176" s="423">
        <v>0</v>
      </c>
      <c r="Q176" s="423">
        <v>0</v>
      </c>
      <c r="R176" s="423">
        <v>0</v>
      </c>
      <c r="S176" s="423">
        <v>0</v>
      </c>
      <c r="T176" s="423">
        <v>187.28</v>
      </c>
      <c r="U176" s="423">
        <v>187.28</v>
      </c>
    </row>
    <row r="177" spans="1:21">
      <c r="A177" s="422">
        <v>0</v>
      </c>
      <c r="B177" s="422"/>
      <c r="C177" s="421" t="s">
        <v>1012</v>
      </c>
      <c r="D177" s="421"/>
      <c r="E177" s="421"/>
      <c r="F177" s="421" t="s">
        <v>1013</v>
      </c>
      <c r="G177" s="421"/>
      <c r="H177" s="421"/>
      <c r="I177" s="423">
        <v>10.24</v>
      </c>
      <c r="J177" s="423">
        <v>9.91</v>
      </c>
      <c r="K177" s="423">
        <v>10.24</v>
      </c>
      <c r="L177" s="423">
        <v>9.91</v>
      </c>
      <c r="M177" s="423">
        <v>10.24</v>
      </c>
      <c r="N177" s="423">
        <v>10.24</v>
      </c>
      <c r="O177" s="423">
        <v>9.91</v>
      </c>
      <c r="P177" s="423">
        <v>10.24</v>
      </c>
      <c r="Q177" s="423">
        <v>9.91</v>
      </c>
      <c r="R177" s="423">
        <v>10.24</v>
      </c>
      <c r="S177" s="423">
        <v>370.45</v>
      </c>
      <c r="T177" s="423">
        <v>334.6</v>
      </c>
      <c r="U177" s="423">
        <v>806.13</v>
      </c>
    </row>
    <row r="178" spans="1:21">
      <c r="A178" s="422">
        <v>0</v>
      </c>
      <c r="B178" s="422"/>
      <c r="C178" s="421" t="s">
        <v>1014</v>
      </c>
      <c r="D178" s="421"/>
      <c r="E178" s="421"/>
      <c r="F178" s="421" t="s">
        <v>1015</v>
      </c>
      <c r="G178" s="421"/>
      <c r="H178" s="421"/>
      <c r="I178" s="423">
        <v>16.95</v>
      </c>
      <c r="J178" s="423">
        <v>16.399999999999999</v>
      </c>
      <c r="K178" s="423">
        <v>16.95</v>
      </c>
      <c r="L178" s="423">
        <v>13.68</v>
      </c>
      <c r="M178" s="423">
        <v>7.59</v>
      </c>
      <c r="N178" s="423">
        <v>7.59</v>
      </c>
      <c r="O178" s="423">
        <v>7.34</v>
      </c>
      <c r="P178" s="423">
        <v>7.59</v>
      </c>
      <c r="Q178" s="423">
        <v>7.34</v>
      </c>
      <c r="R178" s="423">
        <v>7.59</v>
      </c>
      <c r="S178" s="423">
        <v>274.45999999999998</v>
      </c>
      <c r="T178" s="423">
        <v>247.9</v>
      </c>
      <c r="U178" s="423">
        <v>631.38</v>
      </c>
    </row>
    <row r="179" spans="1:21">
      <c r="A179" s="422">
        <v>0</v>
      </c>
      <c r="B179" s="422"/>
      <c r="C179" s="421" t="s">
        <v>1016</v>
      </c>
      <c r="D179" s="421"/>
      <c r="E179" s="421"/>
      <c r="F179" s="421" t="s">
        <v>1017</v>
      </c>
      <c r="G179" s="421"/>
      <c r="H179" s="421"/>
      <c r="I179" s="423">
        <v>1.87</v>
      </c>
      <c r="J179" s="423">
        <v>1.81</v>
      </c>
      <c r="K179" s="423">
        <v>1.87</v>
      </c>
      <c r="L179" s="423">
        <v>1.44</v>
      </c>
      <c r="M179" s="423">
        <v>0.62</v>
      </c>
      <c r="N179" s="423">
        <v>0.62</v>
      </c>
      <c r="O179" s="423">
        <v>0.6</v>
      </c>
      <c r="P179" s="423">
        <v>0.62</v>
      </c>
      <c r="Q179" s="423">
        <v>0.6</v>
      </c>
      <c r="R179" s="423">
        <v>0.62</v>
      </c>
      <c r="S179" s="423">
        <v>22.36</v>
      </c>
      <c r="T179" s="423">
        <v>20.2</v>
      </c>
      <c r="U179" s="423">
        <v>53.23</v>
      </c>
    </row>
    <row r="180" spans="1:21">
      <c r="A180" s="422">
        <v>0</v>
      </c>
      <c r="B180" s="422"/>
      <c r="C180" s="421" t="s">
        <v>1018</v>
      </c>
      <c r="D180" s="421"/>
      <c r="E180" s="421"/>
      <c r="F180" s="421" t="s">
        <v>1019</v>
      </c>
      <c r="G180" s="421"/>
      <c r="H180" s="421"/>
      <c r="I180" s="423">
        <v>1.22</v>
      </c>
      <c r="J180" s="423">
        <v>1.18</v>
      </c>
      <c r="K180" s="423">
        <v>1.22</v>
      </c>
      <c r="L180" s="423">
        <v>1.01</v>
      </c>
      <c r="M180" s="423">
        <v>0.62</v>
      </c>
      <c r="N180" s="423">
        <v>0.62</v>
      </c>
      <c r="O180" s="423">
        <v>0.6</v>
      </c>
      <c r="P180" s="423">
        <v>0.62</v>
      </c>
      <c r="Q180" s="423">
        <v>0.6</v>
      </c>
      <c r="R180" s="423">
        <v>0.62</v>
      </c>
      <c r="S180" s="423">
        <v>22.43</v>
      </c>
      <c r="T180" s="423">
        <v>20.260000000000002</v>
      </c>
      <c r="U180" s="423">
        <v>51</v>
      </c>
    </row>
    <row r="181" spans="1:21">
      <c r="A181" s="422">
        <v>0</v>
      </c>
      <c r="B181" s="422"/>
      <c r="C181" s="421" t="s">
        <v>1020</v>
      </c>
      <c r="D181" s="421"/>
      <c r="E181" s="421"/>
      <c r="F181" s="421" t="s">
        <v>1021</v>
      </c>
      <c r="G181" s="421"/>
      <c r="H181" s="421"/>
      <c r="I181" s="423">
        <v>5.71</v>
      </c>
      <c r="J181" s="423">
        <v>5.53</v>
      </c>
      <c r="K181" s="423">
        <v>5.71</v>
      </c>
      <c r="L181" s="423">
        <v>5.24</v>
      </c>
      <c r="M181" s="423">
        <v>4.7300000000000004</v>
      </c>
      <c r="N181" s="423">
        <v>4.7300000000000004</v>
      </c>
      <c r="O181" s="423">
        <v>4.57</v>
      </c>
      <c r="P181" s="423">
        <v>4.7300000000000004</v>
      </c>
      <c r="Q181" s="423">
        <v>4.57</v>
      </c>
      <c r="R181" s="423">
        <v>4.7300000000000004</v>
      </c>
      <c r="S181" s="423">
        <v>170.9</v>
      </c>
      <c r="T181" s="423">
        <v>154.36000000000001</v>
      </c>
      <c r="U181" s="423">
        <v>375.51</v>
      </c>
    </row>
    <row r="182" spans="1:21">
      <c r="A182" s="422">
        <v>0</v>
      </c>
      <c r="B182" s="422"/>
      <c r="C182" s="421" t="s">
        <v>1022</v>
      </c>
      <c r="D182" s="421"/>
      <c r="E182" s="421"/>
      <c r="F182" s="421" t="s">
        <v>1023</v>
      </c>
      <c r="G182" s="421"/>
      <c r="H182" s="421"/>
      <c r="I182" s="423">
        <v>20.350000000000001</v>
      </c>
      <c r="J182" s="423">
        <v>21.12</v>
      </c>
      <c r="K182" s="423">
        <v>22.45</v>
      </c>
      <c r="L182" s="423">
        <v>21.73</v>
      </c>
      <c r="M182" s="423">
        <v>22.45</v>
      </c>
      <c r="N182" s="423">
        <v>18.11</v>
      </c>
      <c r="O182" s="423">
        <v>0</v>
      </c>
      <c r="P182" s="423">
        <v>0</v>
      </c>
      <c r="Q182" s="423">
        <v>0</v>
      </c>
      <c r="R182" s="423">
        <v>0</v>
      </c>
      <c r="S182" s="423">
        <v>0</v>
      </c>
      <c r="T182" s="423">
        <v>0</v>
      </c>
      <c r="U182" s="423">
        <v>126.21</v>
      </c>
    </row>
    <row r="183" spans="1:21">
      <c r="A183" s="422">
        <v>0</v>
      </c>
      <c r="B183" s="422"/>
      <c r="C183" s="421" t="s">
        <v>1024</v>
      </c>
      <c r="D183" s="421"/>
      <c r="E183" s="421"/>
      <c r="F183" s="421" t="s">
        <v>1025</v>
      </c>
      <c r="G183" s="421"/>
      <c r="H183" s="421"/>
      <c r="I183" s="423">
        <v>14.49</v>
      </c>
      <c r="J183" s="423">
        <v>15.88</v>
      </c>
      <c r="K183" s="423">
        <v>18.329999999999998</v>
      </c>
      <c r="L183" s="423">
        <v>17.73</v>
      </c>
      <c r="M183" s="423">
        <v>18.329999999999998</v>
      </c>
      <c r="N183" s="423">
        <v>18.329999999999998</v>
      </c>
      <c r="O183" s="423">
        <v>17.73</v>
      </c>
      <c r="P183" s="423">
        <v>18.329999999999998</v>
      </c>
      <c r="Q183" s="423">
        <v>17.73</v>
      </c>
      <c r="R183" s="423">
        <v>18.329999999999998</v>
      </c>
      <c r="S183" s="423">
        <v>662.69</v>
      </c>
      <c r="T183" s="423">
        <v>598.55999999999995</v>
      </c>
      <c r="U183" s="423">
        <v>1436.46</v>
      </c>
    </row>
    <row r="184" spans="1:21">
      <c r="A184" s="422">
        <v>0</v>
      </c>
      <c r="B184" s="422"/>
      <c r="C184" s="421" t="s">
        <v>1026</v>
      </c>
      <c r="D184" s="421"/>
      <c r="E184" s="421"/>
      <c r="F184" s="421" t="s">
        <v>1027</v>
      </c>
      <c r="G184" s="421"/>
      <c r="H184" s="421"/>
      <c r="I184" s="423">
        <v>33.72</v>
      </c>
      <c r="J184" s="423">
        <v>32.630000000000003</v>
      </c>
      <c r="K184" s="423">
        <v>33.72</v>
      </c>
      <c r="L184" s="423">
        <v>32.630000000000003</v>
      </c>
      <c r="M184" s="423">
        <v>35.549999999999997</v>
      </c>
      <c r="N184" s="423">
        <v>35.549999999999997</v>
      </c>
      <c r="O184" s="423">
        <v>32.630000000000003</v>
      </c>
      <c r="P184" s="423">
        <v>55.9</v>
      </c>
      <c r="Q184" s="423">
        <v>40.46</v>
      </c>
      <c r="R184" s="423">
        <v>41.81</v>
      </c>
      <c r="S184" s="423">
        <v>1512.18</v>
      </c>
      <c r="T184" s="423">
        <v>1365.84</v>
      </c>
      <c r="U184" s="423">
        <v>3252.62</v>
      </c>
    </row>
    <row r="185" spans="1:21">
      <c r="A185" s="422">
        <v>0</v>
      </c>
      <c r="B185" s="422"/>
      <c r="C185" s="421" t="s">
        <v>1028</v>
      </c>
      <c r="D185" s="421"/>
      <c r="E185" s="421"/>
      <c r="F185" s="421" t="s">
        <v>1029</v>
      </c>
      <c r="G185" s="421"/>
      <c r="H185" s="421"/>
      <c r="I185" s="423">
        <v>0.65</v>
      </c>
      <c r="J185" s="423">
        <v>0.63</v>
      </c>
      <c r="K185" s="423">
        <v>0.65</v>
      </c>
      <c r="L185" s="423">
        <v>0.63</v>
      </c>
      <c r="M185" s="423">
        <v>0.65</v>
      </c>
      <c r="N185" s="423">
        <v>0.65</v>
      </c>
      <c r="O185" s="423">
        <v>0.63</v>
      </c>
      <c r="P185" s="423">
        <v>0.65</v>
      </c>
      <c r="Q185" s="423">
        <v>0.63</v>
      </c>
      <c r="R185" s="423">
        <v>0.65</v>
      </c>
      <c r="S185" s="423">
        <v>23.37</v>
      </c>
      <c r="T185" s="423">
        <v>21.11</v>
      </c>
      <c r="U185" s="423">
        <v>50.9</v>
      </c>
    </row>
    <row r="186" spans="1:21">
      <c r="A186" s="422">
        <v>0</v>
      </c>
      <c r="B186" s="422"/>
      <c r="C186" s="421" t="s">
        <v>1030</v>
      </c>
      <c r="D186" s="421"/>
      <c r="E186" s="421"/>
      <c r="F186" s="421" t="s">
        <v>1031</v>
      </c>
      <c r="G186" s="421"/>
      <c r="H186" s="421"/>
      <c r="I186" s="423">
        <v>1.48</v>
      </c>
      <c r="J186" s="423">
        <v>1.39</v>
      </c>
      <c r="K186" s="423">
        <v>1.43</v>
      </c>
      <c r="L186" s="423">
        <v>1.38</v>
      </c>
      <c r="M186" s="423">
        <v>1.43</v>
      </c>
      <c r="N186" s="423">
        <v>1.43</v>
      </c>
      <c r="O186" s="423">
        <v>1.39</v>
      </c>
      <c r="P186" s="423">
        <v>1.43</v>
      </c>
      <c r="Q186" s="423">
        <v>1.38</v>
      </c>
      <c r="R186" s="423">
        <v>1.43</v>
      </c>
      <c r="S186" s="423">
        <v>51.77</v>
      </c>
      <c r="T186" s="423">
        <v>46.76</v>
      </c>
      <c r="U186" s="423">
        <v>112.7</v>
      </c>
    </row>
    <row r="187" spans="1:21">
      <c r="A187" s="422">
        <v>0</v>
      </c>
      <c r="B187" s="422"/>
      <c r="C187" s="421" t="s">
        <v>1032</v>
      </c>
      <c r="D187" s="421"/>
      <c r="E187" s="421"/>
      <c r="F187" s="421" t="s">
        <v>1033</v>
      </c>
      <c r="G187" s="421"/>
      <c r="H187" s="421"/>
      <c r="I187" s="423">
        <v>25.37</v>
      </c>
      <c r="J187" s="423">
        <v>24.55</v>
      </c>
      <c r="K187" s="423">
        <v>25.37</v>
      </c>
      <c r="L187" s="423">
        <v>24.55</v>
      </c>
      <c r="M187" s="423">
        <v>25.37</v>
      </c>
      <c r="N187" s="423">
        <v>25.37</v>
      </c>
      <c r="O187" s="423">
        <v>24.55</v>
      </c>
      <c r="P187" s="423">
        <v>25.37</v>
      </c>
      <c r="Q187" s="423">
        <v>24.55</v>
      </c>
      <c r="R187" s="423">
        <v>25.37</v>
      </c>
      <c r="S187" s="423">
        <v>917.39</v>
      </c>
      <c r="T187" s="423">
        <v>828.61</v>
      </c>
      <c r="U187" s="423">
        <v>1996.42</v>
      </c>
    </row>
    <row r="188" spans="1:21">
      <c r="A188" s="422">
        <v>0</v>
      </c>
      <c r="B188" s="422"/>
      <c r="C188" s="421" t="s">
        <v>1034</v>
      </c>
      <c r="D188" s="421"/>
      <c r="E188" s="421"/>
      <c r="F188" s="421" t="s">
        <v>1035</v>
      </c>
      <c r="G188" s="421"/>
      <c r="H188" s="421"/>
      <c r="I188" s="423">
        <v>3.28</v>
      </c>
      <c r="J188" s="423">
        <v>3.17</v>
      </c>
      <c r="K188" s="423">
        <v>3.28</v>
      </c>
      <c r="L188" s="423">
        <v>3.17</v>
      </c>
      <c r="M188" s="423">
        <v>3.28</v>
      </c>
      <c r="N188" s="423">
        <v>3.28</v>
      </c>
      <c r="O188" s="423">
        <v>3.17</v>
      </c>
      <c r="P188" s="423">
        <v>3.28</v>
      </c>
      <c r="Q188" s="423">
        <v>3.17</v>
      </c>
      <c r="R188" s="423">
        <v>3.28</v>
      </c>
      <c r="S188" s="423">
        <v>118.46</v>
      </c>
      <c r="T188" s="423">
        <v>106.99</v>
      </c>
      <c r="U188" s="423">
        <v>257.81</v>
      </c>
    </row>
    <row r="189" spans="1:21">
      <c r="A189" s="422">
        <v>0</v>
      </c>
      <c r="B189" s="422"/>
      <c r="C189" s="421" t="s">
        <v>1036</v>
      </c>
      <c r="D189" s="421"/>
      <c r="E189" s="421"/>
      <c r="F189" s="421" t="s">
        <v>1037</v>
      </c>
      <c r="G189" s="421"/>
      <c r="H189" s="421"/>
      <c r="I189" s="423">
        <v>0.95</v>
      </c>
      <c r="J189" s="423">
        <v>0.92</v>
      </c>
      <c r="K189" s="423">
        <v>0.95</v>
      </c>
      <c r="L189" s="423">
        <v>0.92</v>
      </c>
      <c r="M189" s="423">
        <v>0.95</v>
      </c>
      <c r="N189" s="423">
        <v>0.95</v>
      </c>
      <c r="O189" s="423">
        <v>0.92</v>
      </c>
      <c r="P189" s="423">
        <v>0.95</v>
      </c>
      <c r="Q189" s="423">
        <v>0.92</v>
      </c>
      <c r="R189" s="423">
        <v>0.95</v>
      </c>
      <c r="S189" s="423">
        <v>34.39</v>
      </c>
      <c r="T189" s="423">
        <v>31.07</v>
      </c>
      <c r="U189" s="423">
        <v>74.84</v>
      </c>
    </row>
    <row r="190" spans="1:21">
      <c r="A190" s="422">
        <v>0</v>
      </c>
      <c r="B190" s="422"/>
      <c r="C190" s="421" t="s">
        <v>1038</v>
      </c>
      <c r="D190" s="421"/>
      <c r="E190" s="421"/>
      <c r="F190" s="421" t="s">
        <v>1039</v>
      </c>
      <c r="G190" s="421"/>
      <c r="H190" s="421"/>
      <c r="I190" s="423">
        <v>4.3499999999999996</v>
      </c>
      <c r="J190" s="423">
        <v>4.21</v>
      </c>
      <c r="K190" s="423">
        <v>4.3499999999999996</v>
      </c>
      <c r="L190" s="423">
        <v>4.21</v>
      </c>
      <c r="M190" s="423">
        <v>4.3499999999999996</v>
      </c>
      <c r="N190" s="423">
        <v>4.3499999999999996</v>
      </c>
      <c r="O190" s="423">
        <v>4.21</v>
      </c>
      <c r="P190" s="423">
        <v>4.3499999999999996</v>
      </c>
      <c r="Q190" s="423">
        <v>4.21</v>
      </c>
      <c r="R190" s="423">
        <v>4.3499999999999996</v>
      </c>
      <c r="S190" s="423">
        <v>157.47999999999999</v>
      </c>
      <c r="T190" s="423">
        <v>142.24</v>
      </c>
      <c r="U190" s="423">
        <v>342.66</v>
      </c>
    </row>
    <row r="191" spans="1:21">
      <c r="A191" s="424" t="s">
        <v>1040</v>
      </c>
      <c r="B191" s="424"/>
      <c r="C191" s="424"/>
      <c r="D191" s="424"/>
      <c r="E191" s="424"/>
      <c r="F191" s="424"/>
      <c r="G191" s="424"/>
      <c r="H191" s="424"/>
      <c r="I191" s="425">
        <v>484.22</v>
      </c>
      <c r="J191" s="425">
        <v>487.16</v>
      </c>
      <c r="K191" s="425">
        <v>497.43</v>
      </c>
      <c r="L191" s="425">
        <v>492.41</v>
      </c>
      <c r="M191" s="425">
        <v>490.45</v>
      </c>
      <c r="N191" s="425">
        <v>488.56</v>
      </c>
      <c r="O191" s="425">
        <v>468.53</v>
      </c>
      <c r="P191" s="425">
        <v>497.58</v>
      </c>
      <c r="Q191" s="425">
        <v>483.02</v>
      </c>
      <c r="R191" s="425">
        <v>489.02</v>
      </c>
      <c r="S191" s="425">
        <v>18081.32</v>
      </c>
      <c r="T191" s="425">
        <v>17653.68</v>
      </c>
      <c r="U191" s="425">
        <v>40613.379999999997</v>
      </c>
    </row>
    <row r="192" spans="1:21">
      <c r="A192" s="420" t="s">
        <v>673</v>
      </c>
      <c r="B192" s="420"/>
      <c r="C192" s="421" t="s">
        <v>1041</v>
      </c>
      <c r="D192" s="421"/>
      <c r="E192" s="421"/>
      <c r="F192" s="421"/>
      <c r="G192" s="421"/>
      <c r="H192" s="421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</row>
    <row r="193" spans="1:21">
      <c r="A193" s="422">
        <v>0</v>
      </c>
      <c r="B193" s="422"/>
      <c r="C193" s="421" t="s">
        <v>1042</v>
      </c>
      <c r="D193" s="421"/>
      <c r="E193" s="421"/>
      <c r="F193" s="421" t="s">
        <v>1043</v>
      </c>
      <c r="G193" s="421"/>
      <c r="H193" s="421"/>
      <c r="I193" s="423">
        <v>9013.7999999999993</v>
      </c>
      <c r="J193" s="423">
        <v>100</v>
      </c>
      <c r="K193" s="423">
        <v>0</v>
      </c>
      <c r="L193" s="423">
        <v>12154.4</v>
      </c>
      <c r="M193" s="423">
        <v>100</v>
      </c>
      <c r="N193" s="423">
        <v>1000</v>
      </c>
      <c r="O193" s="423">
        <v>8801.44</v>
      </c>
      <c r="P193" s="423">
        <v>100</v>
      </c>
      <c r="Q193" s="423">
        <v>650</v>
      </c>
      <c r="R193" s="423">
        <v>17367.86</v>
      </c>
      <c r="S193" s="423">
        <v>200</v>
      </c>
      <c r="T193" s="423">
        <v>200</v>
      </c>
      <c r="U193" s="423">
        <v>49687.5</v>
      </c>
    </row>
    <row r="194" spans="1:21">
      <c r="A194" s="422">
        <v>0</v>
      </c>
      <c r="B194" s="422"/>
      <c r="C194" s="421" t="s">
        <v>1044</v>
      </c>
      <c r="D194" s="421"/>
      <c r="E194" s="421"/>
      <c r="F194" s="421" t="s">
        <v>1045</v>
      </c>
      <c r="G194" s="421"/>
      <c r="H194" s="421"/>
      <c r="I194" s="423">
        <v>0</v>
      </c>
      <c r="J194" s="423">
        <v>0</v>
      </c>
      <c r="K194" s="423">
        <v>0</v>
      </c>
      <c r="L194" s="423">
        <v>0</v>
      </c>
      <c r="M194" s="423">
        <v>0</v>
      </c>
      <c r="N194" s="423">
        <v>0</v>
      </c>
      <c r="O194" s="423">
        <v>0</v>
      </c>
      <c r="P194" s="423">
        <v>0</v>
      </c>
      <c r="Q194" s="423">
        <v>0</v>
      </c>
      <c r="R194" s="423">
        <v>0</v>
      </c>
      <c r="S194" s="423">
        <v>0</v>
      </c>
      <c r="T194" s="423">
        <v>5000</v>
      </c>
      <c r="U194" s="423">
        <v>5000</v>
      </c>
    </row>
    <row r="195" spans="1:21">
      <c r="A195" s="422">
        <v>0</v>
      </c>
      <c r="B195" s="422"/>
      <c r="C195" s="421" t="s">
        <v>1046</v>
      </c>
      <c r="D195" s="421"/>
      <c r="E195" s="421"/>
      <c r="F195" s="421" t="s">
        <v>1047</v>
      </c>
      <c r="G195" s="421"/>
      <c r="H195" s="421"/>
      <c r="I195" s="423">
        <v>646.88</v>
      </c>
      <c r="J195" s="423">
        <v>646.88</v>
      </c>
      <c r="K195" s="423">
        <v>646.88</v>
      </c>
      <c r="L195" s="423">
        <v>646.88</v>
      </c>
      <c r="M195" s="423">
        <v>664.38</v>
      </c>
      <c r="N195" s="423">
        <v>646.88</v>
      </c>
      <c r="O195" s="423">
        <v>646.88</v>
      </c>
      <c r="P195" s="423">
        <v>646.88</v>
      </c>
      <c r="Q195" s="423">
        <v>646.88</v>
      </c>
      <c r="R195" s="423">
        <v>646.88</v>
      </c>
      <c r="S195" s="423">
        <v>677.32</v>
      </c>
      <c r="T195" s="423">
        <v>695.05</v>
      </c>
      <c r="U195" s="423">
        <v>7858.67</v>
      </c>
    </row>
    <row r="196" spans="1:21">
      <c r="A196" s="424" t="s">
        <v>1048</v>
      </c>
      <c r="B196" s="424"/>
      <c r="C196" s="424"/>
      <c r="D196" s="424"/>
      <c r="E196" s="424"/>
      <c r="F196" s="424"/>
      <c r="G196" s="424"/>
      <c r="H196" s="424"/>
      <c r="I196" s="425">
        <v>9660.68</v>
      </c>
      <c r="J196" s="425">
        <v>746.88</v>
      </c>
      <c r="K196" s="425">
        <v>646.88</v>
      </c>
      <c r="L196" s="425">
        <v>12801.28</v>
      </c>
      <c r="M196" s="425">
        <v>764.38</v>
      </c>
      <c r="N196" s="425">
        <v>1646.88</v>
      </c>
      <c r="O196" s="425">
        <v>9448.32</v>
      </c>
      <c r="P196" s="425">
        <v>746.88</v>
      </c>
      <c r="Q196" s="425">
        <v>1296.8800000000001</v>
      </c>
      <c r="R196" s="425">
        <v>18014.740000000002</v>
      </c>
      <c r="S196" s="425">
        <v>877.32</v>
      </c>
      <c r="T196" s="425">
        <v>5895.05</v>
      </c>
      <c r="U196" s="425">
        <v>62546.17</v>
      </c>
    </row>
    <row r="197" spans="1:21">
      <c r="A197" s="420" t="s">
        <v>673</v>
      </c>
      <c r="B197" s="420"/>
      <c r="C197" s="420" t="s">
        <v>1049</v>
      </c>
      <c r="D197" s="420"/>
      <c r="E197" s="420"/>
      <c r="F197" s="420"/>
      <c r="G197" s="420"/>
      <c r="H197" s="420"/>
      <c r="I197" s="423">
        <v>45397793.799999997</v>
      </c>
      <c r="J197" s="423">
        <v>57416937.030000001</v>
      </c>
      <c r="K197" s="423">
        <v>67681136.790000007</v>
      </c>
      <c r="L197" s="423">
        <v>75158922.400000006</v>
      </c>
      <c r="M197" s="423">
        <v>57707323.579999998</v>
      </c>
      <c r="N197" s="423">
        <v>51907029.829999998</v>
      </c>
      <c r="O197" s="423">
        <v>50696092.07</v>
      </c>
      <c r="P197" s="423">
        <v>37831253.490000002</v>
      </c>
      <c r="Q197" s="423">
        <v>37628136.880000003</v>
      </c>
      <c r="R197" s="423">
        <v>46253178.409999996</v>
      </c>
      <c r="S197" s="423">
        <v>34258978.649999999</v>
      </c>
      <c r="T197" s="423">
        <v>27808770.550000001</v>
      </c>
      <c r="U197" s="423">
        <v>589745553.48000002</v>
      </c>
    </row>
    <row r="198" spans="1:21">
      <c r="A198" s="420" t="s">
        <v>673</v>
      </c>
      <c r="B198" s="420"/>
      <c r="C198" s="420" t="s">
        <v>1050</v>
      </c>
      <c r="D198" s="420"/>
      <c r="E198" s="420"/>
      <c r="F198" s="420"/>
      <c r="G198" s="420"/>
      <c r="H198" s="420"/>
      <c r="I198" s="423">
        <v>-536267.54</v>
      </c>
      <c r="J198" s="423">
        <v>-34356.449999999997</v>
      </c>
      <c r="K198" s="423">
        <v>-376927.22</v>
      </c>
      <c r="L198" s="423">
        <v>315906.90000000002</v>
      </c>
      <c r="M198" s="423">
        <v>686577.33</v>
      </c>
      <c r="N198" s="423">
        <v>456961.59</v>
      </c>
      <c r="O198" s="423">
        <v>-487238.22</v>
      </c>
      <c r="P198" s="423">
        <v>-78984.7</v>
      </c>
      <c r="Q198" s="423">
        <v>-454478.54</v>
      </c>
      <c r="R198" s="423">
        <v>-853101.9</v>
      </c>
      <c r="S198" s="423">
        <v>375275.08</v>
      </c>
      <c r="T198" s="423">
        <v>-374804.96</v>
      </c>
      <c r="U198" s="423">
        <v>-1361438.63</v>
      </c>
    </row>
    <row r="199" spans="1:21">
      <c r="A199" s="420" t="s">
        <v>673</v>
      </c>
      <c r="B199" s="420"/>
      <c r="C199" s="421" t="s">
        <v>1051</v>
      </c>
      <c r="D199" s="421"/>
      <c r="E199" s="421"/>
      <c r="F199" s="421"/>
      <c r="G199" s="421"/>
      <c r="H199" s="421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</row>
    <row r="200" spans="1:21">
      <c r="A200" s="422">
        <v>0</v>
      </c>
      <c r="B200" s="422"/>
      <c r="C200" s="421" t="s">
        <v>1052</v>
      </c>
      <c r="D200" s="421"/>
      <c r="E200" s="421"/>
      <c r="F200" s="421" t="s">
        <v>1053</v>
      </c>
      <c r="G200" s="421"/>
      <c r="H200" s="421"/>
      <c r="I200" s="423">
        <v>8868</v>
      </c>
      <c r="J200" s="423">
        <v>10805.14</v>
      </c>
      <c r="K200" s="423">
        <v>12886.48</v>
      </c>
      <c r="L200" s="423">
        <v>17408.580000000002</v>
      </c>
      <c r="M200" s="423">
        <v>24522.18</v>
      </c>
      <c r="N200" s="423">
        <v>35350.03</v>
      </c>
      <c r="O200" s="423">
        <v>37654.79</v>
      </c>
      <c r="P200" s="423">
        <v>39408.449999999997</v>
      </c>
      <c r="Q200" s="423">
        <v>39596.9</v>
      </c>
      <c r="R200" s="423">
        <v>41239.53</v>
      </c>
      <c r="S200" s="423">
        <v>47756.59</v>
      </c>
      <c r="T200" s="423">
        <v>38790.69</v>
      </c>
      <c r="U200" s="423">
        <v>354287.35999999999</v>
      </c>
    </row>
    <row r="201" spans="1:21">
      <c r="A201" s="424" t="s">
        <v>1054</v>
      </c>
      <c r="B201" s="424"/>
      <c r="C201" s="424"/>
      <c r="D201" s="424"/>
      <c r="E201" s="424"/>
      <c r="F201" s="424"/>
      <c r="G201" s="424"/>
      <c r="H201" s="424"/>
      <c r="I201" s="425">
        <v>8868</v>
      </c>
      <c r="J201" s="425">
        <v>10805.14</v>
      </c>
      <c r="K201" s="425">
        <v>12886.48</v>
      </c>
      <c r="L201" s="425">
        <v>17408.580000000002</v>
      </c>
      <c r="M201" s="425">
        <v>24522.18</v>
      </c>
      <c r="N201" s="425">
        <v>35350.03</v>
      </c>
      <c r="O201" s="425">
        <v>37654.79</v>
      </c>
      <c r="P201" s="425">
        <v>39408.449999999997</v>
      </c>
      <c r="Q201" s="425">
        <v>39596.9</v>
      </c>
      <c r="R201" s="425">
        <v>41239.53</v>
      </c>
      <c r="S201" s="425">
        <v>47756.59</v>
      </c>
      <c r="T201" s="425">
        <v>38790.69</v>
      </c>
      <c r="U201" s="425">
        <v>354287.35999999999</v>
      </c>
    </row>
    <row r="202" spans="1:21">
      <c r="A202" s="420" t="s">
        <v>673</v>
      </c>
      <c r="B202" s="420"/>
      <c r="C202" s="421" t="s">
        <v>1055</v>
      </c>
      <c r="D202" s="421"/>
      <c r="E202" s="421"/>
      <c r="F202" s="421"/>
      <c r="G202" s="421"/>
      <c r="H202" s="421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</row>
    <row r="203" spans="1:21">
      <c r="A203" s="422">
        <v>0</v>
      </c>
      <c r="B203" s="422"/>
      <c r="C203" s="421" t="s">
        <v>1056</v>
      </c>
      <c r="D203" s="421"/>
      <c r="E203" s="421"/>
      <c r="F203" s="421" t="s">
        <v>1057</v>
      </c>
      <c r="G203" s="421"/>
      <c r="H203" s="421"/>
      <c r="I203" s="423">
        <v>0</v>
      </c>
      <c r="J203" s="423">
        <v>187.16</v>
      </c>
      <c r="K203" s="423">
        <v>192.81</v>
      </c>
      <c r="L203" s="423">
        <v>5.28</v>
      </c>
      <c r="M203" s="423">
        <v>0</v>
      </c>
      <c r="N203" s="423">
        <v>172.26</v>
      </c>
      <c r="O203" s="423">
        <v>194.14</v>
      </c>
      <c r="P203" s="423">
        <v>0</v>
      </c>
      <c r="Q203" s="423">
        <v>103.46</v>
      </c>
      <c r="R203" s="423">
        <v>114.03</v>
      </c>
      <c r="S203" s="423">
        <v>176.86</v>
      </c>
      <c r="T203" s="423">
        <v>104.71</v>
      </c>
      <c r="U203" s="423">
        <v>1250.71</v>
      </c>
    </row>
    <row r="204" spans="1:21">
      <c r="A204" s="422">
        <v>0</v>
      </c>
      <c r="B204" s="422"/>
      <c r="C204" s="421" t="s">
        <v>1058</v>
      </c>
      <c r="D204" s="421"/>
      <c r="E204" s="421"/>
      <c r="F204" s="421" t="s">
        <v>1059</v>
      </c>
      <c r="G204" s="421"/>
      <c r="H204" s="421"/>
      <c r="I204" s="423">
        <v>0</v>
      </c>
      <c r="J204" s="423">
        <v>0</v>
      </c>
      <c r="K204" s="423">
        <v>0</v>
      </c>
      <c r="L204" s="423">
        <v>0</v>
      </c>
      <c r="M204" s="423">
        <v>0</v>
      </c>
      <c r="N204" s="423">
        <v>0</v>
      </c>
      <c r="O204" s="423">
        <v>0</v>
      </c>
      <c r="P204" s="423">
        <v>0</v>
      </c>
      <c r="Q204" s="423">
        <v>21784.31</v>
      </c>
      <c r="R204" s="423">
        <v>10892.15</v>
      </c>
      <c r="S204" s="423">
        <v>10892.15</v>
      </c>
      <c r="T204" s="423">
        <v>10892.15</v>
      </c>
      <c r="U204" s="423">
        <v>54460.76</v>
      </c>
    </row>
    <row r="205" spans="1:21">
      <c r="A205" s="422">
        <v>0</v>
      </c>
      <c r="B205" s="422"/>
      <c r="C205" s="421" t="s">
        <v>1060</v>
      </c>
      <c r="D205" s="421"/>
      <c r="E205" s="421"/>
      <c r="F205" s="421" t="s">
        <v>1061</v>
      </c>
      <c r="G205" s="421"/>
      <c r="H205" s="421"/>
      <c r="I205" s="423">
        <v>0</v>
      </c>
      <c r="J205" s="423">
        <v>0</v>
      </c>
      <c r="K205" s="423">
        <v>-1.61</v>
      </c>
      <c r="L205" s="423">
        <v>-5.5</v>
      </c>
      <c r="M205" s="423">
        <v>-0.1</v>
      </c>
      <c r="N205" s="423">
        <v>0</v>
      </c>
      <c r="O205" s="423">
        <v>-4.82</v>
      </c>
      <c r="P205" s="423">
        <v>-4.1399999999999997</v>
      </c>
      <c r="Q205" s="423">
        <v>0</v>
      </c>
      <c r="R205" s="423">
        <v>-3.49</v>
      </c>
      <c r="S205" s="423">
        <v>-2.2200000000000002</v>
      </c>
      <c r="T205" s="423">
        <v>-3.33</v>
      </c>
      <c r="U205" s="423">
        <v>-25.21</v>
      </c>
    </row>
    <row r="206" spans="1:21">
      <c r="A206" s="422">
        <v>0</v>
      </c>
      <c r="B206" s="422"/>
      <c r="C206" s="421" t="s">
        <v>1062</v>
      </c>
      <c r="D206" s="421"/>
      <c r="E206" s="421"/>
      <c r="F206" s="421" t="s">
        <v>1063</v>
      </c>
      <c r="G206" s="421"/>
      <c r="H206" s="421"/>
      <c r="I206" s="423">
        <v>-7.68</v>
      </c>
      <c r="J206" s="423">
        <v>-7.41</v>
      </c>
      <c r="K206" s="423">
        <v>-7.57</v>
      </c>
      <c r="L206" s="423">
        <v>-7.21</v>
      </c>
      <c r="M206" s="423">
        <v>-6.9</v>
      </c>
      <c r="N206" s="423">
        <v>-7.4</v>
      </c>
      <c r="O206" s="423">
        <v>-8.89</v>
      </c>
      <c r="P206" s="423">
        <v>-11.62</v>
      </c>
      <c r="Q206" s="423">
        <v>-7.06</v>
      </c>
      <c r="R206" s="423">
        <v>-9.6199999999999992</v>
      </c>
      <c r="S206" s="423">
        <v>-5.48</v>
      </c>
      <c r="T206" s="423">
        <v>-6.34</v>
      </c>
      <c r="U206" s="423">
        <v>-93.18</v>
      </c>
    </row>
    <row r="207" spans="1:21">
      <c r="A207" s="422">
        <v>0</v>
      </c>
      <c r="B207" s="422"/>
      <c r="C207" s="421" t="s">
        <v>1064</v>
      </c>
      <c r="D207" s="421"/>
      <c r="E207" s="421"/>
      <c r="F207" s="421" t="s">
        <v>1065</v>
      </c>
      <c r="G207" s="421"/>
      <c r="H207" s="421"/>
      <c r="I207" s="423">
        <v>0</v>
      </c>
      <c r="J207" s="423">
        <v>0</v>
      </c>
      <c r="K207" s="423">
        <v>0</v>
      </c>
      <c r="L207" s="423">
        <v>0</v>
      </c>
      <c r="M207" s="423">
        <v>0</v>
      </c>
      <c r="N207" s="423">
        <v>0</v>
      </c>
      <c r="O207" s="423">
        <v>0</v>
      </c>
      <c r="P207" s="423">
        <v>0</v>
      </c>
      <c r="Q207" s="423">
        <v>0</v>
      </c>
      <c r="R207" s="423">
        <v>0</v>
      </c>
      <c r="S207" s="423">
        <v>-1326.17</v>
      </c>
      <c r="T207" s="423">
        <v>-875.67</v>
      </c>
      <c r="U207" s="423">
        <v>-2201.84</v>
      </c>
    </row>
    <row r="208" spans="1:21">
      <c r="A208" s="422">
        <v>0</v>
      </c>
      <c r="B208" s="422"/>
      <c r="C208" s="421" t="s">
        <v>1066</v>
      </c>
      <c r="D208" s="421"/>
      <c r="E208" s="421"/>
      <c r="F208" s="421" t="s">
        <v>1067</v>
      </c>
      <c r="G208" s="421"/>
      <c r="H208" s="421"/>
      <c r="I208" s="423">
        <v>0</v>
      </c>
      <c r="J208" s="423">
        <v>0</v>
      </c>
      <c r="K208" s="423">
        <v>0</v>
      </c>
      <c r="L208" s="423">
        <v>0</v>
      </c>
      <c r="M208" s="423">
        <v>0</v>
      </c>
      <c r="N208" s="423">
        <v>0</v>
      </c>
      <c r="O208" s="423">
        <v>-137.80000000000001</v>
      </c>
      <c r="P208" s="423">
        <v>0</v>
      </c>
      <c r="Q208" s="423">
        <v>0</v>
      </c>
      <c r="R208" s="423">
        <v>0</v>
      </c>
      <c r="S208" s="423">
        <v>0</v>
      </c>
      <c r="T208" s="423">
        <v>0</v>
      </c>
      <c r="U208" s="423">
        <v>-137.80000000000001</v>
      </c>
    </row>
    <row r="209" spans="1:21">
      <c r="A209" s="422">
        <v>0</v>
      </c>
      <c r="B209" s="422"/>
      <c r="C209" s="421" t="s">
        <v>1068</v>
      </c>
      <c r="D209" s="421"/>
      <c r="E209" s="421"/>
      <c r="F209" s="421" t="s">
        <v>1069</v>
      </c>
      <c r="G209" s="421"/>
      <c r="H209" s="421"/>
      <c r="I209" s="423">
        <v>0</v>
      </c>
      <c r="J209" s="423">
        <v>0</v>
      </c>
      <c r="K209" s="423">
        <v>0</v>
      </c>
      <c r="L209" s="423">
        <v>0</v>
      </c>
      <c r="M209" s="423">
        <v>0</v>
      </c>
      <c r="N209" s="423">
        <v>-400</v>
      </c>
      <c r="O209" s="423">
        <v>-6279.62</v>
      </c>
      <c r="P209" s="423">
        <v>-3022.97</v>
      </c>
      <c r="Q209" s="423">
        <v>-6341.09</v>
      </c>
      <c r="R209" s="423">
        <v>-4358.25</v>
      </c>
      <c r="S209" s="423">
        <v>-9098.5300000000007</v>
      </c>
      <c r="T209" s="423">
        <v>-7266.96</v>
      </c>
      <c r="U209" s="423">
        <v>-36767.42</v>
      </c>
    </row>
    <row r="210" spans="1:21">
      <c r="A210" s="422">
        <v>0</v>
      </c>
      <c r="B210" s="422"/>
      <c r="C210" s="421" t="s">
        <v>1070</v>
      </c>
      <c r="D210" s="421"/>
      <c r="E210" s="421"/>
      <c r="F210" s="421" t="s">
        <v>1071</v>
      </c>
      <c r="G210" s="421"/>
      <c r="H210" s="421"/>
      <c r="I210" s="423">
        <v>0</v>
      </c>
      <c r="J210" s="423">
        <v>0</v>
      </c>
      <c r="K210" s="423">
        <v>0</v>
      </c>
      <c r="L210" s="423">
        <v>0</v>
      </c>
      <c r="M210" s="423">
        <v>0</v>
      </c>
      <c r="N210" s="423">
        <v>0</v>
      </c>
      <c r="O210" s="423">
        <v>-516.5</v>
      </c>
      <c r="P210" s="423">
        <v>-240</v>
      </c>
      <c r="Q210" s="423">
        <v>-240</v>
      </c>
      <c r="R210" s="423">
        <v>-40</v>
      </c>
      <c r="S210" s="423">
        <v>-568.75</v>
      </c>
      <c r="T210" s="423">
        <v>-350</v>
      </c>
      <c r="U210" s="423">
        <v>-1955.25</v>
      </c>
    </row>
    <row r="211" spans="1:21">
      <c r="A211" s="422">
        <v>0</v>
      </c>
      <c r="B211" s="422"/>
      <c r="C211" s="421" t="s">
        <v>1072</v>
      </c>
      <c r="D211" s="421"/>
      <c r="E211" s="421"/>
      <c r="F211" s="421" t="s">
        <v>1073</v>
      </c>
      <c r="G211" s="421"/>
      <c r="H211" s="421"/>
      <c r="I211" s="423">
        <v>0</v>
      </c>
      <c r="J211" s="423">
        <v>0</v>
      </c>
      <c r="K211" s="423">
        <v>0</v>
      </c>
      <c r="L211" s="423">
        <v>0</v>
      </c>
      <c r="M211" s="423">
        <v>0</v>
      </c>
      <c r="N211" s="423">
        <v>0</v>
      </c>
      <c r="O211" s="423">
        <v>0</v>
      </c>
      <c r="P211" s="423">
        <v>0</v>
      </c>
      <c r="Q211" s="423">
        <v>-1451.13</v>
      </c>
      <c r="R211" s="423">
        <v>-2886.88</v>
      </c>
      <c r="S211" s="423">
        <v>-1252.3800000000001</v>
      </c>
      <c r="T211" s="423">
        <v>-1811.43</v>
      </c>
      <c r="U211" s="423">
        <v>-7401.82</v>
      </c>
    </row>
    <row r="212" spans="1:21">
      <c r="A212" s="422">
        <v>0</v>
      </c>
      <c r="B212" s="422"/>
      <c r="C212" s="421" t="s">
        <v>1074</v>
      </c>
      <c r="D212" s="421"/>
      <c r="E212" s="421"/>
      <c r="F212" s="421" t="s">
        <v>1075</v>
      </c>
      <c r="G212" s="421"/>
      <c r="H212" s="421"/>
      <c r="I212" s="423">
        <v>0</v>
      </c>
      <c r="J212" s="423">
        <v>0</v>
      </c>
      <c r="K212" s="423">
        <v>5.1100000000000003</v>
      </c>
      <c r="L212" s="423">
        <v>0</v>
      </c>
      <c r="M212" s="423">
        <v>0</v>
      </c>
      <c r="N212" s="423">
        <v>34.39</v>
      </c>
      <c r="O212" s="423">
        <v>0</v>
      </c>
      <c r="P212" s="423">
        <v>0</v>
      </c>
      <c r="Q212" s="423">
        <v>26.74</v>
      </c>
      <c r="R212" s="423">
        <v>0</v>
      </c>
      <c r="S212" s="423">
        <v>0</v>
      </c>
      <c r="T212" s="423">
        <v>0</v>
      </c>
      <c r="U212" s="423">
        <v>66.239999999999995</v>
      </c>
    </row>
    <row r="213" spans="1:21">
      <c r="A213" s="422">
        <v>0</v>
      </c>
      <c r="B213" s="422"/>
      <c r="C213" s="421" t="s">
        <v>1076</v>
      </c>
      <c r="D213" s="421"/>
      <c r="E213" s="421"/>
      <c r="F213" s="421" t="s">
        <v>1077</v>
      </c>
      <c r="G213" s="421"/>
      <c r="H213" s="421"/>
      <c r="I213" s="423">
        <v>13873.74</v>
      </c>
      <c r="J213" s="423">
        <v>40042.089999999997</v>
      </c>
      <c r="K213" s="423">
        <v>1796.93</v>
      </c>
      <c r="L213" s="423">
        <v>29172.69</v>
      </c>
      <c r="M213" s="423">
        <v>76.41</v>
      </c>
      <c r="N213" s="423">
        <v>0</v>
      </c>
      <c r="O213" s="423">
        <v>0</v>
      </c>
      <c r="P213" s="423">
        <v>0</v>
      </c>
      <c r="Q213" s="423">
        <v>0</v>
      </c>
      <c r="R213" s="423">
        <v>23289.43</v>
      </c>
      <c r="S213" s="423">
        <v>10819.44</v>
      </c>
      <c r="T213" s="423">
        <v>39075</v>
      </c>
      <c r="U213" s="423">
        <v>158145.73000000001</v>
      </c>
    </row>
    <row r="214" spans="1:21">
      <c r="A214" s="422">
        <v>0</v>
      </c>
      <c r="B214" s="422"/>
      <c r="C214" s="421" t="s">
        <v>1078</v>
      </c>
      <c r="D214" s="421"/>
      <c r="E214" s="421"/>
      <c r="F214" s="421" t="s">
        <v>1079</v>
      </c>
      <c r="G214" s="421"/>
      <c r="H214" s="421"/>
      <c r="I214" s="423">
        <v>-47.98</v>
      </c>
      <c r="J214" s="423">
        <v>38</v>
      </c>
      <c r="K214" s="423">
        <v>0</v>
      </c>
      <c r="L214" s="423">
        <v>-1234.17</v>
      </c>
      <c r="M214" s="423">
        <v>-2547.04</v>
      </c>
      <c r="N214" s="423">
        <v>0</v>
      </c>
      <c r="O214" s="423">
        <v>0</v>
      </c>
      <c r="P214" s="423">
        <v>0</v>
      </c>
      <c r="Q214" s="423">
        <v>-2867.58</v>
      </c>
      <c r="R214" s="423">
        <v>-4.49</v>
      </c>
      <c r="S214" s="423">
        <v>0</v>
      </c>
      <c r="T214" s="423">
        <v>0</v>
      </c>
      <c r="U214" s="423">
        <v>-6663.26</v>
      </c>
    </row>
    <row r="215" spans="1:21">
      <c r="A215" s="424" t="s">
        <v>1080</v>
      </c>
      <c r="B215" s="424"/>
      <c r="C215" s="424"/>
      <c r="D215" s="424"/>
      <c r="E215" s="424"/>
      <c r="F215" s="424"/>
      <c r="G215" s="424"/>
      <c r="H215" s="424"/>
      <c r="I215" s="425">
        <v>13818.08</v>
      </c>
      <c r="J215" s="425">
        <v>40259.839999999997</v>
      </c>
      <c r="K215" s="425">
        <v>1985.67</v>
      </c>
      <c r="L215" s="425">
        <v>27931.09</v>
      </c>
      <c r="M215" s="425">
        <v>-2477.63</v>
      </c>
      <c r="N215" s="425">
        <v>-200.75</v>
      </c>
      <c r="O215" s="425">
        <v>-6753.49</v>
      </c>
      <c r="P215" s="425">
        <v>-3278.73</v>
      </c>
      <c r="Q215" s="425">
        <v>11007.65</v>
      </c>
      <c r="R215" s="425">
        <v>26992.880000000001</v>
      </c>
      <c r="S215" s="425">
        <v>9634.92</v>
      </c>
      <c r="T215" s="425">
        <v>39758.129999999997</v>
      </c>
      <c r="U215" s="425">
        <v>158677.66</v>
      </c>
    </row>
    <row r="216" spans="1:21">
      <c r="A216" s="420" t="s">
        <v>673</v>
      </c>
      <c r="B216" s="420"/>
      <c r="C216" s="421" t="s">
        <v>1081</v>
      </c>
      <c r="D216" s="421"/>
      <c r="E216" s="421"/>
      <c r="F216" s="421"/>
      <c r="G216" s="421"/>
      <c r="H216" s="421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</row>
    <row r="217" spans="1:21">
      <c r="A217" s="422">
        <v>0</v>
      </c>
      <c r="B217" s="422"/>
      <c r="C217" s="421" t="s">
        <v>1082</v>
      </c>
      <c r="D217" s="421"/>
      <c r="E217" s="421"/>
      <c r="F217" s="421" t="s">
        <v>1083</v>
      </c>
      <c r="G217" s="421"/>
      <c r="H217" s="421"/>
      <c r="I217" s="423">
        <v>46024.88</v>
      </c>
      <c r="J217" s="423">
        <v>18957.43</v>
      </c>
      <c r="K217" s="423">
        <v>18957.43</v>
      </c>
      <c r="L217" s="423">
        <v>18957.43</v>
      </c>
      <c r="M217" s="423">
        <v>18957.43</v>
      </c>
      <c r="N217" s="423">
        <v>110135.43</v>
      </c>
      <c r="O217" s="423">
        <v>8780.9599999999991</v>
      </c>
      <c r="P217" s="423">
        <v>18957.43</v>
      </c>
      <c r="Q217" s="423">
        <v>18957.43</v>
      </c>
      <c r="R217" s="423">
        <v>38847.82</v>
      </c>
      <c r="S217" s="423">
        <v>18008.939999999999</v>
      </c>
      <c r="T217" s="423">
        <v>18408.939999999999</v>
      </c>
      <c r="U217" s="423">
        <v>353951.55</v>
      </c>
    </row>
    <row r="218" spans="1:21">
      <c r="A218" s="424" t="s">
        <v>1084</v>
      </c>
      <c r="B218" s="424"/>
      <c r="C218" s="424"/>
      <c r="D218" s="424"/>
      <c r="E218" s="424"/>
      <c r="F218" s="424"/>
      <c r="G218" s="424"/>
      <c r="H218" s="424"/>
      <c r="I218" s="425">
        <v>46024.88</v>
      </c>
      <c r="J218" s="425">
        <v>18957.43</v>
      </c>
      <c r="K218" s="425">
        <v>18957.43</v>
      </c>
      <c r="L218" s="425">
        <v>18957.43</v>
      </c>
      <c r="M218" s="425">
        <v>18957.43</v>
      </c>
      <c r="N218" s="425">
        <v>110135.43</v>
      </c>
      <c r="O218" s="425">
        <v>8780.9599999999991</v>
      </c>
      <c r="P218" s="425">
        <v>18957.43</v>
      </c>
      <c r="Q218" s="425">
        <v>18957.43</v>
      </c>
      <c r="R218" s="425">
        <v>38847.82</v>
      </c>
      <c r="S218" s="425">
        <v>18008.939999999999</v>
      </c>
      <c r="T218" s="425">
        <v>18408.939999999999</v>
      </c>
      <c r="U218" s="425">
        <v>353951.55</v>
      </c>
    </row>
    <row r="219" spans="1:21">
      <c r="A219" s="420" t="s">
        <v>673</v>
      </c>
      <c r="B219" s="420"/>
      <c r="C219" s="420" t="s">
        <v>1085</v>
      </c>
      <c r="D219" s="420"/>
      <c r="E219" s="420"/>
      <c r="F219" s="420"/>
      <c r="G219" s="420"/>
      <c r="H219" s="420"/>
      <c r="I219" s="423">
        <v>-467556.58</v>
      </c>
      <c r="J219" s="423">
        <v>35665.96</v>
      </c>
      <c r="K219" s="423">
        <v>-343097.64</v>
      </c>
      <c r="L219" s="423">
        <v>380204</v>
      </c>
      <c r="M219" s="423">
        <v>727579.31</v>
      </c>
      <c r="N219" s="423">
        <v>602246.30000000005</v>
      </c>
      <c r="O219" s="423">
        <v>-447555.96</v>
      </c>
      <c r="P219" s="423">
        <v>-23897.55</v>
      </c>
      <c r="Q219" s="423">
        <v>-384916.56</v>
      </c>
      <c r="R219" s="423">
        <v>-746021.67</v>
      </c>
      <c r="S219" s="423">
        <v>450675.53</v>
      </c>
      <c r="T219" s="423">
        <v>-277847.2</v>
      </c>
      <c r="U219" s="423">
        <v>-494522.06</v>
      </c>
    </row>
    <row r="220" spans="1:21">
      <c r="A220" s="420" t="s">
        <v>673</v>
      </c>
      <c r="B220" s="420"/>
      <c r="C220" s="420"/>
      <c r="D220" s="420"/>
      <c r="E220" s="420"/>
      <c r="F220" s="420"/>
      <c r="G220" s="420"/>
      <c r="H220" s="420"/>
      <c r="I220" s="423"/>
      <c r="J220" s="423"/>
      <c r="K220" s="423"/>
      <c r="L220" s="423"/>
      <c r="M220" s="423"/>
      <c r="N220" s="423"/>
      <c r="O220" s="423"/>
      <c r="P220" s="423"/>
      <c r="Q220" s="423"/>
      <c r="R220" s="423"/>
      <c r="S220" s="423"/>
      <c r="T220" s="423"/>
      <c r="U220" s="423"/>
    </row>
    <row r="221" spans="1:21">
      <c r="A221" s="420" t="s">
        <v>673</v>
      </c>
      <c r="B221" s="420"/>
      <c r="C221" s="420"/>
      <c r="D221" s="420"/>
      <c r="E221" s="420"/>
      <c r="F221" s="420"/>
      <c r="G221" s="420"/>
      <c r="H221" s="420"/>
      <c r="I221" s="423"/>
      <c r="J221" s="423"/>
      <c r="K221" s="423"/>
      <c r="L221" s="423"/>
      <c r="M221" s="423"/>
      <c r="N221" s="423"/>
      <c r="O221" s="423"/>
      <c r="P221" s="423"/>
      <c r="Q221" s="423"/>
      <c r="R221" s="423"/>
      <c r="S221" s="423"/>
      <c r="T221" s="423"/>
      <c r="U221" s="42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4"/>
  <sheetViews>
    <sheetView workbookViewId="0">
      <selection activeCell="I19" sqref="I19"/>
    </sheetView>
  </sheetViews>
  <sheetFormatPr defaultRowHeight="12.75"/>
  <cols>
    <col min="1" max="1" width="9" bestFit="1" customWidth="1"/>
    <col min="2" max="2" width="45.28515625" customWidth="1"/>
    <col min="3" max="3" width="16.85546875" bestFit="1" customWidth="1"/>
    <col min="4" max="4" width="15.7109375" customWidth="1"/>
    <col min="5" max="5" width="3.140625" customWidth="1"/>
    <col min="6" max="6" width="14.85546875" bestFit="1" customWidth="1"/>
    <col min="7" max="7" width="16" bestFit="1" customWidth="1"/>
    <col min="8" max="8" width="3.28515625" customWidth="1"/>
    <col min="9" max="9" width="14.85546875" bestFit="1" customWidth="1"/>
    <col min="10" max="11" width="18.5703125" bestFit="1" customWidth="1"/>
    <col min="12" max="12" width="18" bestFit="1" customWidth="1"/>
    <col min="13" max="14" width="11.7109375" bestFit="1" customWidth="1"/>
    <col min="15" max="15" width="10" bestFit="1" customWidth="1"/>
    <col min="16" max="17" width="12" bestFit="1" customWidth="1"/>
  </cols>
  <sheetData>
    <row r="1" spans="1:13" ht="15.75">
      <c r="A1" s="140" t="s">
        <v>292</v>
      </c>
      <c r="B1" s="140"/>
      <c r="C1" s="140"/>
      <c r="D1" s="140"/>
      <c r="E1" s="140"/>
      <c r="F1" s="140"/>
      <c r="G1" s="140"/>
      <c r="H1" s="140"/>
      <c r="I1" s="140"/>
    </row>
    <row r="2" spans="1:13" ht="15.75">
      <c r="A2" s="140" t="s">
        <v>293</v>
      </c>
      <c r="B2" s="140"/>
      <c r="C2" s="140"/>
      <c r="D2" s="140"/>
      <c r="E2" s="140"/>
      <c r="F2" s="140"/>
      <c r="G2" s="140"/>
      <c r="H2" s="140"/>
      <c r="I2" s="140"/>
    </row>
    <row r="3" spans="1:13" ht="15.75">
      <c r="A3" s="140" t="s">
        <v>1168</v>
      </c>
      <c r="B3" s="140"/>
      <c r="C3" s="140"/>
      <c r="D3" s="140"/>
      <c r="E3" s="140"/>
      <c r="F3" s="140"/>
      <c r="G3" s="140"/>
      <c r="H3" s="140"/>
      <c r="I3" s="140"/>
    </row>
    <row r="4" spans="1:13" ht="15">
      <c r="A4" s="3"/>
      <c r="B4" s="3"/>
      <c r="C4" s="3"/>
      <c r="D4" s="299"/>
      <c r="E4" s="3"/>
      <c r="F4" s="3"/>
      <c r="G4" s="299"/>
      <c r="H4" s="3"/>
      <c r="I4" s="3"/>
      <c r="J4" s="36"/>
      <c r="K4" s="36"/>
    </row>
    <row r="5" spans="1:13" ht="15">
      <c r="A5" s="5"/>
      <c r="B5" s="4" t="s">
        <v>1</v>
      </c>
      <c r="C5" s="4" t="s">
        <v>2</v>
      </c>
      <c r="D5" s="4"/>
      <c r="E5" s="4"/>
      <c r="F5" s="4"/>
      <c r="G5" s="4"/>
      <c r="H5" s="4"/>
      <c r="I5" s="4"/>
    </row>
    <row r="6" spans="1:13" ht="15.75">
      <c r="A6" s="132"/>
      <c r="B6" s="132"/>
      <c r="C6" s="130" t="s">
        <v>78</v>
      </c>
      <c r="D6" s="130"/>
      <c r="E6" s="130"/>
      <c r="F6" s="130"/>
      <c r="G6" s="130"/>
      <c r="H6" s="130"/>
      <c r="I6" s="130"/>
    </row>
    <row r="7" spans="1:13" ht="15.75">
      <c r="A7" s="130" t="s">
        <v>35</v>
      </c>
      <c r="B7" s="132"/>
      <c r="C7" s="130" t="s">
        <v>294</v>
      </c>
      <c r="D7" s="130"/>
      <c r="E7" s="130"/>
      <c r="F7" s="130"/>
      <c r="G7" s="130"/>
      <c r="H7" s="130"/>
      <c r="I7" s="130"/>
    </row>
    <row r="8" spans="1:13" ht="15.75">
      <c r="A8" s="133" t="s">
        <v>36</v>
      </c>
      <c r="B8" s="133" t="s">
        <v>295</v>
      </c>
      <c r="C8" s="134">
        <v>44985</v>
      </c>
    </row>
    <row r="9" spans="1:13" ht="15">
      <c r="A9" s="4">
        <v>1</v>
      </c>
      <c r="B9" s="5" t="s">
        <v>296</v>
      </c>
      <c r="C9" s="293"/>
    </row>
    <row r="10" spans="1:13" ht="15">
      <c r="A10" s="4">
        <f>A9+1</f>
        <v>2</v>
      </c>
      <c r="B10" s="5" t="s">
        <v>304</v>
      </c>
      <c r="C10" s="294">
        <f>RevSum!E38+unbilled!F9-unbilled!F13</f>
        <v>124374136.08478299</v>
      </c>
      <c r="J10" s="212"/>
      <c r="K10" s="58"/>
      <c r="M10" s="58"/>
    </row>
    <row r="11" spans="1:13" ht="15">
      <c r="A11" s="4">
        <f t="shared" ref="A11:A50" si="0">A10+1</f>
        <v>3</v>
      </c>
      <c r="B11" s="5" t="s">
        <v>393</v>
      </c>
      <c r="C11" s="294">
        <f>RevSum!E39+unbilled!F10-unbilled!F14</f>
        <v>24619081.199000001</v>
      </c>
      <c r="J11" s="58"/>
      <c r="K11" s="58"/>
    </row>
    <row r="12" spans="1:13" ht="15">
      <c r="A12" s="4">
        <f t="shared" si="0"/>
        <v>4</v>
      </c>
      <c r="B12" s="5" t="s">
        <v>297</v>
      </c>
      <c r="C12" s="294">
        <f>'dir B'!E30-'dir B'!E15-'dir B'!E22-SUM('dir B'!E26:E28)+'dir C'!E31-'dir C'!E20-SUM('dir C'!E13:E13)</f>
        <v>46298121.763149999</v>
      </c>
    </row>
    <row r="13" spans="1:13" ht="15">
      <c r="A13" s="4">
        <f t="shared" si="0"/>
        <v>5</v>
      </c>
      <c r="B13" s="5" t="s">
        <v>298</v>
      </c>
      <c r="C13" s="294">
        <f>'dir B'!E15+SUM('dir B'!E26:E28)+SUM('dir C'!E13:E13)</f>
        <v>7170494.5018200008</v>
      </c>
    </row>
    <row r="14" spans="1:13" ht="15">
      <c r="A14" s="4">
        <f t="shared" si="0"/>
        <v>6</v>
      </c>
      <c r="B14" s="5" t="s">
        <v>392</v>
      </c>
      <c r="C14" s="294">
        <f>'dir B'!E22+'dir C'!E20</f>
        <v>17847455.029999997</v>
      </c>
    </row>
    <row r="15" spans="1:13" ht="15">
      <c r="A15" s="4">
        <f t="shared" si="0"/>
        <v>7</v>
      </c>
      <c r="B15" s="5" t="s">
        <v>299</v>
      </c>
      <c r="C15" s="294">
        <f>'dir A'!F17</f>
        <v>366193248.08483499</v>
      </c>
      <c r="J15" s="58"/>
      <c r="K15" s="131"/>
    </row>
    <row r="16" spans="1:13" ht="15">
      <c r="A16" s="4">
        <f t="shared" si="0"/>
        <v>8</v>
      </c>
      <c r="B16" s="5" t="s">
        <v>300</v>
      </c>
      <c r="C16" s="294">
        <f>RevSum!E60</f>
        <v>1881578.9420625921</v>
      </c>
      <c r="K16" s="131"/>
    </row>
    <row r="17" spans="1:13" ht="15">
      <c r="A17" s="4">
        <f t="shared" si="0"/>
        <v>9</v>
      </c>
      <c r="B17" s="5" t="s">
        <v>301</v>
      </c>
      <c r="C17" s="20">
        <f>SUM(C10:C16)</f>
        <v>588384115.60565066</v>
      </c>
      <c r="J17" s="212"/>
      <c r="K17" s="131"/>
      <c r="L17" s="209"/>
    </row>
    <row r="18" spans="1:13" ht="15">
      <c r="A18" s="4">
        <f t="shared" si="0"/>
        <v>10</v>
      </c>
      <c r="B18" s="5" t="s">
        <v>302</v>
      </c>
      <c r="C18" s="294"/>
      <c r="J18" s="58"/>
      <c r="K18" s="58"/>
      <c r="L18" s="58"/>
      <c r="M18" s="58"/>
    </row>
    <row r="19" spans="1:13" ht="15">
      <c r="A19" s="4">
        <f t="shared" si="0"/>
        <v>11</v>
      </c>
      <c r="B19" s="5" t="s">
        <v>303</v>
      </c>
      <c r="C19" s="294"/>
    </row>
    <row r="20" spans="1:13" ht="15">
      <c r="A20" s="4">
        <f t="shared" si="0"/>
        <v>12</v>
      </c>
      <c r="B20" s="5" t="s">
        <v>304</v>
      </c>
      <c r="C20" s="294">
        <f>rurpwrcs!E26-rurpwrcs!E24-rurpwrcs!E22</f>
        <v>85212970.761957198</v>
      </c>
      <c r="J20" s="58"/>
    </row>
    <row r="21" spans="1:13" ht="15">
      <c r="A21" s="4">
        <f t="shared" si="0"/>
        <v>13</v>
      </c>
      <c r="B21" s="5" t="s">
        <v>393</v>
      </c>
      <c r="C21" s="294">
        <f>rurpwrcs!E24+rurpwrcs!E22</f>
        <v>24672624.565000001</v>
      </c>
      <c r="D21" s="58">
        <f>C21</f>
        <v>24672624.565000001</v>
      </c>
      <c r="J21" s="58"/>
    </row>
    <row r="22" spans="1:13" ht="15">
      <c r="A22" s="4">
        <f t="shared" si="0"/>
        <v>14</v>
      </c>
      <c r="B22" s="5" t="s">
        <v>297</v>
      </c>
      <c r="C22" s="294">
        <f>'dir B'!E24-'dir B'!E22-SUM('dir B'!E15)+'dir C'!E23-'dir C'!E20-SUM('dir C'!E13:E13)</f>
        <v>45467881.273149997</v>
      </c>
    </row>
    <row r="23" spans="1:13" ht="15">
      <c r="A23" s="4">
        <f t="shared" si="0"/>
        <v>15</v>
      </c>
      <c r="B23" s="5" t="s">
        <v>298</v>
      </c>
      <c r="C23" s="294">
        <f>SUM('dir B'!E15)+SUM('dir C'!E13:E13)</f>
        <v>6956352.9200000009</v>
      </c>
    </row>
    <row r="24" spans="1:13" ht="15">
      <c r="A24" s="4">
        <f t="shared" si="0"/>
        <v>16</v>
      </c>
      <c r="B24" s="5" t="s">
        <v>392</v>
      </c>
      <c r="C24" s="294">
        <f>'dir B'!E22+'dir C'!E20</f>
        <v>17847455.029999997</v>
      </c>
    </row>
    <row r="25" spans="1:13" ht="15">
      <c r="A25" s="4">
        <f t="shared" si="0"/>
        <v>17</v>
      </c>
      <c r="B25" s="5" t="s">
        <v>299</v>
      </c>
      <c r="C25" s="296">
        <f>'dir A'!F10</f>
        <v>365462744.19</v>
      </c>
      <c r="J25" s="58"/>
    </row>
    <row r="26" spans="1:13" ht="15">
      <c r="A26" s="4">
        <f t="shared" si="0"/>
        <v>18</v>
      </c>
      <c r="B26" s="5" t="s">
        <v>32</v>
      </c>
      <c r="C26" s="294">
        <f>SUM(C20:C25)</f>
        <v>545620028.74010718</v>
      </c>
    </row>
    <row r="27" spans="1:13" ht="15">
      <c r="A27" s="4">
        <f t="shared" si="0"/>
        <v>19</v>
      </c>
      <c r="B27" s="5" t="s">
        <v>1145</v>
      </c>
      <c r="C27" s="10">
        <f>rurpwrcs!E27</f>
        <v>172876.85</v>
      </c>
      <c r="K27" s="58"/>
    </row>
    <row r="28" spans="1:13" ht="15">
      <c r="A28" s="4"/>
      <c r="B28" s="5" t="s">
        <v>1146</v>
      </c>
      <c r="C28" s="294">
        <f>rurpwrcs!E28+rurpwrcs!E29+rurpwrcs!E30+rurpwrcs!E31</f>
        <v>53540.569999999992</v>
      </c>
      <c r="D28" s="58">
        <f>C28</f>
        <v>53540.569999999992</v>
      </c>
      <c r="K28" s="58"/>
    </row>
    <row r="29" spans="1:13" ht="15">
      <c r="A29" s="4">
        <f>A27+1</f>
        <v>20</v>
      </c>
      <c r="B29" s="5" t="s">
        <v>305</v>
      </c>
      <c r="C29" s="295">
        <f>SUM(C26-C27-C28)</f>
        <v>545393611.3201071</v>
      </c>
      <c r="D29" s="58">
        <f>D21-D28</f>
        <v>24619083.995000001</v>
      </c>
      <c r="F29" s="155" t="s">
        <v>1170</v>
      </c>
      <c r="K29" s="58"/>
      <c r="M29" s="58"/>
    </row>
    <row r="30" spans="1:13" ht="15">
      <c r="A30" s="4">
        <f t="shared" si="0"/>
        <v>21</v>
      </c>
      <c r="B30" s="5" t="s">
        <v>306</v>
      </c>
      <c r="C30" s="297">
        <f>revpergl!U79</f>
        <v>4785141.66</v>
      </c>
      <c r="K30" s="58"/>
      <c r="L30" s="60"/>
    </row>
    <row r="31" spans="1:13" ht="15">
      <c r="A31" s="4">
        <f t="shared" si="0"/>
        <v>22</v>
      </c>
      <c r="B31" s="5" t="s">
        <v>307</v>
      </c>
      <c r="C31" s="294">
        <f>revpergl!U95</f>
        <v>13503890.710000001</v>
      </c>
      <c r="K31" s="58"/>
    </row>
    <row r="32" spans="1:13" ht="15">
      <c r="A32" s="4">
        <f t="shared" si="0"/>
        <v>23</v>
      </c>
      <c r="B32" s="5" t="s">
        <v>308</v>
      </c>
      <c r="C32" s="294">
        <f>revpergl!U104</f>
        <v>2696145.08</v>
      </c>
      <c r="K32" s="58"/>
    </row>
    <row r="33" spans="1:12" ht="15">
      <c r="A33" s="4">
        <f t="shared" si="0"/>
        <v>24</v>
      </c>
      <c r="B33" s="5" t="s">
        <v>309</v>
      </c>
      <c r="C33" s="294">
        <f>revpergl!U111</f>
        <v>157061.14000000001</v>
      </c>
      <c r="K33" s="58"/>
    </row>
    <row r="34" spans="1:12" ht="15">
      <c r="A34" s="4">
        <f t="shared" si="0"/>
        <v>25</v>
      </c>
      <c r="B34" s="5" t="s">
        <v>288</v>
      </c>
      <c r="C34" s="294"/>
      <c r="K34" s="58"/>
    </row>
    <row r="35" spans="1:12" ht="15">
      <c r="A35" s="4">
        <f t="shared" si="0"/>
        <v>26</v>
      </c>
      <c r="B35" s="5" t="s">
        <v>310</v>
      </c>
      <c r="C35" s="294">
        <f>revpergl!U151</f>
        <v>4412847.37</v>
      </c>
      <c r="J35" s="58"/>
      <c r="K35" s="58"/>
    </row>
    <row r="36" spans="1:12" ht="15">
      <c r="A36" s="4">
        <f t="shared" si="0"/>
        <v>27</v>
      </c>
      <c r="B36" s="5" t="s">
        <v>289</v>
      </c>
      <c r="C36" s="294">
        <f>revpergl!U158</f>
        <v>14515354.779999999</v>
      </c>
      <c r="K36" s="58"/>
    </row>
    <row r="37" spans="1:12" ht="15">
      <c r="A37" s="4">
        <f t="shared" si="0"/>
        <v>28</v>
      </c>
      <c r="B37" s="5" t="s">
        <v>311</v>
      </c>
      <c r="C37" s="294">
        <f>revpergl!U166</f>
        <v>629551.89</v>
      </c>
      <c r="J37" s="58"/>
      <c r="K37" s="58"/>
      <c r="L37" s="58"/>
    </row>
    <row r="38" spans="1:12" ht="15">
      <c r="A38" s="4">
        <f t="shared" si="0"/>
        <v>29</v>
      </c>
      <c r="B38" s="5" t="s">
        <v>312</v>
      </c>
      <c r="C38" s="294">
        <f>revpergl!U173</f>
        <v>3548790.34</v>
      </c>
      <c r="K38" s="58"/>
    </row>
    <row r="39" spans="1:12" ht="15">
      <c r="A39" s="4">
        <f t="shared" si="0"/>
        <v>30</v>
      </c>
      <c r="B39" s="5" t="s">
        <v>313</v>
      </c>
      <c r="C39" s="294">
        <f>revpergl!U191</f>
        <v>40613.379999999997</v>
      </c>
      <c r="K39" s="58"/>
    </row>
    <row r="40" spans="1:12" ht="15">
      <c r="A40" s="4">
        <f t="shared" si="0"/>
        <v>31</v>
      </c>
      <c r="B40" s="5" t="s">
        <v>314</v>
      </c>
      <c r="C40" s="296">
        <f>revpergl!U196</f>
        <v>62546.17</v>
      </c>
      <c r="K40" s="58"/>
    </row>
    <row r="41" spans="1:12" ht="15">
      <c r="A41" s="4">
        <f t="shared" si="0"/>
        <v>32</v>
      </c>
      <c r="B41" s="5" t="s">
        <v>315</v>
      </c>
      <c r="C41" s="296">
        <f>SUM(C30:C40)</f>
        <v>44351942.520000003</v>
      </c>
      <c r="K41" s="58"/>
    </row>
    <row r="42" spans="1:12" ht="15">
      <c r="A42" s="4">
        <f t="shared" si="0"/>
        <v>33</v>
      </c>
      <c r="B42" s="5"/>
      <c r="C42" s="294"/>
    </row>
    <row r="43" spans="1:12" ht="15">
      <c r="A43" s="4">
        <f t="shared" si="0"/>
        <v>34</v>
      </c>
      <c r="B43" s="5" t="s">
        <v>316</v>
      </c>
      <c r="C43" s="296">
        <f>C29+C41</f>
        <v>589745553.84010708</v>
      </c>
    </row>
    <row r="44" spans="1:12" ht="15">
      <c r="A44" s="4">
        <f t="shared" si="0"/>
        <v>35</v>
      </c>
      <c r="B44" s="5"/>
      <c r="C44" s="294"/>
    </row>
    <row r="45" spans="1:12" ht="15">
      <c r="A45" s="4">
        <f t="shared" si="0"/>
        <v>36</v>
      </c>
      <c r="B45" s="5" t="s">
        <v>317</v>
      </c>
      <c r="C45" s="294">
        <f>C17-C43</f>
        <v>-1361438.2344564199</v>
      </c>
      <c r="J45" s="58"/>
      <c r="K45" s="58"/>
    </row>
    <row r="46" spans="1:12" ht="15">
      <c r="A46" s="4">
        <f t="shared" si="0"/>
        <v>37</v>
      </c>
      <c r="B46" s="5" t="s">
        <v>318</v>
      </c>
      <c r="C46" s="294">
        <f>revpergl!U201</f>
        <v>354287.35999999999</v>
      </c>
      <c r="J46" s="58"/>
    </row>
    <row r="47" spans="1:12" ht="15">
      <c r="A47" s="4">
        <f t="shared" si="0"/>
        <v>38</v>
      </c>
      <c r="B47" s="5" t="s">
        <v>319</v>
      </c>
      <c r="C47" s="294">
        <f>revpergl!U215</f>
        <v>158677.66</v>
      </c>
    </row>
    <row r="48" spans="1:12" ht="15">
      <c r="A48" s="4">
        <f t="shared" si="0"/>
        <v>39</v>
      </c>
      <c r="B48" s="5" t="s">
        <v>320</v>
      </c>
      <c r="C48" s="296">
        <f>revpergl!U217</f>
        <v>353951.55</v>
      </c>
    </row>
    <row r="49" spans="1:14" ht="15">
      <c r="A49" s="4">
        <f t="shared" si="0"/>
        <v>40</v>
      </c>
      <c r="B49" s="5"/>
      <c r="C49" s="294"/>
    </row>
    <row r="50" spans="1:14" ht="15.75" thickBot="1">
      <c r="A50" s="4">
        <f t="shared" si="0"/>
        <v>41</v>
      </c>
      <c r="B50" s="5" t="s">
        <v>321</v>
      </c>
      <c r="C50" s="298">
        <f>SUM(C45:C48)</f>
        <v>-494521.66445641994</v>
      </c>
      <c r="J50" s="58"/>
      <c r="K50" s="58"/>
    </row>
    <row r="51" spans="1:14" ht="15.75" thickTop="1">
      <c r="B51" s="300"/>
    </row>
    <row r="52" spans="1:14" ht="15">
      <c r="B52" s="300"/>
      <c r="G52" s="150"/>
      <c r="H52" s="112"/>
      <c r="I52" s="150"/>
    </row>
    <row r="53" spans="1:14">
      <c r="B53" s="155" t="s">
        <v>1141</v>
      </c>
      <c r="G53" s="150"/>
      <c r="I53" s="150"/>
    </row>
    <row r="54" spans="1:14" ht="15">
      <c r="G54" s="151"/>
      <c r="I54" s="151"/>
      <c r="K54" s="85"/>
      <c r="L54" s="25"/>
      <c r="N54" s="58"/>
    </row>
    <row r="55" spans="1:14">
      <c r="G55" s="150"/>
      <c r="I55" s="150"/>
      <c r="N55" s="58"/>
    </row>
    <row r="56" spans="1:14">
      <c r="G56" s="150"/>
      <c r="I56" s="29"/>
    </row>
    <row r="57" spans="1:14">
      <c r="B57" s="16"/>
      <c r="C57" s="150"/>
      <c r="D57" s="150"/>
      <c r="E57" s="150"/>
      <c r="F57" s="150"/>
      <c r="I57" s="29"/>
      <c r="K57" s="112"/>
      <c r="L57" s="58"/>
      <c r="M57" s="112"/>
    </row>
    <row r="58" spans="1:14">
      <c r="B58" s="16"/>
      <c r="C58" s="150"/>
      <c r="D58" s="150"/>
      <c r="E58" s="150"/>
      <c r="F58" s="150"/>
    </row>
    <row r="59" spans="1:14" ht="15">
      <c r="B59" s="16"/>
      <c r="C59" s="151"/>
      <c r="D59" s="151"/>
      <c r="E59" s="151"/>
      <c r="F59" s="151"/>
      <c r="I59" s="29"/>
    </row>
    <row r="60" spans="1:14">
      <c r="B60" s="16"/>
      <c r="C60" s="150"/>
      <c r="D60" s="150"/>
      <c r="E60" s="150"/>
      <c r="F60" s="150"/>
    </row>
    <row r="61" spans="1:14">
      <c r="B61" s="16"/>
      <c r="C61" s="150"/>
      <c r="D61" s="150"/>
      <c r="E61" s="150"/>
      <c r="F61" s="150"/>
      <c r="G61" s="150"/>
      <c r="I61" s="150"/>
      <c r="J61" s="58"/>
    </row>
    <row r="62" spans="1:14">
      <c r="B62" s="16"/>
      <c r="C62" s="150"/>
      <c r="D62" s="150"/>
      <c r="E62" s="150"/>
      <c r="F62" s="150"/>
      <c r="G62" s="150"/>
      <c r="I62" s="150"/>
      <c r="J62" s="30"/>
      <c r="K62" s="29"/>
    </row>
    <row r="63" spans="1:14">
      <c r="B63" s="16"/>
      <c r="C63" s="150"/>
      <c r="D63" s="150"/>
      <c r="E63" s="150"/>
      <c r="F63" s="150"/>
      <c r="G63" s="150"/>
      <c r="I63" s="150"/>
      <c r="J63" s="30"/>
      <c r="K63" s="60"/>
    </row>
    <row r="64" spans="1:14" ht="15">
      <c r="B64" s="16"/>
      <c r="C64" s="150"/>
      <c r="D64" s="150"/>
      <c r="E64" s="151"/>
      <c r="F64" s="150"/>
      <c r="G64" s="151"/>
      <c r="I64" s="150"/>
    </row>
    <row r="65" spans="2:9" ht="15">
      <c r="B65" s="16"/>
      <c r="C65" s="151"/>
      <c r="D65" s="150"/>
      <c r="E65" s="151"/>
      <c r="F65" s="151"/>
      <c r="G65" s="151"/>
      <c r="I65" s="151"/>
    </row>
    <row r="66" spans="2:9" ht="15">
      <c r="B66" s="16"/>
      <c r="C66" s="151"/>
      <c r="D66" s="151"/>
      <c r="E66" s="151"/>
      <c r="F66" s="151"/>
      <c r="G66" s="151"/>
      <c r="I66" s="151"/>
    </row>
    <row r="67" spans="2:9">
      <c r="B67" s="16"/>
      <c r="C67" s="150"/>
      <c r="D67" s="150"/>
      <c r="E67" s="150"/>
      <c r="F67" s="150"/>
      <c r="G67" s="150"/>
      <c r="I67" s="150"/>
    </row>
    <row r="68" spans="2:9">
      <c r="B68" s="16"/>
    </row>
    <row r="69" spans="2:9" ht="15">
      <c r="B69" s="44"/>
      <c r="C69" s="155"/>
      <c r="F69" s="210"/>
      <c r="G69" s="211"/>
      <c r="H69" s="211"/>
      <c r="I69" s="151"/>
    </row>
    <row r="71" spans="2:9">
      <c r="F71" s="152"/>
      <c r="G71" s="16"/>
      <c r="H71" s="16"/>
      <c r="I71" s="152"/>
    </row>
    <row r="73" spans="2:9">
      <c r="I73" s="58"/>
    </row>
    <row r="74" spans="2:9">
      <c r="I74" s="85"/>
    </row>
  </sheetData>
  <pageMargins left="1.2" right="0.45" top="0.25" bottom="1" header="0.3" footer="0.55000000000000004"/>
  <pageSetup scale="59" orientation="landscape" r:id="rId1"/>
  <headerFooter>
    <oddFooter>&amp;C&amp;12Exhibit 5A  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7"/>
  <sheetViews>
    <sheetView topLeftCell="A20" workbookViewId="0">
      <selection activeCell="A3" sqref="A3:J3"/>
    </sheetView>
  </sheetViews>
  <sheetFormatPr defaultColWidth="8.85546875" defaultRowHeight="12.75"/>
  <cols>
    <col min="1" max="1" width="8.85546875" style="155"/>
    <col min="2" max="2" width="45" style="155" customWidth="1"/>
    <col min="3" max="3" width="14.42578125" style="155" bestFit="1" customWidth="1"/>
    <col min="4" max="4" width="14.140625" style="155" bestFit="1" customWidth="1"/>
    <col min="5" max="5" width="17.7109375" style="155" bestFit="1" customWidth="1"/>
    <col min="6" max="6" width="12.28515625" style="155" bestFit="1" customWidth="1"/>
    <col min="7" max="7" width="14.85546875" style="155" customWidth="1"/>
    <col min="8" max="8" width="2" style="155" customWidth="1"/>
    <col min="9" max="9" width="14.85546875" style="155" bestFit="1" customWidth="1"/>
    <col min="10" max="10" width="13.28515625" style="155" bestFit="1" customWidth="1"/>
    <col min="11" max="11" width="13.28515625" style="155" customWidth="1"/>
    <col min="12" max="12" width="19" style="155" bestFit="1" customWidth="1"/>
    <col min="13" max="13" width="14.5703125" style="155" customWidth="1"/>
    <col min="14" max="14" width="16.42578125" style="155" bestFit="1" customWidth="1"/>
    <col min="15" max="15" width="13.42578125" style="155" customWidth="1"/>
    <col min="16" max="18" width="13.42578125" style="155" bestFit="1" customWidth="1"/>
    <col min="19" max="19" width="13.42578125" style="155" customWidth="1"/>
    <col min="20" max="21" width="13.42578125" style="155" bestFit="1" customWidth="1"/>
    <col min="22" max="22" width="13.42578125" style="155" customWidth="1"/>
    <col min="23" max="23" width="13.42578125" style="155" bestFit="1" customWidth="1"/>
    <col min="24" max="24" width="15" style="155" bestFit="1" customWidth="1"/>
    <col min="25" max="25" width="13.42578125" style="155" bestFit="1" customWidth="1"/>
    <col min="26" max="16384" width="8.85546875" style="155"/>
  </cols>
  <sheetData>
    <row r="1" spans="1:25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156"/>
    </row>
    <row r="2" spans="1:25">
      <c r="A2" s="488" t="s">
        <v>1165</v>
      </c>
      <c r="B2" s="488"/>
      <c r="C2" s="488"/>
      <c r="D2" s="488"/>
      <c r="E2" s="488"/>
      <c r="F2" s="488"/>
      <c r="G2" s="488"/>
      <c r="H2" s="488"/>
      <c r="I2" s="488"/>
      <c r="J2" s="488"/>
      <c r="K2" s="156"/>
    </row>
    <row r="3" spans="1:25">
      <c r="A3" s="488" t="s">
        <v>605</v>
      </c>
      <c r="B3" s="488"/>
      <c r="C3" s="488"/>
      <c r="D3" s="488"/>
      <c r="E3" s="488"/>
      <c r="F3" s="488"/>
      <c r="G3" s="488"/>
      <c r="H3" s="488"/>
      <c r="I3" s="488"/>
      <c r="J3" s="488"/>
      <c r="K3" s="156"/>
    </row>
    <row r="5" spans="1:25">
      <c r="B5" s="156" t="s">
        <v>1</v>
      </c>
      <c r="C5" s="156" t="s">
        <v>2</v>
      </c>
      <c r="D5" s="156" t="s">
        <v>3</v>
      </c>
      <c r="E5" s="156" t="s">
        <v>4</v>
      </c>
      <c r="F5"/>
      <c r="G5"/>
      <c r="H5"/>
      <c r="I5"/>
      <c r="J5"/>
      <c r="K5"/>
    </row>
    <row r="6" spans="1:25">
      <c r="A6" s="156" t="s">
        <v>35</v>
      </c>
      <c r="F6"/>
      <c r="G6"/>
      <c r="H6"/>
      <c r="I6"/>
      <c r="J6"/>
      <c r="K6"/>
    </row>
    <row r="7" spans="1:25">
      <c r="A7" s="156" t="s">
        <v>36</v>
      </c>
      <c r="C7" s="489" t="s">
        <v>123</v>
      </c>
      <c r="D7" s="489"/>
      <c r="E7" s="489"/>
      <c r="F7"/>
      <c r="G7"/>
      <c r="H7"/>
      <c r="I7"/>
      <c r="J7"/>
      <c r="K7"/>
    </row>
    <row r="8" spans="1:25">
      <c r="D8" s="160"/>
      <c r="F8"/>
      <c r="G8"/>
      <c r="H8"/>
      <c r="I8"/>
      <c r="J8"/>
      <c r="K8"/>
      <c r="N8" s="331">
        <v>44958</v>
      </c>
      <c r="O8" s="331">
        <v>44927</v>
      </c>
      <c r="P8" s="331">
        <v>44896</v>
      </c>
      <c r="Q8" s="331">
        <v>44866</v>
      </c>
      <c r="R8" s="331">
        <v>44835</v>
      </c>
      <c r="S8" s="331">
        <v>45170</v>
      </c>
      <c r="T8" s="331">
        <v>44774</v>
      </c>
      <c r="U8" s="331">
        <v>44743</v>
      </c>
      <c r="V8" s="331">
        <v>44713</v>
      </c>
      <c r="W8" s="331">
        <v>44682</v>
      </c>
      <c r="X8" s="331">
        <v>44652</v>
      </c>
      <c r="Y8" s="331">
        <v>44621</v>
      </c>
    </row>
    <row r="9" spans="1:25" ht="13.5" thickBot="1">
      <c r="A9" s="156">
        <v>1</v>
      </c>
      <c r="B9" s="16" t="s">
        <v>42</v>
      </c>
      <c r="D9" s="218">
        <v>18.2</v>
      </c>
      <c r="F9"/>
      <c r="G9"/>
      <c r="H9"/>
      <c r="I9"/>
      <c r="J9"/>
      <c r="K9"/>
    </row>
    <row r="10" spans="1:25" ht="13.5" thickTop="1">
      <c r="A10" s="156">
        <f>A9+1</f>
        <v>2</v>
      </c>
      <c r="B10" s="155" t="s">
        <v>616</v>
      </c>
      <c r="C10" s="219">
        <f>SUM(N10:Y10)</f>
        <v>564045</v>
      </c>
      <c r="D10" s="216"/>
      <c r="E10" s="263">
        <f>C10*D9</f>
        <v>10265619</v>
      </c>
      <c r="F10"/>
      <c r="G10"/>
      <c r="H10"/>
      <c r="I10"/>
      <c r="J10"/>
      <c r="K10"/>
      <c r="N10" s="155">
        <f>47008</f>
        <v>47008</v>
      </c>
      <c r="O10" s="155">
        <f>47033-1+11</f>
        <v>47043</v>
      </c>
      <c r="P10" s="155">
        <f>47029+1</f>
        <v>47030</v>
      </c>
      <c r="Q10" s="155">
        <f>47058-5</f>
        <v>47053</v>
      </c>
      <c r="R10" s="155">
        <f>47023</f>
        <v>47023</v>
      </c>
      <c r="S10" s="155">
        <f>47063+2</f>
        <v>47065</v>
      </c>
      <c r="T10" s="155">
        <f>47044-1</f>
        <v>47043</v>
      </c>
      <c r="U10" s="155">
        <f>46968-1</f>
        <v>46967</v>
      </c>
      <c r="V10" s="155">
        <f>46981-3</f>
        <v>46978</v>
      </c>
      <c r="W10" s="155">
        <f>46940+3</f>
        <v>46943</v>
      </c>
      <c r="X10" s="155">
        <v>46976</v>
      </c>
      <c r="Y10" s="155">
        <f>46919-3</f>
        <v>46916</v>
      </c>
    </row>
    <row r="11" spans="1:25">
      <c r="A11" s="156">
        <f t="shared" ref="A11:A58" si="0">A10+1</f>
        <v>3</v>
      </c>
      <c r="B11" s="155" t="s">
        <v>617</v>
      </c>
      <c r="C11" s="219">
        <f>SUM(N11:Y11)</f>
        <v>14</v>
      </c>
      <c r="E11" s="162">
        <f>C11*D9</f>
        <v>254.79999999999998</v>
      </c>
      <c r="F11"/>
      <c r="G11"/>
      <c r="H11"/>
      <c r="I11"/>
      <c r="J11"/>
      <c r="K11"/>
      <c r="O11" s="155">
        <f>25-11</f>
        <v>14</v>
      </c>
      <c r="P11" s="155">
        <f>1-1</f>
        <v>0</v>
      </c>
    </row>
    <row r="12" spans="1:25">
      <c r="A12" s="156">
        <f t="shared" si="0"/>
        <v>4</v>
      </c>
      <c r="B12" s="155" t="s">
        <v>44</v>
      </c>
      <c r="C12" s="219">
        <f>C10+C11</f>
        <v>564059</v>
      </c>
      <c r="D12" s="219"/>
      <c r="F12"/>
      <c r="G12"/>
      <c r="H12"/>
      <c r="I12"/>
      <c r="J12"/>
      <c r="K12"/>
      <c r="L12" s="221"/>
      <c r="N12" s="155">
        <v>44</v>
      </c>
      <c r="O12" s="155">
        <v>124</v>
      </c>
      <c r="P12" s="155">
        <v>128</v>
      </c>
      <c r="Q12" s="155">
        <v>124</v>
      </c>
      <c r="R12" s="155">
        <v>127</v>
      </c>
      <c r="S12" s="155">
        <v>127</v>
      </c>
      <c r="T12" s="155">
        <v>129</v>
      </c>
      <c r="U12" s="155">
        <v>126</v>
      </c>
      <c r="V12" s="155">
        <v>127</v>
      </c>
      <c r="W12" s="155">
        <v>126</v>
      </c>
      <c r="X12" s="155">
        <v>124</v>
      </c>
      <c r="Y12" s="155">
        <v>125</v>
      </c>
    </row>
    <row r="13" spans="1:25">
      <c r="A13" s="156">
        <f t="shared" si="0"/>
        <v>5</v>
      </c>
      <c r="B13" s="155" t="s">
        <v>45</v>
      </c>
      <c r="C13" s="219">
        <f>SUM(N12:Y12)</f>
        <v>1431</v>
      </c>
      <c r="F13"/>
      <c r="G13"/>
      <c r="H13"/>
      <c r="I13"/>
      <c r="J13"/>
      <c r="K13"/>
      <c r="L13" s="162"/>
    </row>
    <row r="14" spans="1:25" ht="13.5" thickBot="1">
      <c r="A14" s="156">
        <f t="shared" si="0"/>
        <v>6</v>
      </c>
      <c r="B14" s="155" t="s">
        <v>46</v>
      </c>
      <c r="C14" s="222">
        <f>C12+C13</f>
        <v>565490</v>
      </c>
      <c r="D14" s="219"/>
      <c r="E14" s="223"/>
      <c r="F14"/>
      <c r="G14"/>
      <c r="H14"/>
      <c r="I14"/>
      <c r="J14"/>
      <c r="K14"/>
      <c r="L14" s="221"/>
    </row>
    <row r="15" spans="1:25" ht="13.5" thickTop="1">
      <c r="A15" s="156">
        <f t="shared" si="0"/>
        <v>7</v>
      </c>
      <c r="F15"/>
      <c r="G15"/>
      <c r="H15"/>
      <c r="I15"/>
      <c r="J15"/>
      <c r="K15"/>
    </row>
    <row r="16" spans="1:25">
      <c r="A16" s="156">
        <f t="shared" si="0"/>
        <v>8</v>
      </c>
      <c r="B16" s="16" t="s">
        <v>47</v>
      </c>
      <c r="E16" s="163"/>
      <c r="F16"/>
      <c r="G16"/>
      <c r="H16"/>
      <c r="I16"/>
      <c r="J16"/>
      <c r="K16"/>
      <c r="P16" s="155">
        <f>1470-1470</f>
        <v>0</v>
      </c>
    </row>
    <row r="17" spans="1:26" ht="13.5" thickBot="1">
      <c r="A17" s="156">
        <f t="shared" si="0"/>
        <v>9</v>
      </c>
      <c r="B17" s="155" t="s">
        <v>618</v>
      </c>
      <c r="C17" s="219">
        <f>SUM(N17:Y17)</f>
        <v>679335381</v>
      </c>
      <c r="D17" s="224">
        <v>0.107543</v>
      </c>
      <c r="E17" s="163">
        <f>C17*D17</f>
        <v>73057764.878883004</v>
      </c>
      <c r="F17"/>
      <c r="G17"/>
      <c r="H17"/>
      <c r="I17"/>
      <c r="J17"/>
      <c r="K17"/>
      <c r="N17" s="155">
        <f>63385292+166</f>
        <v>63385458</v>
      </c>
      <c r="O17" s="155">
        <f>69392822+337-337+15724</f>
        <v>69408546</v>
      </c>
      <c r="P17" s="155">
        <f>56163416+2850+178+182</f>
        <v>56166626</v>
      </c>
      <c r="Q17" s="155">
        <f>40394421+59</f>
        <v>40394480</v>
      </c>
      <c r="R17" s="155">
        <f>45593016-8331</f>
        <v>45584685</v>
      </c>
      <c r="S17" s="155">
        <f>63810576-496</f>
        <v>63810080</v>
      </c>
      <c r="T17" s="155">
        <f>73265995-363</f>
        <v>73265632</v>
      </c>
      <c r="U17" s="155">
        <f>69189354+519</f>
        <v>69189873</v>
      </c>
      <c r="V17" s="155">
        <f>52578730+956</f>
        <v>52579686</v>
      </c>
      <c r="W17" s="155">
        <f>40938004-487</f>
        <v>40937517</v>
      </c>
      <c r="X17" s="155">
        <f>47592381-3108</f>
        <v>47589273</v>
      </c>
      <c r="Y17" s="155">
        <f>57022431+1094</f>
        <v>57023525</v>
      </c>
    </row>
    <row r="18" spans="1:26" ht="13.5" thickTop="1">
      <c r="A18" s="156">
        <f t="shared" si="0"/>
        <v>10</v>
      </c>
      <c r="B18" s="155" t="s">
        <v>627</v>
      </c>
      <c r="C18" s="219">
        <f t="shared" ref="C18:C21" si="1">SUM(N18:Y18)</f>
        <v>4850</v>
      </c>
      <c r="D18" s="237">
        <v>0.102038</v>
      </c>
      <c r="E18" s="163">
        <f>C18*D18</f>
        <v>494.8843</v>
      </c>
      <c r="F18"/>
      <c r="G18"/>
      <c r="H18"/>
      <c r="I18"/>
      <c r="J18"/>
      <c r="K18"/>
      <c r="O18" s="155">
        <f>4850</f>
        <v>4850</v>
      </c>
    </row>
    <row r="19" spans="1:26">
      <c r="A19" s="156">
        <f t="shared" si="0"/>
        <v>11</v>
      </c>
      <c r="B19" s="155" t="s">
        <v>627</v>
      </c>
      <c r="C19" s="219">
        <f t="shared" si="1"/>
        <v>1689</v>
      </c>
      <c r="D19" s="237">
        <v>0.10552499999999999</v>
      </c>
      <c r="E19" s="163">
        <f>C19*D19</f>
        <v>178.23172499999998</v>
      </c>
      <c r="F19"/>
      <c r="G19"/>
      <c r="H19"/>
      <c r="I19"/>
      <c r="J19"/>
      <c r="K19"/>
      <c r="O19" s="155">
        <f>1689</f>
        <v>1689</v>
      </c>
      <c r="W19" s="169"/>
    </row>
    <row r="20" spans="1:26">
      <c r="A20" s="156"/>
      <c r="B20" s="155" t="s">
        <v>627</v>
      </c>
      <c r="C20" s="219">
        <f t="shared" si="1"/>
        <v>7653</v>
      </c>
      <c r="D20" s="237">
        <v>0.107543</v>
      </c>
      <c r="E20" s="163">
        <f>C20*D20</f>
        <v>823.02657899999997</v>
      </c>
      <c r="F20"/>
      <c r="G20"/>
      <c r="H20"/>
      <c r="I20"/>
      <c r="J20"/>
      <c r="K20"/>
      <c r="O20" s="155">
        <f>23222-182-23222+7835</f>
        <v>7653</v>
      </c>
    </row>
    <row r="21" spans="1:26">
      <c r="A21" s="156"/>
      <c r="B21" s="155" t="s">
        <v>643</v>
      </c>
      <c r="C21" s="219">
        <f t="shared" si="1"/>
        <v>-600114</v>
      </c>
      <c r="D21" s="237">
        <f>64198.56/600114</f>
        <v>0.10697727431787959</v>
      </c>
      <c r="E21" s="163">
        <f>C21*D21</f>
        <v>-64198.559999999998</v>
      </c>
      <c r="F21"/>
      <c r="G21"/>
      <c r="H21"/>
      <c r="I21"/>
      <c r="J21"/>
      <c r="K21"/>
      <c r="N21" s="155">
        <v>-600114</v>
      </c>
    </row>
    <row r="22" spans="1:26" ht="13.5" thickBot="1">
      <c r="A22" s="156">
        <f>A19+1</f>
        <v>12</v>
      </c>
      <c r="B22" s="155" t="s">
        <v>127</v>
      </c>
      <c r="C22" s="226">
        <f>SUM(C17:C21)</f>
        <v>678749459</v>
      </c>
      <c r="E22" s="380">
        <f>SUM(E17:E21)</f>
        <v>72995062.461486995</v>
      </c>
      <c r="F22"/>
      <c r="G22"/>
      <c r="H22"/>
      <c r="I22"/>
      <c r="J22"/>
      <c r="K22"/>
      <c r="L22" s="161"/>
    </row>
    <row r="23" spans="1:26" ht="15.75" thickTop="1">
      <c r="A23" s="156">
        <f t="shared" si="0"/>
        <v>13</v>
      </c>
      <c r="B23" s="384" t="s">
        <v>644</v>
      </c>
      <c r="C23" s="219"/>
      <c r="F23" s="216"/>
      <c r="G23" s="219"/>
      <c r="H23" s="216"/>
      <c r="J23" s="171"/>
      <c r="K23" s="171"/>
    </row>
    <row r="24" spans="1:26" ht="15">
      <c r="A24" s="156">
        <f t="shared" si="0"/>
        <v>14</v>
      </c>
      <c r="B24" s="383"/>
      <c r="C24" s="219"/>
      <c r="F24" s="216"/>
      <c r="G24" s="219"/>
      <c r="H24" s="219"/>
      <c r="J24" s="171"/>
      <c r="K24" s="171"/>
    </row>
    <row r="25" spans="1:26">
      <c r="A25" s="156">
        <f t="shared" si="0"/>
        <v>15</v>
      </c>
      <c r="B25" s="170" t="s">
        <v>628</v>
      </c>
      <c r="C25" s="369"/>
      <c r="D25" s="228">
        <f>E25/C22</f>
        <v>2.0089674458215662E-2</v>
      </c>
      <c r="E25" s="158">
        <f>SUM(N25:Y25)</f>
        <v>13635855.669999998</v>
      </c>
      <c r="F25" s="216"/>
      <c r="G25"/>
      <c r="H25"/>
      <c r="I25"/>
      <c r="J25"/>
      <c r="K25"/>
      <c r="L25"/>
      <c r="M25" s="162"/>
      <c r="N25" s="155">
        <f>951396.28+6.28</f>
        <v>951402.56</v>
      </c>
      <c r="O25" s="155">
        <f>2169136.15+10.5-10.5+382.65</f>
        <v>2169518.7999999998</v>
      </c>
      <c r="P25" s="155">
        <f>2152810.67+123.94</f>
        <v>2152934.61</v>
      </c>
      <c r="Q25" s="155">
        <f>1561477.86-1.11</f>
        <v>1561476.75</v>
      </c>
      <c r="R25" s="155">
        <f>1030771.7-185.27</f>
        <v>1030586.4299999999</v>
      </c>
      <c r="S25" s="155">
        <f>1052483.7-1.03</f>
        <v>1052482.67</v>
      </c>
      <c r="T25" s="155">
        <f>-0.95+263067.14</f>
        <v>263066.19</v>
      </c>
      <c r="U25" s="155">
        <f>1496136.83+10.59</f>
        <v>1496147.4200000002</v>
      </c>
      <c r="V25" s="155">
        <f>969437.21+16.49</f>
        <v>969453.7</v>
      </c>
      <c r="W25" s="155">
        <f>960201.11-10.68</f>
        <v>960190.42999999993</v>
      </c>
      <c r="X25" s="155">
        <f>483139.09-31.43</f>
        <v>483107.66000000003</v>
      </c>
      <c r="Y25" s="155">
        <f>545481.37+7.08</f>
        <v>545488.44999999995</v>
      </c>
      <c r="Z25" s="162"/>
    </row>
    <row r="26" spans="1:26">
      <c r="A26" s="156"/>
      <c r="B26" s="170" t="s">
        <v>622</v>
      </c>
      <c r="C26" s="369"/>
      <c r="D26" s="228"/>
      <c r="E26" s="158">
        <f>SUM(N26:Y26)</f>
        <v>-9.91</v>
      </c>
      <c r="F26" s="216"/>
      <c r="G26"/>
      <c r="H26"/>
      <c r="I26"/>
      <c r="J26"/>
      <c r="K26"/>
      <c r="L26"/>
      <c r="M26" s="162"/>
      <c r="O26" s="155">
        <f>362.24-362.24-9.91</f>
        <v>-9.91</v>
      </c>
      <c r="Q26" s="162"/>
      <c r="Z26" s="162"/>
    </row>
    <row r="27" spans="1:26">
      <c r="A27" s="156"/>
      <c r="B27" s="155" t="s">
        <v>640</v>
      </c>
      <c r="C27" s="369"/>
      <c r="D27" s="228"/>
      <c r="E27" s="158">
        <f t="shared" ref="E27:E36" si="2">SUM(N27:Y27)</f>
        <v>-9003.31</v>
      </c>
      <c r="F27" s="216"/>
      <c r="G27"/>
      <c r="H27"/>
      <c r="I27"/>
      <c r="J27"/>
      <c r="K27"/>
      <c r="L27"/>
      <c r="M27" s="162"/>
      <c r="N27" s="155">
        <v>-9003.31</v>
      </c>
      <c r="Q27" s="162"/>
      <c r="Z27" s="162"/>
    </row>
    <row r="28" spans="1:26">
      <c r="A28" s="156">
        <f>A25+1</f>
        <v>16</v>
      </c>
      <c r="B28" s="170" t="s">
        <v>619</v>
      </c>
      <c r="C28" s="369"/>
      <c r="D28" s="228">
        <f>E28/C22</f>
        <v>5.4582906709911647E-3</v>
      </c>
      <c r="E28" s="158">
        <f t="shared" ref="E28:E34" si="3">SUM(N28:Y28)</f>
        <v>3704811.84</v>
      </c>
      <c r="F28" s="216"/>
      <c r="G28"/>
      <c r="H28"/>
      <c r="I28"/>
      <c r="J28"/>
      <c r="K28"/>
      <c r="L28"/>
      <c r="M28" s="162"/>
      <c r="N28" s="155">
        <f>228637.34+0.74</f>
        <v>228638.07999999999</v>
      </c>
      <c r="O28" s="155">
        <f>305897.87+1.48-1.48+91.06</f>
        <v>305988.93</v>
      </c>
      <c r="P28" s="155">
        <f>354237.76+18.1</f>
        <v>354255.86</v>
      </c>
      <c r="Q28" s="162">
        <f>180717.52+0.26</f>
        <v>180717.78</v>
      </c>
      <c r="R28" s="162">
        <f>199268.8-35.96</f>
        <v>199232.84</v>
      </c>
      <c r="S28" s="162">
        <f>221518.78-2.3</f>
        <v>221516.48</v>
      </c>
      <c r="T28" s="162">
        <f>-1.61+331792.05</f>
        <v>331790.44</v>
      </c>
      <c r="U28" s="155">
        <f>373816.47+3.57</f>
        <v>373820.04</v>
      </c>
      <c r="V28" s="155">
        <f>420971.91+7.69</f>
        <v>420979.6</v>
      </c>
      <c r="W28" s="162">
        <f>327729.64-3.88</f>
        <v>327725.76</v>
      </c>
      <c r="X28" s="162">
        <f>355689.9-23.15</f>
        <v>355666.75</v>
      </c>
      <c r="Y28" s="155">
        <f>404470.71+8.57</f>
        <v>404479.28</v>
      </c>
      <c r="Z28" s="162"/>
    </row>
    <row r="29" spans="1:26">
      <c r="A29" s="156">
        <f t="shared" si="0"/>
        <v>17</v>
      </c>
      <c r="B29" s="170" t="s">
        <v>623</v>
      </c>
      <c r="C29" s="369"/>
      <c r="D29" s="228"/>
      <c r="E29" s="158">
        <f t="shared" si="3"/>
        <v>96.69</v>
      </c>
      <c r="F29" s="216"/>
      <c r="G29"/>
      <c r="H29"/>
      <c r="I29"/>
      <c r="J29"/>
      <c r="K29"/>
      <c r="L29"/>
      <c r="M29" s="162"/>
      <c r="O29" s="155">
        <f>186.27-186.27+96.69</f>
        <v>96.69</v>
      </c>
      <c r="Q29" s="162"/>
      <c r="R29" s="162"/>
      <c r="S29" s="162"/>
      <c r="T29" s="162"/>
      <c r="W29" s="162"/>
      <c r="X29" s="162"/>
      <c r="Z29" s="162"/>
    </row>
    <row r="30" spans="1:26">
      <c r="A30" s="156"/>
      <c r="B30" s="155" t="s">
        <v>640</v>
      </c>
      <c r="C30" s="369"/>
      <c r="D30" s="228"/>
      <c r="E30" s="158">
        <f t="shared" si="3"/>
        <v>-3640.98</v>
      </c>
      <c r="F30" s="216"/>
      <c r="G30"/>
      <c r="H30"/>
      <c r="I30"/>
      <c r="J30"/>
      <c r="K30"/>
      <c r="L30"/>
      <c r="M30" s="162"/>
      <c r="N30" s="155">
        <v>-3640.98</v>
      </c>
      <c r="Z30" s="162"/>
    </row>
    <row r="31" spans="1:26">
      <c r="A31" s="156">
        <f>A29+1</f>
        <v>18</v>
      </c>
      <c r="B31" s="170" t="s">
        <v>620</v>
      </c>
      <c r="C31" s="369"/>
      <c r="D31" s="228">
        <f>E31/C22</f>
        <v>-6.6773137273321926E-3</v>
      </c>
      <c r="E31" s="158">
        <f t="shared" si="3"/>
        <v>-4532223.0799999991</v>
      </c>
      <c r="F31" s="216"/>
      <c r="G31"/>
      <c r="H31"/>
      <c r="I31"/>
      <c r="J31"/>
      <c r="K31"/>
      <c r="L31"/>
      <c r="M31" s="162"/>
      <c r="N31" s="155">
        <f>-257617.02-1.71</f>
        <v>-257618.72999999998</v>
      </c>
      <c r="O31" s="155">
        <f>-594695.15-2.89+2.89-121.61</f>
        <v>-594816.76</v>
      </c>
      <c r="P31" s="155">
        <f>-594007.33-30.59</f>
        <v>-594037.91999999993</v>
      </c>
      <c r="Q31" s="162">
        <f>-310378.57+0.1</f>
        <v>-310378.47000000003</v>
      </c>
      <c r="R31" s="162">
        <f>-237034.1+42.39</f>
        <v>-236991.71</v>
      </c>
      <c r="S31" s="162">
        <f>-213004.83+2.39</f>
        <v>-213002.43999999997</v>
      </c>
      <c r="T31" s="162">
        <f>1.59-339690.35</f>
        <v>-339688.75999999995</v>
      </c>
      <c r="U31" s="155">
        <f>-600454.02-4.76</f>
        <v>-600458.78</v>
      </c>
      <c r="V31" s="155">
        <f>-511550.05-9.43</f>
        <v>-511559.48</v>
      </c>
      <c r="W31" s="162">
        <f>-373342.07+4.16</f>
        <v>-373337.91000000003</v>
      </c>
      <c r="X31" s="162">
        <f>-232674.25+15.14</f>
        <v>-232659.11</v>
      </c>
      <c r="Y31" s="155">
        <f>-267668.06-4.95</f>
        <v>-267673.01</v>
      </c>
      <c r="Z31" s="162"/>
    </row>
    <row r="32" spans="1:26">
      <c r="A32" s="156">
        <f t="shared" si="0"/>
        <v>19</v>
      </c>
      <c r="B32" s="170" t="s">
        <v>624</v>
      </c>
      <c r="C32" s="369"/>
      <c r="D32" s="228"/>
      <c r="E32" s="158">
        <f t="shared" si="3"/>
        <v>-69.91</v>
      </c>
      <c r="F32" s="216"/>
      <c r="G32"/>
      <c r="H32"/>
      <c r="I32"/>
      <c r="J32"/>
      <c r="K32"/>
      <c r="L32"/>
      <c r="M32" s="162"/>
      <c r="O32" s="155">
        <f>-188.63+188.63-69.91</f>
        <v>-69.91</v>
      </c>
      <c r="Q32" s="162"/>
      <c r="R32" s="162"/>
      <c r="S32" s="162"/>
      <c r="T32" s="162"/>
      <c r="W32" s="162"/>
      <c r="X32" s="162"/>
      <c r="Z32" s="162"/>
    </row>
    <row r="33" spans="1:26">
      <c r="A33" s="156"/>
      <c r="B33" s="155" t="s">
        <v>640</v>
      </c>
      <c r="C33" s="369"/>
      <c r="D33" s="228"/>
      <c r="E33" s="158">
        <f t="shared" si="3"/>
        <v>3811.26</v>
      </c>
      <c r="F33" s="216"/>
      <c r="G33"/>
      <c r="H33"/>
      <c r="I33"/>
      <c r="J33"/>
      <c r="K33"/>
      <c r="L33"/>
      <c r="M33" s="162"/>
      <c r="N33" s="155">
        <v>3811.26</v>
      </c>
      <c r="Z33" s="162"/>
    </row>
    <row r="34" spans="1:26">
      <c r="A34" s="156">
        <f>A32+1</f>
        <v>20</v>
      </c>
      <c r="B34" s="170" t="s">
        <v>621</v>
      </c>
      <c r="C34" s="369"/>
      <c r="D34" s="207">
        <f>E34/C22</f>
        <v>3.8831963179509509E-3</v>
      </c>
      <c r="E34" s="158">
        <f t="shared" si="3"/>
        <v>2635717.4</v>
      </c>
      <c r="F34" s="216"/>
      <c r="G34"/>
      <c r="H34"/>
      <c r="I34"/>
      <c r="J34"/>
      <c r="K34"/>
      <c r="L34"/>
      <c r="M34" s="162"/>
      <c r="N34" s="155">
        <f>331155.77+1.37</f>
        <v>331157.14</v>
      </c>
      <c r="O34" s="155">
        <f>515116.23+2.49-2.49+67.32</f>
        <v>515183.55</v>
      </c>
      <c r="P34" s="155">
        <f>399372.27+22.21</f>
        <v>399394.48000000004</v>
      </c>
      <c r="Q34" s="162">
        <f>265233.99-0.5</f>
        <v>265233.49</v>
      </c>
      <c r="R34" s="162">
        <f>106248.55-19.19</f>
        <v>106229.36</v>
      </c>
      <c r="S34" s="162">
        <f>122790.64-1.12</f>
        <v>122789.52</v>
      </c>
      <c r="T34" s="162">
        <f>0.72+155536.23</f>
        <v>155536.95000000001</v>
      </c>
      <c r="U34" s="155">
        <f>208205.38+1.61</f>
        <v>208206.99</v>
      </c>
      <c r="V34" s="155">
        <f>161852.79+2.87</f>
        <v>161855.66</v>
      </c>
      <c r="W34" s="162">
        <f>141801.2-1.6</f>
        <v>141799.6</v>
      </c>
      <c r="X34" s="162">
        <f>90454.32-6.02</f>
        <v>90448.3</v>
      </c>
      <c r="Y34" s="155">
        <f>137879.31+3.05</f>
        <v>137882.35999999999</v>
      </c>
      <c r="Z34" s="162"/>
    </row>
    <row r="35" spans="1:26">
      <c r="A35" s="156"/>
      <c r="B35" s="170" t="s">
        <v>625</v>
      </c>
      <c r="C35" s="369"/>
      <c r="D35" s="207"/>
      <c r="E35" s="158">
        <f t="shared" si="2"/>
        <v>28.61</v>
      </c>
      <c r="F35" s="216"/>
      <c r="G35"/>
      <c r="H35"/>
      <c r="I35"/>
      <c r="J35"/>
      <c r="K35"/>
      <c r="L35"/>
      <c r="M35" s="162"/>
      <c r="O35" s="155">
        <f>93.44-93.44+28.61</f>
        <v>28.61</v>
      </c>
      <c r="Q35" s="162"/>
      <c r="R35" s="162"/>
      <c r="T35" s="162"/>
      <c r="U35" s="162"/>
      <c r="V35" s="162"/>
      <c r="W35" s="162"/>
      <c r="X35" s="162"/>
      <c r="Y35" s="162"/>
      <c r="Z35" s="162"/>
    </row>
    <row r="36" spans="1:26">
      <c r="A36" s="156"/>
      <c r="B36" s="155" t="s">
        <v>640</v>
      </c>
      <c r="C36" s="369"/>
      <c r="D36" s="207"/>
      <c r="E36" s="158">
        <f t="shared" si="2"/>
        <v>-1940.98</v>
      </c>
      <c r="F36" s="216"/>
      <c r="G36"/>
      <c r="H36"/>
      <c r="I36"/>
      <c r="J36"/>
      <c r="K36"/>
      <c r="L36"/>
      <c r="M36" s="162"/>
      <c r="N36" s="155">
        <v>-1940.98</v>
      </c>
      <c r="Q36" s="162"/>
      <c r="R36" s="162"/>
      <c r="T36" s="162"/>
      <c r="U36" s="162"/>
      <c r="V36" s="162"/>
      <c r="W36" s="162"/>
      <c r="X36" s="162"/>
      <c r="Y36" s="162"/>
      <c r="Z36" s="162"/>
    </row>
    <row r="37" spans="1:26">
      <c r="A37" s="156">
        <f>A34+1</f>
        <v>21</v>
      </c>
      <c r="B37" s="217" t="s">
        <v>364</v>
      </c>
      <c r="C37" s="370"/>
      <c r="D37" s="207">
        <f>E37/C22</f>
        <v>2.2738041401518083E-2</v>
      </c>
      <c r="E37" s="161">
        <f>SUM(E25:E36)</f>
        <v>15433433.300000001</v>
      </c>
      <c r="G37"/>
      <c r="H37"/>
      <c r="I37"/>
      <c r="J37"/>
      <c r="K37"/>
      <c r="L37"/>
      <c r="W37" s="162"/>
    </row>
    <row r="38" spans="1:26">
      <c r="A38" s="156">
        <f t="shared" si="0"/>
        <v>22</v>
      </c>
      <c r="B38" s="217"/>
      <c r="C38" s="219"/>
      <c r="D38" s="228"/>
      <c r="E38" s="161"/>
      <c r="G38"/>
      <c r="H38"/>
      <c r="I38"/>
      <c r="J38"/>
      <c r="K38"/>
      <c r="L38"/>
    </row>
    <row r="39" spans="1:26">
      <c r="A39" s="156">
        <f t="shared" si="0"/>
        <v>23</v>
      </c>
      <c r="B39" s="155" t="s">
        <v>361</v>
      </c>
      <c r="E39" s="161">
        <f>E10+E11+E22+E37</f>
        <v>98694369.561486989</v>
      </c>
      <c r="G39"/>
      <c r="H39"/>
      <c r="I39"/>
      <c r="J39"/>
      <c r="K39"/>
      <c r="L39"/>
    </row>
    <row r="40" spans="1:26">
      <c r="A40" s="156">
        <f t="shared" si="0"/>
        <v>24</v>
      </c>
      <c r="B40" s="155" t="s">
        <v>62</v>
      </c>
      <c r="E40" s="167">
        <f>SUM(N40:Y40)</f>
        <v>0</v>
      </c>
      <c r="G40"/>
      <c r="H40"/>
      <c r="I40"/>
      <c r="J40"/>
      <c r="K40"/>
      <c r="L40"/>
    </row>
    <row r="41" spans="1:26" ht="13.5" thickBot="1">
      <c r="A41" s="156">
        <f t="shared" si="0"/>
        <v>25</v>
      </c>
      <c r="B41" s="155" t="s">
        <v>49</v>
      </c>
      <c r="E41" s="231">
        <f>SUM(E39:E40)+E16</f>
        <v>98694369.561486989</v>
      </c>
      <c r="G41"/>
      <c r="H41"/>
      <c r="I41"/>
      <c r="J41"/>
      <c r="K41"/>
      <c r="L41"/>
    </row>
    <row r="42" spans="1:26" ht="13.5" thickTop="1">
      <c r="A42" s="156">
        <f t="shared" si="0"/>
        <v>26</v>
      </c>
      <c r="D42" s="156"/>
      <c r="E42" s="171"/>
      <c r="G42"/>
      <c r="H42"/>
      <c r="I42"/>
      <c r="J42"/>
      <c r="K42"/>
      <c r="L42"/>
    </row>
    <row r="43" spans="1:26">
      <c r="A43" s="156">
        <f t="shared" si="0"/>
        <v>27</v>
      </c>
      <c r="C43" s="216"/>
      <c r="E43" s="379"/>
      <c r="G43"/>
      <c r="H43"/>
      <c r="I43"/>
      <c r="J43"/>
      <c r="K43"/>
      <c r="L43"/>
    </row>
    <row r="44" spans="1:26">
      <c r="A44" s="156">
        <f t="shared" si="0"/>
        <v>28</v>
      </c>
      <c r="C44" s="216"/>
      <c r="H44" s="223"/>
    </row>
    <row r="45" spans="1:26">
      <c r="A45" s="156">
        <f t="shared" si="0"/>
        <v>29</v>
      </c>
      <c r="C45" s="216"/>
      <c r="D45" s="169"/>
      <c r="J45" s="221"/>
      <c r="K45" s="170" t="s">
        <v>351</v>
      </c>
      <c r="M45" s="357"/>
      <c r="N45" s="357">
        <f>N25/SUM(N$17)</f>
        <v>1.5009792309144473E-2</v>
      </c>
      <c r="O45" s="357">
        <f t="shared" ref="O45:Y45" si="4">O25/SUM(O$17)</f>
        <v>3.1257228756816198E-2</v>
      </c>
      <c r="P45" s="357">
        <f t="shared" si="4"/>
        <v>3.8331207753159319E-2</v>
      </c>
      <c r="Q45" s="357">
        <f t="shared" si="4"/>
        <v>3.8655696273352198E-2</v>
      </c>
      <c r="R45" s="357">
        <f t="shared" si="4"/>
        <v>2.2608172679047796E-2</v>
      </c>
      <c r="S45" s="357">
        <f t="shared" si="4"/>
        <v>1.6493987627033219E-2</v>
      </c>
      <c r="T45" s="357">
        <f t="shared" si="4"/>
        <v>3.5905810516996565E-3</v>
      </c>
      <c r="U45" s="357">
        <f t="shared" si="4"/>
        <v>2.1623791967359154E-2</v>
      </c>
      <c r="V45" s="357">
        <f t="shared" si="4"/>
        <v>1.8437799343267284E-2</v>
      </c>
      <c r="W45" s="357">
        <f t="shared" si="4"/>
        <v>2.3455023664478721E-2</v>
      </c>
      <c r="X45" s="357">
        <f t="shared" si="4"/>
        <v>1.0151608325682975E-2</v>
      </c>
      <c r="Y45" s="357">
        <f t="shared" si="4"/>
        <v>9.5660247240064514E-3</v>
      </c>
    </row>
    <row r="46" spans="1:26">
      <c r="A46" s="156">
        <f t="shared" si="0"/>
        <v>30</v>
      </c>
      <c r="C46"/>
      <c r="D46" s="169"/>
      <c r="K46" s="170" t="s">
        <v>352</v>
      </c>
      <c r="M46" s="357"/>
      <c r="N46" s="357">
        <f>N28/SUM(N$17)</f>
        <v>3.6071062230078072E-3</v>
      </c>
      <c r="O46" s="357">
        <f t="shared" ref="O46:Y46" si="5">O28/SUM(O$17)</f>
        <v>4.4085195215009974E-3</v>
      </c>
      <c r="P46" s="357">
        <f t="shared" si="5"/>
        <v>6.3072305607247978E-3</v>
      </c>
      <c r="Q46" s="357">
        <f t="shared" si="5"/>
        <v>4.4738236511523352E-3</v>
      </c>
      <c r="R46" s="357">
        <f t="shared" si="5"/>
        <v>4.3706091201463826E-3</v>
      </c>
      <c r="S46" s="357">
        <f t="shared" si="5"/>
        <v>3.471496666357416E-3</v>
      </c>
      <c r="T46" s="357">
        <f t="shared" si="5"/>
        <v>4.5285958906353257E-3</v>
      </c>
      <c r="U46" s="357">
        <f t="shared" si="5"/>
        <v>5.4028143685131494E-3</v>
      </c>
      <c r="V46" s="357">
        <f t="shared" si="5"/>
        <v>8.0065065432304017E-3</v>
      </c>
      <c r="W46" s="357">
        <f t="shared" si="5"/>
        <v>8.0055114236654845E-3</v>
      </c>
      <c r="X46" s="357">
        <f t="shared" si="5"/>
        <v>7.4736747922163043E-3</v>
      </c>
      <c r="Y46" s="357">
        <f t="shared" si="5"/>
        <v>7.0932002186816761E-3</v>
      </c>
    </row>
    <row r="47" spans="1:26">
      <c r="A47" s="156">
        <f t="shared" si="0"/>
        <v>31</v>
      </c>
      <c r="C47" s="216"/>
      <c r="D47" s="169"/>
      <c r="H47" s="161"/>
      <c r="I47" s="223"/>
      <c r="J47" s="233"/>
      <c r="K47" s="170" t="s">
        <v>353</v>
      </c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</row>
    <row r="48" spans="1:26">
      <c r="A48" s="156">
        <f t="shared" si="0"/>
        <v>32</v>
      </c>
      <c r="C48" s="216"/>
      <c r="D48" s="169"/>
      <c r="H48" s="223"/>
      <c r="I48" s="223"/>
      <c r="K48" s="170" t="s">
        <v>355</v>
      </c>
      <c r="M48" s="357"/>
      <c r="N48" s="357">
        <f>N31/SUM(N$17)</f>
        <v>-4.0643191376798123E-3</v>
      </c>
      <c r="O48" s="357">
        <f t="shared" ref="O48:Y48" si="6">O31/SUM(O$17)</f>
        <v>-8.5697913913943685E-3</v>
      </c>
      <c r="P48" s="357">
        <f t="shared" si="6"/>
        <v>-1.0576350446971836E-2</v>
      </c>
      <c r="Q48" s="357">
        <f t="shared" si="6"/>
        <v>-7.683685246102934E-3</v>
      </c>
      <c r="R48" s="357">
        <f t="shared" si="6"/>
        <v>-5.1989327117210526E-3</v>
      </c>
      <c r="S48" s="357">
        <f t="shared" si="6"/>
        <v>-3.3380688442954465E-3</v>
      </c>
      <c r="T48" s="357">
        <f t="shared" si="6"/>
        <v>-4.6363997788212621E-3</v>
      </c>
      <c r="U48" s="357">
        <f t="shared" si="6"/>
        <v>-8.6784200340995002E-3</v>
      </c>
      <c r="V48" s="357">
        <f t="shared" si="6"/>
        <v>-9.7292228028900748E-3</v>
      </c>
      <c r="W48" s="357">
        <f t="shared" si="6"/>
        <v>-9.1197008846432975E-3</v>
      </c>
      <c r="X48" s="357">
        <f t="shared" si="6"/>
        <v>-4.8888981766962479E-3</v>
      </c>
      <c r="Y48" s="357">
        <f t="shared" si="6"/>
        <v>-4.6940803817371868E-3</v>
      </c>
    </row>
    <row r="49" spans="1:25">
      <c r="A49" s="156">
        <f t="shared" si="0"/>
        <v>33</v>
      </c>
      <c r="C49" s="216"/>
      <c r="D49" s="169"/>
      <c r="K49" s="170" t="s">
        <v>356</v>
      </c>
      <c r="M49" s="357"/>
    </row>
    <row r="50" spans="1:25">
      <c r="A50" s="156">
        <f t="shared" si="0"/>
        <v>34</v>
      </c>
      <c r="C50" s="216"/>
      <c r="K50" s="170" t="s">
        <v>354</v>
      </c>
      <c r="M50" s="357"/>
      <c r="N50" s="357">
        <f t="shared" ref="N50:Y50" si="7">N34/SUM(N$17)</f>
        <v>5.2244970762852262E-3</v>
      </c>
      <c r="O50" s="357">
        <f t="shared" si="7"/>
        <v>7.4224800790381055E-3</v>
      </c>
      <c r="P50" s="357">
        <f t="shared" si="7"/>
        <v>7.1108860980896383E-3</v>
      </c>
      <c r="Q50" s="357">
        <f t="shared" si="7"/>
        <v>6.5660825439515496E-3</v>
      </c>
      <c r="R50" s="357">
        <f t="shared" si="7"/>
        <v>2.3303738964084099E-3</v>
      </c>
      <c r="S50" s="357">
        <f t="shared" si="7"/>
        <v>1.9242966001609778E-3</v>
      </c>
      <c r="T50" s="357">
        <f t="shared" si="7"/>
        <v>2.1229182872537018E-3</v>
      </c>
      <c r="U50" s="357">
        <f t="shared" si="7"/>
        <v>3.0092119116911804E-3</v>
      </c>
      <c r="V50" s="357">
        <f t="shared" si="7"/>
        <v>3.0782926318730776E-3</v>
      </c>
      <c r="W50" s="357">
        <f t="shared" si="7"/>
        <v>3.4638055844960019E-3</v>
      </c>
      <c r="X50" s="357">
        <f t="shared" si="7"/>
        <v>1.9006026841385034E-3</v>
      </c>
      <c r="Y50" s="357">
        <f t="shared" si="7"/>
        <v>2.4179908204552416E-3</v>
      </c>
    </row>
    <row r="51" spans="1:25">
      <c r="A51" s="156">
        <f t="shared" si="0"/>
        <v>35</v>
      </c>
      <c r="C51" s="219"/>
    </row>
    <row r="52" spans="1:25">
      <c r="A52" s="156">
        <f t="shared" si="0"/>
        <v>36</v>
      </c>
      <c r="C52" s="219"/>
    </row>
    <row r="53" spans="1:25">
      <c r="A53" s="156">
        <f t="shared" si="0"/>
        <v>37</v>
      </c>
      <c r="C53" s="216"/>
    </row>
    <row r="54" spans="1:25">
      <c r="A54" s="156">
        <f t="shared" si="0"/>
        <v>38</v>
      </c>
      <c r="C54" s="216"/>
    </row>
    <row r="55" spans="1:25">
      <c r="A55" s="156">
        <f t="shared" si="0"/>
        <v>39</v>
      </c>
      <c r="Q55" s="169"/>
    </row>
    <row r="56" spans="1:25">
      <c r="A56" s="156">
        <f t="shared" si="0"/>
        <v>40</v>
      </c>
    </row>
    <row r="57" spans="1:25">
      <c r="A57" s="156">
        <f t="shared" si="0"/>
        <v>41</v>
      </c>
    </row>
    <row r="58" spans="1:25">
      <c r="A58" s="156">
        <f t="shared" si="0"/>
        <v>42</v>
      </c>
    </row>
    <row r="59" spans="1:25">
      <c r="A59" s="156"/>
    </row>
    <row r="60" spans="1:25">
      <c r="A60" s="156"/>
      <c r="B60" s="169"/>
      <c r="E60" s="169"/>
    </row>
    <row r="61" spans="1:25">
      <c r="A61" s="156"/>
    </row>
    <row r="62" spans="1:25">
      <c r="A62" s="156"/>
      <c r="B62" s="169"/>
    </row>
    <row r="63" spans="1:25">
      <c r="H63" s="223"/>
      <c r="J63" s="223"/>
      <c r="K63" s="223"/>
      <c r="L63" s="223"/>
      <c r="M63" s="168"/>
    </row>
    <row r="65" spans="1:22">
      <c r="H65" s="156"/>
      <c r="I65" s="156"/>
      <c r="M65" s="156"/>
    </row>
    <row r="66" spans="1:22">
      <c r="F66" s="156"/>
      <c r="G66" s="156"/>
      <c r="H66" s="156"/>
      <c r="I66" s="156"/>
      <c r="J66" s="156"/>
      <c r="K66" s="156"/>
      <c r="M66" s="156"/>
    </row>
    <row r="67" spans="1:22">
      <c r="C67" s="234"/>
      <c r="D67" s="301"/>
      <c r="E67" s="301"/>
      <c r="F67" s="158"/>
      <c r="G67" s="301"/>
      <c r="H67" s="158"/>
      <c r="I67" s="158"/>
      <c r="J67" s="158"/>
      <c r="K67" s="158"/>
      <c r="L67" s="158"/>
      <c r="M67" s="301"/>
      <c r="N67" s="158"/>
    </row>
    <row r="68" spans="1:22">
      <c r="C68" s="234"/>
      <c r="D68" s="301"/>
      <c r="E68" s="301"/>
      <c r="F68" s="158"/>
      <c r="G68" s="301"/>
      <c r="H68" s="158"/>
      <c r="I68" s="158"/>
      <c r="J68" s="158"/>
      <c r="K68" s="158"/>
      <c r="L68" s="158"/>
      <c r="M68" s="301"/>
      <c r="N68" s="158"/>
    </row>
    <row r="69" spans="1:22">
      <c r="C69" s="234"/>
      <c r="D69" s="301"/>
      <c r="E69" s="301"/>
      <c r="F69" s="158"/>
      <c r="G69" s="301"/>
      <c r="H69" s="158"/>
      <c r="I69" s="158"/>
      <c r="J69" s="158"/>
      <c r="K69" s="158"/>
      <c r="L69" s="158"/>
      <c r="M69" s="301"/>
      <c r="N69" s="158"/>
    </row>
    <row r="70" spans="1:22">
      <c r="C70" s="234"/>
      <c r="D70" s="301"/>
      <c r="E70" s="301"/>
      <c r="F70" s="158"/>
      <c r="G70" s="301"/>
      <c r="H70" s="158"/>
      <c r="I70" s="158"/>
      <c r="J70" s="158"/>
      <c r="K70" s="158"/>
      <c r="L70" s="158"/>
      <c r="M70" s="301"/>
      <c r="N70" s="158"/>
    </row>
    <row r="71" spans="1:22">
      <c r="C71" s="234"/>
      <c r="D71" s="301"/>
      <c r="E71" s="301"/>
      <c r="F71" s="158"/>
      <c r="G71" s="301"/>
      <c r="H71" s="158"/>
      <c r="I71" s="158"/>
      <c r="J71" s="158"/>
      <c r="K71" s="158"/>
      <c r="L71" s="158"/>
      <c r="M71" s="301"/>
      <c r="N71" s="158"/>
    </row>
    <row r="72" spans="1:22">
      <c r="C72" s="234"/>
      <c r="D72" s="301"/>
      <c r="E72" s="301"/>
      <c r="F72" s="158"/>
      <c r="G72" s="301"/>
      <c r="H72" s="158"/>
      <c r="I72" s="158"/>
      <c r="J72" s="158"/>
      <c r="K72" s="158"/>
      <c r="L72" s="158"/>
      <c r="M72" s="301"/>
      <c r="N72" s="158"/>
    </row>
    <row r="73" spans="1:22">
      <c r="C73" s="234"/>
      <c r="D73" s="301"/>
      <c r="E73" s="301"/>
      <c r="F73" s="158"/>
      <c r="G73" s="301"/>
      <c r="H73" s="158"/>
      <c r="I73" s="158"/>
      <c r="J73" s="158"/>
      <c r="K73" s="158"/>
      <c r="L73" s="158"/>
      <c r="M73" s="301"/>
      <c r="N73" s="158"/>
    </row>
    <row r="74" spans="1:22">
      <c r="C74" s="234"/>
      <c r="D74" s="301"/>
      <c r="E74" s="301"/>
      <c r="F74" s="158"/>
      <c r="G74" s="301"/>
      <c r="H74" s="158"/>
      <c r="I74" s="158"/>
      <c r="J74" s="158"/>
      <c r="K74" s="158"/>
      <c r="L74" s="158"/>
      <c r="M74" s="301"/>
      <c r="N74" s="158"/>
    </row>
    <row r="75" spans="1:22">
      <c r="C75" s="234"/>
      <c r="D75" s="301"/>
      <c r="E75" s="301"/>
      <c r="F75" s="158"/>
      <c r="G75" s="301"/>
      <c r="H75" s="158"/>
      <c r="I75" s="158"/>
      <c r="J75" s="158"/>
      <c r="K75" s="158"/>
      <c r="L75" s="158"/>
      <c r="M75" s="301"/>
      <c r="N75" s="158"/>
    </row>
    <row r="76" spans="1:22">
      <c r="C76" s="234"/>
      <c r="D76" s="301"/>
      <c r="E76" s="301"/>
      <c r="F76" s="158"/>
      <c r="G76" s="301"/>
      <c r="H76" s="158"/>
      <c r="I76" s="158"/>
      <c r="J76" s="158"/>
      <c r="K76" s="158"/>
      <c r="L76" s="158"/>
      <c r="M76" s="301"/>
      <c r="N76" s="158"/>
    </row>
    <row r="77" spans="1:22">
      <c r="C77" s="234"/>
      <c r="D77" s="301"/>
      <c r="E77" s="301"/>
      <c r="F77" s="158"/>
      <c r="G77" s="301"/>
      <c r="H77" s="158"/>
      <c r="I77" s="158"/>
      <c r="J77" s="158"/>
      <c r="K77" s="158"/>
      <c r="L77" s="158"/>
      <c r="M77" s="301"/>
      <c r="N77" s="158"/>
    </row>
    <row r="78" spans="1:2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2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2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T80" s="158"/>
      <c r="U80" s="158"/>
      <c r="V80" s="158"/>
    </row>
    <row r="81" spans="2:22">
      <c r="B81" s="158"/>
      <c r="D81" s="162"/>
      <c r="E81"/>
      <c r="F81" s="162"/>
      <c r="T81" s="158"/>
      <c r="U81" s="158"/>
      <c r="V81" s="158"/>
    </row>
    <row r="82" spans="2:22">
      <c r="B82" s="158"/>
      <c r="D82" s="162"/>
      <c r="E82"/>
      <c r="F82" s="255"/>
      <c r="T82" s="158"/>
      <c r="U82" s="158"/>
      <c r="V82" s="158"/>
    </row>
    <row r="83" spans="2:22">
      <c r="B83" s="158"/>
      <c r="D83" s="162"/>
      <c r="E83"/>
      <c r="F83" s="255"/>
      <c r="T83" s="158"/>
      <c r="U83" s="158"/>
      <c r="V83" s="158"/>
    </row>
    <row r="84" spans="2:22">
      <c r="B84" s="158"/>
      <c r="D84" s="162"/>
      <c r="E84"/>
      <c r="F84" s="255"/>
    </row>
    <row r="85" spans="2:22">
      <c r="B85" s="158"/>
      <c r="D85" s="162"/>
      <c r="E85"/>
      <c r="F85" s="255"/>
    </row>
    <row r="86" spans="2:22">
      <c r="B86" s="158"/>
      <c r="D86" s="162"/>
      <c r="E86"/>
      <c r="F86" s="255"/>
    </row>
    <row r="87" spans="2:22">
      <c r="B87" s="158"/>
      <c r="D87" s="162"/>
      <c r="E87"/>
      <c r="F87" s="255"/>
    </row>
    <row r="88" spans="2:22">
      <c r="B88" s="158"/>
      <c r="D88" s="162"/>
      <c r="E88"/>
      <c r="F88" s="162"/>
    </row>
    <row r="89" spans="2:22">
      <c r="B89" s="158"/>
      <c r="D89" s="162"/>
      <c r="E89"/>
      <c r="F89" s="162"/>
    </row>
    <row r="90" spans="2:22">
      <c r="B90" s="158"/>
      <c r="D90" s="162"/>
      <c r="E90"/>
      <c r="F90" s="162"/>
    </row>
    <row r="91" spans="2:22">
      <c r="B91" s="158"/>
      <c r="D91" s="162"/>
      <c r="E91"/>
      <c r="F91" s="162"/>
    </row>
    <row r="92" spans="2:22">
      <c r="B92" s="158"/>
      <c r="D92" s="162"/>
      <c r="E92"/>
      <c r="F92" s="162"/>
    </row>
    <row r="93" spans="2:22">
      <c r="B93" s="158"/>
      <c r="D93" s="162"/>
      <c r="E93"/>
      <c r="F93" s="162"/>
    </row>
    <row r="94" spans="2:22">
      <c r="B94" s="158"/>
      <c r="D94" s="357"/>
      <c r="E94"/>
    </row>
    <row r="95" spans="2:22">
      <c r="E95"/>
      <c r="F95" s="162"/>
    </row>
    <row r="96" spans="2:22">
      <c r="E96"/>
      <c r="F96" s="163"/>
    </row>
    <row r="97" spans="5:5">
      <c r="E97"/>
    </row>
  </sheetData>
  <mergeCells count="4">
    <mergeCell ref="A1:J1"/>
    <mergeCell ref="A2:J2"/>
    <mergeCell ref="A3:J3"/>
    <mergeCell ref="C7:E7"/>
  </mergeCells>
  <phoneticPr fontId="10" type="noConversion"/>
  <pageMargins left="0.25" right="0.25" top="0.5" bottom="0.25" header="0.3" footer="0.3"/>
  <pageSetup scale="86" orientation="landscape" r:id="rId1"/>
  <headerFooter alignWithMargins="0">
    <oddFooter>&amp;C&amp;14Exhibit 9, 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3"/>
  <sheetViews>
    <sheetView topLeftCell="A7" workbookViewId="0">
      <selection activeCell="A3" sqref="A3:J3"/>
    </sheetView>
  </sheetViews>
  <sheetFormatPr defaultColWidth="8.85546875" defaultRowHeight="12.75"/>
  <cols>
    <col min="1" max="1" width="8.85546875" style="155"/>
    <col min="2" max="2" width="46" style="155" customWidth="1"/>
    <col min="3" max="3" width="12.85546875" style="155" bestFit="1" customWidth="1"/>
    <col min="4" max="4" width="15.7109375" style="155" customWidth="1"/>
    <col min="5" max="5" width="16.42578125" style="155" bestFit="1" customWidth="1"/>
    <col min="6" max="6" width="12.28515625" style="155" bestFit="1" customWidth="1"/>
    <col min="7" max="7" width="11.140625" style="155" bestFit="1" customWidth="1"/>
    <col min="8" max="8" width="15" style="155" bestFit="1" customWidth="1"/>
    <col min="9" max="9" width="12.42578125" style="155" bestFit="1" customWidth="1"/>
    <col min="10" max="10" width="13.28515625" style="155" bestFit="1" customWidth="1"/>
    <col min="11" max="11" width="12.28515625" style="155" customWidth="1"/>
    <col min="12" max="12" width="15.140625" style="155" customWidth="1"/>
    <col min="13" max="17" width="13.42578125" style="155" bestFit="1" customWidth="1"/>
    <col min="18" max="18" width="13.42578125" style="155" customWidth="1"/>
    <col min="19" max="20" width="13.42578125" style="155" bestFit="1" customWidth="1"/>
    <col min="21" max="21" width="13.42578125" style="155" customWidth="1"/>
    <col min="22" max="23" width="13.42578125" style="155" bestFit="1" customWidth="1"/>
    <col min="24" max="24" width="13.42578125" style="155" customWidth="1"/>
    <col min="25" max="16384" width="8.85546875" style="155"/>
  </cols>
  <sheetData>
    <row r="1" spans="1:24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24">
      <c r="A2" s="488" t="s">
        <v>1165</v>
      </c>
      <c r="B2" s="488"/>
      <c r="C2" s="488"/>
      <c r="D2" s="488"/>
      <c r="E2" s="488"/>
      <c r="F2" s="488"/>
      <c r="G2" s="488"/>
      <c r="H2" s="488"/>
      <c r="I2" s="488"/>
      <c r="J2" s="488"/>
    </row>
    <row r="3" spans="1:24">
      <c r="A3" s="488" t="s">
        <v>606</v>
      </c>
      <c r="B3" s="488"/>
      <c r="C3" s="488"/>
      <c r="D3" s="488"/>
      <c r="E3" s="488"/>
      <c r="F3" s="488"/>
      <c r="G3" s="488"/>
      <c r="H3" s="488"/>
      <c r="I3" s="488"/>
      <c r="J3" s="488"/>
    </row>
    <row r="5" spans="1:24">
      <c r="B5" s="156" t="s">
        <v>1</v>
      </c>
      <c r="C5" s="156" t="s">
        <v>2</v>
      </c>
      <c r="D5" s="156" t="s">
        <v>3</v>
      </c>
      <c r="E5" s="156" t="s">
        <v>4</v>
      </c>
      <c r="F5"/>
      <c r="G5"/>
      <c r="H5"/>
      <c r="I5"/>
      <c r="J5"/>
      <c r="K5"/>
    </row>
    <row r="6" spans="1:24">
      <c r="A6" s="156" t="s">
        <v>35</v>
      </c>
      <c r="F6"/>
      <c r="G6"/>
      <c r="H6"/>
      <c r="I6"/>
      <c r="J6"/>
      <c r="K6"/>
    </row>
    <row r="7" spans="1:24">
      <c r="A7" s="156" t="s">
        <v>36</v>
      </c>
      <c r="C7" s="489" t="s">
        <v>123</v>
      </c>
      <c r="D7" s="489"/>
      <c r="E7" s="489"/>
      <c r="F7"/>
      <c r="G7"/>
      <c r="H7"/>
      <c r="I7"/>
      <c r="J7"/>
      <c r="K7"/>
    </row>
    <row r="8" spans="1:24">
      <c r="D8" s="160"/>
      <c r="F8"/>
      <c r="G8"/>
      <c r="H8"/>
      <c r="I8"/>
      <c r="J8"/>
      <c r="K8"/>
      <c r="M8" s="331">
        <v>44958</v>
      </c>
      <c r="N8" s="331">
        <v>44927</v>
      </c>
      <c r="O8" s="331">
        <v>44896</v>
      </c>
      <c r="P8" s="331">
        <v>44866</v>
      </c>
      <c r="Q8" s="331">
        <v>44835</v>
      </c>
      <c r="R8" s="331">
        <v>44805</v>
      </c>
      <c r="S8" s="331">
        <v>44774</v>
      </c>
      <c r="T8" s="331">
        <v>44743</v>
      </c>
      <c r="U8" s="331">
        <v>44713</v>
      </c>
      <c r="V8" s="331">
        <v>44682</v>
      </c>
      <c r="W8" s="331">
        <v>44652</v>
      </c>
      <c r="X8" s="331">
        <v>44621</v>
      </c>
    </row>
    <row r="9" spans="1:24" ht="13.5" thickBot="1">
      <c r="A9" s="156">
        <v>1</v>
      </c>
      <c r="B9" s="16" t="s">
        <v>42</v>
      </c>
      <c r="D9" s="218">
        <v>22.1</v>
      </c>
      <c r="F9"/>
      <c r="G9"/>
      <c r="H9"/>
      <c r="I9"/>
      <c r="J9"/>
      <c r="K9"/>
    </row>
    <row r="10" spans="1:24" ht="13.5" thickTop="1">
      <c r="A10" s="156">
        <f>A9+1</f>
        <v>2</v>
      </c>
      <c r="B10" s="155" t="s">
        <v>616</v>
      </c>
      <c r="C10" s="219">
        <f>SUM(M10:X10)</f>
        <v>125937</v>
      </c>
      <c r="D10" s="216"/>
      <c r="E10" s="221">
        <f>C10*D9</f>
        <v>2783207.7</v>
      </c>
      <c r="F10"/>
      <c r="G10"/>
      <c r="H10"/>
      <c r="I10"/>
      <c r="J10"/>
      <c r="K10"/>
      <c r="M10" s="155">
        <f>10581+1</f>
        <v>10582</v>
      </c>
      <c r="N10" s="155">
        <f>10598-10</f>
        <v>10588</v>
      </c>
      <c r="O10" s="155">
        <f>10572-2</f>
        <v>10570</v>
      </c>
      <c r="P10" s="155">
        <f>-3+10558</f>
        <v>10555</v>
      </c>
      <c r="Q10" s="155">
        <f>-1+10534</f>
        <v>10533</v>
      </c>
      <c r="R10" s="155">
        <f>2+10493</f>
        <v>10495</v>
      </c>
      <c r="S10" s="155">
        <v>10476</v>
      </c>
      <c r="T10" s="155">
        <f>10450-9</f>
        <v>10441</v>
      </c>
      <c r="U10" s="155">
        <v>10440</v>
      </c>
      <c r="V10" s="155">
        <f>-1+10413</f>
        <v>10412</v>
      </c>
      <c r="W10" s="155">
        <f>10428-2</f>
        <v>10426</v>
      </c>
      <c r="X10" s="155">
        <f>-1+10419+1</f>
        <v>10419</v>
      </c>
    </row>
    <row r="11" spans="1:24">
      <c r="A11" s="156">
        <f t="shared" ref="A11:A58" si="0">A10+1</f>
        <v>3</v>
      </c>
      <c r="B11" s="155" t="s">
        <v>617</v>
      </c>
      <c r="C11" s="219">
        <f>SUM(M11:X11)</f>
        <v>-14</v>
      </c>
      <c r="E11" s="162">
        <f>C11*D9</f>
        <v>-309.40000000000003</v>
      </c>
      <c r="F11"/>
      <c r="G11"/>
      <c r="H11"/>
      <c r="I11"/>
      <c r="J11"/>
      <c r="K11"/>
      <c r="N11" s="155">
        <f>-24+24-14</f>
        <v>-14</v>
      </c>
    </row>
    <row r="12" spans="1:24">
      <c r="A12" s="156">
        <f t="shared" si="0"/>
        <v>4</v>
      </c>
      <c r="B12" s="155" t="s">
        <v>44</v>
      </c>
      <c r="C12" s="219">
        <f>C10+C11</f>
        <v>125923</v>
      </c>
      <c r="D12" s="219"/>
      <c r="E12" s="310">
        <f>SUM(E10:E11)</f>
        <v>2782898.3000000003</v>
      </c>
      <c r="F12"/>
      <c r="G12"/>
      <c r="H12"/>
      <c r="I12"/>
      <c r="J12"/>
      <c r="K12"/>
    </row>
    <row r="13" spans="1:24">
      <c r="A13" s="156">
        <f t="shared" si="0"/>
        <v>5</v>
      </c>
      <c r="B13" s="155" t="s">
        <v>45</v>
      </c>
      <c r="C13" s="219">
        <f>SUM(M13:X13)</f>
        <v>1162</v>
      </c>
      <c r="F13"/>
      <c r="G13"/>
      <c r="H13"/>
      <c r="I13"/>
      <c r="J13"/>
      <c r="K13"/>
      <c r="M13" s="155">
        <v>175</v>
      </c>
      <c r="N13" s="155">
        <v>94</v>
      </c>
      <c r="O13" s="155">
        <v>91</v>
      </c>
      <c r="P13" s="155">
        <v>91</v>
      </c>
      <c r="Q13" s="155">
        <v>90</v>
      </c>
      <c r="R13" s="155">
        <v>88</v>
      </c>
      <c r="S13" s="155">
        <v>89</v>
      </c>
      <c r="T13" s="155">
        <v>89</v>
      </c>
      <c r="U13" s="155">
        <v>89</v>
      </c>
      <c r="V13" s="155">
        <v>90</v>
      </c>
      <c r="W13" s="155">
        <v>89</v>
      </c>
      <c r="X13" s="155">
        <v>87</v>
      </c>
    </row>
    <row r="14" spans="1:24" ht="13.5" thickBot="1">
      <c r="A14" s="156">
        <f t="shared" si="0"/>
        <v>6</v>
      </c>
      <c r="B14" s="155" t="s">
        <v>46</v>
      </c>
      <c r="C14" s="222">
        <f>C12+C13</f>
        <v>127085</v>
      </c>
      <c r="D14" s="219"/>
      <c r="E14" s="223"/>
      <c r="F14"/>
      <c r="G14"/>
      <c r="H14"/>
      <c r="I14"/>
      <c r="J14"/>
      <c r="K14"/>
    </row>
    <row r="15" spans="1:24" ht="13.5" thickTop="1">
      <c r="A15" s="156">
        <f t="shared" si="0"/>
        <v>7</v>
      </c>
      <c r="F15"/>
      <c r="G15"/>
      <c r="H15"/>
      <c r="I15"/>
      <c r="J15"/>
      <c r="K15"/>
    </row>
    <row r="16" spans="1:24">
      <c r="A16" s="156">
        <f t="shared" si="0"/>
        <v>8</v>
      </c>
      <c r="B16" s="16" t="s">
        <v>47</v>
      </c>
      <c r="F16"/>
      <c r="G16"/>
      <c r="H16"/>
      <c r="I16"/>
      <c r="J16"/>
      <c r="K16"/>
    </row>
    <row r="17" spans="1:25" ht="13.5" thickBot="1">
      <c r="A17" s="156">
        <f t="shared" si="0"/>
        <v>9</v>
      </c>
      <c r="B17" s="155" t="s">
        <v>626</v>
      </c>
      <c r="C17" s="219">
        <f>SUM(M17:X17)</f>
        <v>119354386</v>
      </c>
      <c r="D17" s="224">
        <v>0.100744</v>
      </c>
      <c r="E17" s="382">
        <f>C17*D17</f>
        <v>12024238.263184</v>
      </c>
      <c r="F17"/>
      <c r="G17"/>
      <c r="H17"/>
      <c r="I17"/>
      <c r="J17"/>
      <c r="K17"/>
      <c r="M17" s="155">
        <f>-222+9569580-70</f>
        <v>9569288</v>
      </c>
      <c r="N17" s="155">
        <f>9762413-14955</f>
        <v>9747458</v>
      </c>
      <c r="O17" s="155">
        <f>8995649-1098</f>
        <v>8994551</v>
      </c>
      <c r="P17" s="155">
        <f>-9+9053643</f>
        <v>9053634</v>
      </c>
      <c r="Q17" s="155">
        <f>-384+10656001</f>
        <v>10655617</v>
      </c>
      <c r="R17" s="155">
        <f>-155+11604857</f>
        <v>11604702</v>
      </c>
      <c r="S17" s="155">
        <f>-1761+12816486</f>
        <v>12814725</v>
      </c>
      <c r="T17" s="155">
        <f>12196244-56</f>
        <v>12196188</v>
      </c>
      <c r="U17" s="155">
        <f>-78+10010641</f>
        <v>10010563</v>
      </c>
      <c r="V17" s="155">
        <f>-57+8181616</f>
        <v>8181559</v>
      </c>
      <c r="W17" s="155">
        <f>-24+7983185</f>
        <v>7983161</v>
      </c>
      <c r="X17" s="155">
        <f>-62+8543002</f>
        <v>8542940</v>
      </c>
    </row>
    <row r="18" spans="1:25" ht="14.25" thickTop="1" thickBot="1">
      <c r="A18" s="156">
        <f t="shared" si="0"/>
        <v>10</v>
      </c>
      <c r="B18" s="155" t="s">
        <v>627</v>
      </c>
      <c r="C18" s="219">
        <f>SUM(M18:X18)</f>
        <v>-14304</v>
      </c>
      <c r="D18" s="224">
        <v>0.100744</v>
      </c>
      <c r="E18" s="230">
        <f>C18*D18</f>
        <v>-1441.0421759999999</v>
      </c>
      <c r="F18"/>
      <c r="G18"/>
      <c r="H18"/>
      <c r="I18"/>
      <c r="J18"/>
      <c r="K18"/>
      <c r="M18" s="155">
        <v>70</v>
      </c>
      <c r="N18" s="155">
        <f>-29329+29329-14374</f>
        <v>-14374</v>
      </c>
    </row>
    <row r="19" spans="1:25" ht="13.5" thickTop="1">
      <c r="A19" s="156"/>
      <c r="B19" s="155" t="s">
        <v>627</v>
      </c>
      <c r="C19" s="219">
        <f t="shared" ref="C19:C21" si="1">SUM(M19:X19)</f>
        <v>0</v>
      </c>
      <c r="D19" s="219"/>
      <c r="E19" s="230"/>
      <c r="F19"/>
      <c r="G19"/>
      <c r="H19"/>
      <c r="I19"/>
      <c r="J19"/>
      <c r="K19"/>
    </row>
    <row r="20" spans="1:25">
      <c r="A20" s="156">
        <f>A18+1</f>
        <v>11</v>
      </c>
      <c r="B20" s="155" t="s">
        <v>627</v>
      </c>
      <c r="C20" s="219">
        <f t="shared" si="1"/>
        <v>0</v>
      </c>
      <c r="D20" s="225"/>
      <c r="E20" s="235">
        <f>C20*D17</f>
        <v>0</v>
      </c>
      <c r="F20"/>
      <c r="G20"/>
      <c r="H20"/>
      <c r="I20"/>
      <c r="J20"/>
      <c r="K20"/>
    </row>
    <row r="21" spans="1:25">
      <c r="A21" s="156"/>
      <c r="B21" s="155" t="s">
        <v>640</v>
      </c>
      <c r="C21" s="219">
        <f t="shared" si="1"/>
        <v>-35387</v>
      </c>
      <c r="D21" s="225">
        <v>0.100744</v>
      </c>
      <c r="E21" s="235">
        <f>C21*D21</f>
        <v>-3565.027928</v>
      </c>
      <c r="F21"/>
      <c r="G21"/>
      <c r="H21"/>
      <c r="I21"/>
      <c r="J21"/>
      <c r="K21"/>
      <c r="M21" s="155">
        <v>-35387</v>
      </c>
    </row>
    <row r="22" spans="1:25" ht="13.5" thickBot="1">
      <c r="A22" s="156">
        <f>A20+1</f>
        <v>12</v>
      </c>
      <c r="B22" s="155" t="s">
        <v>127</v>
      </c>
      <c r="C22" s="226">
        <f>SUM(C17:C21)</f>
        <v>119304695</v>
      </c>
      <c r="E22" s="236">
        <f>SUM(E17:E21)</f>
        <v>12019232.193079999</v>
      </c>
      <c r="F22"/>
      <c r="G22"/>
      <c r="H22"/>
      <c r="I22"/>
      <c r="J22"/>
      <c r="K22"/>
    </row>
    <row r="23" spans="1:25" ht="13.5" thickTop="1">
      <c r="A23" s="156">
        <f t="shared" si="0"/>
        <v>13</v>
      </c>
      <c r="C23" s="219"/>
      <c r="F23"/>
      <c r="G23"/>
      <c r="H23"/>
      <c r="I23"/>
      <c r="J23"/>
      <c r="K23"/>
      <c r="P23" s="162"/>
    </row>
    <row r="24" spans="1:25">
      <c r="A24" s="156">
        <f t="shared" si="0"/>
        <v>14</v>
      </c>
      <c r="B24" s="16" t="s">
        <v>350</v>
      </c>
      <c r="C24" s="219"/>
      <c r="F24"/>
      <c r="G24"/>
      <c r="H24"/>
      <c r="I24"/>
      <c r="J24"/>
      <c r="K24"/>
      <c r="P24" s="162"/>
    </row>
    <row r="25" spans="1:25">
      <c r="A25" s="156">
        <f t="shared" si="0"/>
        <v>15</v>
      </c>
      <c r="B25" s="170" t="s">
        <v>628</v>
      </c>
      <c r="C25" s="219"/>
      <c r="D25" s="228">
        <f>E25/$C$22</f>
        <v>2.0321400260065205E-2</v>
      </c>
      <c r="E25" s="230">
        <f>SUM(M25:X25)</f>
        <v>2424438.46</v>
      </c>
      <c r="F25"/>
      <c r="G25"/>
      <c r="H25"/>
      <c r="I25"/>
      <c r="J25"/>
      <c r="K25"/>
      <c r="L25" s="162"/>
      <c r="M25" s="155">
        <f>3.58+143643.48-2.68-1</f>
        <v>143643.38</v>
      </c>
      <c r="N25" s="155">
        <f>305161.72-1-363.06</f>
        <v>304797.65999999997</v>
      </c>
      <c r="O25" s="162">
        <f>344811.03-42.41-1</f>
        <v>344767.62000000005</v>
      </c>
      <c r="P25" s="162">
        <f>-0.35+349976.97-1</f>
        <v>349975.62</v>
      </c>
      <c r="Q25" s="162">
        <f>240912.09-7.39-1</f>
        <v>240903.69999999998</v>
      </c>
      <c r="R25" s="162">
        <f>0.18+191410.14-1</f>
        <v>191409.32</v>
      </c>
      <c r="S25" s="162">
        <f>-34.55+46018.52-1</f>
        <v>45982.969999999994</v>
      </c>
      <c r="T25" s="155">
        <f>263728.3-1.31-1</f>
        <v>263725.99</v>
      </c>
      <c r="U25" s="155">
        <f>-1.6+184575.77-1</f>
        <v>184573.16999999998</v>
      </c>
      <c r="V25" s="155">
        <f>-1.24+191899.48-1</f>
        <v>191897.24000000002</v>
      </c>
      <c r="W25" s="162">
        <f>-0.25+81041.23-1</f>
        <v>81039.98</v>
      </c>
      <c r="X25" s="155">
        <f>-0.59+81723.4-1</f>
        <v>81721.81</v>
      </c>
      <c r="Y25" s="162"/>
    </row>
    <row r="26" spans="1:25">
      <c r="A26" s="156"/>
      <c r="B26" s="170" t="s">
        <v>630</v>
      </c>
      <c r="C26" s="219"/>
      <c r="D26" s="228"/>
      <c r="E26" s="230">
        <f t="shared" ref="E26:E36" si="2">SUM(M26:X26)</f>
        <v>12.59</v>
      </c>
      <c r="F26"/>
      <c r="G26"/>
      <c r="H26"/>
      <c r="I26"/>
      <c r="J26"/>
      <c r="K26"/>
      <c r="L26" s="162"/>
      <c r="M26" s="155">
        <v>2.68</v>
      </c>
      <c r="N26" s="155">
        <f>-353.15+353.15+9.91</f>
        <v>9.91</v>
      </c>
      <c r="Y26" s="162"/>
    </row>
    <row r="27" spans="1:25">
      <c r="A27" s="156"/>
      <c r="B27" s="155" t="s">
        <v>640</v>
      </c>
      <c r="C27" s="219"/>
      <c r="D27" s="228"/>
      <c r="E27" s="230">
        <f t="shared" si="2"/>
        <v>-561.55999999999995</v>
      </c>
      <c r="F27"/>
      <c r="G27"/>
      <c r="H27"/>
      <c r="I27"/>
      <c r="J27"/>
      <c r="K27"/>
      <c r="L27" s="162"/>
      <c r="M27" s="155">
        <v>-561.55999999999995</v>
      </c>
      <c r="Y27" s="162"/>
    </row>
    <row r="28" spans="1:25">
      <c r="A28" s="156">
        <f>A25+1</f>
        <v>16</v>
      </c>
      <c r="B28" s="170" t="s">
        <v>619</v>
      </c>
      <c r="C28" s="219"/>
      <c r="D28" s="228">
        <f>E28/$C$22</f>
        <v>5.4598323226089304E-3</v>
      </c>
      <c r="E28" s="230">
        <f t="shared" si="2"/>
        <v>651383.63</v>
      </c>
      <c r="F28"/>
      <c r="G28"/>
      <c r="H28"/>
      <c r="I28"/>
      <c r="J28"/>
      <c r="K28"/>
      <c r="L28" s="162"/>
      <c r="M28" s="155">
        <f>-0.35+34517.08-0.44</f>
        <v>34516.29</v>
      </c>
      <c r="N28" s="155">
        <f>43033.36-88.07</f>
        <v>42945.29</v>
      </c>
      <c r="O28" s="162">
        <f>56738.37-5.07</f>
        <v>56733.3</v>
      </c>
      <c r="P28" s="162">
        <f>-0.04+40503.71</f>
        <v>40503.67</v>
      </c>
      <c r="Q28" s="162">
        <f>46571.53-1.48</f>
        <v>46570.049999999996</v>
      </c>
      <c r="R28" s="162">
        <f>-0.76+40285.8</f>
        <v>40285.040000000001</v>
      </c>
      <c r="S28" s="162">
        <f>-9.33+58039.57</f>
        <v>58030.239999999998</v>
      </c>
      <c r="T28" s="155">
        <f>65894.53-0.23</f>
        <v>65894.3</v>
      </c>
      <c r="U28" s="155">
        <f>-0.63+80148.92</f>
        <v>80148.289999999994</v>
      </c>
      <c r="V28" s="155">
        <f>-0.44+65496.83</f>
        <v>65496.39</v>
      </c>
      <c r="W28" s="162">
        <f>-0.18+59663.07</f>
        <v>59662.89</v>
      </c>
      <c r="X28" s="155">
        <f>-0.44+60598.32</f>
        <v>60597.88</v>
      </c>
      <c r="Y28" s="162"/>
    </row>
    <row r="29" spans="1:25">
      <c r="A29" s="156">
        <f t="shared" si="0"/>
        <v>17</v>
      </c>
      <c r="B29" s="170" t="s">
        <v>631</v>
      </c>
      <c r="C29" s="219"/>
      <c r="D29" s="228"/>
      <c r="E29" s="230">
        <f t="shared" ref="E29:E34" si="3">SUM(M29:X29)</f>
        <v>-96.25</v>
      </c>
      <c r="F29"/>
      <c r="G29"/>
      <c r="H29"/>
      <c r="I29"/>
      <c r="J29"/>
      <c r="K29"/>
      <c r="L29" s="162"/>
      <c r="M29" s="155">
        <v>0.44</v>
      </c>
      <c r="N29" s="155">
        <f>-184.76+184.76-96.69</f>
        <v>-96.69</v>
      </c>
      <c r="O29" s="162"/>
      <c r="P29" s="162"/>
      <c r="Q29" s="162"/>
      <c r="R29" s="162"/>
      <c r="S29" s="162"/>
      <c r="W29" s="162"/>
      <c r="Y29" s="162"/>
    </row>
    <row r="30" spans="1:25">
      <c r="A30" s="156"/>
      <c r="B30" s="155" t="s">
        <v>640</v>
      </c>
      <c r="C30" s="219"/>
      <c r="D30" s="228"/>
      <c r="E30" s="230">
        <f t="shared" si="3"/>
        <v>-207.77</v>
      </c>
      <c r="F30"/>
      <c r="G30"/>
      <c r="H30"/>
      <c r="I30"/>
      <c r="J30"/>
      <c r="K30"/>
      <c r="L30" s="162"/>
      <c r="M30" s="155">
        <v>-207.77</v>
      </c>
      <c r="Y30" s="162"/>
    </row>
    <row r="31" spans="1:25">
      <c r="A31" s="156">
        <f>A29+1</f>
        <v>18</v>
      </c>
      <c r="B31" s="170" t="s">
        <v>629</v>
      </c>
      <c r="C31" s="219"/>
      <c r="D31" s="228">
        <f>E31/$C$22</f>
        <v>-6.6859482856060273E-3</v>
      </c>
      <c r="E31" s="230">
        <f t="shared" si="3"/>
        <v>-797665.02099999995</v>
      </c>
      <c r="F31"/>
      <c r="G31"/>
      <c r="H31"/>
      <c r="I31"/>
      <c r="J31"/>
      <c r="K31"/>
      <c r="L31" s="162"/>
      <c r="M31" s="155">
        <f>-1.01-38893.41+0.74</f>
        <v>-38893.680000000008</v>
      </c>
      <c r="N31" s="155">
        <f>-83664.96+116.23</f>
        <v>-83548.73000000001</v>
      </c>
      <c r="O31" s="162">
        <f>-95140.5+8.72</f>
        <v>-95131.78</v>
      </c>
      <c r="P31" s="162">
        <f>0.07-69566.5</f>
        <v>-69566.429999999993</v>
      </c>
      <c r="Q31" s="162">
        <f>-55401.35+1.6</f>
        <v>-55399.75</v>
      </c>
      <c r="R31" s="162">
        <f>0.8-38735.69</f>
        <v>-38734.89</v>
      </c>
      <c r="S31" s="162">
        <f>14.449-59421.3</f>
        <v>-59406.851000000002</v>
      </c>
      <c r="T31" s="155">
        <f>-105843.3+0.45</f>
        <v>-105842.85</v>
      </c>
      <c r="U31" s="155">
        <f>0.74-97397.57</f>
        <v>-97396.83</v>
      </c>
      <c r="V31" s="155">
        <f>0.51-74615.1</f>
        <v>-74614.590000000011</v>
      </c>
      <c r="W31" s="162">
        <f>0.11-39027.83</f>
        <v>-39027.72</v>
      </c>
      <c r="X31" s="155">
        <f>0.28-40101.2</f>
        <v>-40100.92</v>
      </c>
      <c r="Y31" s="162"/>
    </row>
    <row r="32" spans="1:25">
      <c r="A32" s="156">
        <f t="shared" si="0"/>
        <v>19</v>
      </c>
      <c r="B32" s="170" t="s">
        <v>632</v>
      </c>
      <c r="C32" s="219"/>
      <c r="D32" s="228"/>
      <c r="E32" s="230">
        <f t="shared" si="3"/>
        <v>69.17</v>
      </c>
      <c r="F32"/>
      <c r="G32"/>
      <c r="H32"/>
      <c r="I32"/>
      <c r="J32"/>
      <c r="K32"/>
      <c r="L32" s="162"/>
      <c r="M32" s="155">
        <v>-0.74</v>
      </c>
      <c r="N32" s="155">
        <f>186.14-186.14+69.91</f>
        <v>69.91</v>
      </c>
      <c r="O32" s="162"/>
      <c r="P32" s="162"/>
      <c r="Q32" s="162"/>
      <c r="R32" s="162"/>
      <c r="S32" s="162"/>
      <c r="W32" s="162"/>
      <c r="Y32" s="162"/>
    </row>
    <row r="33" spans="1:25">
      <c r="A33" s="156"/>
      <c r="B33" s="155" t="s">
        <v>640</v>
      </c>
      <c r="C33" s="219"/>
      <c r="D33" s="228"/>
      <c r="E33" s="230">
        <f t="shared" si="3"/>
        <v>224.25</v>
      </c>
      <c r="F33"/>
      <c r="G33"/>
      <c r="H33"/>
      <c r="I33"/>
      <c r="J33"/>
      <c r="K33"/>
      <c r="L33" s="162"/>
      <c r="M33" s="155">
        <v>224.25</v>
      </c>
      <c r="T33" s="162"/>
      <c r="Y33" s="162"/>
    </row>
    <row r="34" spans="1:25">
      <c r="A34" s="156">
        <f>A32+1</f>
        <v>20</v>
      </c>
      <c r="B34" s="170" t="s">
        <v>621</v>
      </c>
      <c r="C34" s="219"/>
      <c r="D34" s="228">
        <f>E34/$C$22</f>
        <v>3.7874306623054532E-3</v>
      </c>
      <c r="E34" s="230">
        <f t="shared" si="3"/>
        <v>451858.26000000007</v>
      </c>
      <c r="F34"/>
      <c r="G34"/>
      <c r="H34"/>
      <c r="I34"/>
      <c r="J34"/>
      <c r="K34"/>
      <c r="L34" s="162"/>
      <c r="M34" s="155">
        <f>-0.32+49997.68-0.5</f>
        <v>49996.86</v>
      </c>
      <c r="N34" s="155">
        <f>72468.97-63.14</f>
        <v>72405.83</v>
      </c>
      <c r="O34" s="162">
        <f>63967.16-7.26</f>
        <v>63959.9</v>
      </c>
      <c r="P34" s="162">
        <f>-0.06+59447.69</f>
        <v>59447.630000000005</v>
      </c>
      <c r="Q34" s="162">
        <f>24831.42-0.83</f>
        <v>24830.589999999997</v>
      </c>
      <c r="R34" s="162">
        <f>-0.34+22331.66</f>
        <v>22331.32</v>
      </c>
      <c r="S34" s="162">
        <f>-5.14+27207.84</f>
        <v>27202.7</v>
      </c>
      <c r="T34" s="155">
        <f>36700.43-0.17</f>
        <v>36700.26</v>
      </c>
      <c r="U34" s="155">
        <f>-0.25+30814.71</f>
        <v>30814.46</v>
      </c>
      <c r="V34" s="155">
        <f>-0.19+28339.08</f>
        <v>28338.890000000003</v>
      </c>
      <c r="W34" s="162">
        <f>-0.06+15173.31</f>
        <v>15173.25</v>
      </c>
      <c r="X34" s="155">
        <f>-0.14+20656.71</f>
        <v>20656.57</v>
      </c>
      <c r="Y34" s="162"/>
    </row>
    <row r="35" spans="1:25">
      <c r="A35" s="156"/>
      <c r="B35" s="170" t="s">
        <v>633</v>
      </c>
      <c r="C35" s="219"/>
      <c r="D35" s="228"/>
      <c r="E35" s="230">
        <f t="shared" si="2"/>
        <v>-28.11</v>
      </c>
      <c r="F35"/>
      <c r="G35"/>
      <c r="H35"/>
      <c r="I35"/>
      <c r="J35"/>
      <c r="K35"/>
      <c r="L35" s="162"/>
      <c r="M35" s="155">
        <v>0.5</v>
      </c>
      <c r="N35" s="155">
        <f>-91.75+91.75-28.61</f>
        <v>-28.61</v>
      </c>
      <c r="T35" s="162"/>
      <c r="U35" s="162"/>
      <c r="V35" s="162"/>
      <c r="W35" s="162"/>
      <c r="X35" s="162"/>
      <c r="Y35" s="162"/>
    </row>
    <row r="36" spans="1:25">
      <c r="A36" s="156"/>
      <c r="B36" s="155" t="s">
        <v>640</v>
      </c>
      <c r="C36" s="219"/>
      <c r="D36" s="228"/>
      <c r="E36" s="230">
        <f t="shared" si="2"/>
        <v>-125.36</v>
      </c>
      <c r="F36"/>
      <c r="G36"/>
      <c r="H36"/>
      <c r="I36"/>
      <c r="J36"/>
      <c r="K36"/>
      <c r="L36" s="162"/>
      <c r="M36" s="155">
        <v>-125.36</v>
      </c>
      <c r="P36" s="162"/>
      <c r="T36" s="162"/>
      <c r="U36" s="162"/>
      <c r="V36" s="162"/>
      <c r="W36" s="162"/>
      <c r="X36" s="162"/>
      <c r="Y36" s="162"/>
    </row>
    <row r="37" spans="1:25">
      <c r="A37" s="156">
        <f>A34+1</f>
        <v>21</v>
      </c>
      <c r="B37" s="217" t="s">
        <v>364</v>
      </c>
      <c r="C37" s="219"/>
      <c r="D37" s="228"/>
      <c r="E37" s="230">
        <f>SUM(E25:E36)</f>
        <v>2729302.2890000003</v>
      </c>
      <c r="F37"/>
      <c r="G37"/>
      <c r="H37"/>
      <c r="I37"/>
      <c r="J37"/>
      <c r="K37"/>
      <c r="L37" s="162"/>
      <c r="N37" s="162"/>
      <c r="O37" s="162"/>
      <c r="P37" s="162"/>
      <c r="S37" s="162"/>
      <c r="T37" s="162"/>
      <c r="U37" s="162"/>
      <c r="V37" s="162"/>
      <c r="W37" s="162"/>
      <c r="X37" s="162"/>
      <c r="Y37" s="162"/>
    </row>
    <row r="38" spans="1:25">
      <c r="A38" s="156">
        <f t="shared" si="0"/>
        <v>22</v>
      </c>
      <c r="B38" s="217"/>
      <c r="C38" s="219"/>
      <c r="D38" s="228"/>
      <c r="E38" s="235"/>
      <c r="F38"/>
      <c r="G38"/>
      <c r="H38"/>
      <c r="I38"/>
      <c r="J38"/>
      <c r="K38"/>
      <c r="L38" s="162"/>
      <c r="M38" s="162"/>
      <c r="N38" s="162"/>
      <c r="O38" s="162"/>
      <c r="P38" s="162"/>
      <c r="S38" s="162"/>
      <c r="T38" s="162"/>
      <c r="U38" s="162"/>
      <c r="V38" s="162"/>
      <c r="W38" s="162"/>
      <c r="X38" s="162"/>
      <c r="Y38" s="162"/>
    </row>
    <row r="39" spans="1:25">
      <c r="A39" s="156">
        <f t="shared" si="0"/>
        <v>23</v>
      </c>
      <c r="B39" s="155" t="s">
        <v>362</v>
      </c>
      <c r="E39" s="230">
        <f>E12+E22+E37+E9+E16</f>
        <v>17531432.782079998</v>
      </c>
      <c r="F39"/>
      <c r="G39"/>
      <c r="H39"/>
      <c r="I39"/>
      <c r="J39"/>
      <c r="K39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</row>
    <row r="40" spans="1:25">
      <c r="A40" s="156">
        <f t="shared" si="0"/>
        <v>24</v>
      </c>
      <c r="B40" s="155" t="s">
        <v>62</v>
      </c>
      <c r="E40" s="235">
        <f>SUM(M40:X40)</f>
        <v>0</v>
      </c>
      <c r="F40"/>
      <c r="G40"/>
      <c r="H40"/>
      <c r="I40"/>
      <c r="J40"/>
      <c r="K40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</row>
    <row r="41" spans="1:25" ht="13.5" thickBot="1">
      <c r="A41" s="156">
        <f t="shared" si="0"/>
        <v>25</v>
      </c>
      <c r="B41" s="155" t="s">
        <v>49</v>
      </c>
      <c r="E41" s="236">
        <f>SUM(E39:E40)</f>
        <v>17531432.782079998</v>
      </c>
      <c r="F41"/>
      <c r="G41"/>
      <c r="H41"/>
      <c r="I41"/>
      <c r="J41"/>
      <c r="K41"/>
    </row>
    <row r="42" spans="1:25" ht="13.5" thickTop="1">
      <c r="A42" s="156">
        <f t="shared" si="0"/>
        <v>26</v>
      </c>
      <c r="D42" t="s">
        <v>634</v>
      </c>
      <c r="E42" s="171"/>
      <c r="F42"/>
      <c r="G42"/>
      <c r="H42"/>
      <c r="I42"/>
      <c r="J42"/>
      <c r="K42"/>
    </row>
    <row r="43" spans="1:25">
      <c r="A43" s="156">
        <f t="shared" si="0"/>
        <v>27</v>
      </c>
      <c r="C43" s="216"/>
      <c r="E43" s="161"/>
      <c r="F43"/>
      <c r="G43"/>
      <c r="H43"/>
      <c r="I43"/>
      <c r="J43"/>
      <c r="K43"/>
      <c r="L43" s="225"/>
    </row>
    <row r="44" spans="1:25">
      <c r="A44" s="156">
        <f t="shared" si="0"/>
        <v>28</v>
      </c>
      <c r="C44" s="216"/>
    </row>
    <row r="45" spans="1:25">
      <c r="A45" s="156">
        <f t="shared" si="0"/>
        <v>29</v>
      </c>
      <c r="C45" s="216"/>
      <c r="D45" s="169"/>
      <c r="K45" s="170" t="s">
        <v>351</v>
      </c>
      <c r="M45" s="357">
        <f>M25/SUM(M$17)</f>
        <v>1.5010874372262598E-2</v>
      </c>
      <c r="N45" s="357">
        <f t="shared" ref="N45:X45" si="4">N25/SUM(N$17)</f>
        <v>3.1269450968652544E-2</v>
      </c>
      <c r="O45" s="357">
        <f t="shared" si="4"/>
        <v>3.833072045508442E-2</v>
      </c>
      <c r="P45" s="357">
        <f t="shared" si="4"/>
        <v>3.865581710062501E-2</v>
      </c>
      <c r="Q45" s="357">
        <f t="shared" si="4"/>
        <v>2.260814179038154E-2</v>
      </c>
      <c r="R45" s="357">
        <f t="shared" si="4"/>
        <v>1.6494117643003674E-2</v>
      </c>
      <c r="S45" s="357">
        <f t="shared" si="4"/>
        <v>3.5882915942402191E-3</v>
      </c>
      <c r="T45" s="357">
        <f t="shared" si="4"/>
        <v>2.1623640927804656E-2</v>
      </c>
      <c r="U45" s="357">
        <f t="shared" si="4"/>
        <v>1.8437841108437155E-2</v>
      </c>
      <c r="V45" s="357">
        <f t="shared" si="4"/>
        <v>2.3454850108640665E-2</v>
      </c>
      <c r="W45" s="357">
        <f t="shared" si="4"/>
        <v>1.0151364854097268E-2</v>
      </c>
      <c r="X45" s="357">
        <f t="shared" si="4"/>
        <v>9.5660053798809312E-3</v>
      </c>
    </row>
    <row r="46" spans="1:25">
      <c r="A46" s="156">
        <f t="shared" si="0"/>
        <v>30</v>
      </c>
      <c r="C46"/>
      <c r="D46" s="169"/>
      <c r="J46" s="223"/>
      <c r="K46" s="170" t="s">
        <v>352</v>
      </c>
      <c r="M46" s="357">
        <f>M28/SUM(M$17)</f>
        <v>3.6069862250984611E-3</v>
      </c>
      <c r="N46" s="357">
        <f t="shared" ref="N46:X46" si="5">N28/SUM(N$17)</f>
        <v>4.4057937977265461E-3</v>
      </c>
      <c r="O46" s="357">
        <f t="shared" si="5"/>
        <v>6.307518852247322E-3</v>
      </c>
      <c r="P46" s="357">
        <f t="shared" si="5"/>
        <v>4.4737472268041763E-3</v>
      </c>
      <c r="Q46" s="357">
        <f t="shared" si="5"/>
        <v>4.3704695842577673E-3</v>
      </c>
      <c r="R46" s="357">
        <f t="shared" si="5"/>
        <v>3.4714411451496128E-3</v>
      </c>
      <c r="S46" s="357">
        <f t="shared" si="5"/>
        <v>4.5284030675648516E-3</v>
      </c>
      <c r="T46" s="357">
        <f t="shared" si="5"/>
        <v>5.4028603035637043E-3</v>
      </c>
      <c r="U46" s="357">
        <f t="shared" si="5"/>
        <v>8.0063718693943586E-3</v>
      </c>
      <c r="V46" s="357">
        <f t="shared" si="5"/>
        <v>8.0053679255995096E-3</v>
      </c>
      <c r="W46" s="357">
        <f t="shared" si="5"/>
        <v>7.4735922274397322E-3</v>
      </c>
      <c r="X46" s="357">
        <f t="shared" si="5"/>
        <v>7.0933285262450626E-3</v>
      </c>
    </row>
    <row r="47" spans="1:25">
      <c r="A47" s="156">
        <f t="shared" si="0"/>
        <v>31</v>
      </c>
      <c r="C47" s="216"/>
      <c r="D47" s="169"/>
      <c r="H47" s="235"/>
      <c r="J47" s="233"/>
      <c r="K47" s="170" t="s">
        <v>353</v>
      </c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</row>
    <row r="48" spans="1:25">
      <c r="A48" s="156">
        <f t="shared" si="0"/>
        <v>32</v>
      </c>
      <c r="C48" s="216"/>
      <c r="D48" s="169"/>
      <c r="H48" s="221"/>
      <c r="K48" s="170" t="s">
        <v>355</v>
      </c>
      <c r="M48" s="357">
        <f>M31/SUM(M$17)</f>
        <v>-4.0644277818788618E-3</v>
      </c>
      <c r="N48" s="357">
        <f t="shared" ref="N48:X48" si="6">N31/SUM(N$17)</f>
        <v>-8.5713352137552178E-3</v>
      </c>
      <c r="O48" s="357">
        <f t="shared" si="6"/>
        <v>-1.0576601322289462E-2</v>
      </c>
      <c r="P48" s="357">
        <f t="shared" si="6"/>
        <v>-7.6838129308076731E-3</v>
      </c>
      <c r="Q48" s="357">
        <f t="shared" si="6"/>
        <v>-5.1991123554834973E-3</v>
      </c>
      <c r="R48" s="357">
        <f t="shared" si="6"/>
        <v>-3.337861670209196E-3</v>
      </c>
      <c r="S48" s="357">
        <f t="shared" si="6"/>
        <v>-4.6358272221994623E-3</v>
      </c>
      <c r="T48" s="357">
        <f t="shared" si="6"/>
        <v>-8.678355072912947E-3</v>
      </c>
      <c r="U48" s="357">
        <f t="shared" si="6"/>
        <v>-9.7294058286232256E-3</v>
      </c>
      <c r="V48" s="357">
        <f t="shared" si="6"/>
        <v>-9.1198498965783924E-3</v>
      </c>
      <c r="W48" s="357">
        <f t="shared" si="6"/>
        <v>-4.888755218640837E-3</v>
      </c>
      <c r="X48" s="357">
        <f t="shared" si="6"/>
        <v>-4.694042097919451E-3</v>
      </c>
    </row>
    <row r="49" spans="1:24">
      <c r="A49" s="156">
        <f t="shared" si="0"/>
        <v>33</v>
      </c>
      <c r="C49" s="216"/>
      <c r="D49" s="169"/>
      <c r="H49" s="221"/>
      <c r="K49" s="170" t="s">
        <v>356</v>
      </c>
    </row>
    <row r="50" spans="1:24">
      <c r="A50" s="156">
        <f t="shared" si="0"/>
        <v>34</v>
      </c>
      <c r="C50" s="216"/>
      <c r="H50" s="223"/>
      <c r="K50" s="170" t="s">
        <v>354</v>
      </c>
      <c r="M50" s="357">
        <f t="shared" ref="M50:X50" si="7">M34/SUM(M$17)</f>
        <v>5.2247210032763149E-3</v>
      </c>
      <c r="N50" s="357">
        <f t="shared" si="7"/>
        <v>7.4281756330727457E-3</v>
      </c>
      <c r="O50" s="357">
        <f t="shared" si="7"/>
        <v>7.1109608472952127E-3</v>
      </c>
      <c r="P50" s="357">
        <f t="shared" si="7"/>
        <v>6.5661622725195212E-3</v>
      </c>
      <c r="Q50" s="357">
        <f t="shared" si="7"/>
        <v>2.3302817659456038E-3</v>
      </c>
      <c r="R50" s="357">
        <f t="shared" si="7"/>
        <v>1.9243337743614613E-3</v>
      </c>
      <c r="S50" s="357">
        <f t="shared" si="7"/>
        <v>2.1227689240307535E-3</v>
      </c>
      <c r="T50" s="357">
        <f t="shared" si="7"/>
        <v>3.0091582714205458E-3</v>
      </c>
      <c r="U50" s="357">
        <f t="shared" si="7"/>
        <v>3.0781945031463265E-3</v>
      </c>
      <c r="V50" s="357">
        <f t="shared" si="7"/>
        <v>3.4637518350720204E-3</v>
      </c>
      <c r="W50" s="357">
        <f t="shared" si="7"/>
        <v>1.9006568951822468E-3</v>
      </c>
      <c r="X50" s="357">
        <f t="shared" si="7"/>
        <v>2.417969691932754E-3</v>
      </c>
    </row>
    <row r="51" spans="1:24">
      <c r="A51" s="156">
        <f t="shared" si="0"/>
        <v>35</v>
      </c>
      <c r="C51" s="219"/>
      <c r="P51" s="169"/>
    </row>
    <row r="52" spans="1:24">
      <c r="A52" s="156">
        <f t="shared" si="0"/>
        <v>36</v>
      </c>
      <c r="C52" s="219"/>
    </row>
    <row r="53" spans="1:24">
      <c r="A53" s="156">
        <f t="shared" si="0"/>
        <v>37</v>
      </c>
      <c r="C53" s="216"/>
    </row>
    <row r="54" spans="1:24">
      <c r="A54" s="156">
        <f t="shared" si="0"/>
        <v>38</v>
      </c>
      <c r="C54" s="216"/>
    </row>
    <row r="55" spans="1:24">
      <c r="A55" s="156">
        <f t="shared" si="0"/>
        <v>39</v>
      </c>
    </row>
    <row r="56" spans="1:24">
      <c r="A56" s="156">
        <f t="shared" si="0"/>
        <v>40</v>
      </c>
    </row>
    <row r="57" spans="1:24">
      <c r="A57" s="156">
        <f t="shared" si="0"/>
        <v>41</v>
      </c>
    </row>
    <row r="58" spans="1:24">
      <c r="A58" s="156">
        <f t="shared" si="0"/>
        <v>42</v>
      </c>
    </row>
    <row r="59" spans="1:24">
      <c r="A59" s="156"/>
    </row>
    <row r="60" spans="1:24">
      <c r="A60" s="156"/>
      <c r="B60" s="169"/>
    </row>
    <row r="62" spans="1:24">
      <c r="C62"/>
      <c r="D62"/>
      <c r="E62"/>
      <c r="F62"/>
      <c r="G62"/>
      <c r="H62"/>
      <c r="I62"/>
      <c r="J62"/>
      <c r="K62"/>
      <c r="L62"/>
      <c r="M62"/>
    </row>
    <row r="63" spans="1:24">
      <c r="C63"/>
      <c r="D63"/>
      <c r="E63"/>
      <c r="F63"/>
      <c r="G63"/>
      <c r="H63"/>
      <c r="I63"/>
      <c r="J63"/>
      <c r="K63"/>
      <c r="L63"/>
      <c r="M63"/>
    </row>
    <row r="64" spans="1:24">
      <c r="C64"/>
      <c r="D64"/>
      <c r="E64"/>
      <c r="F64"/>
      <c r="G64"/>
      <c r="H64"/>
      <c r="I64"/>
      <c r="J64"/>
      <c r="K64"/>
      <c r="L64"/>
      <c r="M64"/>
    </row>
    <row r="65" spans="3:13">
      <c r="C65"/>
      <c r="D65"/>
      <c r="E65"/>
      <c r="F65"/>
      <c r="G65"/>
      <c r="H65"/>
      <c r="I65"/>
      <c r="J65"/>
      <c r="K65"/>
      <c r="L65"/>
      <c r="M65"/>
    </row>
    <row r="66" spans="3:13">
      <c r="C66"/>
      <c r="D66"/>
      <c r="E66"/>
      <c r="F66"/>
      <c r="G66"/>
      <c r="H66"/>
      <c r="I66"/>
      <c r="J66"/>
      <c r="K66"/>
      <c r="L66"/>
      <c r="M66"/>
    </row>
    <row r="67" spans="3:13">
      <c r="C67"/>
      <c r="D67"/>
      <c r="E67"/>
      <c r="F67"/>
      <c r="G67"/>
      <c r="H67"/>
      <c r="I67"/>
      <c r="J67"/>
      <c r="K67"/>
      <c r="L67"/>
      <c r="M67"/>
    </row>
    <row r="68" spans="3:13">
      <c r="C68"/>
      <c r="D68"/>
      <c r="E68"/>
      <c r="F68"/>
      <c r="G68"/>
      <c r="H68"/>
      <c r="I68"/>
      <c r="J68"/>
      <c r="K68"/>
      <c r="L68"/>
      <c r="M68"/>
    </row>
    <row r="69" spans="3:13">
      <c r="C69"/>
      <c r="D69"/>
      <c r="E69"/>
      <c r="F69"/>
      <c r="G69"/>
      <c r="H69"/>
      <c r="I69"/>
      <c r="J69"/>
      <c r="K69"/>
      <c r="L69"/>
      <c r="M69"/>
    </row>
    <row r="70" spans="3:13">
      <c r="C70"/>
      <c r="D70"/>
      <c r="E70"/>
      <c r="F70"/>
      <c r="G70"/>
      <c r="H70"/>
      <c r="I70"/>
      <c r="J70"/>
      <c r="K70"/>
      <c r="L70"/>
      <c r="M70"/>
    </row>
    <row r="71" spans="3:13">
      <c r="C71"/>
      <c r="D71"/>
      <c r="E71"/>
      <c r="F71"/>
      <c r="G71"/>
      <c r="H71"/>
      <c r="I71"/>
      <c r="J71"/>
      <c r="K71"/>
      <c r="L71"/>
      <c r="M71"/>
    </row>
    <row r="72" spans="3:13">
      <c r="C72"/>
      <c r="D72"/>
      <c r="E72"/>
      <c r="F72"/>
      <c r="G72"/>
      <c r="H72"/>
      <c r="I72"/>
      <c r="J72"/>
      <c r="K72"/>
      <c r="L72"/>
      <c r="M72"/>
    </row>
    <row r="73" spans="3:13">
      <c r="C73"/>
      <c r="D73"/>
      <c r="E73"/>
      <c r="F73"/>
      <c r="G73"/>
      <c r="H73"/>
      <c r="I73"/>
      <c r="J73"/>
      <c r="K73"/>
      <c r="L73"/>
      <c r="M73"/>
    </row>
    <row r="74" spans="3:13">
      <c r="C74"/>
      <c r="D74"/>
      <c r="E74"/>
      <c r="F74"/>
      <c r="G74"/>
      <c r="H74"/>
      <c r="I74"/>
      <c r="J74"/>
      <c r="K74"/>
      <c r="L74"/>
      <c r="M74"/>
    </row>
    <row r="75" spans="3:13">
      <c r="C75"/>
      <c r="D75"/>
      <c r="E75"/>
      <c r="F75"/>
      <c r="G75"/>
      <c r="H75"/>
      <c r="I75"/>
      <c r="J75"/>
      <c r="K75"/>
      <c r="L75"/>
      <c r="M75"/>
    </row>
    <row r="76" spans="3:13">
      <c r="C76"/>
      <c r="D76"/>
      <c r="E76"/>
      <c r="F76"/>
      <c r="G76"/>
      <c r="H76"/>
      <c r="I76"/>
      <c r="J76"/>
      <c r="K76"/>
      <c r="L76"/>
      <c r="M76"/>
    </row>
    <row r="77" spans="3:13">
      <c r="C77"/>
      <c r="D77"/>
      <c r="E77"/>
      <c r="F77"/>
      <c r="G77"/>
      <c r="H77"/>
      <c r="I77"/>
      <c r="J77"/>
      <c r="K77"/>
      <c r="L77"/>
      <c r="M77"/>
    </row>
    <row r="78" spans="3:13">
      <c r="C78"/>
      <c r="D78"/>
      <c r="E78"/>
      <c r="F78"/>
      <c r="G78"/>
      <c r="H78"/>
      <c r="I78"/>
      <c r="J78"/>
      <c r="K78"/>
      <c r="L78"/>
      <c r="M78"/>
    </row>
    <row r="79" spans="3:13">
      <c r="C79"/>
      <c r="D79"/>
      <c r="E79"/>
      <c r="F79"/>
      <c r="G79"/>
      <c r="H79"/>
      <c r="I79"/>
      <c r="J79"/>
      <c r="K79"/>
      <c r="L79"/>
      <c r="M79"/>
    </row>
    <row r="80" spans="3:13">
      <c r="C80"/>
      <c r="D80"/>
      <c r="E80"/>
      <c r="F80"/>
      <c r="G80"/>
      <c r="H80"/>
      <c r="I80"/>
      <c r="J80"/>
      <c r="K80"/>
      <c r="L80"/>
      <c r="M80"/>
    </row>
    <row r="81" spans="3:21">
      <c r="C81"/>
      <c r="D81"/>
      <c r="E81"/>
      <c r="F81"/>
      <c r="G81"/>
      <c r="H81"/>
      <c r="I81"/>
      <c r="J81"/>
      <c r="K81"/>
      <c r="L81"/>
      <c r="M81"/>
      <c r="N81" s="158"/>
      <c r="O81" s="158"/>
    </row>
    <row r="82" spans="3:21">
      <c r="S82" s="158"/>
      <c r="T82" s="158"/>
      <c r="U82" s="158">
        <v>3451886</v>
      </c>
    </row>
    <row r="83" spans="3:21">
      <c r="S83" s="158"/>
      <c r="T83" s="158"/>
      <c r="U83" s="158">
        <f>L79+U82</f>
        <v>3451886</v>
      </c>
    </row>
  </sheetData>
  <mergeCells count="4">
    <mergeCell ref="A1:J1"/>
    <mergeCell ref="A2:J2"/>
    <mergeCell ref="A3:J3"/>
    <mergeCell ref="C7:E7"/>
  </mergeCells>
  <phoneticPr fontId="10" type="noConversion"/>
  <pageMargins left="0.25" right="0.25" top="0.5" bottom="0.25" header="0.3" footer="0.3"/>
  <pageSetup scale="85" orientation="landscape" r:id="rId1"/>
  <headerFooter alignWithMargins="0">
    <oddFooter>&amp;C&amp;14Exhibit 9, 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81"/>
  <sheetViews>
    <sheetView topLeftCell="A15" workbookViewId="0">
      <selection activeCell="A3" sqref="A3:J3"/>
    </sheetView>
  </sheetViews>
  <sheetFormatPr defaultRowHeight="12.75"/>
  <cols>
    <col min="2" max="2" width="36.140625" customWidth="1"/>
    <col min="3" max="8" width="15.7109375" customWidth="1"/>
    <col min="9" max="9" width="16.28515625" customWidth="1"/>
    <col min="10" max="10" width="20.7109375" bestFit="1" customWidth="1"/>
    <col min="11" max="11" width="32" bestFit="1" customWidth="1"/>
    <col min="12" max="12" width="15.7109375" customWidth="1"/>
    <col min="13" max="16" width="13.42578125" customWidth="1"/>
    <col min="17" max="18" width="13.42578125" bestFit="1" customWidth="1"/>
    <col min="19" max="19" width="13.42578125" customWidth="1"/>
    <col min="20" max="21" width="13.42578125" bestFit="1" customWidth="1"/>
    <col min="22" max="22" width="15.5703125" bestFit="1" customWidth="1"/>
    <col min="23" max="24" width="13.42578125" bestFit="1" customWidth="1"/>
    <col min="27" max="27" width="9.85546875" bestFit="1" customWidth="1"/>
    <col min="31" max="31" width="9.85546875" bestFit="1" customWidth="1"/>
    <col min="37" max="37" width="12.42578125" bestFit="1" customWidth="1"/>
    <col min="42" max="42" width="10.42578125" bestFit="1" customWidth="1"/>
    <col min="47" max="47" width="15.140625" bestFit="1" customWidth="1"/>
  </cols>
  <sheetData>
    <row r="1" spans="1:25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29"/>
      <c r="L1" s="29"/>
    </row>
    <row r="2" spans="1:25">
      <c r="A2" s="488" t="s">
        <v>1165</v>
      </c>
      <c r="B2" s="488"/>
      <c r="C2" s="488"/>
      <c r="D2" s="488"/>
      <c r="E2" s="488"/>
      <c r="F2" s="488"/>
      <c r="G2" s="488"/>
      <c r="H2" s="488"/>
      <c r="I2" s="488"/>
      <c r="J2" s="488"/>
    </row>
    <row r="3" spans="1:25">
      <c r="A3" s="488" t="s">
        <v>607</v>
      </c>
      <c r="B3" s="488"/>
      <c r="C3" s="488"/>
      <c r="D3" s="488"/>
      <c r="E3" s="488"/>
      <c r="F3" s="488"/>
      <c r="G3" s="488"/>
      <c r="H3" s="488"/>
      <c r="I3" s="488"/>
      <c r="J3" s="488"/>
    </row>
    <row r="4" spans="1:25">
      <c r="A4" s="155"/>
      <c r="B4" s="155"/>
      <c r="C4" s="155"/>
      <c r="D4" s="155"/>
      <c r="E4" s="155"/>
      <c r="F4" s="155"/>
      <c r="G4" s="155"/>
      <c r="H4" s="155"/>
      <c r="I4" s="155"/>
      <c r="J4" s="155"/>
    </row>
    <row r="5" spans="1:25">
      <c r="A5" s="177" t="s">
        <v>35</v>
      </c>
      <c r="B5" s="177" t="s">
        <v>1</v>
      </c>
      <c r="C5" s="177" t="s">
        <v>2</v>
      </c>
      <c r="D5" s="177" t="s">
        <v>3</v>
      </c>
      <c r="E5" s="177" t="s">
        <v>4</v>
      </c>
    </row>
    <row r="6" spans="1:25">
      <c r="A6" s="177" t="s">
        <v>36</v>
      </c>
      <c r="B6" s="161"/>
      <c r="C6" s="155"/>
      <c r="D6" s="155"/>
      <c r="E6" s="161"/>
    </row>
    <row r="7" spans="1:25">
      <c r="A7" s="161"/>
      <c r="B7" s="161"/>
      <c r="C7" s="489" t="s">
        <v>123</v>
      </c>
      <c r="D7" s="489"/>
      <c r="E7" s="489"/>
    </row>
    <row r="8" spans="1:25">
      <c r="A8" s="156">
        <v>1</v>
      </c>
      <c r="B8" s="16" t="s">
        <v>42</v>
      </c>
      <c r="C8" s="155"/>
      <c r="D8" s="155"/>
      <c r="E8" s="155"/>
      <c r="M8" s="331">
        <v>44958</v>
      </c>
      <c r="N8" s="331">
        <v>44927</v>
      </c>
      <c r="O8" s="331">
        <v>44896</v>
      </c>
      <c r="P8" s="331">
        <v>44866</v>
      </c>
      <c r="Q8" s="331">
        <v>44835</v>
      </c>
      <c r="R8" s="331">
        <v>44805</v>
      </c>
      <c r="S8" s="331">
        <v>44774</v>
      </c>
      <c r="T8" s="331">
        <v>44743</v>
      </c>
      <c r="U8" s="331">
        <v>44713</v>
      </c>
      <c r="V8" s="331">
        <v>44682</v>
      </c>
      <c r="W8" s="331">
        <v>44652</v>
      </c>
      <c r="X8" s="331">
        <v>44621</v>
      </c>
    </row>
    <row r="9" spans="1:25">
      <c r="A9" s="156">
        <f>A8+1</f>
        <v>2</v>
      </c>
      <c r="B9" s="155" t="s">
        <v>132</v>
      </c>
      <c r="C9" s="158">
        <f>SUM(M9:X9)</f>
        <v>15149</v>
      </c>
      <c r="D9" s="155"/>
      <c r="E9" s="156"/>
      <c r="M9">
        <v>1276</v>
      </c>
      <c r="N9">
        <v>1271</v>
      </c>
      <c r="O9">
        <v>1269</v>
      </c>
      <c r="P9">
        <f>1269</f>
        <v>1269</v>
      </c>
      <c r="Q9">
        <v>1263</v>
      </c>
      <c r="R9">
        <v>1264</v>
      </c>
      <c r="S9">
        <v>1261</v>
      </c>
      <c r="T9">
        <v>1255</v>
      </c>
      <c r="U9">
        <v>1253</v>
      </c>
      <c r="V9">
        <v>1256</v>
      </c>
      <c r="W9">
        <v>1258</v>
      </c>
      <c r="X9">
        <v>1254</v>
      </c>
    </row>
    <row r="10" spans="1:25">
      <c r="A10" s="156">
        <f t="shared" ref="A10:A63" si="0">A9+1</f>
        <v>3</v>
      </c>
      <c r="B10" s="155"/>
      <c r="C10" s="159"/>
      <c r="D10" s="155"/>
      <c r="E10" s="155"/>
      <c r="Y10" s="155"/>
    </row>
    <row r="11" spans="1:25" ht="13.5" thickBot="1">
      <c r="A11" s="156">
        <f t="shared" si="0"/>
        <v>4</v>
      </c>
      <c r="B11" s="155" t="s">
        <v>133</v>
      </c>
      <c r="C11" s="238">
        <f>SUM(C9:C10)</f>
        <v>15149</v>
      </c>
      <c r="D11" s="221">
        <v>45.52</v>
      </c>
      <c r="E11" s="167">
        <f>C11*D11</f>
        <v>689582.4800000001</v>
      </c>
      <c r="K11" s="29"/>
    </row>
    <row r="12" spans="1:25" ht="13.5" thickTop="1">
      <c r="A12" s="156">
        <f t="shared" si="0"/>
        <v>5</v>
      </c>
      <c r="B12" s="155"/>
      <c r="C12" s="155"/>
      <c r="D12" s="239"/>
      <c r="E12" s="155"/>
    </row>
    <row r="13" spans="1:25">
      <c r="A13" s="156">
        <f t="shared" si="0"/>
        <v>6</v>
      </c>
      <c r="B13" s="16" t="s">
        <v>135</v>
      </c>
      <c r="C13" s="216">
        <f>SUM(M13:X13)</f>
        <v>632474.99000000011</v>
      </c>
      <c r="D13" s="221">
        <v>5.78</v>
      </c>
      <c r="E13" s="161">
        <f>C13*D13</f>
        <v>3655705.4422000009</v>
      </c>
      <c r="M13">
        <f>-4.91+49107.35</f>
        <v>49102.439999999995</v>
      </c>
      <c r="N13" s="117">
        <v>51555.247000000003</v>
      </c>
      <c r="O13">
        <v>52156.105000000003</v>
      </c>
      <c r="P13">
        <f>55554.564-21.3</f>
        <v>55533.263999999996</v>
      </c>
      <c r="Q13">
        <v>61660.411999999997</v>
      </c>
      <c r="R13">
        <f>56662.75+89.136</f>
        <v>56751.885999999999</v>
      </c>
      <c r="S13">
        <v>56211.059000000001</v>
      </c>
      <c r="T13">
        <f>53617.52</f>
        <v>53617.52</v>
      </c>
      <c r="U13">
        <v>51051.267999999996</v>
      </c>
      <c r="V13">
        <v>48090.919000000002</v>
      </c>
      <c r="W13">
        <v>47578.69</v>
      </c>
      <c r="X13">
        <v>49166.18</v>
      </c>
    </row>
    <row r="14" spans="1:25">
      <c r="A14" s="156">
        <f t="shared" si="0"/>
        <v>7</v>
      </c>
      <c r="B14" s="155" t="s">
        <v>406</v>
      </c>
      <c r="C14" s="220"/>
      <c r="D14" s="221">
        <v>5.78</v>
      </c>
      <c r="E14" s="167">
        <f>C14*D14</f>
        <v>0</v>
      </c>
    </row>
    <row r="15" spans="1:25" ht="13.5" thickBot="1">
      <c r="A15" s="156">
        <f t="shared" si="0"/>
        <v>8</v>
      </c>
      <c r="B15" s="155" t="s">
        <v>357</v>
      </c>
      <c r="C15" s="240">
        <f>SUM(C13:C14)</f>
        <v>632474.99000000011</v>
      </c>
      <c r="D15" s="239"/>
      <c r="E15" s="241">
        <f>SUM(E13:E14)</f>
        <v>3655705.4422000009</v>
      </c>
      <c r="K15" s="29"/>
      <c r="N15" s="154"/>
    </row>
    <row r="16" spans="1:25" ht="13.5" thickTop="1">
      <c r="A16" s="156">
        <f t="shared" si="0"/>
        <v>9</v>
      </c>
      <c r="B16" s="155"/>
      <c r="C16" s="216"/>
      <c r="D16" s="239"/>
      <c r="E16" s="161"/>
      <c r="K16" s="29"/>
      <c r="N16" s="154"/>
    </row>
    <row r="17" spans="1:29">
      <c r="A17" s="156">
        <f t="shared" si="0"/>
        <v>10</v>
      </c>
      <c r="B17" s="16" t="s">
        <v>55</v>
      </c>
      <c r="C17" s="155"/>
      <c r="D17" s="239"/>
      <c r="E17" s="155"/>
      <c r="K17" s="60"/>
    </row>
    <row r="18" spans="1:29">
      <c r="A18" s="156">
        <f t="shared" si="0"/>
        <v>11</v>
      </c>
      <c r="B18" s="155" t="s">
        <v>136</v>
      </c>
      <c r="C18" s="155"/>
      <c r="D18" s="239"/>
      <c r="E18" s="155"/>
    </row>
    <row r="19" spans="1:29">
      <c r="A19" s="156">
        <f t="shared" si="0"/>
        <v>12</v>
      </c>
      <c r="B19" s="155" t="s">
        <v>56</v>
      </c>
      <c r="C19" s="216">
        <f>SUM(M19:X19)</f>
        <v>108601287</v>
      </c>
      <c r="D19" s="239">
        <v>8.7489999999999998E-2</v>
      </c>
      <c r="E19" s="161">
        <f>C19*D19</f>
        <v>9501526.5996300001</v>
      </c>
      <c r="M19">
        <v>8521360</v>
      </c>
      <c r="N19" s="332">
        <v>8834605</v>
      </c>
      <c r="O19">
        <v>8698075</v>
      </c>
      <c r="P19">
        <f>9245548+600</f>
        <v>9246148</v>
      </c>
      <c r="Q19">
        <v>10620140</v>
      </c>
      <c r="R19">
        <v>9862285</v>
      </c>
      <c r="S19">
        <v>9840877</v>
      </c>
      <c r="T19">
        <v>9346862</v>
      </c>
      <c r="U19">
        <v>8791073</v>
      </c>
      <c r="V19">
        <v>8211470</v>
      </c>
      <c r="W19">
        <v>8203256</v>
      </c>
      <c r="X19">
        <v>8425136</v>
      </c>
    </row>
    <row r="20" spans="1:29">
      <c r="A20" s="156">
        <f t="shared" si="0"/>
        <v>13</v>
      </c>
      <c r="B20" s="155" t="s">
        <v>57</v>
      </c>
      <c r="C20" s="216">
        <f>SUM(M20:X20)</f>
        <v>53348410</v>
      </c>
      <c r="D20" s="239">
        <v>6.7100000000000007E-2</v>
      </c>
      <c r="E20" s="161">
        <f>C20*D20</f>
        <v>3579678.3110000002</v>
      </c>
      <c r="M20">
        <v>4509620</v>
      </c>
      <c r="N20" s="332">
        <v>4356187</v>
      </c>
      <c r="O20">
        <v>3882724</v>
      </c>
      <c r="P20">
        <f>3925600</f>
        <v>3925600</v>
      </c>
      <c r="Q20">
        <v>4486569</v>
      </c>
      <c r="R20">
        <v>5360509</v>
      </c>
      <c r="S20">
        <f>-6496+5739171</f>
        <v>5732675</v>
      </c>
      <c r="T20">
        <v>5355789</v>
      </c>
      <c r="U20">
        <v>4509055</v>
      </c>
      <c r="V20">
        <v>3717795</v>
      </c>
      <c r="W20">
        <v>3680709</v>
      </c>
      <c r="X20">
        <v>3831178</v>
      </c>
    </row>
    <row r="21" spans="1:29">
      <c r="A21" s="156">
        <f t="shared" si="0"/>
        <v>14</v>
      </c>
      <c r="B21" s="155" t="s">
        <v>58</v>
      </c>
      <c r="C21" s="216">
        <f>SUM(M21:X21)</f>
        <v>13050058</v>
      </c>
      <c r="D21" s="239">
        <v>5.9400000000000001E-2</v>
      </c>
      <c r="E21" s="161">
        <f>C21*D21</f>
        <v>775173.44520000007</v>
      </c>
      <c r="M21">
        <v>1184238</v>
      </c>
      <c r="N21" s="46">
        <v>1025935</v>
      </c>
      <c r="O21">
        <v>972049</v>
      </c>
      <c r="P21">
        <f>966698</f>
        <v>966698</v>
      </c>
      <c r="Q21">
        <v>835543</v>
      </c>
      <c r="R21">
        <v>1537957</v>
      </c>
      <c r="S21">
        <f>-8224+1717189</f>
        <v>1708965</v>
      </c>
      <c r="T21">
        <v>1232421</v>
      </c>
      <c r="U21">
        <v>1131397</v>
      </c>
      <c r="V21">
        <v>859106</v>
      </c>
      <c r="W21">
        <v>895633</v>
      </c>
      <c r="X21">
        <v>700116</v>
      </c>
    </row>
    <row r="22" spans="1:29">
      <c r="A22" s="156"/>
      <c r="B22" s="155" t="s">
        <v>641</v>
      </c>
      <c r="C22" s="216">
        <f>SUM(M22:X22)</f>
        <v>-23520</v>
      </c>
      <c r="D22" s="239">
        <f>E22/C22</f>
        <v>8.6808248299319726E-2</v>
      </c>
      <c r="E22" s="161">
        <v>-2041.73</v>
      </c>
      <c r="M22">
        <v>-23520</v>
      </c>
    </row>
    <row r="23" spans="1:29">
      <c r="A23" s="156">
        <f>A21+1</f>
        <v>15</v>
      </c>
      <c r="B23" s="155" t="s">
        <v>59</v>
      </c>
      <c r="C23" s="216">
        <f>SUM(C19:C22)</f>
        <v>174976235</v>
      </c>
      <c r="D23" s="239">
        <f>ROUND(E23/C23,5)</f>
        <v>7.918E-2</v>
      </c>
      <c r="E23" s="243">
        <f>SUM(E19:E22)</f>
        <v>13854336.62583</v>
      </c>
      <c r="K23" s="48"/>
    </row>
    <row r="24" spans="1:29" ht="15">
      <c r="A24" s="156">
        <f t="shared" si="0"/>
        <v>16</v>
      </c>
      <c r="B24" s="384" t="s">
        <v>642</v>
      </c>
      <c r="C24" s="216"/>
      <c r="D24" s="233"/>
      <c r="E24" s="161"/>
      <c r="F24" s="216"/>
      <c r="G24" s="216"/>
      <c r="H24" s="216"/>
      <c r="I24" s="155"/>
      <c r="J24" s="155"/>
      <c r="K24" s="26"/>
      <c r="N24" s="31"/>
    </row>
    <row r="25" spans="1:29">
      <c r="A25" s="156">
        <f t="shared" si="0"/>
        <v>17</v>
      </c>
      <c r="B25" s="155" t="s">
        <v>432</v>
      </c>
      <c r="C25" s="220">
        <f>SUM(M25:Y25)</f>
        <v>0</v>
      </c>
      <c r="D25" s="239">
        <f>D23</f>
        <v>7.918E-2</v>
      </c>
      <c r="E25" s="167"/>
      <c r="F25" s="239"/>
      <c r="G25" s="216">
        <f>C25</f>
        <v>0</v>
      </c>
      <c r="H25" s="161">
        <f>+G25*F25</f>
        <v>0</v>
      </c>
      <c r="I25" s="225">
        <f>+I23</f>
        <v>0</v>
      </c>
      <c r="J25" s="171"/>
    </row>
    <row r="26" spans="1:29" ht="13.5" thickBot="1">
      <c r="A26" s="156">
        <f t="shared" si="0"/>
        <v>18</v>
      </c>
      <c r="B26" s="155" t="s">
        <v>48</v>
      </c>
      <c r="C26" s="240">
        <f>SUM(C23:C25)</f>
        <v>174976235</v>
      </c>
      <c r="D26" s="155"/>
      <c r="E26" s="241">
        <f>SUM(E23:E25)</f>
        <v>13854336.62583</v>
      </c>
    </row>
    <row r="27" spans="1:29" ht="13.5" thickTop="1">
      <c r="A27" s="156">
        <f t="shared" si="0"/>
        <v>19</v>
      </c>
      <c r="B27" s="155"/>
      <c r="C27" s="216"/>
      <c r="D27" s="155"/>
      <c r="E27" s="155"/>
    </row>
    <row r="28" spans="1:29">
      <c r="A28" s="156">
        <f t="shared" si="0"/>
        <v>20</v>
      </c>
      <c r="B28" s="16" t="s">
        <v>350</v>
      </c>
      <c r="C28" s="216"/>
      <c r="D28" s="155"/>
      <c r="E28" s="155"/>
      <c r="P28" s="60"/>
    </row>
    <row r="29" spans="1:29">
      <c r="A29" s="156">
        <f t="shared" si="0"/>
        <v>21</v>
      </c>
      <c r="B29" s="170" t="s">
        <v>658</v>
      </c>
      <c r="C29" s="216"/>
      <c r="D29" s="228">
        <f>E29/$C$26</f>
        <v>2.0499933662419929E-2</v>
      </c>
      <c r="E29" s="216">
        <f t="shared" ref="E29:E36" si="1">SUM(M29:X29)</f>
        <v>3587001.2100000004</v>
      </c>
      <c r="L29" s="60"/>
      <c r="M29">
        <v>213366.02</v>
      </c>
      <c r="N29" s="162">
        <v>444397.65</v>
      </c>
      <c r="O29">
        <v>519497.03</v>
      </c>
      <c r="P29" s="60">
        <f>546509.6+12.1</f>
        <v>546521.69999999995</v>
      </c>
      <c r="Q29" s="60">
        <v>360423.94</v>
      </c>
      <c r="R29" s="60">
        <f>276450.34</f>
        <v>276450.34000000003</v>
      </c>
      <c r="S29" s="60">
        <f>-52.85+62107.55</f>
        <v>62054.700000000004</v>
      </c>
      <c r="T29">
        <v>344576.8</v>
      </c>
      <c r="U29">
        <v>266085.96999999997</v>
      </c>
      <c r="V29">
        <v>299951.28999999998</v>
      </c>
      <c r="W29">
        <v>129733.27</v>
      </c>
      <c r="X29">
        <v>123942.5</v>
      </c>
      <c r="Y29" s="60"/>
      <c r="Z29" s="60"/>
      <c r="AA29" s="60"/>
      <c r="AB29" s="60"/>
      <c r="AC29" s="60"/>
    </row>
    <row r="30" spans="1:29">
      <c r="A30" s="156"/>
      <c r="B30" s="155" t="s">
        <v>640</v>
      </c>
      <c r="C30" s="216"/>
      <c r="D30" s="228"/>
      <c r="E30" s="216">
        <f t="shared" si="1"/>
        <v>-603.36</v>
      </c>
      <c r="L30" s="60"/>
      <c r="M30">
        <v>-603.36</v>
      </c>
      <c r="P30" s="60"/>
      <c r="Y30" s="60"/>
      <c r="Z30" s="60"/>
      <c r="AA30" s="60"/>
      <c r="AB30" s="60"/>
      <c r="AC30" s="60"/>
    </row>
    <row r="31" spans="1:29">
      <c r="A31" s="156">
        <f>A29+1</f>
        <v>22</v>
      </c>
      <c r="B31" s="170" t="s">
        <v>352</v>
      </c>
      <c r="C31" s="216"/>
      <c r="D31" s="228">
        <f>E31/$C$26</f>
        <v>5.4878270754882786E-3</v>
      </c>
      <c r="E31" s="216">
        <f t="shared" si="1"/>
        <v>960239.31999999983</v>
      </c>
      <c r="L31" s="60"/>
      <c r="M31">
        <v>51275.75</v>
      </c>
      <c r="N31" s="162">
        <v>62670.25</v>
      </c>
      <c r="O31">
        <v>85481.97</v>
      </c>
      <c r="P31" s="60">
        <f>63249.91+2.84</f>
        <v>63252.75</v>
      </c>
      <c r="Q31" s="60">
        <v>69677.34</v>
      </c>
      <c r="R31" s="60">
        <v>58185.09</v>
      </c>
      <c r="S31" s="60">
        <f>-66.66+78332.18</f>
        <v>78265.51999999999</v>
      </c>
      <c r="T31">
        <v>86094</v>
      </c>
      <c r="U31">
        <v>115545.94</v>
      </c>
      <c r="V31">
        <v>102377.25</v>
      </c>
      <c r="W31">
        <v>95511.03</v>
      </c>
      <c r="X31">
        <v>91902.43</v>
      </c>
      <c r="Y31" s="60"/>
      <c r="Z31" s="60"/>
      <c r="AA31" s="60"/>
      <c r="AB31" s="60"/>
      <c r="AC31" s="60"/>
    </row>
    <row r="32" spans="1:29">
      <c r="A32" s="156">
        <f t="shared" si="0"/>
        <v>23</v>
      </c>
      <c r="B32" s="155" t="s">
        <v>640</v>
      </c>
      <c r="C32" s="216"/>
      <c r="D32" s="228"/>
      <c r="E32" s="216">
        <f t="shared" si="1"/>
        <v>-108.22</v>
      </c>
      <c r="L32" s="60"/>
      <c r="M32">
        <v>-108.22</v>
      </c>
      <c r="N32" s="162"/>
      <c r="P32" s="60"/>
      <c r="Q32" s="60"/>
      <c r="R32" s="60"/>
      <c r="S32" s="60"/>
      <c r="Y32" s="60"/>
      <c r="Z32" s="60"/>
      <c r="AA32" s="60"/>
      <c r="AB32" s="60"/>
      <c r="AC32" s="60"/>
    </row>
    <row r="33" spans="1:29">
      <c r="A33" s="156">
        <f t="shared" si="0"/>
        <v>24</v>
      </c>
      <c r="B33" s="170" t="s">
        <v>355</v>
      </c>
      <c r="C33" s="216"/>
      <c r="D33" s="228">
        <f>E33/$C$26</f>
        <v>-6.6818678547975394E-3</v>
      </c>
      <c r="E33" s="216">
        <f t="shared" si="1"/>
        <v>-1169168.08</v>
      </c>
      <c r="L33" s="60"/>
      <c r="M33">
        <v>-57774.7</v>
      </c>
      <c r="N33" s="162">
        <v>-121837.43</v>
      </c>
      <c r="O33">
        <v>-143340.47</v>
      </c>
      <c r="P33" s="60">
        <f>-108631.11-2.95</f>
        <v>-108634.06</v>
      </c>
      <c r="Q33" s="60">
        <v>-82882.240000000005</v>
      </c>
      <c r="R33" s="60">
        <v>-55948.68</v>
      </c>
      <c r="S33" s="60">
        <f>68.25-80196.97</f>
        <v>-80128.72</v>
      </c>
      <c r="T33">
        <f>-138291.17</f>
        <v>-138291.17000000001</v>
      </c>
      <c r="U33">
        <v>-140407.54999999999</v>
      </c>
      <c r="V33">
        <v>-116626.08</v>
      </c>
      <c r="W33">
        <v>-62478.19</v>
      </c>
      <c r="X33">
        <v>-60818.79</v>
      </c>
      <c r="Y33" s="60"/>
      <c r="Z33" s="60"/>
      <c r="AA33" s="60"/>
      <c r="AB33" s="60"/>
      <c r="AC33" s="60"/>
    </row>
    <row r="34" spans="1:29">
      <c r="A34" s="156">
        <f t="shared" si="0"/>
        <v>25</v>
      </c>
      <c r="B34" s="155" t="s">
        <v>640</v>
      </c>
      <c r="C34" s="216"/>
      <c r="D34" s="228"/>
      <c r="E34" s="216">
        <f t="shared" si="1"/>
        <v>146.05000000000001</v>
      </c>
      <c r="L34" s="60"/>
      <c r="M34">
        <v>146.05000000000001</v>
      </c>
      <c r="N34" s="162"/>
      <c r="P34" s="60"/>
      <c r="Q34" s="60"/>
      <c r="R34" s="60"/>
      <c r="S34" s="60"/>
      <c r="Y34" s="60"/>
      <c r="Z34" s="60"/>
      <c r="AA34" s="60"/>
      <c r="AB34" s="60"/>
      <c r="AC34" s="60"/>
    </row>
    <row r="35" spans="1:29">
      <c r="A35" s="156">
        <f t="shared" si="0"/>
        <v>26</v>
      </c>
      <c r="B35" s="170" t="s">
        <v>354</v>
      </c>
      <c r="C35" s="216"/>
      <c r="D35" s="228">
        <f>E35/$C$26</f>
        <v>3.8141682497626036E-3</v>
      </c>
      <c r="E35" s="216">
        <f t="shared" si="1"/>
        <v>667388.80000000005</v>
      </c>
      <c r="L35" s="60"/>
      <c r="M35">
        <v>74267.25</v>
      </c>
      <c r="N35" s="310">
        <v>105533.52</v>
      </c>
      <c r="O35">
        <v>96373.06</v>
      </c>
      <c r="P35" s="60">
        <f>92830.33+0.84</f>
        <v>92831.17</v>
      </c>
      <c r="Q35" s="60">
        <v>37151.769999999997</v>
      </c>
      <c r="R35" s="60">
        <v>32252.75</v>
      </c>
      <c r="S35" s="60">
        <f>-31.25+36720.06</f>
        <v>36688.81</v>
      </c>
      <c r="T35">
        <v>47951.7</v>
      </c>
      <c r="U35">
        <v>44424.74</v>
      </c>
      <c r="V35">
        <v>44296.49</v>
      </c>
      <c r="W35">
        <v>24288.79</v>
      </c>
      <c r="X35">
        <v>31328.75</v>
      </c>
      <c r="Y35" s="60"/>
      <c r="Z35" s="60"/>
      <c r="AA35" s="60"/>
      <c r="AB35" s="60"/>
      <c r="AC35" s="60"/>
    </row>
    <row r="36" spans="1:29">
      <c r="A36" s="156"/>
      <c r="B36" s="155" t="s">
        <v>640</v>
      </c>
      <c r="C36" s="216"/>
      <c r="D36" s="228"/>
      <c r="E36" s="216">
        <f t="shared" si="1"/>
        <v>-84.16</v>
      </c>
      <c r="L36" s="60"/>
      <c r="M36">
        <v>-84.16</v>
      </c>
      <c r="Y36" s="60"/>
      <c r="Z36" s="60"/>
      <c r="AA36" s="60"/>
      <c r="AB36" s="60"/>
      <c r="AC36" s="60"/>
    </row>
    <row r="37" spans="1:29" ht="13.5" thickBot="1">
      <c r="A37" s="156">
        <f>A35+1</f>
        <v>27</v>
      </c>
      <c r="B37" s="217" t="s">
        <v>364</v>
      </c>
      <c r="C37" s="238">
        <f>C26-C24</f>
        <v>174976235</v>
      </c>
      <c r="E37" s="161">
        <f>SUM(E29:E36)</f>
        <v>4044811.5599999996</v>
      </c>
    </row>
    <row r="38" spans="1:29" ht="13.5" thickTop="1">
      <c r="A38" s="156">
        <f t="shared" si="0"/>
        <v>28</v>
      </c>
      <c r="B38" s="217"/>
      <c r="C38" s="216"/>
      <c r="D38" s="245"/>
      <c r="E38" s="161"/>
    </row>
    <row r="39" spans="1:29">
      <c r="A39" s="156">
        <f t="shared" si="0"/>
        <v>29</v>
      </c>
      <c r="B39" s="155" t="s">
        <v>60</v>
      </c>
      <c r="C39" s="216">
        <f>SUM(M39:X39)</f>
        <v>31864.960000000003</v>
      </c>
      <c r="D39" s="247">
        <f>-0.65</f>
        <v>-0.65</v>
      </c>
      <c r="E39" s="161">
        <f>C39*D39</f>
        <v>-20712.224000000002</v>
      </c>
      <c r="M39">
        <v>2890.42</v>
      </c>
      <c r="N39" s="117">
        <v>3048.54</v>
      </c>
      <c r="O39">
        <v>2439.3200000000002</v>
      </c>
      <c r="P39">
        <f>2298.63</f>
        <v>2298.63</v>
      </c>
      <c r="Q39">
        <v>2420.6</v>
      </c>
      <c r="R39">
        <v>3171.18</v>
      </c>
      <c r="S39">
        <v>3259.22</v>
      </c>
      <c r="T39">
        <v>2342.65</v>
      </c>
      <c r="U39">
        <v>2227.4899999999998</v>
      </c>
      <c r="V39">
        <v>2219.7800000000002</v>
      </c>
      <c r="W39">
        <v>2544.25</v>
      </c>
      <c r="X39">
        <v>3002.88</v>
      </c>
    </row>
    <row r="40" spans="1:29">
      <c r="A40" s="156">
        <f t="shared" si="0"/>
        <v>30</v>
      </c>
      <c r="B40" s="155" t="s">
        <v>363</v>
      </c>
      <c r="C40" s="216">
        <f>SUM(M40:X40)</f>
        <v>15233.04</v>
      </c>
      <c r="D40" s="155"/>
      <c r="E40" s="161">
        <f>C40</f>
        <v>15233.04</v>
      </c>
      <c r="M40">
        <v>1269.42</v>
      </c>
      <c r="N40">
        <v>1269.42</v>
      </c>
      <c r="O40">
        <v>1269.42</v>
      </c>
      <c r="P40">
        <v>1269.42</v>
      </c>
      <c r="Q40">
        <v>1269.42</v>
      </c>
      <c r="R40">
        <v>1269.42</v>
      </c>
      <c r="S40">
        <v>1269.42</v>
      </c>
      <c r="T40">
        <v>1269.42</v>
      </c>
      <c r="U40">
        <v>1269.42</v>
      </c>
      <c r="V40">
        <v>1269.42</v>
      </c>
      <c r="W40">
        <v>1269.42</v>
      </c>
      <c r="X40">
        <v>1269.42</v>
      </c>
    </row>
    <row r="41" spans="1:29">
      <c r="A41" s="156">
        <f t="shared" si="0"/>
        <v>31</v>
      </c>
      <c r="B41" s="155" t="s">
        <v>61</v>
      </c>
      <c r="C41" s="216">
        <f>SUM(M41:X41)</f>
        <v>6486.2717000000002</v>
      </c>
      <c r="D41" s="248">
        <f>D13</f>
        <v>5.78</v>
      </c>
      <c r="E41" s="161">
        <f>C41*D41</f>
        <v>37490.650426</v>
      </c>
      <c r="M41">
        <v>506.2509</v>
      </c>
      <c r="N41">
        <v>459.77159999999998</v>
      </c>
      <c r="O41">
        <v>491.7405</v>
      </c>
      <c r="P41">
        <v>565.68510000000003</v>
      </c>
      <c r="Q41">
        <v>660.86680000000001</v>
      </c>
      <c r="R41">
        <v>700.4325</v>
      </c>
      <c r="S41">
        <v>715.02599999999995</v>
      </c>
      <c r="T41">
        <v>555.23530000000005</v>
      </c>
      <c r="U41">
        <v>555.54669999999999</v>
      </c>
      <c r="V41">
        <v>448.80279999999999</v>
      </c>
      <c r="W41">
        <v>446.78890000000001</v>
      </c>
      <c r="X41">
        <v>380.12459999999999</v>
      </c>
    </row>
    <row r="42" spans="1:29">
      <c r="A42" s="156">
        <f t="shared" si="0"/>
        <v>32</v>
      </c>
      <c r="B42" s="155"/>
      <c r="C42" s="216"/>
      <c r="D42" s="248"/>
      <c r="E42" s="161"/>
    </row>
    <row r="43" spans="1:29">
      <c r="A43" s="156">
        <f t="shared" si="0"/>
        <v>33</v>
      </c>
      <c r="B43" s="155" t="s">
        <v>362</v>
      </c>
      <c r="C43" s="155"/>
      <c r="D43" s="155"/>
      <c r="E43" s="161">
        <f>E11+E15+E26+E37+E39+E40+E41</f>
        <v>22276447.574455999</v>
      </c>
    </row>
    <row r="44" spans="1:29">
      <c r="A44" s="156">
        <f t="shared" si="0"/>
        <v>34</v>
      </c>
      <c r="B44" s="155" t="s">
        <v>62</v>
      </c>
      <c r="C44" s="155"/>
      <c r="D44" s="155"/>
      <c r="E44" s="167">
        <f>SUM(M44:X44)</f>
        <v>0</v>
      </c>
      <c r="M44" s="31"/>
    </row>
    <row r="45" spans="1:29" ht="13.5" thickBot="1">
      <c r="A45" s="156">
        <f t="shared" si="0"/>
        <v>35</v>
      </c>
      <c r="B45" s="155" t="s">
        <v>63</v>
      </c>
      <c r="C45" s="155"/>
      <c r="D45" s="155"/>
      <c r="E45" s="249">
        <f>SUM(E43:E44)</f>
        <v>22276447.574455999</v>
      </c>
    </row>
    <row r="46" spans="1:29" ht="13.5" thickTop="1">
      <c r="A46" s="156">
        <f t="shared" si="0"/>
        <v>36</v>
      </c>
      <c r="B46" s="155"/>
      <c r="C46" s="155"/>
      <c r="D46" s="155"/>
      <c r="E46" s="161"/>
    </row>
    <row r="47" spans="1:29">
      <c r="A47" s="156">
        <f t="shared" si="0"/>
        <v>37</v>
      </c>
      <c r="B47" s="155"/>
      <c r="C47" s="155"/>
      <c r="D47" s="155"/>
      <c r="E47" s="161"/>
    </row>
    <row r="48" spans="1:29">
      <c r="A48" s="156">
        <f t="shared" si="0"/>
        <v>38</v>
      </c>
      <c r="B48" s="155"/>
      <c r="C48" s="235"/>
      <c r="D48" s="169"/>
      <c r="E48" s="155"/>
      <c r="F48" s="155"/>
      <c r="G48" s="155"/>
      <c r="H48" s="161"/>
      <c r="I48" s="155"/>
      <c r="J48" s="161"/>
    </row>
    <row r="49" spans="1:24" ht="15">
      <c r="A49" s="156">
        <f t="shared" si="0"/>
        <v>39</v>
      </c>
      <c r="B49" s="155"/>
      <c r="C49" s="235"/>
      <c r="D49" s="169"/>
      <c r="E49" s="155"/>
      <c r="F49" s="155"/>
      <c r="G49" s="155"/>
      <c r="H49" s="55"/>
      <c r="I49" s="155"/>
      <c r="J49" s="55"/>
    </row>
    <row r="50" spans="1:24">
      <c r="A50" s="156">
        <f t="shared" si="0"/>
        <v>40</v>
      </c>
      <c r="B50" s="155"/>
      <c r="C50" s="235"/>
      <c r="D50" s="169"/>
      <c r="E50" s="216"/>
      <c r="F50" s="155"/>
      <c r="G50" s="155"/>
      <c r="H50" s="155"/>
      <c r="I50" s="155"/>
      <c r="J50" s="155"/>
    </row>
    <row r="51" spans="1:24">
      <c r="A51" s="156">
        <f t="shared" si="0"/>
        <v>41</v>
      </c>
      <c r="B51" s="155"/>
      <c r="C51" s="235"/>
      <c r="D51" s="169"/>
      <c r="E51" s="155"/>
      <c r="F51" s="155"/>
      <c r="G51" s="155"/>
      <c r="H51" s="155"/>
      <c r="I51" s="155"/>
      <c r="J51" s="155"/>
    </row>
    <row r="52" spans="1:24">
      <c r="A52" s="156">
        <f t="shared" si="0"/>
        <v>42</v>
      </c>
      <c r="B52" s="155"/>
      <c r="C52" s="235"/>
      <c r="D52" s="169"/>
      <c r="E52" s="155"/>
      <c r="F52" s="155"/>
      <c r="G52" s="155"/>
      <c r="H52" s="155"/>
      <c r="I52" s="155"/>
      <c r="J52" s="155"/>
      <c r="K52" s="170" t="s">
        <v>351</v>
      </c>
      <c r="M52" s="357">
        <f>M29/SUM(M$19:M$21)</f>
        <v>1.5009690319205796E-2</v>
      </c>
      <c r="N52" s="357">
        <f t="shared" ref="N52:X52" si="2">N29/SUM(N$19:N$21)</f>
        <v>3.1258787623902468E-2</v>
      </c>
      <c r="O52" s="357">
        <f t="shared" si="2"/>
        <v>3.8331207580871565E-2</v>
      </c>
      <c r="P52" s="357">
        <f t="shared" si="2"/>
        <v>3.865500494184438E-2</v>
      </c>
      <c r="Q52" s="357">
        <f t="shared" si="2"/>
        <v>2.260809451512873E-2</v>
      </c>
      <c r="R52" s="357">
        <f t="shared" si="2"/>
        <v>1.6493911281183046E-2</v>
      </c>
      <c r="S52" s="357">
        <f t="shared" si="2"/>
        <v>3.5906054656274894E-3</v>
      </c>
      <c r="T52" s="357">
        <f t="shared" si="2"/>
        <v>2.1623799377875418E-2</v>
      </c>
      <c r="U52" s="357">
        <f t="shared" si="2"/>
        <v>1.8437827603111936E-2</v>
      </c>
      <c r="V52" s="357">
        <f t="shared" si="2"/>
        <v>2.3455003768658257E-2</v>
      </c>
      <c r="W52" s="357">
        <f t="shared" si="2"/>
        <v>1.0151592405332312E-2</v>
      </c>
      <c r="X52" s="357">
        <f t="shared" si="2"/>
        <v>9.5660996123160466E-3</v>
      </c>
    </row>
    <row r="53" spans="1:24">
      <c r="A53" s="156">
        <f t="shared" si="0"/>
        <v>43</v>
      </c>
      <c r="B53" s="155"/>
      <c r="C53" s="235"/>
      <c r="D53" s="155"/>
      <c r="E53" s="155"/>
      <c r="F53" s="155"/>
      <c r="G53" s="216"/>
      <c r="H53" s="155"/>
      <c r="I53" s="155"/>
      <c r="J53" s="155"/>
      <c r="K53" s="170" t="s">
        <v>352</v>
      </c>
      <c r="L53" s="207"/>
      <c r="M53" s="357">
        <f>M31/SUM(M$19:M$21)</f>
        <v>3.6071026135511956E-3</v>
      </c>
      <c r="N53" s="357">
        <f t="shared" ref="N53:X53" si="3">N31/SUM(N$19:N$21)</f>
        <v>4.4082052078512866E-3</v>
      </c>
      <c r="O53" s="357">
        <f t="shared" si="3"/>
        <v>6.3073067741924059E-3</v>
      </c>
      <c r="P53" s="357">
        <f t="shared" si="3"/>
        <v>4.4738120441242266E-3</v>
      </c>
      <c r="Q53" s="357">
        <f t="shared" si="3"/>
        <v>4.370608368253117E-3</v>
      </c>
      <c r="R53" s="357">
        <f t="shared" si="3"/>
        <v>3.4715085260797677E-3</v>
      </c>
      <c r="S53" s="357">
        <f t="shared" si="3"/>
        <v>4.5285949957404922E-3</v>
      </c>
      <c r="T53" s="357">
        <f t="shared" si="3"/>
        <v>5.4027995606169841E-3</v>
      </c>
      <c r="U53" s="357">
        <f t="shared" si="3"/>
        <v>8.006495502034609E-3</v>
      </c>
      <c r="V53" s="357">
        <f t="shared" si="3"/>
        <v>8.005495774246774E-3</v>
      </c>
      <c r="W53" s="357">
        <f t="shared" si="3"/>
        <v>7.4737116144028941E-3</v>
      </c>
      <c r="X53" s="357">
        <f t="shared" si="3"/>
        <v>7.093190794069045E-3</v>
      </c>
    </row>
    <row r="54" spans="1:24">
      <c r="A54" s="156">
        <f t="shared" si="0"/>
        <v>44</v>
      </c>
      <c r="B54" s="155"/>
      <c r="C54" s="235"/>
      <c r="D54" s="155"/>
      <c r="E54" s="155"/>
      <c r="F54" s="155"/>
      <c r="G54" s="216"/>
      <c r="H54" s="155"/>
      <c r="I54" s="155"/>
      <c r="J54" s="155"/>
      <c r="K54" s="170" t="s">
        <v>353</v>
      </c>
      <c r="L54" s="20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</row>
    <row r="55" spans="1:24">
      <c r="A55" s="156">
        <f t="shared" si="0"/>
        <v>45</v>
      </c>
      <c r="B55" s="155"/>
      <c r="C55" s="235"/>
      <c r="D55" s="155"/>
      <c r="E55" s="155"/>
      <c r="F55" s="155"/>
      <c r="G55" s="216"/>
      <c r="H55" s="155"/>
      <c r="I55" s="155"/>
      <c r="J55" s="155"/>
      <c r="K55" s="170" t="s">
        <v>355</v>
      </c>
      <c r="L55" s="207"/>
      <c r="M55" s="357">
        <f>M33/SUM(M$19:M$21)</f>
        <v>-4.0642851907019646E-3</v>
      </c>
      <c r="N55" s="357">
        <f t="shared" ref="N55:X55" si="4">N33/SUM(N$19:N$21)</f>
        <v>-8.5700055997417687E-3</v>
      </c>
      <c r="O55" s="357">
        <f t="shared" si="4"/>
        <v>-1.0576409474967918E-2</v>
      </c>
      <c r="P55" s="357">
        <f t="shared" si="4"/>
        <v>-7.6835926664076092E-3</v>
      </c>
      <c r="Q55" s="357">
        <f t="shared" si="4"/>
        <v>-5.1989041447845644E-3</v>
      </c>
      <c r="R55" s="357">
        <f t="shared" si="4"/>
        <v>-3.3380771541800247E-3</v>
      </c>
      <c r="S55" s="357">
        <f t="shared" si="4"/>
        <v>-4.6364033664772321E-3</v>
      </c>
      <c r="T55" s="357">
        <f t="shared" si="4"/>
        <v>-8.6784151336121995E-3</v>
      </c>
      <c r="U55" s="357">
        <f t="shared" si="4"/>
        <v>-9.7292247354316321E-3</v>
      </c>
      <c r="V55" s="357">
        <f t="shared" si="4"/>
        <v>-9.1196978880265511E-3</v>
      </c>
      <c r="W55" s="357">
        <f t="shared" si="4"/>
        <v>-4.8889010436791516E-3</v>
      </c>
      <c r="X55" s="357">
        <f t="shared" si="4"/>
        <v>-4.6941009213186044E-3</v>
      </c>
    </row>
    <row r="56" spans="1:24">
      <c r="A56" s="156">
        <f t="shared" si="0"/>
        <v>46</v>
      </c>
      <c r="B56" s="155"/>
      <c r="C56" s="216"/>
      <c r="D56" s="155"/>
      <c r="E56" s="155"/>
      <c r="F56" s="155"/>
      <c r="G56" s="216"/>
      <c r="H56" s="216"/>
      <c r="I56" s="155"/>
      <c r="J56" s="155"/>
      <c r="K56" s="170" t="s">
        <v>356</v>
      </c>
      <c r="L56" s="207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</row>
    <row r="57" spans="1:24">
      <c r="A57" s="156">
        <f t="shared" si="0"/>
        <v>47</v>
      </c>
      <c r="B57" s="155"/>
      <c r="C57" s="235"/>
      <c r="D57" s="155"/>
      <c r="E57" s="155"/>
      <c r="F57" s="155"/>
      <c r="G57" s="216"/>
      <c r="H57" s="155"/>
      <c r="I57" s="216"/>
      <c r="J57" s="155"/>
      <c r="K57" s="170" t="s">
        <v>354</v>
      </c>
      <c r="L57" s="207"/>
      <c r="M57" s="357">
        <f>M35/SUM(M$19:M$21)</f>
        <v>5.2244889948223098E-3</v>
      </c>
      <c r="N57" s="357">
        <f t="shared" ref="N57:X57" si="5">N35/SUM(N$19:N$21)</f>
        <v>7.4231938195057131E-3</v>
      </c>
      <c r="O57" s="357">
        <f t="shared" si="5"/>
        <v>7.1109083493004566E-3</v>
      </c>
      <c r="P57" s="357">
        <f t="shared" si="5"/>
        <v>6.5658679886035562E-3</v>
      </c>
      <c r="Q57" s="357">
        <f t="shared" si="5"/>
        <v>2.3303966089608919E-3</v>
      </c>
      <c r="R57" s="357">
        <f t="shared" si="5"/>
        <v>1.9243021986305984E-3</v>
      </c>
      <c r="S57" s="357">
        <f t="shared" si="5"/>
        <v>2.1228858041916002E-3</v>
      </c>
      <c r="T57" s="357">
        <f t="shared" si="5"/>
        <v>3.0091925533816226E-3</v>
      </c>
      <c r="U57" s="357">
        <f t="shared" si="5"/>
        <v>3.0783122365792941E-3</v>
      </c>
      <c r="V57" s="357">
        <f t="shared" si="5"/>
        <v>3.4638102069450439E-3</v>
      </c>
      <c r="W57" s="357">
        <f t="shared" si="5"/>
        <v>1.9005910827554983E-3</v>
      </c>
      <c r="X57" s="357">
        <f t="shared" si="5"/>
        <v>2.4180078926062196E-3</v>
      </c>
    </row>
    <row r="58" spans="1:24">
      <c r="A58" s="156">
        <f t="shared" si="0"/>
        <v>48</v>
      </c>
      <c r="B58" s="155"/>
      <c r="C58" s="235"/>
      <c r="D58" s="155"/>
      <c r="E58" s="216"/>
      <c r="F58" s="155"/>
      <c r="G58" s="250"/>
      <c r="H58" s="155"/>
      <c r="I58" s="216"/>
      <c r="J58" s="155"/>
    </row>
    <row r="59" spans="1:24">
      <c r="A59" s="156">
        <f t="shared" si="0"/>
        <v>49</v>
      </c>
      <c r="B59" s="155"/>
      <c r="C59" s="235"/>
      <c r="D59" s="155"/>
      <c r="E59" s="216"/>
      <c r="F59" s="155"/>
      <c r="G59" s="155"/>
      <c r="H59" s="155"/>
      <c r="I59" s="155"/>
      <c r="J59" s="155"/>
    </row>
    <row r="60" spans="1:24">
      <c r="A60" s="156">
        <f t="shared" si="0"/>
        <v>50</v>
      </c>
      <c r="B60" s="155"/>
      <c r="C60" s="155"/>
      <c r="D60" s="155"/>
      <c r="E60" s="155"/>
      <c r="F60" s="155"/>
      <c r="G60" s="155"/>
      <c r="H60" s="155"/>
      <c r="I60" s="155"/>
      <c r="J60" s="155"/>
    </row>
    <row r="61" spans="1:24">
      <c r="A61" s="156">
        <f t="shared" si="0"/>
        <v>51</v>
      </c>
      <c r="B61" s="155"/>
      <c r="C61" s="155"/>
      <c r="D61" s="155"/>
      <c r="E61" s="155"/>
      <c r="F61" s="155"/>
      <c r="G61" s="155"/>
      <c r="H61" s="155"/>
      <c r="I61" s="155"/>
      <c r="J61" s="155"/>
    </row>
    <row r="62" spans="1:24">
      <c r="A62" s="156">
        <f t="shared" si="0"/>
        <v>52</v>
      </c>
      <c r="B62" s="155"/>
      <c r="C62" s="155"/>
      <c r="D62" s="155"/>
      <c r="E62" s="155"/>
      <c r="F62" s="155"/>
      <c r="G62" s="155"/>
      <c r="H62" s="155"/>
      <c r="I62" s="155"/>
      <c r="J62" s="155"/>
    </row>
    <row r="63" spans="1:24">
      <c r="A63" s="156">
        <f t="shared" si="0"/>
        <v>53</v>
      </c>
      <c r="B63" s="155"/>
      <c r="C63" s="155"/>
      <c r="D63" s="155"/>
      <c r="E63" s="155"/>
      <c r="F63" s="155"/>
      <c r="G63" s="155"/>
      <c r="H63" s="155"/>
      <c r="I63" s="155"/>
      <c r="J63" s="155"/>
    </row>
    <row r="64" spans="1:24">
      <c r="A64" s="52"/>
      <c r="B64" s="63"/>
    </row>
    <row r="68" spans="3:20">
      <c r="C68" s="155"/>
    </row>
    <row r="69" spans="3:20">
      <c r="C69" s="157"/>
      <c r="T69" s="302"/>
    </row>
    <row r="70" spans="3:20">
      <c r="C70" s="157"/>
      <c r="T70" s="302"/>
    </row>
    <row r="71" spans="3:20">
      <c r="C71" s="157"/>
      <c r="T71" s="302"/>
    </row>
    <row r="72" spans="3:20">
      <c r="C72" s="157"/>
      <c r="T72" s="302"/>
    </row>
    <row r="73" spans="3:20">
      <c r="C73" s="157"/>
      <c r="T73" s="302"/>
    </row>
    <row r="74" spans="3:20">
      <c r="C74" s="157"/>
      <c r="T74" s="302"/>
    </row>
    <row r="75" spans="3:20">
      <c r="C75" s="157"/>
      <c r="T75" s="302"/>
    </row>
    <row r="76" spans="3:20">
      <c r="C76" s="157"/>
      <c r="T76" s="302"/>
    </row>
    <row r="77" spans="3:20">
      <c r="C77" s="157"/>
      <c r="T77" s="302"/>
    </row>
    <row r="78" spans="3:20">
      <c r="C78" s="157"/>
      <c r="T78" s="302"/>
    </row>
    <row r="79" spans="3:20">
      <c r="C79" s="157"/>
      <c r="T79" s="302"/>
    </row>
    <row r="80" spans="3:20">
      <c r="C80" s="157"/>
      <c r="T80" s="303"/>
    </row>
    <row r="81" spans="3:20">
      <c r="C81" s="90"/>
      <c r="T81" s="165"/>
    </row>
  </sheetData>
  <mergeCells count="4">
    <mergeCell ref="A1:J1"/>
    <mergeCell ref="A2:J2"/>
    <mergeCell ref="A3:J3"/>
    <mergeCell ref="C7:E7"/>
  </mergeCells>
  <phoneticPr fontId="10" type="noConversion"/>
  <pageMargins left="0.25" right="0.25" top="0.25" bottom="0.25" header="0.3" footer="0.3"/>
  <pageSetup scale="76" orientation="landscape" r:id="rId1"/>
  <headerFooter alignWithMargins="0">
    <oddFooter>&amp;C&amp;14Exhibit 9, 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D94"/>
  <sheetViews>
    <sheetView topLeftCell="A5" zoomScaleNormal="100" workbookViewId="0">
      <selection activeCell="A3" sqref="A3:J3"/>
    </sheetView>
  </sheetViews>
  <sheetFormatPr defaultRowHeight="12.75"/>
  <cols>
    <col min="2" max="2" width="34.28515625" customWidth="1"/>
    <col min="3" max="3" width="12.42578125" bestFit="1" customWidth="1"/>
    <col min="4" max="6" width="15.7109375" customWidth="1"/>
    <col min="7" max="7" width="15" bestFit="1" customWidth="1"/>
    <col min="8" max="8" width="15.7109375" customWidth="1"/>
    <col min="9" max="9" width="15.5703125" bestFit="1" customWidth="1"/>
    <col min="10" max="10" width="12.28515625" bestFit="1" customWidth="1"/>
    <col min="11" max="12" width="15.7109375" customWidth="1"/>
    <col min="13" max="24" width="13.42578125" customWidth="1"/>
  </cols>
  <sheetData>
    <row r="1" spans="1:25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M1" s="26"/>
    </row>
    <row r="2" spans="1:25">
      <c r="A2" s="488" t="s">
        <v>1165</v>
      </c>
      <c r="B2" s="488"/>
      <c r="C2" s="488"/>
      <c r="D2" s="488"/>
      <c r="E2" s="488"/>
      <c r="F2" s="488"/>
      <c r="G2" s="488"/>
      <c r="H2" s="488"/>
      <c r="I2" s="488"/>
      <c r="J2" s="488"/>
      <c r="M2" s="26"/>
    </row>
    <row r="3" spans="1:25">
      <c r="A3" s="488" t="s">
        <v>575</v>
      </c>
      <c r="B3" s="488"/>
      <c r="C3" s="488"/>
      <c r="D3" s="488"/>
      <c r="E3" s="488"/>
      <c r="F3" s="488"/>
      <c r="G3" s="488"/>
      <c r="H3" s="488"/>
      <c r="I3" s="488"/>
      <c r="J3" s="488"/>
      <c r="M3" s="26"/>
    </row>
    <row r="4" spans="1:25">
      <c r="A4" s="155"/>
      <c r="B4" s="155"/>
      <c r="C4" s="155"/>
      <c r="D4" s="155"/>
      <c r="E4" s="155"/>
      <c r="F4" s="155"/>
      <c r="G4" s="155"/>
      <c r="H4" s="155"/>
      <c r="I4" s="155"/>
      <c r="J4" s="155"/>
      <c r="M4" s="26"/>
    </row>
    <row r="5" spans="1:25">
      <c r="A5" s="161"/>
      <c r="B5" s="177" t="s">
        <v>1</v>
      </c>
      <c r="C5" s="177" t="s">
        <v>2</v>
      </c>
      <c r="D5" s="177" t="s">
        <v>3</v>
      </c>
      <c r="E5" s="177" t="s">
        <v>4</v>
      </c>
      <c r="F5" s="177" t="s">
        <v>5</v>
      </c>
      <c r="G5" s="177" t="s">
        <v>6</v>
      </c>
      <c r="H5" s="177" t="s">
        <v>28</v>
      </c>
      <c r="I5" s="177" t="s">
        <v>7</v>
      </c>
      <c r="J5" s="177" t="s">
        <v>29</v>
      </c>
    </row>
    <row r="6" spans="1:25">
      <c r="A6" s="177" t="s">
        <v>64</v>
      </c>
      <c r="B6" s="161"/>
      <c r="C6" s="155"/>
      <c r="D6" s="155"/>
      <c r="E6" s="161"/>
      <c r="F6" s="155"/>
      <c r="G6" s="155"/>
      <c r="H6" s="156" t="s">
        <v>65</v>
      </c>
      <c r="I6" s="155"/>
      <c r="J6" s="156"/>
    </row>
    <row r="7" spans="1:25">
      <c r="A7" s="177" t="s">
        <v>36</v>
      </c>
      <c r="B7" s="155"/>
      <c r="C7" s="489" t="s">
        <v>123</v>
      </c>
      <c r="D7" s="489"/>
      <c r="E7" s="489"/>
      <c r="F7" s="156" t="s">
        <v>130</v>
      </c>
      <c r="G7" s="155"/>
      <c r="H7" s="156" t="s">
        <v>124</v>
      </c>
      <c r="I7" s="156" t="s">
        <v>125</v>
      </c>
      <c r="J7" s="156" t="s">
        <v>125</v>
      </c>
    </row>
    <row r="8" spans="1:25">
      <c r="A8" s="161"/>
      <c r="B8" s="155"/>
      <c r="C8" s="155"/>
      <c r="D8" s="155"/>
      <c r="E8" s="155"/>
      <c r="F8" s="156" t="s">
        <v>131</v>
      </c>
      <c r="G8" s="155"/>
      <c r="H8" s="156" t="s">
        <v>128</v>
      </c>
      <c r="I8" s="156" t="s">
        <v>126</v>
      </c>
      <c r="J8" s="156" t="s">
        <v>81</v>
      </c>
    </row>
    <row r="9" spans="1:25">
      <c r="A9" s="156">
        <v>1</v>
      </c>
      <c r="B9" s="155"/>
      <c r="C9" s="155"/>
      <c r="D9" s="156" t="s">
        <v>38</v>
      </c>
      <c r="E9" s="156" t="s">
        <v>39</v>
      </c>
      <c r="F9" s="156" t="s">
        <v>40</v>
      </c>
      <c r="G9" s="160"/>
      <c r="H9" s="156" t="s">
        <v>129</v>
      </c>
      <c r="I9" s="156"/>
      <c r="J9" s="160"/>
      <c r="M9" s="331">
        <v>44958</v>
      </c>
      <c r="N9" s="331">
        <v>44927</v>
      </c>
      <c r="O9" s="331">
        <v>44896</v>
      </c>
      <c r="P9" s="331">
        <v>44866</v>
      </c>
      <c r="Q9" s="331">
        <v>44835</v>
      </c>
      <c r="R9" s="331">
        <v>44805</v>
      </c>
      <c r="S9" s="331">
        <v>44774</v>
      </c>
      <c r="T9" s="331">
        <v>44743</v>
      </c>
      <c r="U9" s="331">
        <v>44713</v>
      </c>
      <c r="V9" s="331">
        <v>44682</v>
      </c>
      <c r="W9" s="331">
        <v>44652</v>
      </c>
      <c r="X9" s="331">
        <v>44621</v>
      </c>
    </row>
    <row r="10" spans="1:25">
      <c r="A10" s="156">
        <f>A9+1</f>
        <v>2</v>
      </c>
      <c r="B10" s="16" t="s">
        <v>53</v>
      </c>
      <c r="C10" s="235">
        <f>SUM(M10:X10)</f>
        <v>132</v>
      </c>
      <c r="D10" s="221">
        <v>975.27</v>
      </c>
      <c r="E10" s="161">
        <f>C10*D10</f>
        <v>128735.64</v>
      </c>
      <c r="F10" s="155">
        <v>0</v>
      </c>
      <c r="G10" s="235"/>
      <c r="H10" s="167">
        <f>+G10*D10</f>
        <v>0</v>
      </c>
      <c r="I10" s="221"/>
      <c r="J10" s="172">
        <f>I10*G10</f>
        <v>0</v>
      </c>
      <c r="L10">
        <f>SUM(M10:X10)</f>
        <v>132</v>
      </c>
      <c r="M10">
        <v>11</v>
      </c>
      <c r="N10">
        <v>11</v>
      </c>
      <c r="O10">
        <v>11</v>
      </c>
      <c r="P10">
        <v>11</v>
      </c>
      <c r="Q10">
        <v>11</v>
      </c>
      <c r="R10">
        <v>11</v>
      </c>
      <c r="S10">
        <v>11</v>
      </c>
      <c r="T10">
        <v>11</v>
      </c>
      <c r="U10">
        <v>11</v>
      </c>
      <c r="V10">
        <v>11</v>
      </c>
      <c r="W10">
        <v>11</v>
      </c>
      <c r="X10">
        <v>11</v>
      </c>
    </row>
    <row r="11" spans="1:25">
      <c r="A11" s="156">
        <f t="shared" ref="A11:A52" si="0">A10+1</f>
        <v>3</v>
      </c>
      <c r="B11" s="155"/>
      <c r="C11" s="155"/>
      <c r="D11" s="163"/>
      <c r="E11" s="161"/>
      <c r="F11" s="155"/>
      <c r="G11" s="155"/>
      <c r="H11" s="155"/>
      <c r="I11" s="155"/>
      <c r="J11" s="155"/>
      <c r="Y11" s="155"/>
    </row>
    <row r="12" spans="1:25">
      <c r="A12" s="156">
        <f t="shared" si="0"/>
        <v>4</v>
      </c>
      <c r="B12" s="16" t="s">
        <v>66</v>
      </c>
      <c r="C12" s="155"/>
      <c r="D12" s="163"/>
      <c r="E12" s="161"/>
      <c r="F12" s="155"/>
      <c r="G12" s="216"/>
      <c r="H12" s="155"/>
      <c r="I12" s="155"/>
      <c r="J12" s="155"/>
    </row>
    <row r="13" spans="1:25">
      <c r="A13" s="156">
        <f t="shared" si="0"/>
        <v>5</v>
      </c>
      <c r="B13" s="155" t="s">
        <v>54</v>
      </c>
      <c r="C13" s="235">
        <f>SUM(M13:X13)</f>
        <v>179582.20000000004</v>
      </c>
      <c r="D13" s="221">
        <v>12.7</v>
      </c>
      <c r="E13" s="161">
        <f>C13*D13</f>
        <v>2280693.9400000004</v>
      </c>
      <c r="F13" s="216">
        <v>0</v>
      </c>
      <c r="G13" s="230"/>
      <c r="H13" s="161">
        <f>+G13*D13</f>
        <v>0</v>
      </c>
      <c r="I13" s="221"/>
      <c r="J13" s="172">
        <f>I13*G13</f>
        <v>0</v>
      </c>
      <c r="K13" s="304"/>
      <c r="M13">
        <v>14804</v>
      </c>
      <c r="N13" s="117">
        <v>14661.6</v>
      </c>
      <c r="O13">
        <v>14626</v>
      </c>
      <c r="P13">
        <v>14407</v>
      </c>
      <c r="Q13">
        <v>15021.4</v>
      </c>
      <c r="R13">
        <v>15520.6</v>
      </c>
      <c r="S13">
        <v>15433.6</v>
      </c>
      <c r="T13">
        <v>15561</v>
      </c>
      <c r="U13">
        <v>15407.2</v>
      </c>
      <c r="V13">
        <v>15017.2</v>
      </c>
      <c r="W13">
        <v>14588.2</v>
      </c>
      <c r="X13" s="117">
        <v>14534.4</v>
      </c>
    </row>
    <row r="14" spans="1:25">
      <c r="A14" s="156">
        <f t="shared" si="0"/>
        <v>6</v>
      </c>
      <c r="B14" s="155" t="s">
        <v>55</v>
      </c>
      <c r="C14" s="155"/>
      <c r="D14" s="163"/>
      <c r="E14" s="161"/>
      <c r="F14" s="216"/>
      <c r="G14" s="230"/>
      <c r="H14" s="155"/>
      <c r="I14" s="163"/>
      <c r="J14" s="155"/>
      <c r="K14" s="305"/>
      <c r="X14" s="117"/>
    </row>
    <row r="15" spans="1:25">
      <c r="A15" s="156">
        <f t="shared" si="0"/>
        <v>7</v>
      </c>
      <c r="B15" s="155" t="s">
        <v>56</v>
      </c>
      <c r="C15" s="235">
        <f>SUM(M15:X15)</f>
        <v>35916440</v>
      </c>
      <c r="D15" s="225">
        <v>5.4068999999999999E-2</v>
      </c>
      <c r="E15" s="161">
        <f>C15*D15</f>
        <v>1941965.9943599999</v>
      </c>
      <c r="F15" s="216">
        <v>0</v>
      </c>
      <c r="G15" s="230"/>
      <c r="H15" s="161">
        <f>+G15*D15</f>
        <v>0</v>
      </c>
      <c r="I15" s="368"/>
      <c r="J15" s="230">
        <f>I15*G15</f>
        <v>0</v>
      </c>
      <c r="K15" s="306"/>
      <c r="M15">
        <v>2960800</v>
      </c>
      <c r="N15" s="46">
        <v>2932320</v>
      </c>
      <c r="O15">
        <v>2925200</v>
      </c>
      <c r="P15">
        <v>2881400</v>
      </c>
      <c r="Q15">
        <v>3004280</v>
      </c>
      <c r="R15">
        <v>3104120</v>
      </c>
      <c r="S15">
        <v>3086720</v>
      </c>
      <c r="T15">
        <v>3112200</v>
      </c>
      <c r="U15">
        <v>3081440</v>
      </c>
      <c r="V15">
        <v>3003440</v>
      </c>
      <c r="W15">
        <v>2917640</v>
      </c>
      <c r="X15" s="117">
        <v>2906880</v>
      </c>
    </row>
    <row r="16" spans="1:25">
      <c r="A16" s="156">
        <f t="shared" si="0"/>
        <v>8</v>
      </c>
      <c r="B16" s="155" t="s">
        <v>67</v>
      </c>
      <c r="C16" s="235">
        <f>SUM(M16:X16)</f>
        <v>33854720</v>
      </c>
      <c r="D16" s="225">
        <v>4.9666000000000002E-2</v>
      </c>
      <c r="E16" s="161">
        <f>C16*D16</f>
        <v>1681428.52352</v>
      </c>
      <c r="F16" s="216">
        <v>0</v>
      </c>
      <c r="G16" s="230"/>
      <c r="H16" s="161">
        <f>+G16*D16</f>
        <v>0</v>
      </c>
      <c r="I16" s="368"/>
      <c r="J16" s="230">
        <f t="shared" ref="J16:J17" si="1">I16*G16</f>
        <v>0</v>
      </c>
      <c r="K16" s="306"/>
      <c r="M16">
        <v>2712360</v>
      </c>
      <c r="N16" s="46">
        <v>2586320</v>
      </c>
      <c r="O16">
        <v>2716360</v>
      </c>
      <c r="P16">
        <v>2701120</v>
      </c>
      <c r="Q16">
        <v>2893840</v>
      </c>
      <c r="R16">
        <v>3076840</v>
      </c>
      <c r="S16">
        <v>3045800</v>
      </c>
      <c r="T16">
        <v>3058600</v>
      </c>
      <c r="U16">
        <v>2986000</v>
      </c>
      <c r="V16">
        <v>2794720</v>
      </c>
      <c r="W16">
        <v>2661640</v>
      </c>
      <c r="X16" s="117">
        <v>2621120</v>
      </c>
    </row>
    <row r="17" spans="1:24" ht="15">
      <c r="A17" s="156">
        <f t="shared" si="0"/>
        <v>9</v>
      </c>
      <c r="B17" s="155" t="s">
        <v>68</v>
      </c>
      <c r="C17" s="235">
        <f>SUM(M17:X17)</f>
        <v>16157360</v>
      </c>
      <c r="D17" s="225">
        <v>4.7012999999999999E-2</v>
      </c>
      <c r="E17" s="167">
        <f>C17*D17</f>
        <v>759605.96568000002</v>
      </c>
      <c r="F17" s="208">
        <v>0</v>
      </c>
      <c r="G17" s="230"/>
      <c r="H17" s="167">
        <f>+G17*D17</f>
        <v>0</v>
      </c>
      <c r="I17" s="368"/>
      <c r="J17" s="230">
        <f t="shared" si="1"/>
        <v>0</v>
      </c>
      <c r="K17" s="306"/>
      <c r="M17">
        <v>1304600</v>
      </c>
      <c r="N17" s="46">
        <v>876040</v>
      </c>
      <c r="O17">
        <v>1201800</v>
      </c>
      <c r="P17">
        <v>1413000</v>
      </c>
      <c r="Q17">
        <v>1473840</v>
      </c>
      <c r="R17">
        <v>1613760</v>
      </c>
      <c r="S17">
        <v>1454480</v>
      </c>
      <c r="T17">
        <v>1368440</v>
      </c>
      <c r="U17">
        <v>1493520</v>
      </c>
      <c r="V17">
        <v>1366920</v>
      </c>
      <c r="W17">
        <v>1246320</v>
      </c>
      <c r="X17" s="117">
        <v>1344640</v>
      </c>
    </row>
    <row r="18" spans="1:24">
      <c r="A18" s="156">
        <f t="shared" si="0"/>
        <v>10</v>
      </c>
      <c r="B18" s="155" t="s">
        <v>69</v>
      </c>
      <c r="C18" s="244">
        <f>SUM(C15:C17)</f>
        <v>85928520</v>
      </c>
      <c r="D18" s="239">
        <f>E18/C18</f>
        <v>5.1007517452412776E-2</v>
      </c>
      <c r="E18" s="161">
        <f>SUM(E15:E17)</f>
        <v>4383000.4835600005</v>
      </c>
      <c r="F18" s="216">
        <f>SUM(F15:F17)</f>
        <v>0</v>
      </c>
      <c r="G18" s="216">
        <f>SUM(G15:G17)</f>
        <v>0</v>
      </c>
      <c r="H18" s="161">
        <f>SUM(H15:H17)</f>
        <v>0</v>
      </c>
      <c r="I18" s="168" t="e">
        <f>J18/G18</f>
        <v>#DIV/0!</v>
      </c>
      <c r="J18" s="161">
        <f>SUM(J15:J17)</f>
        <v>0</v>
      </c>
      <c r="K18" s="35"/>
      <c r="N18" s="46"/>
      <c r="X18" s="117"/>
    </row>
    <row r="19" spans="1:24">
      <c r="A19" s="156">
        <f t="shared" si="0"/>
        <v>11</v>
      </c>
      <c r="B19" s="155"/>
      <c r="C19" s="216"/>
      <c r="D19" s="239"/>
      <c r="E19" s="161"/>
      <c r="F19" s="216"/>
      <c r="G19" s="216"/>
      <c r="H19" s="161"/>
      <c r="I19" s="163"/>
      <c r="J19" s="161"/>
      <c r="N19" s="46"/>
      <c r="X19" s="117"/>
    </row>
    <row r="20" spans="1:24">
      <c r="A20" s="156">
        <f t="shared" si="0"/>
        <v>12</v>
      </c>
      <c r="B20" s="155" t="s">
        <v>432</v>
      </c>
      <c r="C20" s="216"/>
      <c r="D20" s="239"/>
      <c r="E20" s="161">
        <f>C20*D20</f>
        <v>0</v>
      </c>
      <c r="F20" s="216"/>
      <c r="G20" s="216">
        <v>0</v>
      </c>
      <c r="H20" s="161">
        <f>G20*D20</f>
        <v>0</v>
      </c>
      <c r="I20" s="168" t="e">
        <f>I18</f>
        <v>#DIV/0!</v>
      </c>
      <c r="J20" s="161" t="e">
        <f>I20*G20</f>
        <v>#DIV/0!</v>
      </c>
      <c r="K20" s="29"/>
      <c r="N20" s="46"/>
      <c r="X20" s="117"/>
    </row>
    <row r="21" spans="1:24" ht="13.5" thickBot="1">
      <c r="A21" s="156">
        <f t="shared" si="0"/>
        <v>13</v>
      </c>
      <c r="B21" s="155" t="s">
        <v>349</v>
      </c>
      <c r="C21" s="240">
        <f>C18+C20</f>
        <v>85928520</v>
      </c>
      <c r="D21" s="239"/>
      <c r="E21" s="231">
        <f>E18+E20</f>
        <v>4383000.4835600005</v>
      </c>
      <c r="F21" s="216"/>
      <c r="G21" s="240">
        <f>G18+G20</f>
        <v>0</v>
      </c>
      <c r="H21" s="161">
        <f>H18+H20</f>
        <v>0</v>
      </c>
      <c r="I21" s="163"/>
      <c r="J21" s="161" t="e">
        <f>J18+J20</f>
        <v>#DIV/0!</v>
      </c>
      <c r="K21" s="212"/>
      <c r="N21" s="46"/>
      <c r="X21" s="117"/>
    </row>
    <row r="22" spans="1:24" ht="13.5" thickTop="1">
      <c r="A22" s="156">
        <f t="shared" si="0"/>
        <v>14</v>
      </c>
      <c r="B22" s="155"/>
      <c r="C22" s="155"/>
      <c r="D22" s="239"/>
      <c r="E22" s="161"/>
      <c r="F22" s="216"/>
      <c r="G22" s="216"/>
      <c r="H22" s="161"/>
      <c r="I22" s="163"/>
      <c r="J22" s="161"/>
      <c r="K22" s="31"/>
      <c r="N22" s="46"/>
      <c r="X22" s="117"/>
    </row>
    <row r="23" spans="1:24">
      <c r="A23" s="156">
        <f t="shared" si="0"/>
        <v>15</v>
      </c>
      <c r="B23" s="16" t="s">
        <v>70</v>
      </c>
      <c r="C23" s="155"/>
      <c r="D23" s="163"/>
      <c r="E23" s="161"/>
      <c r="F23" s="155"/>
      <c r="G23" s="155"/>
      <c r="H23" s="155"/>
      <c r="I23" s="163"/>
      <c r="J23" s="155"/>
      <c r="N23" s="46"/>
      <c r="X23" s="117"/>
    </row>
    <row r="24" spans="1:24">
      <c r="A24" s="156">
        <f t="shared" si="0"/>
        <v>16</v>
      </c>
      <c r="B24" s="155" t="s">
        <v>54</v>
      </c>
      <c r="C24" s="235">
        <f>SUM(M24:X24)</f>
        <v>12012</v>
      </c>
      <c r="D24" s="221">
        <v>7.15</v>
      </c>
      <c r="E24" s="161">
        <f>C24*D24</f>
        <v>85885.8</v>
      </c>
      <c r="F24" s="155">
        <v>0</v>
      </c>
      <c r="G24" s="251"/>
      <c r="H24" s="161">
        <f>+G24*D24</f>
        <v>0</v>
      </c>
      <c r="I24" s="368"/>
      <c r="J24" s="230">
        <f>I24*G24</f>
        <v>0</v>
      </c>
      <c r="K24" s="307"/>
      <c r="M24">
        <v>1001</v>
      </c>
      <c r="N24" s="46">
        <v>1001</v>
      </c>
      <c r="O24">
        <v>1001</v>
      </c>
      <c r="P24">
        <v>1001</v>
      </c>
      <c r="Q24">
        <v>1001</v>
      </c>
      <c r="R24">
        <v>1001</v>
      </c>
      <c r="S24">
        <v>1001</v>
      </c>
      <c r="T24">
        <v>1001</v>
      </c>
      <c r="U24">
        <v>1001</v>
      </c>
      <c r="V24">
        <v>1001</v>
      </c>
      <c r="W24">
        <v>1001</v>
      </c>
      <c r="X24" s="117">
        <v>1001</v>
      </c>
    </row>
    <row r="25" spans="1:24">
      <c r="A25" s="156">
        <f t="shared" si="0"/>
        <v>17</v>
      </c>
      <c r="B25" s="155" t="s">
        <v>55</v>
      </c>
      <c r="C25" s="155"/>
      <c r="D25" s="163"/>
      <c r="E25" s="161"/>
      <c r="F25" s="155"/>
      <c r="G25" s="155"/>
      <c r="H25" s="155"/>
      <c r="I25" s="163"/>
      <c r="J25" s="155"/>
      <c r="K25" s="305"/>
      <c r="N25" s="46"/>
      <c r="X25" s="117"/>
    </row>
    <row r="26" spans="1:24">
      <c r="A26" s="156">
        <f t="shared" si="0"/>
        <v>18</v>
      </c>
      <c r="B26" s="155" t="s">
        <v>71</v>
      </c>
      <c r="C26" s="235">
        <f>SUM(M26:X26)</f>
        <v>1694100</v>
      </c>
      <c r="D26" s="225">
        <v>7.4912999999999993E-2</v>
      </c>
      <c r="E26" s="161">
        <f>C26*D26</f>
        <v>126910.11329999998</v>
      </c>
      <c r="F26" s="155">
        <v>0</v>
      </c>
      <c r="G26" s="216"/>
      <c r="H26" s="161">
        <f>+G26*D26</f>
        <v>0</v>
      </c>
      <c r="I26" s="368"/>
      <c r="J26" s="230">
        <f t="shared" ref="J26:J27" si="2">I26*G26</f>
        <v>0</v>
      </c>
      <c r="K26" s="306"/>
      <c r="M26">
        <v>150150</v>
      </c>
      <c r="N26" s="46">
        <v>150150</v>
      </c>
      <c r="O26">
        <v>150150</v>
      </c>
      <c r="P26">
        <v>132000</v>
      </c>
      <c r="Q26">
        <v>150150</v>
      </c>
      <c r="R26">
        <v>150150</v>
      </c>
      <c r="S26">
        <v>144000</v>
      </c>
      <c r="T26">
        <v>116400</v>
      </c>
      <c r="U26">
        <v>124800</v>
      </c>
      <c r="V26">
        <v>134400</v>
      </c>
      <c r="W26">
        <v>141600</v>
      </c>
      <c r="X26" s="117">
        <v>150150</v>
      </c>
    </row>
    <row r="27" spans="1:24">
      <c r="A27" s="156">
        <f t="shared" si="0"/>
        <v>19</v>
      </c>
      <c r="B27" s="155" t="s">
        <v>72</v>
      </c>
      <c r="C27" s="235">
        <f>SUM(M27:X27)</f>
        <v>89100</v>
      </c>
      <c r="D27" s="225">
        <v>6.5609000000000001E-2</v>
      </c>
      <c r="E27" s="167">
        <f>C27*D27</f>
        <v>5845.7619000000004</v>
      </c>
      <c r="F27" s="155">
        <v>0</v>
      </c>
      <c r="G27" s="220"/>
      <c r="H27" s="167">
        <f>+G27*D27</f>
        <v>0</v>
      </c>
      <c r="I27" s="368"/>
      <c r="J27" s="230">
        <f t="shared" si="2"/>
        <v>0</v>
      </c>
      <c r="K27" s="306"/>
      <c r="M27">
        <v>25050</v>
      </c>
      <c r="N27" s="46">
        <v>8250</v>
      </c>
      <c r="O27">
        <v>9450</v>
      </c>
      <c r="P27">
        <v>0</v>
      </c>
      <c r="Q27">
        <v>9450</v>
      </c>
      <c r="R27">
        <v>28650</v>
      </c>
      <c r="W27">
        <v>0</v>
      </c>
      <c r="X27" s="117">
        <v>8250</v>
      </c>
    </row>
    <row r="28" spans="1:24">
      <c r="A28" s="156">
        <f t="shared" si="0"/>
        <v>20</v>
      </c>
      <c r="B28" s="155" t="s">
        <v>73</v>
      </c>
      <c r="C28" s="216">
        <f>SUM(C26:C27)</f>
        <v>1783200</v>
      </c>
      <c r="D28" s="239">
        <f>E28/C28</f>
        <v>7.4448113055181689E-2</v>
      </c>
      <c r="E28" s="161">
        <f>SUM(E26:E27)</f>
        <v>132755.87519999998</v>
      </c>
      <c r="F28" s="155"/>
      <c r="G28" s="216">
        <f>SUM(G26:G27)</f>
        <v>0</v>
      </c>
      <c r="H28" s="161">
        <f>+H27+H26</f>
        <v>0</v>
      </c>
      <c r="I28" s="163"/>
      <c r="J28" s="161">
        <f>+J27+J26</f>
        <v>0</v>
      </c>
      <c r="N28" s="46"/>
    </row>
    <row r="29" spans="1:24">
      <c r="A29" s="156">
        <f t="shared" si="0"/>
        <v>21</v>
      </c>
      <c r="B29" s="155"/>
      <c r="C29" s="216"/>
      <c r="D29" s="239"/>
      <c r="E29" s="161"/>
      <c r="F29" s="155"/>
      <c r="G29" s="216"/>
      <c r="H29" s="161"/>
      <c r="I29" s="163"/>
      <c r="J29" s="161"/>
    </row>
    <row r="30" spans="1:24" ht="13.5" thickBot="1">
      <c r="A30" s="156">
        <f t="shared" si="0"/>
        <v>22</v>
      </c>
      <c r="B30" s="155" t="s">
        <v>358</v>
      </c>
      <c r="C30" s="238">
        <f>C13+C24</f>
        <v>191594.20000000004</v>
      </c>
      <c r="D30" s="163"/>
      <c r="E30" s="155"/>
      <c r="F30" s="216">
        <f>F13+F24</f>
        <v>0</v>
      </c>
      <c r="G30" s="238">
        <f>+G24+G13</f>
        <v>0</v>
      </c>
      <c r="H30" s="161"/>
      <c r="I30" s="163"/>
      <c r="J30" s="161"/>
    </row>
    <row r="31" spans="1:24" ht="14.25" thickTop="1" thickBot="1">
      <c r="A31" s="156">
        <f t="shared" si="0"/>
        <v>23</v>
      </c>
      <c r="B31" s="155" t="s">
        <v>359</v>
      </c>
      <c r="C31" s="238">
        <f>C21+C28</f>
        <v>87711720</v>
      </c>
      <c r="D31" s="163"/>
      <c r="E31" s="155"/>
      <c r="F31" s="155"/>
      <c r="G31" s="238">
        <f>+G28+G21</f>
        <v>0</v>
      </c>
      <c r="H31" s="155"/>
      <c r="I31" s="163"/>
      <c r="J31" s="155"/>
    </row>
    <row r="32" spans="1:24" ht="13.5" thickTop="1">
      <c r="A32" s="156">
        <f t="shared" si="0"/>
        <v>24</v>
      </c>
      <c r="B32" s="155"/>
      <c r="C32" s="155"/>
      <c r="D32" s="163"/>
      <c r="E32" s="155"/>
      <c r="F32" s="155"/>
      <c r="G32" s="155"/>
      <c r="H32" s="155"/>
      <c r="I32" s="163"/>
      <c r="J32" s="155"/>
    </row>
    <row r="33" spans="1:24">
      <c r="A33" s="156">
        <f t="shared" si="0"/>
        <v>25</v>
      </c>
      <c r="B33" s="155" t="s">
        <v>74</v>
      </c>
      <c r="C33" s="235">
        <f>SUM(M33:X33)</f>
        <v>140545.20000000001</v>
      </c>
      <c r="D33" s="252">
        <v>-0.65</v>
      </c>
      <c r="E33" s="161">
        <f>C33*D33</f>
        <v>-91354.38</v>
      </c>
      <c r="F33" s="216">
        <f>+F13</f>
        <v>0</v>
      </c>
      <c r="G33" s="216"/>
      <c r="H33" s="161">
        <f>+G33*D33</f>
        <v>0</v>
      </c>
      <c r="I33" s="368"/>
      <c r="J33" s="230">
        <f>I33*G33</f>
        <v>0</v>
      </c>
      <c r="K33" s="32"/>
      <c r="M33">
        <v>11493.6</v>
      </c>
      <c r="N33">
        <v>11428.2</v>
      </c>
      <c r="O33">
        <v>11378.4</v>
      </c>
      <c r="P33">
        <v>11169</v>
      </c>
      <c r="Q33">
        <v>11777.4</v>
      </c>
      <c r="R33">
        <v>12239.4</v>
      </c>
      <c r="S33">
        <v>12198.6</v>
      </c>
      <c r="T33">
        <v>12371.4</v>
      </c>
      <c r="U33">
        <v>12187.2</v>
      </c>
      <c r="V33">
        <v>11691.6</v>
      </c>
      <c r="W33">
        <v>11328.6</v>
      </c>
      <c r="X33">
        <v>11281.8</v>
      </c>
    </row>
    <row r="34" spans="1:24">
      <c r="A34" s="156">
        <f t="shared" si="0"/>
        <v>26</v>
      </c>
      <c r="B34" s="155" t="s">
        <v>407</v>
      </c>
      <c r="C34" s="235">
        <f>SUM(M34:X34)</f>
        <v>31326.84</v>
      </c>
      <c r="D34" s="252"/>
      <c r="E34" s="161">
        <f>C34</f>
        <v>31326.84</v>
      </c>
      <c r="F34" s="216">
        <v>0</v>
      </c>
      <c r="G34" s="216"/>
      <c r="H34" s="161">
        <f>E34</f>
        <v>31326.84</v>
      </c>
      <c r="I34" s="252"/>
      <c r="J34" s="230">
        <f>H34</f>
        <v>31326.84</v>
      </c>
      <c r="K34" s="32"/>
      <c r="M34">
        <v>2610.5700000000002</v>
      </c>
      <c r="N34">
        <v>2610.5700000000002</v>
      </c>
      <c r="O34">
        <v>2610.5700000000002</v>
      </c>
      <c r="P34">
        <v>2610.5700000000002</v>
      </c>
      <c r="Q34">
        <v>2610.5700000000002</v>
      </c>
      <c r="R34">
        <v>2610.5700000000002</v>
      </c>
      <c r="S34">
        <v>2610.5700000000002</v>
      </c>
      <c r="T34">
        <v>2610.5700000000002</v>
      </c>
      <c r="U34">
        <v>2610.5700000000002</v>
      </c>
      <c r="V34">
        <v>2610.5700000000002</v>
      </c>
      <c r="W34">
        <v>2610.5700000000002</v>
      </c>
      <c r="X34">
        <v>2610.5700000000002</v>
      </c>
    </row>
    <row r="35" spans="1:24">
      <c r="A35" s="156">
        <f>A34+1</f>
        <v>27</v>
      </c>
      <c r="B35" s="155" t="s">
        <v>360</v>
      </c>
      <c r="C35" s="235">
        <f>SUM(M35:X35)</f>
        <v>5425.6100000000006</v>
      </c>
      <c r="D35" s="221">
        <f>D13</f>
        <v>12.7</v>
      </c>
      <c r="E35" s="161">
        <f>C35*D35</f>
        <v>68905.247000000003</v>
      </c>
      <c r="F35" s="155">
        <v>0</v>
      </c>
      <c r="G35" s="216"/>
      <c r="H35" s="161">
        <f>+G35*D35</f>
        <v>0</v>
      </c>
      <c r="I35" s="368"/>
      <c r="J35" s="230">
        <f>I35*G35</f>
        <v>0</v>
      </c>
      <c r="K35" s="32"/>
      <c r="M35">
        <v>410.59</v>
      </c>
      <c r="N35">
        <v>385.67</v>
      </c>
      <c r="O35">
        <v>468.21</v>
      </c>
      <c r="P35">
        <v>475.71</v>
      </c>
      <c r="Q35">
        <v>501.29</v>
      </c>
      <c r="R35">
        <v>495.43</v>
      </c>
      <c r="S35">
        <v>494.24</v>
      </c>
      <c r="T35">
        <v>519.47</v>
      </c>
      <c r="U35">
        <v>484.07</v>
      </c>
      <c r="V35">
        <v>399.21</v>
      </c>
      <c r="W35">
        <v>424.13</v>
      </c>
      <c r="X35">
        <v>367.59</v>
      </c>
    </row>
    <row r="36" spans="1:24">
      <c r="A36" s="156">
        <f t="shared" si="0"/>
        <v>28</v>
      </c>
      <c r="B36" s="155" t="s">
        <v>360</v>
      </c>
      <c r="C36" s="235">
        <f>SUM(M36:X36)</f>
        <v>0</v>
      </c>
      <c r="D36" s="221">
        <f>D24</f>
        <v>7.15</v>
      </c>
      <c r="E36" s="161">
        <f>C36*D36</f>
        <v>0</v>
      </c>
      <c r="F36" s="155"/>
      <c r="G36" s="216">
        <f>C36+F36</f>
        <v>0</v>
      </c>
      <c r="H36" s="161">
        <f>+G36*D36</f>
        <v>0</v>
      </c>
      <c r="I36" s="221"/>
      <c r="J36" s="230">
        <f>I36*G36</f>
        <v>0</v>
      </c>
      <c r="K36" s="32"/>
    </row>
    <row r="37" spans="1:24">
      <c r="A37" s="156">
        <f t="shared" si="0"/>
        <v>29</v>
      </c>
      <c r="B37" s="155"/>
      <c r="C37" s="250"/>
      <c r="D37" s="163"/>
      <c r="E37" s="161"/>
      <c r="F37" s="155"/>
      <c r="G37" s="174"/>
      <c r="H37" s="155"/>
      <c r="I37" s="163"/>
      <c r="J37" s="155"/>
    </row>
    <row r="38" spans="1:24">
      <c r="A38" s="156">
        <f t="shared" si="0"/>
        <v>30</v>
      </c>
      <c r="B38" s="16" t="s">
        <v>350</v>
      </c>
      <c r="C38" s="250"/>
      <c r="D38" s="163"/>
      <c r="E38" s="161"/>
      <c r="F38" s="155"/>
      <c r="G38" s="225"/>
      <c r="H38" s="225"/>
      <c r="I38" s="163"/>
      <c r="J38" s="155"/>
    </row>
    <row r="39" spans="1:24">
      <c r="A39" s="156">
        <f t="shared" si="0"/>
        <v>31</v>
      </c>
      <c r="B39" s="170" t="s">
        <v>351</v>
      </c>
      <c r="C39" s="250"/>
      <c r="D39" s="228">
        <f>E39/$C$31</f>
        <v>2.0546334742951113E-2</v>
      </c>
      <c r="E39" s="161">
        <f>SUM(M39:X39)</f>
        <v>1802154.3599999999</v>
      </c>
      <c r="F39" s="155"/>
      <c r="G39" s="357" t="e">
        <f>#REF!</f>
        <v>#REF!</v>
      </c>
      <c r="H39" s="161" t="e">
        <f t="shared" ref="H39:H44" si="3">ROUND(G39*$G$31,2)</f>
        <v>#REF!</v>
      </c>
      <c r="I39" s="228" t="e">
        <f t="shared" ref="I39:I45" si="4">G39</f>
        <v>#REF!</v>
      </c>
      <c r="J39" s="161" t="e">
        <f t="shared" ref="J39:J44" si="5">ROUND(I39*$G$31,2)</f>
        <v>#REF!</v>
      </c>
      <c r="M39">
        <v>107363.78</v>
      </c>
      <c r="N39">
        <v>204841.42</v>
      </c>
      <c r="O39">
        <v>268431.8</v>
      </c>
      <c r="P39">
        <v>275519.98</v>
      </c>
      <c r="Q39">
        <v>170274.3</v>
      </c>
      <c r="R39">
        <v>131514.45000000001</v>
      </c>
      <c r="S39">
        <v>27758.93</v>
      </c>
      <c r="T39">
        <v>165544.04</v>
      </c>
      <c r="U39">
        <v>141708.51</v>
      </c>
      <c r="V39">
        <v>171209.29</v>
      </c>
      <c r="W39">
        <v>70728.23</v>
      </c>
      <c r="X39">
        <v>67259.63</v>
      </c>
    </row>
    <row r="40" spans="1:24">
      <c r="A40" s="156">
        <f t="shared" si="0"/>
        <v>32</v>
      </c>
      <c r="B40" s="170" t="s">
        <v>352</v>
      </c>
      <c r="C40" s="250"/>
      <c r="D40" s="228">
        <f>E40/$C$31</f>
        <v>5.5822752079197633E-3</v>
      </c>
      <c r="E40" s="161">
        <f>SUM(M40:X40)</f>
        <v>489630.96</v>
      </c>
      <c r="F40" s="155"/>
      <c r="G40" s="357" t="e">
        <f>#REF!</f>
        <v>#REF!</v>
      </c>
      <c r="H40" s="161" t="e">
        <f t="shared" si="3"/>
        <v>#REF!</v>
      </c>
      <c r="I40" s="228" t="e">
        <f t="shared" si="4"/>
        <v>#REF!</v>
      </c>
      <c r="J40" s="161" t="e">
        <f t="shared" si="5"/>
        <v>#REF!</v>
      </c>
      <c r="M40">
        <v>25801.42</v>
      </c>
      <c r="N40">
        <v>28887.279999999999</v>
      </c>
      <c r="O40">
        <v>44169.78</v>
      </c>
      <c r="P40">
        <v>31887.1</v>
      </c>
      <c r="Q40">
        <v>32917.449999999997</v>
      </c>
      <c r="R40">
        <v>27680.09</v>
      </c>
      <c r="S40">
        <v>35010.61</v>
      </c>
      <c r="T40">
        <v>41361.89</v>
      </c>
      <c r="U40">
        <v>61536.04</v>
      </c>
      <c r="V40">
        <v>58435.97</v>
      </c>
      <c r="W40">
        <v>52070.77</v>
      </c>
      <c r="X40">
        <v>49872.56</v>
      </c>
    </row>
    <row r="41" spans="1:24">
      <c r="A41" s="156">
        <f t="shared" si="0"/>
        <v>33</v>
      </c>
      <c r="B41" s="170"/>
      <c r="C41" s="250"/>
      <c r="D41" s="228"/>
      <c r="E41" s="161"/>
      <c r="F41" s="155"/>
      <c r="G41" s="357"/>
      <c r="H41" s="161">
        <f t="shared" si="3"/>
        <v>0</v>
      </c>
      <c r="I41" s="228"/>
      <c r="J41" s="161">
        <f t="shared" si="5"/>
        <v>0</v>
      </c>
    </row>
    <row r="42" spans="1:24">
      <c r="A42" s="156">
        <f t="shared" si="0"/>
        <v>34</v>
      </c>
      <c r="B42" s="170" t="s">
        <v>355</v>
      </c>
      <c r="C42" s="250"/>
      <c r="D42" s="228">
        <f>E42/$C$31</f>
        <v>-6.7326187423983929E-3</v>
      </c>
      <c r="E42" s="161">
        <f>SUM(M42:X42)</f>
        <v>-590529.56999999995</v>
      </c>
      <c r="F42" s="155"/>
      <c r="G42" s="357" t="e">
        <f>#REF!</f>
        <v>#REF!</v>
      </c>
      <c r="H42" s="161" t="e">
        <f t="shared" si="3"/>
        <v>#REF!</v>
      </c>
      <c r="I42" s="228" t="e">
        <f t="shared" si="4"/>
        <v>#REF!</v>
      </c>
      <c r="J42" s="161" t="e">
        <f t="shared" si="5"/>
        <v>#REF!</v>
      </c>
      <c r="M42">
        <v>-29071.8</v>
      </c>
      <c r="N42">
        <v>-56159.9</v>
      </c>
      <c r="O42">
        <v>-74066.100000000006</v>
      </c>
      <c r="P42">
        <v>-54765.73</v>
      </c>
      <c r="Q42">
        <v>-39155.800000000003</v>
      </c>
      <c r="R42">
        <v>-26616.41</v>
      </c>
      <c r="S42">
        <v>-35843.39</v>
      </c>
      <c r="T42">
        <v>-66438.720000000001</v>
      </c>
      <c r="U42">
        <v>-74776.289999999994</v>
      </c>
      <c r="V42">
        <v>-66569.070000000007</v>
      </c>
      <c r="W42">
        <v>-34061.949999999997</v>
      </c>
      <c r="X42">
        <v>-33004.410000000003</v>
      </c>
    </row>
    <row r="43" spans="1:24">
      <c r="A43" s="156">
        <f t="shared" si="0"/>
        <v>35</v>
      </c>
      <c r="B43" s="170"/>
      <c r="C43" s="250"/>
      <c r="D43" s="228"/>
      <c r="E43" s="161"/>
      <c r="F43" s="155"/>
      <c r="G43" s="357"/>
      <c r="H43" s="161">
        <f t="shared" si="3"/>
        <v>0</v>
      </c>
      <c r="I43" s="228"/>
      <c r="J43" s="161">
        <f t="shared" si="5"/>
        <v>0</v>
      </c>
    </row>
    <row r="44" spans="1:24">
      <c r="A44" s="156">
        <f t="shared" si="0"/>
        <v>36</v>
      </c>
      <c r="B44" s="170" t="s">
        <v>354</v>
      </c>
      <c r="C44" s="250"/>
      <c r="D44" s="228">
        <f>E44/$C$31</f>
        <v>3.8095612536158223E-3</v>
      </c>
      <c r="E44" s="167">
        <f>SUM(M44:X44)</f>
        <v>334143.17</v>
      </c>
      <c r="F44" s="155"/>
      <c r="G44" s="357" t="e">
        <f>#REF!</f>
        <v>#REF!</v>
      </c>
      <c r="H44" s="167" t="e">
        <f t="shared" si="3"/>
        <v>#REF!</v>
      </c>
      <c r="I44" s="229" t="e">
        <f t="shared" si="4"/>
        <v>#REF!</v>
      </c>
      <c r="J44" s="167" t="e">
        <f t="shared" si="5"/>
        <v>#REF!</v>
      </c>
      <c r="M44">
        <v>37370.639999999999</v>
      </c>
      <c r="N44">
        <v>48644.82</v>
      </c>
      <c r="O44">
        <v>49797.34</v>
      </c>
      <c r="P44">
        <v>46800.01</v>
      </c>
      <c r="Q44">
        <v>17551.53</v>
      </c>
      <c r="R44">
        <v>15343.44</v>
      </c>
      <c r="S44">
        <v>16412.13</v>
      </c>
      <c r="T44">
        <v>23037.360000000001</v>
      </c>
      <c r="U44">
        <v>23659.07</v>
      </c>
      <c r="V44">
        <v>25283.93</v>
      </c>
      <c r="W44">
        <v>13241.85</v>
      </c>
      <c r="X44">
        <v>17001.05</v>
      </c>
    </row>
    <row r="45" spans="1:24">
      <c r="A45" s="156">
        <f t="shared" si="0"/>
        <v>37</v>
      </c>
      <c r="B45" s="217" t="s">
        <v>364</v>
      </c>
      <c r="C45" s="216"/>
      <c r="D45" s="228"/>
      <c r="E45" s="161">
        <f>SUM(E39:E44)</f>
        <v>2035398.92</v>
      </c>
      <c r="F45" s="216"/>
      <c r="G45" s="175"/>
      <c r="H45" s="161" t="e">
        <f>SUM(H39:H44)</f>
        <v>#REF!</v>
      </c>
      <c r="I45" s="228">
        <f t="shared" si="4"/>
        <v>0</v>
      </c>
      <c r="J45" s="171" t="e">
        <f>SUM(J39:J44)</f>
        <v>#REF!</v>
      </c>
    </row>
    <row r="46" spans="1:24">
      <c r="A46" s="156"/>
      <c r="B46" s="217"/>
      <c r="C46" s="216"/>
      <c r="D46" s="228"/>
      <c r="E46" s="161"/>
      <c r="F46" s="216"/>
      <c r="G46" s="216"/>
      <c r="H46" s="161"/>
      <c r="I46" s="225"/>
      <c r="J46" s="230"/>
    </row>
    <row r="47" spans="1:24">
      <c r="A47" s="156">
        <f>A45+1</f>
        <v>38</v>
      </c>
      <c r="B47" s="155" t="s">
        <v>230</v>
      </c>
      <c r="C47" s="155"/>
      <c r="D47" s="155"/>
      <c r="E47" s="161">
        <f>E10+E13+E21+E24+E28+E33+E34+E35+E36+E45</f>
        <v>9055348.3657600023</v>
      </c>
      <c r="F47" s="155"/>
      <c r="G47" s="155"/>
      <c r="H47" s="161"/>
      <c r="I47" s="155"/>
      <c r="J47" s="161"/>
    </row>
    <row r="48" spans="1:24">
      <c r="A48" s="156">
        <f t="shared" si="0"/>
        <v>39</v>
      </c>
      <c r="B48" s="155" t="s">
        <v>62</v>
      </c>
      <c r="C48" s="169"/>
      <c r="D48" s="155"/>
      <c r="E48" s="167">
        <f>SUM(M48:X48)</f>
        <v>0</v>
      </c>
      <c r="F48" s="155"/>
      <c r="G48" s="161"/>
      <c r="H48" s="167">
        <v>0</v>
      </c>
      <c r="I48" s="155"/>
      <c r="J48" s="167">
        <v>0</v>
      </c>
    </row>
    <row r="49" spans="1:56" ht="13.5" thickBot="1">
      <c r="A49" s="156">
        <f t="shared" si="0"/>
        <v>40</v>
      </c>
      <c r="B49" s="155" t="s">
        <v>63</v>
      </c>
      <c r="C49" s="155"/>
      <c r="D49" s="155"/>
      <c r="E49" s="231">
        <f>SUM(E47:E48)</f>
        <v>9055348.3657600023</v>
      </c>
      <c r="F49" s="155"/>
      <c r="G49" s="161" t="e">
        <f>+H49-H45</f>
        <v>#REF!</v>
      </c>
      <c r="H49" s="231" t="e">
        <f>H10+H13+H18+H20+H24+H28+H33+H34+H35+H36+H45+H48</f>
        <v>#REF!</v>
      </c>
      <c r="I49" s="155"/>
      <c r="J49" s="231" t="e">
        <f>J10+J13+J18+J20+J24+J28+J33+J34+J35+J36+J45+J48</f>
        <v>#DIV/0!</v>
      </c>
      <c r="K49" s="170" t="s">
        <v>351</v>
      </c>
      <c r="M49" s="207">
        <f>M39/SUM(M$15+M$16+M$17+M$26+M$27)</f>
        <v>1.5009699481053997E-2</v>
      </c>
      <c r="N49" s="207">
        <f t="shared" ref="N49:X49" si="6">N39/SUM(N$15+N$16+N$17+N$26+N$27)</f>
        <v>3.12588004419296E-2</v>
      </c>
      <c r="O49" s="207">
        <f t="shared" si="6"/>
        <v>3.8331191381929926E-2</v>
      </c>
      <c r="P49" s="207">
        <f t="shared" si="6"/>
        <v>3.8655798931465639E-2</v>
      </c>
      <c r="Q49" s="207">
        <f t="shared" si="6"/>
        <v>2.2608105093765433E-2</v>
      </c>
      <c r="R49" s="207">
        <f t="shared" si="6"/>
        <v>1.6493901062516931E-2</v>
      </c>
      <c r="S49" s="207">
        <f t="shared" si="6"/>
        <v>3.5906001810891218E-3</v>
      </c>
      <c r="T49" s="207">
        <f t="shared" si="6"/>
        <v>2.1623801537167371E-2</v>
      </c>
      <c r="U49" s="207">
        <f t="shared" si="6"/>
        <v>1.8437800555833127E-2</v>
      </c>
      <c r="V49" s="207">
        <f t="shared" si="6"/>
        <v>2.3454998164252797E-2</v>
      </c>
      <c r="W49" s="207">
        <f t="shared" si="6"/>
        <v>1.0151600355953611E-2</v>
      </c>
      <c r="X49" s="207">
        <f t="shared" si="6"/>
        <v>9.5660997519570364E-3</v>
      </c>
    </row>
    <row r="50" spans="1:56" ht="13.5" thickTop="1">
      <c r="A50" s="52">
        <f t="shared" si="0"/>
        <v>41</v>
      </c>
      <c r="E50" s="29"/>
      <c r="H50" s="29"/>
      <c r="J50" s="29"/>
      <c r="K50" s="170" t="s">
        <v>352</v>
      </c>
      <c r="M50" s="207">
        <f t="shared" ref="M50:X54" si="7">M40/SUM(M$15+M$16+M$17+M$26+M$27)</f>
        <v>3.6070969221133624E-3</v>
      </c>
      <c r="N50" s="207">
        <f t="shared" si="7"/>
        <v>4.4081988927344084E-3</v>
      </c>
      <c r="O50" s="207">
        <f t="shared" si="7"/>
        <v>6.3073014839439322E-3</v>
      </c>
      <c r="P50" s="207">
        <f t="shared" si="7"/>
        <v>4.4738001436684851E-3</v>
      </c>
      <c r="Q50" s="207">
        <f t="shared" si="7"/>
        <v>4.3706018407873E-3</v>
      </c>
      <c r="R50" s="207">
        <f t="shared" si="7"/>
        <v>3.4715019213597004E-3</v>
      </c>
      <c r="S50" s="207">
        <f t="shared" si="7"/>
        <v>4.5286004397878674E-3</v>
      </c>
      <c r="T50" s="207">
        <f t="shared" si="7"/>
        <v>5.4027997659242075E-3</v>
      </c>
      <c r="U50" s="207">
        <f t="shared" si="7"/>
        <v>8.0065003330835206E-3</v>
      </c>
      <c r="V50" s="207">
        <f t="shared" si="7"/>
        <v>8.0054976518875321E-3</v>
      </c>
      <c r="W50" s="207">
        <f t="shared" si="7"/>
        <v>7.4737010563784585E-3</v>
      </c>
      <c r="X50" s="207">
        <f t="shared" si="7"/>
        <v>7.0931981612961945E-3</v>
      </c>
    </row>
    <row r="51" spans="1:56">
      <c r="A51" s="52">
        <f t="shared" si="0"/>
        <v>42</v>
      </c>
      <c r="E51" s="29"/>
      <c r="G51" s="52"/>
      <c r="H51" s="29"/>
      <c r="I51" s="51"/>
      <c r="J51" s="29"/>
      <c r="K51" s="170" t="s">
        <v>353</v>
      </c>
      <c r="L51" s="30"/>
      <c r="M51" s="207">
        <f t="shared" si="7"/>
        <v>0</v>
      </c>
      <c r="N51" s="207">
        <f t="shared" si="7"/>
        <v>0</v>
      </c>
      <c r="O51" s="207">
        <f t="shared" si="7"/>
        <v>0</v>
      </c>
      <c r="P51" s="207">
        <f t="shared" si="7"/>
        <v>0</v>
      </c>
      <c r="Q51" s="207">
        <f t="shared" si="7"/>
        <v>0</v>
      </c>
      <c r="R51" s="207">
        <f t="shared" si="7"/>
        <v>0</v>
      </c>
      <c r="S51" s="207">
        <f t="shared" si="7"/>
        <v>0</v>
      </c>
      <c r="T51" s="207">
        <f t="shared" si="7"/>
        <v>0</v>
      </c>
      <c r="U51" s="207">
        <f t="shared" si="7"/>
        <v>0</v>
      </c>
      <c r="V51" s="207">
        <f t="shared" si="7"/>
        <v>0</v>
      </c>
      <c r="W51" s="207">
        <f t="shared" si="7"/>
        <v>0</v>
      </c>
      <c r="X51" s="207">
        <f t="shared" si="7"/>
        <v>0</v>
      </c>
    </row>
    <row r="52" spans="1:56">
      <c r="A52" s="52">
        <f t="shared" si="0"/>
        <v>43</v>
      </c>
      <c r="B52" s="61"/>
      <c r="H52" s="29"/>
      <c r="J52" s="44"/>
      <c r="K52" s="170" t="s">
        <v>355</v>
      </c>
      <c r="M52" s="207">
        <f t="shared" si="7"/>
        <v>-4.0643034492014495E-3</v>
      </c>
      <c r="N52" s="207">
        <f t="shared" si="7"/>
        <v>-8.5700006714399951E-3</v>
      </c>
      <c r="O52" s="207">
        <f t="shared" si="7"/>
        <v>-1.0576399122656706E-2</v>
      </c>
      <c r="P52" s="207">
        <f t="shared" si="7"/>
        <v>-7.6837006420185424E-3</v>
      </c>
      <c r="Q52" s="207">
        <f t="shared" si="7"/>
        <v>-5.1988963773773296E-3</v>
      </c>
      <c r="R52" s="207">
        <f t="shared" si="7"/>
        <v>-3.3381003621988782E-3</v>
      </c>
      <c r="S52" s="207">
        <f t="shared" si="7"/>
        <v>-4.6363200103479501E-3</v>
      </c>
      <c r="T52" s="207">
        <f t="shared" si="7"/>
        <v>-8.6784018057275425E-3</v>
      </c>
      <c r="U52" s="207">
        <f t="shared" si="7"/>
        <v>-9.7291991943542332E-3</v>
      </c>
      <c r="V52" s="207">
        <f t="shared" si="7"/>
        <v>-9.1197003074191593E-3</v>
      </c>
      <c r="W52" s="207">
        <f t="shared" si="7"/>
        <v>-4.8889008496957164E-3</v>
      </c>
      <c r="X52" s="207">
        <f t="shared" si="7"/>
        <v>-4.6941007304751505E-3</v>
      </c>
    </row>
    <row r="53" spans="1:56">
      <c r="A53" s="52"/>
      <c r="B53" s="169"/>
      <c r="J53" s="29"/>
      <c r="K53" s="170" t="s">
        <v>356</v>
      </c>
      <c r="M53" s="207">
        <f t="shared" si="7"/>
        <v>0</v>
      </c>
      <c r="N53" s="207">
        <f t="shared" si="7"/>
        <v>0</v>
      </c>
      <c r="O53" s="207">
        <f t="shared" si="7"/>
        <v>0</v>
      </c>
      <c r="P53" s="207">
        <f t="shared" si="7"/>
        <v>0</v>
      </c>
      <c r="Q53" s="207">
        <f t="shared" si="7"/>
        <v>0</v>
      </c>
      <c r="R53" s="207">
        <f t="shared" si="7"/>
        <v>0</v>
      </c>
      <c r="S53" s="207">
        <f t="shared" si="7"/>
        <v>0</v>
      </c>
      <c r="T53" s="207">
        <f t="shared" si="7"/>
        <v>0</v>
      </c>
      <c r="U53" s="207">
        <f t="shared" si="7"/>
        <v>0</v>
      </c>
      <c r="V53" s="207">
        <f t="shared" si="7"/>
        <v>0</v>
      </c>
      <c r="W53" s="207">
        <f t="shared" si="7"/>
        <v>0</v>
      </c>
      <c r="X53" s="207">
        <f t="shared" si="7"/>
        <v>0</v>
      </c>
    </row>
    <row r="54" spans="1:56">
      <c r="A54" s="52"/>
      <c r="H54" s="29"/>
      <c r="K54" s="170" t="s">
        <v>354</v>
      </c>
      <c r="M54" s="207">
        <f t="shared" si="7"/>
        <v>5.2245000671050862E-3</v>
      </c>
      <c r="N54" s="207">
        <f t="shared" si="7"/>
        <v>7.4231994726144043E-3</v>
      </c>
      <c r="O54" s="207">
        <f t="shared" si="7"/>
        <v>7.1108988199275729E-3</v>
      </c>
      <c r="P54" s="207">
        <f t="shared" si="7"/>
        <v>6.5661001301995647E-3</v>
      </c>
      <c r="Q54" s="207">
        <f t="shared" si="7"/>
        <v>2.3303976865350602E-3</v>
      </c>
      <c r="R54" s="207">
        <f t="shared" si="7"/>
        <v>1.9242994311169973E-3</v>
      </c>
      <c r="S54" s="207">
        <f t="shared" si="7"/>
        <v>2.1228987194412108E-3</v>
      </c>
      <c r="T54" s="207">
        <f t="shared" si="7"/>
        <v>3.0092010596109537E-3</v>
      </c>
      <c r="U54" s="207">
        <f t="shared" si="7"/>
        <v>3.0782993484053628E-3</v>
      </c>
      <c r="V54" s="207">
        <f t="shared" si="7"/>
        <v>3.4637987911467667E-3</v>
      </c>
      <c r="W54" s="207">
        <f t="shared" si="7"/>
        <v>1.9005985187736825E-3</v>
      </c>
      <c r="X54" s="207">
        <f t="shared" si="7"/>
        <v>2.4179993286910615E-3</v>
      </c>
    </row>
    <row r="55" spans="1:56">
      <c r="A55" s="52"/>
      <c r="G55" s="46"/>
      <c r="H55" s="29"/>
      <c r="J55" s="29"/>
      <c r="K55" s="29"/>
      <c r="L55" s="48"/>
    </row>
    <row r="56" spans="1:56">
      <c r="H56" s="29"/>
    </row>
    <row r="57" spans="1:56">
      <c r="H57" s="29"/>
      <c r="I57" s="29"/>
      <c r="J57" s="29"/>
    </row>
    <row r="58" spans="1:56">
      <c r="I58" s="29"/>
    </row>
    <row r="59" spans="1:56" ht="15">
      <c r="C59" s="155"/>
      <c r="G59" s="55"/>
    </row>
    <row r="60" spans="1:56">
      <c r="K60" s="155"/>
      <c r="L60" s="155"/>
      <c r="N60" s="52"/>
      <c r="O60" s="156"/>
      <c r="Q60" s="155"/>
      <c r="S60" s="155"/>
    </row>
    <row r="61" spans="1:56">
      <c r="Q61" s="155"/>
      <c r="R61" s="155"/>
      <c r="S61" s="155"/>
      <c r="T61" s="155"/>
    </row>
    <row r="62" spans="1:56">
      <c r="R62" s="308"/>
      <c r="T62" s="25"/>
      <c r="U62" s="25"/>
      <c r="AQ62" s="90">
        <v>40188</v>
      </c>
      <c r="AR62" t="e">
        <f>#REF!+#REF!+#REF!+#REF!+#REF!+#REF!+#REF!+#REF!+#REF!+#REF!+#REF!+#REF!+#REF!</f>
        <v>#REF!</v>
      </c>
      <c r="AS62" t="e">
        <f>#REF!+#REF!+#REF!+#REF!+#REF!+#REF!+#REF!+#REF!+#REF!+#REF!+#REF!+#REF!+#REF!</f>
        <v>#REF!</v>
      </c>
      <c r="AT62" t="e">
        <f>#REF!+#REF!+#REF!+#REF!+#REF!+#REF!+#REF!+#REF!+#REF!+#REF!+#REF!+#REF!+#REF!</f>
        <v>#REF!</v>
      </c>
      <c r="AU62" t="e">
        <f>#REF!+#REF!+#REF!+#REF!+#REF!+#REF!+#REF!+#REF!+#REF!+#REF!+#REF!+#REF!+#REF!</f>
        <v>#REF!</v>
      </c>
      <c r="AV62" t="e">
        <f>#REF!+#REF!+#REF!+#REF!+#REF!+#REF!+#REF!+#REF!+#REF!+#REF!+#REF!+#REF!+#REF!</f>
        <v>#REF!</v>
      </c>
      <c r="AW62" t="e">
        <f>#REF!+#REF!+#REF!+#REF!+#REF!+#REF!+#REF!+#REF!+#REF!+#REF!+#REF!+#REF!+#REF!</f>
        <v>#REF!</v>
      </c>
      <c r="AX62" t="e">
        <f>#REF!+#REF!+#REF!+#REF!+#REF!+#REF!+#REF!+#REF!+#REF!+#REF!+#REF!+#REF!+#REF!</f>
        <v>#REF!</v>
      </c>
      <c r="AY62" t="e">
        <f>#REF!+#REF!+#REF!+#REF!+#REF!+#REF!+#REF!+#REF!+#REF!+#REF!+#REF!+#REF!+#REF!</f>
        <v>#REF!</v>
      </c>
      <c r="AZ62" t="e">
        <f>#REF!+#REF!+#REF!+#REF!+#REF!+#REF!+#REF!+#REF!+#REF!+#REF!+#REF!+#REF!+#REF!</f>
        <v>#REF!</v>
      </c>
      <c r="BA62">
        <v>157.46</v>
      </c>
      <c r="BB62" t="e">
        <f>AZ62+BA62</f>
        <v>#REF!</v>
      </c>
      <c r="BC62">
        <f>298984.07-2478.7</f>
        <v>296505.37</v>
      </c>
      <c r="BD62" t="e">
        <f>BB62-BC62</f>
        <v>#REF!</v>
      </c>
    </row>
    <row r="63" spans="1:56" ht="15">
      <c r="R63" s="308"/>
      <c r="T63" s="25"/>
      <c r="U63" s="25"/>
      <c r="AF63" s="91"/>
      <c r="AG63" s="91"/>
      <c r="AH63" s="91"/>
      <c r="AI63" s="91"/>
      <c r="AJ63" s="91"/>
      <c r="AQ63" s="90">
        <v>40219</v>
      </c>
      <c r="AR63" t="e">
        <f>#REF!+#REF!+#REF!+#REF!+#REF!+#REF!+#REF!+#REF!+#REF!+#REF!+#REF!+#REF!+#REF!</f>
        <v>#REF!</v>
      </c>
      <c r="AS63" t="e">
        <f>#REF!+#REF!+#REF!+#REF!+#REF!+#REF!+#REF!+#REF!+#REF!+#REF!+#REF!+#REF!+#REF!</f>
        <v>#REF!</v>
      </c>
      <c r="AT63" t="e">
        <f>#REF!+#REF!+#REF!+#REF!+#REF!+#REF!+#REF!+#REF!+#REF!+#REF!+#REF!+#REF!+#REF!</f>
        <v>#REF!</v>
      </c>
      <c r="AU63" t="e">
        <f>#REF!+#REF!+#REF!+#REF!+#REF!+#REF!+#REF!+#REF!+#REF!+#REF!+#REF!+#REF!+#REF!</f>
        <v>#REF!</v>
      </c>
      <c r="AV63" t="e">
        <f>#REF!+#REF!+#REF!+#REF!+#REF!+#REF!+#REF!+#REF!+#REF!+#REF!+#REF!+#REF!+#REF!</f>
        <v>#REF!</v>
      </c>
      <c r="AW63" t="e">
        <f>#REF!+#REF!+#REF!+#REF!+#REF!+#REF!+#REF!+#REF!+#REF!+#REF!+#REF!+#REF!+#REF!</f>
        <v>#REF!</v>
      </c>
      <c r="AX63" t="e">
        <f>#REF!+#REF!+#REF!+#REF!+#REF!+#REF!+#REF!+#REF!+#REF!+#REF!+#REF!+#REF!+#REF!</f>
        <v>#REF!</v>
      </c>
      <c r="AY63" t="e">
        <f>#REF!+#REF!+#REF!+#REF!+#REF!+#REF!+#REF!+#REF!+#REF!+#REF!+#REF!+#REF!+#REF!</f>
        <v>#REF!</v>
      </c>
      <c r="AZ63" t="e">
        <f>#REF!+#REF!+#REF!+#REF!+#REF!+#REF!+#REF!+#REF!+#REF!+#REF!+#REF!+#REF!+#REF!</f>
        <v>#REF!</v>
      </c>
      <c r="BA63">
        <v>157.46</v>
      </c>
      <c r="BB63" t="e">
        <f t="shared" ref="BB63:BB74" si="8">AZ63+BA63</f>
        <v>#REF!</v>
      </c>
      <c r="BC63">
        <f>297936.9-2562.7</f>
        <v>295374.2</v>
      </c>
      <c r="BD63" t="e">
        <f t="shared" ref="BD63:BD74" si="9">BB63-BC63</f>
        <v>#REF!</v>
      </c>
    </row>
    <row r="64" spans="1:56">
      <c r="R64" s="308"/>
      <c r="T64" s="25"/>
      <c r="U64" s="25"/>
      <c r="AF64" s="92"/>
      <c r="AG64" s="92"/>
      <c r="AH64" s="92"/>
      <c r="AI64" s="92"/>
      <c r="AJ64" s="92"/>
      <c r="AQ64" s="90">
        <v>40247</v>
      </c>
      <c r="AR64" t="e">
        <f>#REF!+#REF!+#REF!+#REF!+#REF!+#REF!+#REF!+#REF!+#REF!+#REF!+#REF!+#REF!+#REF!</f>
        <v>#REF!</v>
      </c>
      <c r="AS64" t="e">
        <f>#REF!+#REF!+#REF!+#REF!+#REF!+#REF!+#REF!+#REF!+#REF!+#REF!+#REF!+#REF!+#REF!</f>
        <v>#REF!</v>
      </c>
      <c r="AT64" t="e">
        <f>#REF!+#REF!+#REF!+#REF!+#REF!+#REF!+#REF!+#REF!+#REF!+#REF!+#REF!+#REF!+#REF!</f>
        <v>#REF!</v>
      </c>
      <c r="AU64" t="e">
        <f>#REF!+#REF!+#REF!+#REF!+#REF!+#REF!+#REF!+#REF!+#REF!+#REF!+#REF!+#REF!+#REF!</f>
        <v>#REF!</v>
      </c>
      <c r="AV64" t="e">
        <f>#REF!+#REF!+#REF!+#REF!+#REF!+#REF!+#REF!+#REF!+#REF!+#REF!+#REF!+#REF!+#REF!</f>
        <v>#REF!</v>
      </c>
      <c r="AW64" t="e">
        <f>#REF!+#REF!+#REF!+#REF!+#REF!+#REF!+#REF!+#REF!+#REF!+#REF!+#REF!+#REF!+#REF!</f>
        <v>#REF!</v>
      </c>
      <c r="AX64" t="e">
        <f>#REF!+#REF!+#REF!+#REF!+#REF!+#REF!+#REF!+#REF!+#REF!+#REF!+#REF!+#REF!+#REF!</f>
        <v>#REF!</v>
      </c>
      <c r="AY64" t="e">
        <f>#REF!+#REF!+#REF!+#REF!+#REF!+#REF!+#REF!+#REF!+#REF!+#REF!+#REF!+#REF!+#REF!</f>
        <v>#REF!</v>
      </c>
      <c r="AZ64" t="e">
        <f>#REF!+#REF!+#REF!+#REF!+#REF!+#REF!+#REF!+#REF!+#REF!+#REF!+#REF!+#REF!+#REF!</f>
        <v>#REF!</v>
      </c>
      <c r="BA64">
        <v>157.46</v>
      </c>
      <c r="BB64" t="e">
        <f t="shared" si="8"/>
        <v>#REF!</v>
      </c>
      <c r="BC64">
        <f>311116.95-2555.5</f>
        <v>308561.45</v>
      </c>
      <c r="BD64" t="e">
        <f t="shared" si="9"/>
        <v>#REF!</v>
      </c>
    </row>
    <row r="65" spans="18:56">
      <c r="R65" s="308"/>
      <c r="T65" s="25"/>
      <c r="U65" s="25"/>
      <c r="AQ65" s="90">
        <v>40278</v>
      </c>
      <c r="AR65" t="e">
        <f>#REF!+#REF!+#REF!+#REF!+#REF!+#REF!+#REF!+#REF!+#REF!+#REF!+#REF!+#REF!+#REF!</f>
        <v>#REF!</v>
      </c>
      <c r="AS65" t="e">
        <f>#REF!+#REF!+#REF!+#REF!+#REF!+#REF!+#REF!+#REF!+#REF!+#REF!+#REF!+#REF!+#REF!</f>
        <v>#REF!</v>
      </c>
      <c r="AT65" t="e">
        <f>#REF!+#REF!+#REF!+#REF!+#REF!+#REF!+#REF!+#REF!+#REF!+#REF!+#REF!+#REF!+#REF!</f>
        <v>#REF!</v>
      </c>
      <c r="AU65" t="e">
        <f>#REF!+#REF!+#REF!+#REF!+#REF!+#REF!+#REF!+#REF!+#REF!+#REF!+#REF!+#REF!+#REF!</f>
        <v>#REF!</v>
      </c>
      <c r="AV65" t="e">
        <f>#REF!+#REF!+#REF!+#REF!+#REF!+#REF!+#REF!+#REF!+#REF!+#REF!+#REF!+#REF!+#REF!</f>
        <v>#REF!</v>
      </c>
      <c r="AW65" t="e">
        <f>#REF!+#REF!+#REF!+#REF!+#REF!+#REF!+#REF!+#REF!+#REF!+#REF!+#REF!+#REF!+#REF!</f>
        <v>#REF!</v>
      </c>
      <c r="AX65" t="e">
        <f>#REF!+#REF!+#REF!+#REF!+#REF!+#REF!+#REF!+#REF!+#REF!+#REF!+#REF!+#REF!+#REF!</f>
        <v>#REF!</v>
      </c>
      <c r="AY65" t="e">
        <f>#REF!+#REF!+#REF!+#REF!+#REF!+#REF!+#REF!+#REF!+#REF!+#REF!+#REF!+#REF!+#REF!</f>
        <v>#REF!</v>
      </c>
      <c r="AZ65" t="e">
        <f>#REF!+#REF!+#REF!+#REF!+#REF!+#REF!+#REF!+#REF!+#REF!+#REF!+#REF!+#REF!+#REF!</f>
        <v>#REF!</v>
      </c>
      <c r="BA65">
        <v>157.46</v>
      </c>
      <c r="BB65" t="e">
        <f t="shared" si="8"/>
        <v>#REF!</v>
      </c>
      <c r="BC65">
        <f>306022.81-2605.3</f>
        <v>303417.51</v>
      </c>
      <c r="BD65" t="e">
        <f t="shared" si="9"/>
        <v>#REF!</v>
      </c>
    </row>
    <row r="66" spans="18:56">
      <c r="R66" s="308"/>
      <c r="T66" s="25"/>
      <c r="U66" s="25"/>
      <c r="AQ66" s="90">
        <v>40308</v>
      </c>
      <c r="AR66" t="e">
        <f>#REF!+#REF!+#REF!+#REF!+#REF!+#REF!+#REF!+#REF!+#REF!+#REF!+#REF!+#REF!+#REF!</f>
        <v>#REF!</v>
      </c>
      <c r="AS66" t="e">
        <f>#REF!+#REF!+#REF!+#REF!+#REF!+#REF!+#REF!+#REF!+#REF!+#REF!+#REF!+#REF!+#REF!</f>
        <v>#REF!</v>
      </c>
      <c r="AT66" t="e">
        <f>#REF!+#REF!+#REF!+#REF!+#REF!+#REF!+#REF!+#REF!+#REF!+#REF!+#REF!+#REF!+#REF!</f>
        <v>#REF!</v>
      </c>
      <c r="AU66" t="e">
        <f>#REF!+#REF!+#REF!+#REF!+#REF!+#REF!+#REF!+#REF!+#REF!+#REF!+#REF!+#REF!+#REF!</f>
        <v>#REF!</v>
      </c>
      <c r="AV66" t="e">
        <f>#REF!+#REF!+#REF!+#REF!+#REF!+#REF!+#REF!+#REF!+#REF!+#REF!+#REF!+#REF!+#REF!</f>
        <v>#REF!</v>
      </c>
      <c r="AW66" t="e">
        <f>#REF!+#REF!+#REF!+#REF!+#REF!+#REF!+#REF!+#REF!+#REF!+#REF!+#REF!+#REF!+#REF!</f>
        <v>#REF!</v>
      </c>
      <c r="AX66" t="e">
        <f>#REF!+#REF!+#REF!+#REF!+#REF!+#REF!+#REF!+#REF!+#REF!+#REF!+#REF!+#REF!+#REF!</f>
        <v>#REF!</v>
      </c>
      <c r="AY66" t="e">
        <f>#REF!+#REF!+#REF!+#REF!+#REF!+#REF!+#REF!+#REF!+#REF!+#REF!+#REF!+#REF!+#REF!</f>
        <v>#REF!</v>
      </c>
      <c r="AZ66" t="e">
        <f>#REF!+#REF!+#REF!+#REF!+#REF!+#REF!+#REF!+#REF!+#REF!+#REF!+#REF!+#REF!+#REF!</f>
        <v>#REF!</v>
      </c>
      <c r="BA66">
        <v>157.46</v>
      </c>
      <c r="BB66" t="e">
        <f t="shared" si="8"/>
        <v>#REF!</v>
      </c>
      <c r="BC66">
        <f>340414.31-2818.5</f>
        <v>337595.81</v>
      </c>
      <c r="BD66" t="e">
        <f t="shared" si="9"/>
        <v>#REF!</v>
      </c>
    </row>
    <row r="67" spans="18:56">
      <c r="R67" s="308"/>
      <c r="T67" s="25"/>
      <c r="U67" s="25"/>
      <c r="AQ67" s="90">
        <v>40339</v>
      </c>
      <c r="AR67" t="e">
        <f>#REF!+#REF!+#REF!+#REF!+#REF!+#REF!+#REF!+#REF!+#REF!+#REF!+#REF!+#REF!+#REF!</f>
        <v>#REF!</v>
      </c>
      <c r="AS67" t="e">
        <f>#REF!+#REF!+#REF!+#REF!+#REF!+#REF!+#REF!+#REF!+#REF!+#REF!+#REF!+#REF!+#REF!</f>
        <v>#REF!</v>
      </c>
      <c r="AT67" t="e">
        <f>#REF!+#REF!+#REF!+#REF!+#REF!+#REF!+#REF!+#REF!+#REF!+#REF!+#REF!+#REF!+#REF!</f>
        <v>#REF!</v>
      </c>
      <c r="AU67" t="e">
        <f>#REF!+#REF!+#REF!+#REF!+#REF!+#REF!+#REF!+#REF!+#REF!+#REF!+#REF!+#REF!+#REF!</f>
        <v>#REF!</v>
      </c>
      <c r="AV67" t="e">
        <f>#REF!+#REF!+#REF!+#REF!+#REF!+#REF!+#REF!+#REF!+#REF!+#REF!+#REF!+#REF!+#REF!</f>
        <v>#REF!</v>
      </c>
      <c r="AW67" t="e">
        <f>#REF!+#REF!+#REF!+#REF!+#REF!+#REF!+#REF!+#REF!+#REF!+#REF!+#REF!+#REF!+#REF!</f>
        <v>#REF!</v>
      </c>
      <c r="AX67" t="e">
        <f>#REF!+#REF!+#REF!+#REF!+#REF!+#REF!+#REF!+#REF!+#REF!+#REF!+#REF!+#REF!+#REF!</f>
        <v>#REF!</v>
      </c>
      <c r="AY67" t="e">
        <f>#REF!+#REF!+#REF!+#REF!+#REF!+#REF!+#REF!+#REF!+#REF!+#REF!+#REF!+#REF!+#REF!</f>
        <v>#REF!</v>
      </c>
      <c r="AZ67" t="e">
        <f>#REF!+#REF!+#REF!+#REF!+#REF!+#REF!+#REF!+#REF!+#REF!+#REF!+#REF!+#REF!+#REF!</f>
        <v>#REF!</v>
      </c>
      <c r="BA67">
        <v>157.46</v>
      </c>
      <c r="BB67" t="e">
        <f t="shared" si="8"/>
        <v>#REF!</v>
      </c>
      <c r="BC67">
        <f>344127.18-2918.8</f>
        <v>341208.38</v>
      </c>
      <c r="BD67" t="e">
        <f t="shared" si="9"/>
        <v>#REF!</v>
      </c>
    </row>
    <row r="68" spans="18:56">
      <c r="R68" s="308"/>
      <c r="T68" s="25"/>
      <c r="U68" s="25"/>
      <c r="AQ68" s="90">
        <v>40368</v>
      </c>
      <c r="AR68" t="e">
        <f>#REF!+#REF!+#REF!+#REF!+#REF!+#REF!+#REF!+#REF!+#REF!+#REF!+#REF!+#REF!+#REF!</f>
        <v>#REF!</v>
      </c>
      <c r="AS68" t="e">
        <f>#REF!+#REF!+#REF!+#REF!+#REF!+#REF!+#REF!+#REF!+#REF!+#REF!+#REF!+#REF!+#REF!</f>
        <v>#REF!</v>
      </c>
      <c r="AT68" t="e">
        <f>#REF!+#REF!+#REF!+#REF!+#REF!+#REF!+#REF!+#REF!+#REF!+#REF!+#REF!+#REF!+#REF!</f>
        <v>#REF!</v>
      </c>
      <c r="AU68" t="e">
        <f>#REF!+#REF!+#REF!+#REF!+#REF!+#REF!+#REF!+#REF!+#REF!+#REF!+#REF!+#REF!+#REF!</f>
        <v>#REF!</v>
      </c>
      <c r="AV68" t="e">
        <f>#REF!+#REF!+#REF!+#REF!+#REF!+#REF!+#REF!+#REF!+#REF!+#REF!+#REF!+#REF!+#REF!</f>
        <v>#REF!</v>
      </c>
      <c r="AW68" t="e">
        <f>#REF!+#REF!+#REF!+#REF!+#REF!+#REF!+#REF!+#REF!+#REF!+#REF!+#REF!+#REF!+#REF!</f>
        <v>#REF!</v>
      </c>
      <c r="AX68" t="e">
        <f>#REF!+#REF!+#REF!+#REF!+#REF!+#REF!+#REF!+#REF!+#REF!+#REF!+#REF!+#REF!+#REF!</f>
        <v>#REF!</v>
      </c>
      <c r="AY68" t="e">
        <f>#REF!+#REF!+#REF!+#REF!+#REF!+#REF!+#REF!+#REF!+#REF!+#REF!+#REF!+#REF!+#REF!</f>
        <v>#REF!</v>
      </c>
      <c r="AZ68" t="e">
        <f>#REF!+#REF!+#REF!+#REF!+#REF!+#REF!+#REF!+#REF!+#REF!+#REF!+#REF!+#REF!+#REF!</f>
        <v>#REF!</v>
      </c>
      <c r="BA68">
        <v>157.46</v>
      </c>
      <c r="BB68" t="e">
        <f t="shared" si="8"/>
        <v>#REF!</v>
      </c>
      <c r="BC68">
        <f>337985.57-2839.9</f>
        <v>335145.67</v>
      </c>
      <c r="BD68" t="e">
        <f t="shared" si="9"/>
        <v>#REF!</v>
      </c>
    </row>
    <row r="69" spans="18:56">
      <c r="R69" s="308"/>
      <c r="T69" s="25"/>
      <c r="U69" s="25"/>
      <c r="AQ69" s="90">
        <v>40399</v>
      </c>
      <c r="AR69" t="e">
        <f>#REF!+#REF!+#REF!+#REF!+#REF!+#REF!+#REF!+#REF!+#REF!+#REF!+#REF!+#REF!+#REF!</f>
        <v>#REF!</v>
      </c>
      <c r="AS69" t="e">
        <f>#REF!+#REF!+#REF!+#REF!+#REF!+#REF!+#REF!+#REF!+#REF!+#REF!+#REF!+#REF!+#REF!</f>
        <v>#REF!</v>
      </c>
      <c r="AT69" t="e">
        <f>#REF!+#REF!+#REF!+#REF!+#REF!+#REF!+#REF!+#REF!+#REF!+#REF!+#REF!+#REF!+#REF!</f>
        <v>#REF!</v>
      </c>
      <c r="AU69" t="e">
        <f>#REF!+#REF!+#REF!+#REF!+#REF!+#REF!+#REF!+#REF!+#REF!+#REF!+#REF!+#REF!+#REF!</f>
        <v>#REF!</v>
      </c>
      <c r="AV69" t="e">
        <f>#REF!+#REF!+#REF!+#REF!+#REF!+#REF!+#REF!+#REF!+#REF!+#REF!+#REF!+#REF!+#REF!</f>
        <v>#REF!</v>
      </c>
      <c r="AW69" t="e">
        <f>#REF!+#REF!+#REF!+#REF!+#REF!+#REF!+#REF!+#REF!+#REF!+#REF!+#REF!+#REF!+#REF!</f>
        <v>#REF!</v>
      </c>
      <c r="AX69" t="e">
        <f>#REF!+#REF!+#REF!+#REF!+#REF!+#REF!+#REF!+#REF!+#REF!+#REF!+#REF!+#REF!+#REF!</f>
        <v>#REF!</v>
      </c>
      <c r="AY69" t="e">
        <f>#REF!+#REF!+#REF!+#REF!+#REF!+#REF!+#REF!+#REF!+#REF!+#REF!+#REF!+#REF!+#REF!</f>
        <v>#REF!</v>
      </c>
      <c r="AZ69" t="e">
        <f>#REF!+#REF!+#REF!+#REF!+#REF!+#REF!+#REF!+#REF!+#REF!+#REF!+#REF!+#REF!+#REF!</f>
        <v>#REF!</v>
      </c>
      <c r="BA69">
        <v>157.46</v>
      </c>
      <c r="BB69" t="e">
        <f t="shared" si="8"/>
        <v>#REF!</v>
      </c>
      <c r="BC69">
        <f>344708.14-2911.9</f>
        <v>341796.24</v>
      </c>
      <c r="BD69" t="e">
        <f t="shared" si="9"/>
        <v>#REF!</v>
      </c>
    </row>
    <row r="70" spans="18:56">
      <c r="R70" s="308"/>
      <c r="T70" s="25"/>
      <c r="U70" s="25"/>
      <c r="AQ70" s="90">
        <v>40430</v>
      </c>
      <c r="AR70" t="e">
        <f>#REF!+#REF!+#REF!+#REF!+#REF!+#REF!+#REF!+#REF!+#REF!+#REF!+#REF!+#REF!+#REF!</f>
        <v>#REF!</v>
      </c>
      <c r="AS70" t="e">
        <f>#REF!+#REF!+#REF!+#REF!+#REF!+#REF!+#REF!+#REF!+#REF!+#REF!+#REF!+#REF!+#REF!</f>
        <v>#REF!</v>
      </c>
      <c r="AT70" t="e">
        <f>#REF!+#REF!+#REF!+#REF!+#REF!+#REF!+#REF!+#REF!+#REF!+#REF!+#REF!+#REF!+#REF!</f>
        <v>#REF!</v>
      </c>
      <c r="AU70" t="e">
        <f>#REF!+#REF!+#REF!+#REF!+#REF!+#REF!+#REF!+#REF!+#REF!+#REF!+#REF!+#REF!+#REF!</f>
        <v>#REF!</v>
      </c>
      <c r="AV70" t="e">
        <f>#REF!+#REF!+#REF!+#REF!+#REF!+#REF!+#REF!+#REF!+#REF!+#REF!+#REF!+#REF!+#REF!</f>
        <v>#REF!</v>
      </c>
      <c r="AW70" t="e">
        <f>#REF!+#REF!+#REF!+#REF!+#REF!+#REF!+#REF!+#REF!+#REF!+#REF!+#REF!+#REF!+#REF!</f>
        <v>#REF!</v>
      </c>
      <c r="AX70" t="e">
        <f>#REF!+#REF!+#REF!+#REF!+#REF!+#REF!+#REF!+#REF!+#REF!+#REF!+#REF!+#REF!+#REF!</f>
        <v>#REF!</v>
      </c>
      <c r="AY70" t="e">
        <f>#REF!+#REF!+#REF!+#REF!+#REF!+#REF!+#REF!+#REF!+#REF!+#REF!+#REF!+#REF!+#REF!</f>
        <v>#REF!</v>
      </c>
      <c r="AZ70" t="e">
        <f>#REF!+#REF!+#REF!+#REF!+#REF!+#REF!+#REF!+#REF!+#REF!+#REF!+#REF!+#REF!+#REF!</f>
        <v>#REF!</v>
      </c>
      <c r="BA70">
        <v>157.46</v>
      </c>
      <c r="BB70" t="e">
        <f t="shared" si="8"/>
        <v>#REF!</v>
      </c>
      <c r="BC70">
        <f>365242.74-2939.8</f>
        <v>362302.94</v>
      </c>
      <c r="BD70" t="e">
        <f t="shared" si="9"/>
        <v>#REF!</v>
      </c>
    </row>
    <row r="71" spans="18:56">
      <c r="R71" s="308"/>
      <c r="T71" s="25"/>
      <c r="U71" s="25"/>
      <c r="AQ71" s="90">
        <v>40460</v>
      </c>
      <c r="AR71" t="e">
        <f>#REF!+#REF!+#REF!+#REF!+#REF!+#REF!+#REF!+#REF!+#REF!+#REF!+#REF!+#REF!+#REF!</f>
        <v>#REF!</v>
      </c>
      <c r="AS71" t="e">
        <f>#REF!+#REF!+#REF!+#REF!+#REF!+#REF!+#REF!+#REF!+#REF!+#REF!+#REF!+#REF!+#REF!</f>
        <v>#REF!</v>
      </c>
      <c r="AT71" t="e">
        <f>#REF!+#REF!+#REF!+#REF!+#REF!+#REF!+#REF!+#REF!+#REF!+#REF!+#REF!+#REF!+#REF!</f>
        <v>#REF!</v>
      </c>
      <c r="AU71" t="e">
        <f>#REF!+#REF!+#REF!+#REF!+#REF!+#REF!+#REF!+#REF!+#REF!+#REF!+#REF!+#REF!+#REF!</f>
        <v>#REF!</v>
      </c>
      <c r="AV71" t="e">
        <f>#REF!+#REF!+#REF!+#REF!+#REF!+#REF!+#REF!+#REF!+#REF!+#REF!+#REF!+#REF!+#REF!</f>
        <v>#REF!</v>
      </c>
      <c r="AW71" t="e">
        <f>#REF!+#REF!+#REF!+#REF!+#REF!+#REF!+#REF!+#REF!+#REF!+#REF!+#REF!+#REF!+#REF!</f>
        <v>#REF!</v>
      </c>
      <c r="AX71" t="e">
        <f>#REF!+#REF!+#REF!+#REF!+#REF!+#REF!+#REF!+#REF!+#REF!+#REF!+#REF!+#REF!+#REF!</f>
        <v>#REF!</v>
      </c>
      <c r="AY71" t="e">
        <f>#REF!+#REF!+#REF!+#REF!+#REF!+#REF!+#REF!+#REF!+#REF!+#REF!+#REF!+#REF!+#REF!</f>
        <v>#REF!</v>
      </c>
      <c r="AZ71" t="e">
        <f>#REF!+#REF!+#REF!+#REF!+#REF!+#REF!+#REF!+#REF!+#REF!+#REF!+#REF!+#REF!+#REF!</f>
        <v>#REF!</v>
      </c>
      <c r="BA71">
        <v>157.46</v>
      </c>
      <c r="BB71" t="e">
        <f t="shared" si="8"/>
        <v>#REF!</v>
      </c>
      <c r="BC71">
        <f>340106.23-3000.4</f>
        <v>337105.82999999996</v>
      </c>
      <c r="BD71" t="e">
        <f t="shared" si="9"/>
        <v>#REF!</v>
      </c>
    </row>
    <row r="72" spans="18:56">
      <c r="R72" s="308"/>
      <c r="T72" s="25"/>
      <c r="U72" s="25"/>
      <c r="AQ72" s="90">
        <v>40491</v>
      </c>
      <c r="AR72" t="e">
        <f>#REF!+#REF!+#REF!+#REF!+#REF!+#REF!+#REF!+#REF!+#REF!+#REF!+#REF!+#REF!+#REF!</f>
        <v>#REF!</v>
      </c>
      <c r="AS72" t="e">
        <f>#REF!+#REF!+#REF!+#REF!+#REF!+#REF!+#REF!+#REF!+#REF!+#REF!+#REF!+#REF!+#REF!</f>
        <v>#REF!</v>
      </c>
      <c r="AT72" t="e">
        <f>#REF!+#REF!+#REF!+#REF!+#REF!+#REF!+#REF!+#REF!+#REF!+#REF!+#REF!+#REF!+#REF!</f>
        <v>#REF!</v>
      </c>
      <c r="AU72" t="e">
        <f>#REF!+#REF!+#REF!+#REF!+#REF!+#REF!+#REF!+#REF!+#REF!+#REF!+#REF!+#REF!+#REF!</f>
        <v>#REF!</v>
      </c>
      <c r="AV72" t="e">
        <f>#REF!+#REF!+#REF!+#REF!+#REF!+#REF!+#REF!+#REF!+#REF!+#REF!+#REF!+#REF!+#REF!</f>
        <v>#REF!</v>
      </c>
      <c r="AW72" t="e">
        <f>#REF!+#REF!+#REF!+#REF!+#REF!+#REF!+#REF!+#REF!+#REF!+#REF!+#REF!+#REF!+#REF!</f>
        <v>#REF!</v>
      </c>
      <c r="AX72" t="e">
        <f>#REF!+#REF!+#REF!+#REF!+#REF!+#REF!+#REF!+#REF!+#REF!+#REF!+#REF!+#REF!+#REF!</f>
        <v>#REF!</v>
      </c>
      <c r="AY72" t="e">
        <f>#REF!+#REF!+#REF!+#REF!+#REF!+#REF!+#REF!+#REF!+#REF!+#REF!+#REF!+#REF!+#REF!</f>
        <v>#REF!</v>
      </c>
      <c r="AZ72" t="e">
        <f>#REF!+#REF!+#REF!+#REF!+#REF!+#REF!+#REF!+#REF!+#REF!+#REF!+#REF!+#REF!+#REF!</f>
        <v>#REF!</v>
      </c>
      <c r="BA72">
        <v>157.46</v>
      </c>
      <c r="BB72" t="e">
        <f t="shared" si="8"/>
        <v>#REF!</v>
      </c>
      <c r="BC72">
        <f>334939.83-2745.1</f>
        <v>332194.73000000004</v>
      </c>
      <c r="BD72" t="e">
        <f t="shared" si="9"/>
        <v>#REF!</v>
      </c>
    </row>
    <row r="73" spans="18:56">
      <c r="R73" s="308"/>
      <c r="T73" s="25"/>
      <c r="AQ73" s="90">
        <v>40521</v>
      </c>
      <c r="AR73" t="e">
        <f>#REF!+#REF!+#REF!+#REF!+#REF!+#REF!+#REF!+#REF!+#REF!+#REF!+#REF!+#REF!+#REF!</f>
        <v>#REF!</v>
      </c>
      <c r="AS73" t="e">
        <f>#REF!+#REF!+#REF!+#REF!+#REF!+#REF!+#REF!+#REF!+#REF!+#REF!+#REF!+#REF!+#REF!</f>
        <v>#REF!</v>
      </c>
      <c r="AT73" t="e">
        <f>#REF!+#REF!+#REF!+#REF!+#REF!+#REF!+#REF!+#REF!+#REF!+#REF!+#REF!+#REF!+#REF!</f>
        <v>#REF!</v>
      </c>
      <c r="AU73" t="e">
        <f>#REF!+#REF!+#REF!+#REF!+#REF!+#REF!+#REF!+#REF!+#REF!+#REF!+#REF!+#REF!+#REF!</f>
        <v>#REF!</v>
      </c>
      <c r="AV73" t="e">
        <f>#REF!+#REF!+#REF!+#REF!+#REF!+#REF!+#REF!+#REF!+#REF!+#REF!+#REF!+#REF!+#REF!</f>
        <v>#REF!</v>
      </c>
      <c r="AW73" t="e">
        <f>#REF!+#REF!+#REF!+#REF!+#REF!+#REF!+#REF!+#REF!+#REF!+#REF!+#REF!+#REF!+#REF!</f>
        <v>#REF!</v>
      </c>
      <c r="AX73" t="e">
        <f>#REF!+#REF!+#REF!+#REF!+#REF!+#REF!+#REF!+#REF!+#REF!+#REF!+#REF!+#REF!+#REF!</f>
        <v>#REF!</v>
      </c>
      <c r="AY73" t="e">
        <f>#REF!+#REF!+#REF!+#REF!+#REF!+#REF!+#REF!+#REF!+#REF!+#REF!+#REF!+#REF!+#REF!</f>
        <v>#REF!</v>
      </c>
      <c r="AZ73" t="e">
        <f>#REF!+#REF!+#REF!+#REF!+#REF!+#REF!+#REF!+#REF!+#REF!+#REF!+#REF!+#REF!+#REF!</f>
        <v>#REF!</v>
      </c>
      <c r="BA73">
        <v>157.46</v>
      </c>
      <c r="BB73" t="e">
        <f t="shared" si="8"/>
        <v>#REF!</v>
      </c>
      <c r="BC73">
        <f>311509.76-2573.6</f>
        <v>308936.16000000003</v>
      </c>
      <c r="BD73" t="e">
        <f t="shared" si="9"/>
        <v>#REF!</v>
      </c>
    </row>
    <row r="74" spans="18:56">
      <c r="R74" s="308"/>
      <c r="AR74" t="e">
        <f>SUM(AR62:AR73)</f>
        <v>#REF!</v>
      </c>
      <c r="AS74" t="e">
        <f t="shared" ref="AS74:BA74" si="10">SUM(AS62:AS73)</f>
        <v>#REF!</v>
      </c>
      <c r="AT74" t="e">
        <f t="shared" si="10"/>
        <v>#REF!</v>
      </c>
      <c r="AU74" t="e">
        <f t="shared" si="10"/>
        <v>#REF!</v>
      </c>
      <c r="AV74" t="e">
        <f t="shared" si="10"/>
        <v>#REF!</v>
      </c>
      <c r="AW74" t="e">
        <f t="shared" si="10"/>
        <v>#REF!</v>
      </c>
      <c r="AX74" t="e">
        <f t="shared" si="10"/>
        <v>#REF!</v>
      </c>
      <c r="AY74" t="e">
        <f t="shared" si="10"/>
        <v>#REF!</v>
      </c>
      <c r="AZ74" t="e">
        <f t="shared" si="10"/>
        <v>#REF!</v>
      </c>
      <c r="BA74">
        <f t="shared" si="10"/>
        <v>1889.5200000000002</v>
      </c>
      <c r="BB74" t="e">
        <f t="shared" si="8"/>
        <v>#REF!</v>
      </c>
      <c r="BC74">
        <f>SUM(BC62:BC73)</f>
        <v>3900144.29</v>
      </c>
      <c r="BD74" t="e">
        <f t="shared" si="9"/>
        <v>#REF!</v>
      </c>
    </row>
    <row r="75" spans="18:56">
      <c r="R75" s="308"/>
    </row>
    <row r="76" spans="18:56">
      <c r="R76" s="308"/>
    </row>
    <row r="77" spans="18:56">
      <c r="R77" s="308"/>
    </row>
    <row r="78" spans="18:56">
      <c r="R78" s="308"/>
    </row>
    <row r="79" spans="18:56">
      <c r="R79" s="308"/>
    </row>
    <row r="80" spans="18:56">
      <c r="R80" s="308"/>
    </row>
    <row r="81" spans="18:18">
      <c r="R81" s="308"/>
    </row>
    <row r="82" spans="18:18">
      <c r="R82" s="308"/>
    </row>
    <row r="83" spans="18:18">
      <c r="R83" s="308"/>
    </row>
    <row r="84" spans="18:18">
      <c r="R84" s="308"/>
    </row>
    <row r="85" spans="18:18">
      <c r="R85" s="308"/>
    </row>
    <row r="86" spans="18:18">
      <c r="R86" s="308"/>
    </row>
    <row r="87" spans="18:18">
      <c r="R87" s="308"/>
    </row>
    <row r="88" spans="18:18">
      <c r="R88" s="308"/>
    </row>
    <row r="89" spans="18:18">
      <c r="R89" s="308"/>
    </row>
    <row r="90" spans="18:18">
      <c r="R90" s="308"/>
    </row>
    <row r="93" spans="18:18">
      <c r="R93" s="25"/>
    </row>
    <row r="94" spans="18:18">
      <c r="R94" s="25"/>
    </row>
  </sheetData>
  <mergeCells count="4">
    <mergeCell ref="A1:J1"/>
    <mergeCell ref="A2:J2"/>
    <mergeCell ref="A3:J3"/>
    <mergeCell ref="C7:E7"/>
  </mergeCells>
  <phoneticPr fontId="10" type="noConversion"/>
  <pageMargins left="0.25" right="0.25" top="0.25" bottom="0.25" header="0.3" footer="0.3"/>
  <pageSetup scale="86" orientation="landscape" r:id="rId1"/>
  <headerFooter alignWithMargins="0">
    <oddFooter>&amp;C&amp;14Exhibit 9, 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48"/>
  <sheetViews>
    <sheetView topLeftCell="A100" zoomScaleNormal="100" workbookViewId="0">
      <selection activeCell="A100" sqref="A100"/>
    </sheetView>
  </sheetViews>
  <sheetFormatPr defaultRowHeight="12.75"/>
  <cols>
    <col min="1" max="1" width="4.7109375" customWidth="1"/>
    <col min="2" max="2" width="39.85546875" customWidth="1"/>
    <col min="3" max="3" width="14" bestFit="1" customWidth="1"/>
    <col min="4" max="4" width="11.85546875" bestFit="1" customWidth="1"/>
    <col min="5" max="5" width="12.85546875" bestFit="1" customWidth="1"/>
    <col min="6" max="6" width="12.7109375" bestFit="1" customWidth="1"/>
    <col min="7" max="7" width="14.5703125" bestFit="1" customWidth="1"/>
    <col min="8" max="8" width="14" customWidth="1"/>
    <col min="9" max="9" width="10.140625" customWidth="1"/>
    <col min="10" max="10" width="14.42578125" customWidth="1"/>
    <col min="11" max="11" width="12.85546875" customWidth="1"/>
    <col min="12" max="12" width="12.5703125" customWidth="1"/>
    <col min="13" max="13" width="12.42578125" customWidth="1"/>
    <col min="14" max="14" width="13.7109375" customWidth="1"/>
    <col min="15" max="15" width="13.28515625" customWidth="1"/>
    <col min="16" max="16" width="14.140625" customWidth="1"/>
    <col min="17" max="18" width="12.28515625" bestFit="1" customWidth="1"/>
    <col min="19" max="19" width="14.28515625" bestFit="1" customWidth="1"/>
    <col min="20" max="20" width="12.5703125" bestFit="1" customWidth="1"/>
    <col min="21" max="21" width="14.28515625" bestFit="1" customWidth="1"/>
    <col min="22" max="27" width="12.28515625" bestFit="1" customWidth="1"/>
    <col min="28" max="28" width="12.42578125" bestFit="1" customWidth="1"/>
  </cols>
  <sheetData>
    <row r="1" spans="1:21" ht="13.9" customHeight="1">
      <c r="A1" s="155"/>
      <c r="B1" s="490" t="s">
        <v>0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</row>
    <row r="2" spans="1:21" ht="13.9" customHeight="1">
      <c r="A2" s="155"/>
      <c r="B2" s="490" t="s">
        <v>1165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21" ht="13.9" customHeight="1">
      <c r="A3" s="155"/>
      <c r="B3" s="490" t="s">
        <v>603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</row>
    <row r="4" spans="1:21" ht="15">
      <c r="A4" s="155"/>
      <c r="B4" s="16"/>
      <c r="C4" s="16"/>
      <c r="D4" s="16"/>
      <c r="E4" s="16"/>
      <c r="F4" s="16"/>
      <c r="G4" s="16"/>
      <c r="H4" s="64"/>
      <c r="I4" s="64"/>
      <c r="J4" s="64"/>
      <c r="K4" s="64"/>
      <c r="L4" s="64"/>
      <c r="M4" s="64"/>
      <c r="N4" s="64"/>
    </row>
    <row r="5" spans="1:21">
      <c r="A5" s="177" t="s">
        <v>64</v>
      </c>
      <c r="B5" s="80" t="s">
        <v>1</v>
      </c>
      <c r="C5" s="80" t="s">
        <v>2</v>
      </c>
      <c r="D5" s="80" t="s">
        <v>3</v>
      </c>
      <c r="E5" s="80" t="s">
        <v>4</v>
      </c>
      <c r="F5" s="80" t="s">
        <v>5</v>
      </c>
      <c r="G5" s="80" t="s">
        <v>6</v>
      </c>
      <c r="H5" s="80" t="s">
        <v>28</v>
      </c>
      <c r="I5" s="80" t="s">
        <v>7</v>
      </c>
    </row>
    <row r="6" spans="1:21">
      <c r="A6" s="177" t="s">
        <v>36</v>
      </c>
      <c r="B6" s="80"/>
      <c r="C6" s="80"/>
      <c r="D6" s="80"/>
      <c r="E6" s="80"/>
      <c r="F6" s="80"/>
      <c r="G6" s="80"/>
      <c r="H6" s="492" t="s">
        <v>41</v>
      </c>
      <c r="I6" s="492"/>
      <c r="J6" s="492"/>
      <c r="K6" s="492"/>
      <c r="L6" s="492"/>
      <c r="M6" s="80"/>
      <c r="N6" s="80"/>
    </row>
    <row r="7" spans="1:21" ht="15">
      <c r="B7" s="65"/>
      <c r="C7" s="491" t="s">
        <v>415</v>
      </c>
      <c r="D7" s="491"/>
      <c r="E7" s="491"/>
      <c r="F7" s="491"/>
      <c r="G7" s="491"/>
      <c r="H7" s="65"/>
      <c r="I7" s="65" t="s">
        <v>137</v>
      </c>
      <c r="J7" s="65"/>
      <c r="K7" s="65"/>
      <c r="L7" s="65"/>
      <c r="M7" s="65" t="s">
        <v>116</v>
      </c>
      <c r="N7" s="65" t="s">
        <v>116</v>
      </c>
    </row>
    <row r="8" spans="1:21" ht="15">
      <c r="A8" s="155"/>
      <c r="B8" s="66"/>
      <c r="C8" s="67" t="s">
        <v>138</v>
      </c>
      <c r="D8" s="67" t="s">
        <v>416</v>
      </c>
      <c r="E8" s="67" t="s">
        <v>397</v>
      </c>
      <c r="F8" s="67" t="s">
        <v>126</v>
      </c>
      <c r="G8" s="67" t="s">
        <v>81</v>
      </c>
      <c r="H8" s="67" t="s">
        <v>138</v>
      </c>
      <c r="I8" s="67" t="s">
        <v>139</v>
      </c>
      <c r="J8" s="67" t="s">
        <v>140</v>
      </c>
      <c r="K8" s="67" t="s">
        <v>39</v>
      </c>
      <c r="L8" s="67" t="s">
        <v>39</v>
      </c>
      <c r="M8" s="67" t="s">
        <v>125</v>
      </c>
      <c r="N8" s="67" t="s">
        <v>125</v>
      </c>
    </row>
    <row r="9" spans="1:21" ht="15.75" thickBot="1">
      <c r="A9" s="155"/>
      <c r="B9" s="68" t="s">
        <v>75</v>
      </c>
      <c r="C9" s="69" t="s">
        <v>141</v>
      </c>
      <c r="D9" s="68" t="s">
        <v>417</v>
      </c>
      <c r="E9" s="68" t="s">
        <v>416</v>
      </c>
      <c r="F9" s="68" t="s">
        <v>416</v>
      </c>
      <c r="G9" s="68" t="s">
        <v>416</v>
      </c>
      <c r="H9" s="69" t="s">
        <v>141</v>
      </c>
      <c r="I9" s="69" t="s">
        <v>142</v>
      </c>
      <c r="J9" s="69"/>
      <c r="K9" s="68" t="s">
        <v>143</v>
      </c>
      <c r="L9" s="68" t="s">
        <v>81</v>
      </c>
      <c r="M9" s="68" t="s">
        <v>126</v>
      </c>
      <c r="N9" s="68" t="s">
        <v>81</v>
      </c>
    </row>
    <row r="10" spans="1:21" ht="15">
      <c r="A10" s="156">
        <v>1</v>
      </c>
      <c r="B10" s="67" t="s">
        <v>144</v>
      </c>
      <c r="C10" s="67"/>
      <c r="D10" s="67"/>
      <c r="E10" s="67"/>
      <c r="F10" s="67"/>
      <c r="G10" s="67"/>
      <c r="H10" s="70"/>
      <c r="I10" s="70"/>
      <c r="J10" s="70"/>
      <c r="K10" s="67"/>
      <c r="L10" s="67"/>
      <c r="M10" s="155"/>
      <c r="N10" s="155"/>
    </row>
    <row r="11" spans="1:21" ht="15">
      <c r="A11" s="156">
        <f>A10+1</f>
        <v>2</v>
      </c>
      <c r="B11" s="67" t="s">
        <v>145</v>
      </c>
      <c r="C11" s="314"/>
      <c r="D11" s="314"/>
      <c r="E11" s="316"/>
      <c r="F11" s="314"/>
      <c r="G11" s="314"/>
      <c r="H11" s="70"/>
      <c r="I11" s="70"/>
      <c r="J11" s="70"/>
      <c r="K11" s="67"/>
      <c r="L11" s="67"/>
      <c r="M11" s="155"/>
      <c r="N11" s="155"/>
    </row>
    <row r="12" spans="1:21" ht="15">
      <c r="A12" s="156">
        <f t="shared" ref="A12:A75" si="0">A11+1</f>
        <v>3</v>
      </c>
      <c r="B12" s="65" t="s">
        <v>146</v>
      </c>
      <c r="C12" s="315"/>
      <c r="D12" s="315"/>
      <c r="E12" s="317"/>
      <c r="F12" s="315"/>
      <c r="G12" s="315"/>
      <c r="H12" s="71"/>
      <c r="I12" s="71"/>
      <c r="J12" s="71"/>
      <c r="K12" s="65"/>
      <c r="L12" s="65"/>
      <c r="M12" s="155"/>
      <c r="N12" s="155"/>
    </row>
    <row r="13" spans="1:21" ht="15">
      <c r="A13" s="156">
        <f t="shared" si="0"/>
        <v>4</v>
      </c>
      <c r="B13" s="65" t="s">
        <v>425</v>
      </c>
      <c r="C13" s="315"/>
      <c r="D13" s="315"/>
      <c r="E13" s="317"/>
      <c r="F13" s="315"/>
      <c r="G13" s="315"/>
      <c r="H13" s="71"/>
      <c r="I13" s="71"/>
      <c r="J13" s="71"/>
      <c r="K13" s="65"/>
      <c r="L13" s="65"/>
      <c r="M13" s="155"/>
      <c r="N13" s="155"/>
    </row>
    <row r="14" spans="1:21" ht="14.25">
      <c r="A14" s="398">
        <f t="shared" si="0"/>
        <v>5</v>
      </c>
      <c r="B14" s="66" t="s">
        <v>147</v>
      </c>
      <c r="C14" s="323">
        <v>48566</v>
      </c>
      <c r="D14" s="72">
        <v>70</v>
      </c>
      <c r="E14" s="323">
        <f>C14*D14</f>
        <v>3399620</v>
      </c>
      <c r="F14" s="322">
        <v>11.28</v>
      </c>
      <c r="G14" s="322">
        <f>C14*F14</f>
        <v>547824.48</v>
      </c>
      <c r="H14" s="72">
        <f>C14</f>
        <v>48566</v>
      </c>
      <c r="I14" s="72">
        <v>70</v>
      </c>
      <c r="J14" s="72">
        <f>H14*I14</f>
        <v>3399620</v>
      </c>
      <c r="K14" s="73">
        <v>11.28</v>
      </c>
      <c r="L14" s="74">
        <f t="shared" ref="L14:L26" si="1">$H14*K14</f>
        <v>547824.48</v>
      </c>
      <c r="M14" s="163">
        <f>K14</f>
        <v>11.28</v>
      </c>
      <c r="N14" s="161">
        <f t="shared" ref="N14:N26" si="2">H14*M14</f>
        <v>547824.48</v>
      </c>
      <c r="O14" s="82"/>
      <c r="Q14" s="29"/>
      <c r="R14" s="214"/>
      <c r="S14" s="44"/>
      <c r="T14" s="154"/>
      <c r="U14" s="44"/>
    </row>
    <row r="15" spans="1:21" ht="14.25">
      <c r="A15" s="398">
        <f t="shared" si="0"/>
        <v>6</v>
      </c>
      <c r="B15" s="66" t="s">
        <v>148</v>
      </c>
      <c r="C15" s="323">
        <v>745</v>
      </c>
      <c r="D15" s="72">
        <v>97</v>
      </c>
      <c r="E15" s="323">
        <f t="shared" ref="E15:E26" si="3">C15*D15</f>
        <v>72265</v>
      </c>
      <c r="F15" s="73">
        <v>13.74</v>
      </c>
      <c r="G15" s="322">
        <f t="shared" ref="G15:G26" si="4">C15*F15</f>
        <v>10236.299999999999</v>
      </c>
      <c r="H15" s="72">
        <f t="shared" ref="H15:H26" si="5">C15</f>
        <v>745</v>
      </c>
      <c r="I15" s="72">
        <v>97</v>
      </c>
      <c r="J15" s="72">
        <f t="shared" ref="J15:J22" si="6">H15*I15</f>
        <v>72265</v>
      </c>
      <c r="K15" s="73">
        <v>13.74</v>
      </c>
      <c r="L15" s="74">
        <f t="shared" si="1"/>
        <v>10236.299999999999</v>
      </c>
      <c r="M15" s="163">
        <f t="shared" ref="M15:M26" si="7">K15</f>
        <v>13.74</v>
      </c>
      <c r="N15" s="161">
        <f t="shared" si="2"/>
        <v>10236.299999999999</v>
      </c>
      <c r="Q15" s="29"/>
      <c r="R15" s="214"/>
      <c r="S15" s="44"/>
      <c r="T15" s="154"/>
      <c r="U15" s="44"/>
    </row>
    <row r="16" spans="1:21" ht="14.25">
      <c r="A16" s="398">
        <f t="shared" si="0"/>
        <v>7</v>
      </c>
      <c r="B16" s="66" t="s">
        <v>149</v>
      </c>
      <c r="C16" s="323">
        <v>1817</v>
      </c>
      <c r="D16" s="72">
        <v>155</v>
      </c>
      <c r="E16" s="323">
        <f t="shared" si="3"/>
        <v>281635</v>
      </c>
      <c r="F16" s="73">
        <v>16.809999999999999</v>
      </c>
      <c r="G16" s="322">
        <f t="shared" si="4"/>
        <v>30543.769999999997</v>
      </c>
      <c r="H16" s="72">
        <f t="shared" si="5"/>
        <v>1817</v>
      </c>
      <c r="I16" s="72">
        <v>155</v>
      </c>
      <c r="J16" s="72">
        <f t="shared" si="6"/>
        <v>281635</v>
      </c>
      <c r="K16" s="73">
        <v>16.809999999999999</v>
      </c>
      <c r="L16" s="74">
        <f t="shared" si="1"/>
        <v>30543.769999999997</v>
      </c>
      <c r="M16" s="163">
        <f t="shared" si="7"/>
        <v>16.809999999999999</v>
      </c>
      <c r="N16" s="161">
        <f t="shared" si="2"/>
        <v>30543.769999999997</v>
      </c>
      <c r="Q16" s="30"/>
      <c r="R16" s="332"/>
      <c r="S16" s="60"/>
      <c r="T16" s="154"/>
      <c r="U16" s="44"/>
    </row>
    <row r="17" spans="1:21" ht="14.25">
      <c r="A17" s="398">
        <f t="shared" si="0"/>
        <v>8</v>
      </c>
      <c r="B17" s="66" t="s">
        <v>150</v>
      </c>
      <c r="C17" s="323">
        <v>983</v>
      </c>
      <c r="D17" s="72">
        <v>44</v>
      </c>
      <c r="E17" s="323">
        <f t="shared" si="3"/>
        <v>43252</v>
      </c>
      <c r="F17" s="73">
        <v>10.02</v>
      </c>
      <c r="G17" s="322">
        <f t="shared" si="4"/>
        <v>9849.66</v>
      </c>
      <c r="H17" s="72">
        <f t="shared" si="5"/>
        <v>983</v>
      </c>
      <c r="I17" s="72">
        <v>44</v>
      </c>
      <c r="J17" s="72">
        <f t="shared" si="6"/>
        <v>43252</v>
      </c>
      <c r="K17" s="73">
        <v>10.02</v>
      </c>
      <c r="L17" s="74">
        <f t="shared" si="1"/>
        <v>9849.66</v>
      </c>
      <c r="M17" s="163">
        <f t="shared" si="7"/>
        <v>10.02</v>
      </c>
      <c r="N17" s="161">
        <f t="shared" si="2"/>
        <v>9849.66</v>
      </c>
      <c r="Q17" s="29"/>
      <c r="R17" s="214"/>
      <c r="S17" s="44"/>
      <c r="T17" s="154"/>
      <c r="U17" s="44"/>
    </row>
    <row r="18" spans="1:21" ht="14.25">
      <c r="A18" s="398">
        <f t="shared" si="0"/>
        <v>9</v>
      </c>
      <c r="B18" s="66" t="s">
        <v>329</v>
      </c>
      <c r="C18" s="323">
        <v>1865</v>
      </c>
      <c r="D18" s="72">
        <v>42</v>
      </c>
      <c r="E18" s="323">
        <f t="shared" si="3"/>
        <v>78330</v>
      </c>
      <c r="F18" s="73">
        <v>9.4499999999999993</v>
      </c>
      <c r="G18" s="322">
        <f t="shared" si="4"/>
        <v>17624.25</v>
      </c>
      <c r="H18" s="72">
        <f t="shared" si="5"/>
        <v>1865</v>
      </c>
      <c r="I18" s="72">
        <v>42</v>
      </c>
      <c r="J18" s="72">
        <f t="shared" si="6"/>
        <v>78330</v>
      </c>
      <c r="K18" s="73">
        <v>9.4499999999999993</v>
      </c>
      <c r="L18" s="74">
        <f t="shared" si="1"/>
        <v>17624.25</v>
      </c>
      <c r="M18" s="163">
        <f t="shared" si="7"/>
        <v>9.4499999999999993</v>
      </c>
      <c r="N18" s="161">
        <f t="shared" si="2"/>
        <v>17624.25</v>
      </c>
      <c r="Q18" s="29"/>
      <c r="R18" s="214"/>
      <c r="S18" s="44"/>
      <c r="T18" s="154"/>
      <c r="U18" s="44"/>
    </row>
    <row r="19" spans="1:21" ht="14.25">
      <c r="A19" s="398">
        <f t="shared" si="0"/>
        <v>10</v>
      </c>
      <c r="B19" s="66" t="s">
        <v>330</v>
      </c>
      <c r="C19" s="323">
        <v>144</v>
      </c>
      <c r="D19" s="72">
        <v>156</v>
      </c>
      <c r="E19" s="323">
        <f t="shared" si="3"/>
        <v>22464</v>
      </c>
      <c r="F19" s="73">
        <v>20.32</v>
      </c>
      <c r="G19" s="322">
        <f t="shared" si="4"/>
        <v>2926.08</v>
      </c>
      <c r="H19" s="72">
        <f t="shared" si="5"/>
        <v>144</v>
      </c>
      <c r="I19" s="72">
        <v>156</v>
      </c>
      <c r="J19" s="72">
        <f t="shared" si="6"/>
        <v>22464</v>
      </c>
      <c r="K19" s="73">
        <v>20.32</v>
      </c>
      <c r="L19" s="74">
        <f t="shared" si="1"/>
        <v>2926.08</v>
      </c>
      <c r="M19" s="163">
        <f t="shared" si="7"/>
        <v>20.32</v>
      </c>
      <c r="N19" s="161">
        <f t="shared" si="2"/>
        <v>2926.08</v>
      </c>
      <c r="Q19" s="29"/>
      <c r="R19" s="214"/>
      <c r="S19" s="44"/>
      <c r="T19" s="154"/>
      <c r="U19" s="44"/>
    </row>
    <row r="20" spans="1:21" ht="15">
      <c r="A20" s="398">
        <f t="shared" si="0"/>
        <v>11</v>
      </c>
      <c r="B20" s="65" t="s">
        <v>426</v>
      </c>
      <c r="C20" s="323"/>
      <c r="D20" s="72"/>
      <c r="E20" s="323"/>
      <c r="F20" s="322"/>
      <c r="G20" s="322"/>
      <c r="H20" s="72"/>
      <c r="I20" s="72"/>
      <c r="J20" s="72"/>
      <c r="K20" s="73"/>
      <c r="L20" s="74"/>
      <c r="M20" s="163"/>
      <c r="N20" s="161"/>
      <c r="Q20" s="29"/>
      <c r="R20" s="214"/>
      <c r="S20" s="44"/>
      <c r="T20" s="154"/>
      <c r="U20" s="44"/>
    </row>
    <row r="21" spans="1:21" ht="14.25">
      <c r="A21" s="398">
        <f t="shared" si="0"/>
        <v>12</v>
      </c>
      <c r="B21" s="66" t="s">
        <v>332</v>
      </c>
      <c r="C21" s="395">
        <f>1260+36</f>
        <v>1296</v>
      </c>
      <c r="D21" s="72">
        <v>101</v>
      </c>
      <c r="E21" s="323">
        <f t="shared" si="3"/>
        <v>130896</v>
      </c>
      <c r="F21" s="73">
        <v>15.06</v>
      </c>
      <c r="G21" s="322">
        <f t="shared" si="4"/>
        <v>19517.760000000002</v>
      </c>
      <c r="H21" s="72">
        <f t="shared" si="5"/>
        <v>1296</v>
      </c>
      <c r="I21" s="72">
        <v>101</v>
      </c>
      <c r="J21" s="72">
        <f t="shared" si="6"/>
        <v>130896</v>
      </c>
      <c r="K21" s="73">
        <v>15.06</v>
      </c>
      <c r="L21" s="74">
        <f t="shared" si="1"/>
        <v>19517.760000000002</v>
      </c>
      <c r="M21" s="163">
        <f t="shared" si="7"/>
        <v>15.06</v>
      </c>
      <c r="N21" s="161">
        <f t="shared" si="2"/>
        <v>19517.760000000002</v>
      </c>
      <c r="Q21" s="29"/>
      <c r="R21" s="214"/>
      <c r="S21" s="44"/>
      <c r="T21" s="154"/>
      <c r="U21" s="44"/>
    </row>
    <row r="22" spans="1:21" ht="14.25">
      <c r="A22" s="398">
        <f t="shared" si="0"/>
        <v>13</v>
      </c>
      <c r="B22" s="66" t="s">
        <v>151</v>
      </c>
      <c r="C22" s="323">
        <v>387</v>
      </c>
      <c r="D22" s="72">
        <v>159</v>
      </c>
      <c r="E22" s="323">
        <f t="shared" si="3"/>
        <v>61533</v>
      </c>
      <c r="F22" s="73">
        <v>18.88</v>
      </c>
      <c r="G22" s="322">
        <f t="shared" si="4"/>
        <v>7306.5599999999995</v>
      </c>
      <c r="H22" s="72">
        <f t="shared" si="5"/>
        <v>387</v>
      </c>
      <c r="I22" s="72">
        <v>159</v>
      </c>
      <c r="J22" s="72">
        <f t="shared" si="6"/>
        <v>61533</v>
      </c>
      <c r="K22" s="73">
        <v>18.88</v>
      </c>
      <c r="L22" s="74">
        <f t="shared" si="1"/>
        <v>7306.5599999999995</v>
      </c>
      <c r="M22" s="163">
        <f t="shared" si="7"/>
        <v>18.88</v>
      </c>
      <c r="N22" s="161">
        <f t="shared" si="2"/>
        <v>7306.5599999999995</v>
      </c>
      <c r="Q22" s="29"/>
      <c r="R22" s="214"/>
      <c r="S22" s="44"/>
      <c r="T22" s="154"/>
      <c r="U22" s="44"/>
    </row>
    <row r="23" spans="1:21" ht="15">
      <c r="A23" s="398">
        <f t="shared" si="0"/>
        <v>14</v>
      </c>
      <c r="B23" s="65" t="s">
        <v>427</v>
      </c>
      <c r="C23" s="323"/>
      <c r="D23" s="72"/>
      <c r="E23" s="323"/>
      <c r="F23" s="322"/>
      <c r="G23" s="322"/>
      <c r="H23" s="72"/>
      <c r="I23" s="72"/>
      <c r="J23" s="72"/>
      <c r="K23" s="73"/>
      <c r="L23" s="74"/>
      <c r="M23" s="163"/>
      <c r="N23" s="161"/>
      <c r="Q23" s="29"/>
      <c r="R23" s="214"/>
      <c r="S23" s="44"/>
      <c r="T23" s="154"/>
      <c r="U23" s="44"/>
    </row>
    <row r="24" spans="1:21" ht="14.25">
      <c r="A24" s="398">
        <f t="shared" si="0"/>
        <v>15</v>
      </c>
      <c r="B24" s="66" t="s">
        <v>331</v>
      </c>
      <c r="C24" s="323">
        <v>86947</v>
      </c>
      <c r="D24" s="72">
        <v>21</v>
      </c>
      <c r="E24" s="323">
        <f t="shared" si="3"/>
        <v>1825887</v>
      </c>
      <c r="F24" s="73">
        <v>8.56</v>
      </c>
      <c r="G24" s="322">
        <f t="shared" si="4"/>
        <v>744266.32000000007</v>
      </c>
      <c r="H24" s="72">
        <f t="shared" si="5"/>
        <v>86947</v>
      </c>
      <c r="I24" s="72">
        <v>21</v>
      </c>
      <c r="J24" s="72">
        <f>H24*I24</f>
        <v>1825887</v>
      </c>
      <c r="K24" s="73">
        <v>8.56</v>
      </c>
      <c r="L24" s="74">
        <f t="shared" si="1"/>
        <v>744266.32000000007</v>
      </c>
      <c r="M24" s="163">
        <f t="shared" si="7"/>
        <v>8.56</v>
      </c>
      <c r="N24" s="161">
        <f t="shared" si="2"/>
        <v>744266.32000000007</v>
      </c>
      <c r="Q24" s="29"/>
      <c r="R24" s="214"/>
      <c r="S24" s="44"/>
      <c r="T24" s="154"/>
      <c r="U24" s="44"/>
    </row>
    <row r="25" spans="1:21" ht="14.25">
      <c r="A25" s="398">
        <f t="shared" si="0"/>
        <v>16</v>
      </c>
      <c r="B25" s="66" t="s">
        <v>333</v>
      </c>
      <c r="C25" s="323"/>
      <c r="D25" s="72">
        <v>37</v>
      </c>
      <c r="E25" s="323">
        <f t="shared" si="3"/>
        <v>0</v>
      </c>
      <c r="F25" s="73">
        <v>10.86</v>
      </c>
      <c r="G25" s="322">
        <f t="shared" si="4"/>
        <v>0</v>
      </c>
      <c r="H25" s="72">
        <f t="shared" si="5"/>
        <v>0</v>
      </c>
      <c r="I25" s="72">
        <v>37</v>
      </c>
      <c r="J25" s="72">
        <f>H25*I25</f>
        <v>0</v>
      </c>
      <c r="K25" s="73">
        <v>10.86</v>
      </c>
      <c r="L25" s="74">
        <f t="shared" si="1"/>
        <v>0</v>
      </c>
      <c r="M25" s="163">
        <f t="shared" si="7"/>
        <v>10.86</v>
      </c>
      <c r="N25" s="161">
        <f t="shared" si="2"/>
        <v>0</v>
      </c>
      <c r="Q25" s="29"/>
      <c r="R25" s="214"/>
      <c r="S25" s="44"/>
      <c r="T25" s="154"/>
      <c r="U25" s="44"/>
    </row>
    <row r="26" spans="1:21" ht="14.25">
      <c r="A26" s="398">
        <f t="shared" si="0"/>
        <v>17</v>
      </c>
      <c r="B26" s="66" t="s">
        <v>334</v>
      </c>
      <c r="C26" s="323">
        <v>7228</v>
      </c>
      <c r="D26" s="72">
        <v>46</v>
      </c>
      <c r="E26" s="323">
        <f t="shared" si="3"/>
        <v>332488</v>
      </c>
      <c r="F26" s="73">
        <v>13.28</v>
      </c>
      <c r="G26" s="322">
        <f t="shared" si="4"/>
        <v>95987.839999999997</v>
      </c>
      <c r="H26" s="72">
        <f t="shared" si="5"/>
        <v>7228</v>
      </c>
      <c r="I26" s="72">
        <v>46</v>
      </c>
      <c r="J26" s="72">
        <f>H26*I26</f>
        <v>332488</v>
      </c>
      <c r="K26" s="73">
        <v>13.28</v>
      </c>
      <c r="L26" s="74">
        <f t="shared" si="1"/>
        <v>95987.839999999997</v>
      </c>
      <c r="M26" s="163">
        <f t="shared" si="7"/>
        <v>13.28</v>
      </c>
      <c r="N26" s="161">
        <f t="shared" si="2"/>
        <v>95987.839999999997</v>
      </c>
      <c r="Q26" s="29"/>
      <c r="R26" s="214"/>
      <c r="S26" s="44"/>
      <c r="T26" s="154"/>
      <c r="U26" s="44"/>
    </row>
    <row r="27" spans="1:21" ht="15">
      <c r="A27" s="398">
        <f t="shared" si="0"/>
        <v>18</v>
      </c>
      <c r="B27" s="67" t="s">
        <v>152</v>
      </c>
      <c r="C27" s="325"/>
      <c r="D27" s="155"/>
      <c r="E27" s="325"/>
      <c r="F27" s="324"/>
      <c r="G27" s="324"/>
      <c r="H27" s="155"/>
      <c r="I27" s="155"/>
      <c r="J27" s="155"/>
      <c r="K27" s="135"/>
      <c r="L27" s="155"/>
      <c r="M27" s="155"/>
      <c r="N27" s="155"/>
      <c r="R27" s="153"/>
      <c r="T27" s="153"/>
    </row>
    <row r="28" spans="1:21" ht="15">
      <c r="A28" s="398">
        <f t="shared" si="0"/>
        <v>19</v>
      </c>
      <c r="B28" s="65" t="s">
        <v>153</v>
      </c>
      <c r="C28" s="327"/>
      <c r="D28" s="155"/>
      <c r="E28" s="327"/>
      <c r="F28" s="326"/>
      <c r="G28" s="326"/>
      <c r="H28" s="155"/>
      <c r="I28" s="155"/>
      <c r="J28" s="155"/>
      <c r="K28" s="135"/>
      <c r="L28" s="155"/>
      <c r="M28" s="155"/>
      <c r="N28" s="155"/>
      <c r="R28" s="153"/>
      <c r="T28" s="153"/>
    </row>
    <row r="29" spans="1:21" ht="15">
      <c r="A29" s="398">
        <f t="shared" si="0"/>
        <v>20</v>
      </c>
      <c r="B29" s="65" t="s">
        <v>427</v>
      </c>
      <c r="C29" s="327"/>
      <c r="D29" s="155"/>
      <c r="E29" s="327"/>
      <c r="F29" s="326"/>
      <c r="G29" s="326"/>
      <c r="H29" s="155"/>
      <c r="I29" s="155"/>
      <c r="J29" s="155"/>
      <c r="K29" s="135"/>
      <c r="L29" s="155"/>
      <c r="M29" s="155"/>
      <c r="N29" s="155"/>
      <c r="R29" s="153"/>
      <c r="T29" s="153"/>
    </row>
    <row r="30" spans="1:21" ht="15">
      <c r="A30" s="398">
        <f t="shared" si="0"/>
        <v>21</v>
      </c>
      <c r="B30" s="65" t="s">
        <v>154</v>
      </c>
      <c r="C30" s="327"/>
      <c r="D30" s="155"/>
      <c r="E30" s="327"/>
      <c r="F30" s="326"/>
      <c r="G30" s="326"/>
      <c r="H30" s="155"/>
      <c r="I30" s="155"/>
      <c r="J30" s="155"/>
      <c r="K30" s="135"/>
      <c r="L30" s="155"/>
      <c r="M30" s="155"/>
      <c r="N30" s="155"/>
      <c r="R30" s="153"/>
      <c r="T30" s="153"/>
    </row>
    <row r="31" spans="1:21" ht="14.25">
      <c r="A31" s="398">
        <f t="shared" si="0"/>
        <v>22</v>
      </c>
      <c r="B31" s="66" t="s">
        <v>335</v>
      </c>
      <c r="C31" s="323">
        <v>6384</v>
      </c>
      <c r="D31" s="72">
        <v>66</v>
      </c>
      <c r="E31" s="323">
        <f t="shared" ref="E31:E38" si="8">C31*D31</f>
        <v>421344</v>
      </c>
      <c r="F31" s="73">
        <v>17.260000000000002</v>
      </c>
      <c r="G31" s="322">
        <f t="shared" ref="G31:G38" si="9">C31*F31</f>
        <v>110187.84000000001</v>
      </c>
      <c r="H31" s="72">
        <f t="shared" ref="H31:H38" si="10">C31</f>
        <v>6384</v>
      </c>
      <c r="I31" s="72">
        <v>66</v>
      </c>
      <c r="J31" s="72">
        <f>H31*I31</f>
        <v>421344</v>
      </c>
      <c r="K31" s="73">
        <v>17.260000000000002</v>
      </c>
      <c r="L31" s="74">
        <f t="shared" ref="L31:L38" si="11">$H31*K31</f>
        <v>110187.84000000001</v>
      </c>
      <c r="M31" s="163">
        <f t="shared" ref="M31:M38" si="12">K31</f>
        <v>17.260000000000002</v>
      </c>
      <c r="N31" s="161">
        <f t="shared" ref="N31:N38" si="13">H31*M31</f>
        <v>110187.84000000001</v>
      </c>
      <c r="Q31" s="29"/>
      <c r="R31" s="214"/>
      <c r="S31" s="44"/>
      <c r="T31" s="154"/>
      <c r="U31" s="44"/>
    </row>
    <row r="32" spans="1:21" ht="15">
      <c r="A32" s="398">
        <f t="shared" si="0"/>
        <v>23</v>
      </c>
      <c r="B32" s="65" t="s">
        <v>425</v>
      </c>
      <c r="C32" s="323"/>
      <c r="D32" s="72"/>
      <c r="E32" s="323"/>
      <c r="F32" s="73"/>
      <c r="G32" s="322"/>
      <c r="H32" s="72"/>
      <c r="I32" s="72"/>
      <c r="J32" s="72"/>
      <c r="K32" s="73"/>
      <c r="L32" s="74"/>
      <c r="M32" s="163"/>
      <c r="N32" s="161"/>
      <c r="Q32" s="29"/>
      <c r="R32" s="214"/>
      <c r="S32" s="44"/>
      <c r="T32" s="154"/>
      <c r="U32" s="44"/>
    </row>
    <row r="33" spans="1:21" ht="14.25">
      <c r="A33" s="398">
        <f t="shared" si="0"/>
        <v>24</v>
      </c>
      <c r="B33" s="66" t="s">
        <v>155</v>
      </c>
      <c r="C33" s="323">
        <v>526</v>
      </c>
      <c r="D33" s="72">
        <v>103</v>
      </c>
      <c r="E33" s="323">
        <f t="shared" si="8"/>
        <v>54178</v>
      </c>
      <c r="F33" s="73">
        <v>14.6</v>
      </c>
      <c r="G33" s="322">
        <f t="shared" si="9"/>
        <v>7679.5999999999995</v>
      </c>
      <c r="H33" s="72">
        <f t="shared" si="10"/>
        <v>526</v>
      </c>
      <c r="I33" s="72">
        <v>103</v>
      </c>
      <c r="J33" s="72">
        <f t="shared" ref="J33:J54" si="14">H33*I33</f>
        <v>54178</v>
      </c>
      <c r="K33" s="73">
        <v>14.6</v>
      </c>
      <c r="L33" s="74">
        <f t="shared" si="11"/>
        <v>7679.5999999999995</v>
      </c>
      <c r="M33" s="163">
        <f t="shared" si="12"/>
        <v>14.6</v>
      </c>
      <c r="N33" s="161">
        <f t="shared" si="13"/>
        <v>7679.5999999999995</v>
      </c>
      <c r="Q33" s="29"/>
      <c r="R33" s="214"/>
      <c r="S33" s="44"/>
      <c r="T33" s="154"/>
      <c r="U33" s="44"/>
    </row>
    <row r="34" spans="1:21" ht="14.25">
      <c r="A34" s="398">
        <f t="shared" si="0"/>
        <v>25</v>
      </c>
      <c r="B34" s="66" t="s">
        <v>151</v>
      </c>
      <c r="C34" s="323">
        <v>480</v>
      </c>
      <c r="D34" s="72">
        <v>160</v>
      </c>
      <c r="E34" s="323">
        <f t="shared" si="8"/>
        <v>76800</v>
      </c>
      <c r="F34" s="73">
        <v>18.88</v>
      </c>
      <c r="G34" s="322">
        <f t="shared" si="9"/>
        <v>9062.4</v>
      </c>
      <c r="H34" s="72">
        <f t="shared" si="10"/>
        <v>480</v>
      </c>
      <c r="I34" s="72">
        <v>160</v>
      </c>
      <c r="J34" s="72">
        <f t="shared" si="14"/>
        <v>76800</v>
      </c>
      <c r="K34" s="73">
        <v>18.88</v>
      </c>
      <c r="L34" s="74">
        <f t="shared" si="11"/>
        <v>9062.4</v>
      </c>
      <c r="M34" s="163">
        <f t="shared" si="12"/>
        <v>18.88</v>
      </c>
      <c r="N34" s="161">
        <f t="shared" si="13"/>
        <v>9062.4</v>
      </c>
      <c r="Q34" s="29"/>
      <c r="R34" s="214"/>
      <c r="S34" s="44"/>
      <c r="T34" s="154"/>
      <c r="U34" s="44"/>
    </row>
    <row r="35" spans="1:21" ht="14.25">
      <c r="A35" s="398">
        <f t="shared" si="0"/>
        <v>26</v>
      </c>
      <c r="B35" s="66" t="s">
        <v>156</v>
      </c>
      <c r="C35" s="323">
        <v>12</v>
      </c>
      <c r="D35" s="72">
        <v>377</v>
      </c>
      <c r="E35" s="323">
        <f t="shared" si="8"/>
        <v>4524</v>
      </c>
      <c r="F35" s="73">
        <v>41.78</v>
      </c>
      <c r="G35" s="322">
        <f t="shared" si="9"/>
        <v>501.36</v>
      </c>
      <c r="H35" s="72">
        <f t="shared" si="10"/>
        <v>12</v>
      </c>
      <c r="I35" s="72">
        <v>377</v>
      </c>
      <c r="J35" s="72">
        <f t="shared" si="14"/>
        <v>4524</v>
      </c>
      <c r="K35" s="73">
        <v>41.78</v>
      </c>
      <c r="L35" s="74">
        <f t="shared" si="11"/>
        <v>501.36</v>
      </c>
      <c r="M35" s="163">
        <f t="shared" si="12"/>
        <v>41.78</v>
      </c>
      <c r="N35" s="161">
        <f t="shared" si="13"/>
        <v>501.36</v>
      </c>
      <c r="Q35" s="29"/>
      <c r="R35" s="214"/>
      <c r="S35" s="44"/>
      <c r="T35" s="154"/>
      <c r="U35" s="44"/>
    </row>
    <row r="36" spans="1:21" ht="14.25">
      <c r="A36" s="398">
        <f t="shared" si="0"/>
        <v>27</v>
      </c>
      <c r="B36" s="66" t="s">
        <v>157</v>
      </c>
      <c r="C36" s="323">
        <v>173</v>
      </c>
      <c r="D36" s="72">
        <v>98</v>
      </c>
      <c r="E36" s="323">
        <f t="shared" si="8"/>
        <v>16954</v>
      </c>
      <c r="F36" s="73">
        <v>13.97</v>
      </c>
      <c r="G36" s="322">
        <f t="shared" si="9"/>
        <v>2416.81</v>
      </c>
      <c r="H36" s="72">
        <f t="shared" si="10"/>
        <v>173</v>
      </c>
      <c r="I36" s="72">
        <v>98</v>
      </c>
      <c r="J36" s="72">
        <f t="shared" si="14"/>
        <v>16954</v>
      </c>
      <c r="K36" s="73">
        <v>13.97</v>
      </c>
      <c r="L36" s="74">
        <f t="shared" si="11"/>
        <v>2416.81</v>
      </c>
      <c r="M36" s="163">
        <f t="shared" si="12"/>
        <v>13.97</v>
      </c>
      <c r="N36" s="161">
        <f t="shared" si="13"/>
        <v>2416.81</v>
      </c>
      <c r="Q36" s="29"/>
      <c r="R36" s="214"/>
      <c r="S36" s="44"/>
      <c r="T36" s="154"/>
      <c r="U36" s="44"/>
    </row>
    <row r="37" spans="1:21" ht="14.25">
      <c r="A37" s="398">
        <f t="shared" si="0"/>
        <v>28</v>
      </c>
      <c r="B37" s="66" t="s">
        <v>158</v>
      </c>
      <c r="C37" s="323">
        <v>320</v>
      </c>
      <c r="D37" s="72">
        <v>156</v>
      </c>
      <c r="E37" s="323">
        <f t="shared" si="8"/>
        <v>49920</v>
      </c>
      <c r="F37" s="73">
        <v>18.8</v>
      </c>
      <c r="G37" s="322">
        <f t="shared" si="9"/>
        <v>6016</v>
      </c>
      <c r="H37" s="72">
        <f t="shared" si="10"/>
        <v>320</v>
      </c>
      <c r="I37" s="72">
        <v>156</v>
      </c>
      <c r="J37" s="72">
        <f t="shared" si="14"/>
        <v>49920</v>
      </c>
      <c r="K37" s="73">
        <v>18.8</v>
      </c>
      <c r="L37" s="74">
        <f t="shared" si="11"/>
        <v>6016</v>
      </c>
      <c r="M37" s="163">
        <f t="shared" si="12"/>
        <v>18.8</v>
      </c>
      <c r="N37" s="161">
        <f t="shared" si="13"/>
        <v>6016</v>
      </c>
      <c r="Q37" s="29"/>
      <c r="R37" s="214"/>
      <c r="S37" s="44"/>
      <c r="T37" s="154"/>
      <c r="U37" s="44"/>
    </row>
    <row r="38" spans="1:21" ht="14.25">
      <c r="A38" s="398">
        <f t="shared" si="0"/>
        <v>29</v>
      </c>
      <c r="B38" s="66" t="s">
        <v>159</v>
      </c>
      <c r="C38" s="323">
        <v>104</v>
      </c>
      <c r="D38" s="72">
        <v>373</v>
      </c>
      <c r="E38" s="323">
        <f t="shared" si="8"/>
        <v>38792</v>
      </c>
      <c r="F38" s="73">
        <v>41.16</v>
      </c>
      <c r="G38" s="322">
        <f t="shared" si="9"/>
        <v>4280.6399999999994</v>
      </c>
      <c r="H38" s="72">
        <f t="shared" si="10"/>
        <v>104</v>
      </c>
      <c r="I38" s="72">
        <v>373</v>
      </c>
      <c r="J38" s="72">
        <f t="shared" si="14"/>
        <v>38792</v>
      </c>
      <c r="K38" s="73">
        <v>41.16</v>
      </c>
      <c r="L38" s="74">
        <f t="shared" si="11"/>
        <v>4280.6399999999994</v>
      </c>
      <c r="M38" s="163">
        <f t="shared" si="12"/>
        <v>41.16</v>
      </c>
      <c r="N38" s="161">
        <f t="shared" si="13"/>
        <v>4280.6399999999994</v>
      </c>
      <c r="Q38" s="29"/>
      <c r="R38" s="214"/>
      <c r="S38" s="44"/>
      <c r="T38" s="154"/>
      <c r="U38" s="44"/>
    </row>
    <row r="39" spans="1:21" ht="15">
      <c r="A39" s="398">
        <f t="shared" si="0"/>
        <v>30</v>
      </c>
      <c r="B39" s="65" t="s">
        <v>428</v>
      </c>
      <c r="C39" s="323"/>
      <c r="D39" s="72"/>
      <c r="E39" s="323"/>
      <c r="F39" s="73"/>
      <c r="G39" s="322"/>
      <c r="H39" s="72"/>
      <c r="I39" s="72"/>
      <c r="J39" s="72"/>
      <c r="K39" s="73"/>
      <c r="L39" s="74"/>
      <c r="M39" s="163"/>
      <c r="N39" s="161"/>
      <c r="Q39" s="29"/>
      <c r="R39" s="214"/>
      <c r="S39" s="44"/>
      <c r="T39" s="154"/>
      <c r="U39" s="44"/>
    </row>
    <row r="40" spans="1:21" ht="15">
      <c r="A40" s="398">
        <f t="shared" si="0"/>
        <v>31</v>
      </c>
      <c r="B40" s="65" t="s">
        <v>160</v>
      </c>
      <c r="C40" s="327"/>
      <c r="D40" s="155"/>
      <c r="E40" s="327"/>
      <c r="F40" s="135"/>
      <c r="G40" s="326"/>
      <c r="H40" s="155"/>
      <c r="I40" s="155"/>
      <c r="J40" s="155"/>
      <c r="K40" s="135"/>
      <c r="L40" s="155"/>
      <c r="M40" s="155"/>
      <c r="N40" s="155"/>
      <c r="Q40" s="29"/>
      <c r="R40" s="153"/>
      <c r="S40" s="44"/>
      <c r="T40" s="153"/>
      <c r="U40" s="44"/>
    </row>
    <row r="41" spans="1:21" ht="14.25">
      <c r="A41" s="398">
        <f t="shared" si="0"/>
        <v>32</v>
      </c>
      <c r="B41" s="66" t="s">
        <v>161</v>
      </c>
      <c r="C41" s="323">
        <v>36</v>
      </c>
      <c r="D41" s="72">
        <v>103</v>
      </c>
      <c r="E41" s="323">
        <f t="shared" ref="E41:E46" si="15">C41*D41</f>
        <v>3708</v>
      </c>
      <c r="F41" s="73">
        <v>15.96</v>
      </c>
      <c r="G41" s="322">
        <f t="shared" ref="G41:G46" si="16">C41*F41</f>
        <v>574.56000000000006</v>
      </c>
      <c r="H41" s="72">
        <f t="shared" ref="H41:H46" si="17">C41</f>
        <v>36</v>
      </c>
      <c r="I41" s="72">
        <v>103</v>
      </c>
      <c r="J41" s="72">
        <f t="shared" si="14"/>
        <v>3708</v>
      </c>
      <c r="K41" s="73">
        <v>15.96</v>
      </c>
      <c r="L41" s="74">
        <f t="shared" ref="L41:L46" si="18">$H41*K41</f>
        <v>574.56000000000006</v>
      </c>
      <c r="M41" s="163">
        <f t="shared" ref="M41:M46" si="19">K41</f>
        <v>15.96</v>
      </c>
      <c r="N41" s="161">
        <f t="shared" ref="N41:N46" si="20">H41*M41</f>
        <v>574.56000000000006</v>
      </c>
      <c r="Q41" s="29"/>
      <c r="R41" s="214"/>
      <c r="S41" s="44"/>
      <c r="T41" s="213"/>
      <c r="U41" s="44"/>
    </row>
    <row r="42" spans="1:21" ht="14.25">
      <c r="A42" s="398">
        <f t="shared" si="0"/>
        <v>33</v>
      </c>
      <c r="B42" s="66" t="s">
        <v>162</v>
      </c>
      <c r="C42" s="323">
        <v>10</v>
      </c>
      <c r="D42" s="72">
        <v>160</v>
      </c>
      <c r="E42" s="323">
        <f t="shared" si="15"/>
        <v>1600</v>
      </c>
      <c r="F42" s="73">
        <v>20.9</v>
      </c>
      <c r="G42" s="322">
        <f t="shared" si="16"/>
        <v>209</v>
      </c>
      <c r="H42" s="72">
        <f t="shared" si="17"/>
        <v>10</v>
      </c>
      <c r="I42" s="72">
        <v>160</v>
      </c>
      <c r="J42" s="72">
        <f t="shared" si="14"/>
        <v>1600</v>
      </c>
      <c r="K42" s="73">
        <v>20.9</v>
      </c>
      <c r="L42" s="74">
        <f t="shared" si="18"/>
        <v>209</v>
      </c>
      <c r="M42" s="163">
        <f t="shared" si="19"/>
        <v>20.9</v>
      </c>
      <c r="N42" s="161">
        <f t="shared" si="20"/>
        <v>209</v>
      </c>
      <c r="Q42" s="29"/>
      <c r="R42" s="214"/>
      <c r="S42" s="44"/>
      <c r="T42" s="213"/>
      <c r="U42" s="44"/>
    </row>
    <row r="43" spans="1:21" ht="14.25">
      <c r="A43" s="399">
        <f t="shared" si="0"/>
        <v>34</v>
      </c>
      <c r="B43" s="66" t="s">
        <v>340</v>
      </c>
      <c r="C43" s="396"/>
      <c r="D43" s="72">
        <v>377</v>
      </c>
      <c r="E43" s="323">
        <f t="shared" si="15"/>
        <v>0</v>
      </c>
      <c r="F43" s="73">
        <v>41.98</v>
      </c>
      <c r="G43" s="322">
        <f t="shared" si="16"/>
        <v>0</v>
      </c>
      <c r="H43" s="72">
        <f t="shared" si="17"/>
        <v>0</v>
      </c>
      <c r="I43" s="72">
        <v>377</v>
      </c>
      <c r="J43" s="72">
        <f t="shared" si="14"/>
        <v>0</v>
      </c>
      <c r="K43" s="73">
        <v>41.98</v>
      </c>
      <c r="L43" s="74">
        <f t="shared" si="18"/>
        <v>0</v>
      </c>
      <c r="M43" s="163">
        <f t="shared" si="19"/>
        <v>41.98</v>
      </c>
      <c r="N43" s="161">
        <f t="shared" si="20"/>
        <v>0</v>
      </c>
      <c r="Q43" s="29"/>
      <c r="R43" s="214"/>
      <c r="S43" s="44"/>
      <c r="T43" s="213"/>
      <c r="U43" s="44"/>
    </row>
    <row r="44" spans="1:21" ht="14.25">
      <c r="A44" s="398">
        <f t="shared" si="0"/>
        <v>35</v>
      </c>
      <c r="B44" s="66" t="s">
        <v>163</v>
      </c>
      <c r="C44" s="323">
        <v>0</v>
      </c>
      <c r="D44" s="72">
        <v>98</v>
      </c>
      <c r="E44" s="323">
        <f t="shared" si="15"/>
        <v>0</v>
      </c>
      <c r="F44" s="73">
        <v>15.79</v>
      </c>
      <c r="G44" s="322">
        <f t="shared" si="16"/>
        <v>0</v>
      </c>
      <c r="H44" s="72">
        <f t="shared" si="17"/>
        <v>0</v>
      </c>
      <c r="I44" s="72">
        <v>98</v>
      </c>
      <c r="J44" s="72">
        <f t="shared" si="14"/>
        <v>0</v>
      </c>
      <c r="K44" s="73">
        <v>15.79</v>
      </c>
      <c r="L44" s="74">
        <f t="shared" si="18"/>
        <v>0</v>
      </c>
      <c r="M44" s="163">
        <f t="shared" si="19"/>
        <v>15.79</v>
      </c>
      <c r="N44" s="161">
        <f t="shared" si="20"/>
        <v>0</v>
      </c>
      <c r="Q44" s="29"/>
      <c r="R44" s="214"/>
      <c r="S44" s="44"/>
      <c r="T44" s="213"/>
      <c r="U44" s="44"/>
    </row>
    <row r="45" spans="1:21" ht="14.25">
      <c r="A45" s="398">
        <f t="shared" si="0"/>
        <v>36</v>
      </c>
      <c r="B45" s="66" t="s">
        <v>164</v>
      </c>
      <c r="C45" s="323">
        <v>36</v>
      </c>
      <c r="D45" s="72">
        <v>156</v>
      </c>
      <c r="E45" s="323">
        <f t="shared" si="15"/>
        <v>5616</v>
      </c>
      <c r="F45" s="73">
        <v>20.49</v>
      </c>
      <c r="G45" s="322">
        <f t="shared" si="16"/>
        <v>737.64</v>
      </c>
      <c r="H45" s="72">
        <f t="shared" si="17"/>
        <v>36</v>
      </c>
      <c r="I45" s="72">
        <v>156</v>
      </c>
      <c r="J45" s="72">
        <f t="shared" si="14"/>
        <v>5616</v>
      </c>
      <c r="K45" s="73">
        <v>20.49</v>
      </c>
      <c r="L45" s="74">
        <f t="shared" si="18"/>
        <v>737.64</v>
      </c>
      <c r="M45" s="163">
        <f t="shared" si="19"/>
        <v>20.49</v>
      </c>
      <c r="N45" s="161">
        <f t="shared" si="20"/>
        <v>737.64</v>
      </c>
      <c r="Q45" s="29"/>
      <c r="R45" s="214"/>
      <c r="S45" s="44"/>
      <c r="T45" s="213"/>
      <c r="U45" s="44"/>
    </row>
    <row r="46" spans="1:21" ht="14.25">
      <c r="A46" s="398">
        <f t="shared" si="0"/>
        <v>37</v>
      </c>
      <c r="B46" s="66" t="s">
        <v>165</v>
      </c>
      <c r="C46" s="323">
        <v>12</v>
      </c>
      <c r="D46" s="72">
        <v>373</v>
      </c>
      <c r="E46" s="323">
        <f t="shared" si="15"/>
        <v>4476</v>
      </c>
      <c r="F46" s="73">
        <v>43.47</v>
      </c>
      <c r="G46" s="322">
        <f t="shared" si="16"/>
        <v>521.64</v>
      </c>
      <c r="H46" s="72">
        <f t="shared" si="17"/>
        <v>12</v>
      </c>
      <c r="I46" s="72">
        <v>373</v>
      </c>
      <c r="J46" s="72">
        <f t="shared" si="14"/>
        <v>4476</v>
      </c>
      <c r="K46" s="73">
        <v>43.47</v>
      </c>
      <c r="L46" s="74">
        <f t="shared" si="18"/>
        <v>521.64</v>
      </c>
      <c r="M46" s="163">
        <f t="shared" si="19"/>
        <v>43.47</v>
      </c>
      <c r="N46" s="161">
        <f t="shared" si="20"/>
        <v>521.64</v>
      </c>
      <c r="Q46" s="29"/>
      <c r="R46" s="214"/>
      <c r="S46" s="44"/>
      <c r="T46" s="213"/>
      <c r="U46" s="44"/>
    </row>
    <row r="47" spans="1:21" ht="15">
      <c r="A47" s="398">
        <f t="shared" si="0"/>
        <v>38</v>
      </c>
      <c r="B47" s="65" t="s">
        <v>428</v>
      </c>
      <c r="C47" s="323"/>
      <c r="D47" s="72"/>
      <c r="E47" s="323"/>
      <c r="F47" s="73"/>
      <c r="G47" s="322"/>
      <c r="H47" s="72"/>
      <c r="I47" s="72"/>
      <c r="J47" s="72"/>
      <c r="K47" s="73"/>
      <c r="L47" s="74"/>
      <c r="M47" s="163"/>
      <c r="N47" s="161"/>
      <c r="Q47" s="29"/>
      <c r="R47" s="214"/>
      <c r="S47" s="44"/>
      <c r="T47" s="213"/>
      <c r="U47" s="44"/>
    </row>
    <row r="48" spans="1:21" ht="15">
      <c r="A48" s="398">
        <f t="shared" si="0"/>
        <v>39</v>
      </c>
      <c r="B48" s="65" t="s">
        <v>166</v>
      </c>
      <c r="C48" s="327"/>
      <c r="D48" s="155"/>
      <c r="E48" s="327"/>
      <c r="F48" s="135"/>
      <c r="G48" s="326"/>
      <c r="H48" s="155"/>
      <c r="I48" s="155"/>
      <c r="J48" s="155"/>
      <c r="K48" s="135"/>
      <c r="L48" s="155"/>
      <c r="M48" s="155"/>
      <c r="N48" s="155"/>
      <c r="Q48" s="29"/>
      <c r="R48" s="214"/>
      <c r="T48" s="213"/>
      <c r="U48" s="44"/>
    </row>
    <row r="49" spans="1:21" ht="14.25">
      <c r="A49" s="398">
        <f t="shared" si="0"/>
        <v>40</v>
      </c>
      <c r="B49" s="66" t="s">
        <v>337</v>
      </c>
      <c r="C49" s="323">
        <f>228+76-228</f>
        <v>76</v>
      </c>
      <c r="D49" s="72">
        <v>42</v>
      </c>
      <c r="E49" s="323">
        <f t="shared" ref="E49:E54" si="21">C49*D49</f>
        <v>3192</v>
      </c>
      <c r="F49" s="73">
        <v>13.73</v>
      </c>
      <c r="G49" s="322">
        <f t="shared" ref="G49:G54" si="22">C49*F49</f>
        <v>1043.48</v>
      </c>
      <c r="H49" s="72">
        <f t="shared" ref="H49:H54" si="23">C49</f>
        <v>76</v>
      </c>
      <c r="I49" s="72">
        <v>42</v>
      </c>
      <c r="J49" s="72">
        <f t="shared" si="14"/>
        <v>3192</v>
      </c>
      <c r="K49" s="73">
        <v>13.73</v>
      </c>
      <c r="L49" s="74">
        <f t="shared" ref="L49:L54" si="24">$H49*K49</f>
        <v>1043.48</v>
      </c>
      <c r="M49" s="163">
        <f t="shared" ref="M49:M54" si="25">K49</f>
        <v>13.73</v>
      </c>
      <c r="N49" s="161">
        <f t="shared" ref="N49:N54" si="26">H49*M49</f>
        <v>1043.48</v>
      </c>
      <c r="Q49" s="29"/>
      <c r="R49" s="214"/>
      <c r="S49" s="44"/>
      <c r="T49" s="213"/>
      <c r="U49" s="44"/>
    </row>
    <row r="50" spans="1:21" ht="14.25">
      <c r="A50" s="398">
        <f t="shared" si="0"/>
        <v>41</v>
      </c>
      <c r="B50" s="66" t="s">
        <v>167</v>
      </c>
      <c r="C50" s="323">
        <f>0-0+228</f>
        <v>228</v>
      </c>
      <c r="D50" s="72">
        <v>71</v>
      </c>
      <c r="E50" s="323">
        <f t="shared" si="21"/>
        <v>16188</v>
      </c>
      <c r="F50" s="73">
        <v>16.91</v>
      </c>
      <c r="G50" s="322">
        <f t="shared" si="22"/>
        <v>3855.48</v>
      </c>
      <c r="H50" s="72">
        <f t="shared" si="23"/>
        <v>228</v>
      </c>
      <c r="I50" s="72">
        <v>71</v>
      </c>
      <c r="J50" s="72">
        <f t="shared" si="14"/>
        <v>16188</v>
      </c>
      <c r="K50" s="73">
        <v>16.91</v>
      </c>
      <c r="L50" s="74">
        <f t="shared" si="24"/>
        <v>3855.48</v>
      </c>
      <c r="M50" s="163">
        <f t="shared" si="25"/>
        <v>16.91</v>
      </c>
      <c r="N50" s="161">
        <f t="shared" si="26"/>
        <v>3855.48</v>
      </c>
      <c r="Q50" s="29"/>
      <c r="R50" s="214"/>
      <c r="S50" s="44"/>
      <c r="T50" s="213"/>
      <c r="U50" s="44"/>
    </row>
    <row r="51" spans="1:21" ht="14.25">
      <c r="A51" s="398">
        <f t="shared" si="0"/>
        <v>42</v>
      </c>
      <c r="B51" s="66" t="s">
        <v>338</v>
      </c>
      <c r="C51" s="323"/>
      <c r="D51" s="72">
        <v>42</v>
      </c>
      <c r="E51" s="323">
        <f t="shared" si="21"/>
        <v>0</v>
      </c>
      <c r="F51" s="73">
        <v>13.47</v>
      </c>
      <c r="G51" s="322">
        <f t="shared" si="22"/>
        <v>0</v>
      </c>
      <c r="H51" s="72">
        <f t="shared" si="23"/>
        <v>0</v>
      </c>
      <c r="I51" s="72">
        <v>42</v>
      </c>
      <c r="J51" s="72">
        <f t="shared" si="14"/>
        <v>0</v>
      </c>
      <c r="K51" s="73">
        <v>13.47</v>
      </c>
      <c r="L51" s="74">
        <f t="shared" si="24"/>
        <v>0</v>
      </c>
      <c r="M51" s="163">
        <f t="shared" si="25"/>
        <v>13.47</v>
      </c>
      <c r="N51" s="161">
        <f t="shared" si="26"/>
        <v>0</v>
      </c>
      <c r="Q51" s="29"/>
      <c r="R51" s="214"/>
      <c r="S51" s="44"/>
      <c r="T51" s="154"/>
      <c r="U51" s="44"/>
    </row>
    <row r="52" spans="1:21" ht="14.25">
      <c r="A52" s="398">
        <f t="shared" si="0"/>
        <v>43</v>
      </c>
      <c r="B52" s="66" t="s">
        <v>168</v>
      </c>
      <c r="C52" s="323">
        <v>57</v>
      </c>
      <c r="D52" s="72">
        <v>71</v>
      </c>
      <c r="E52" s="323">
        <f t="shared" si="21"/>
        <v>4047</v>
      </c>
      <c r="F52" s="73">
        <v>16.440000000000001</v>
      </c>
      <c r="G52" s="322">
        <f t="shared" si="22"/>
        <v>937.08</v>
      </c>
      <c r="H52" s="72">
        <f t="shared" si="23"/>
        <v>57</v>
      </c>
      <c r="I52" s="72">
        <v>71</v>
      </c>
      <c r="J52" s="72">
        <f t="shared" si="14"/>
        <v>4047</v>
      </c>
      <c r="K52" s="73">
        <v>16.440000000000001</v>
      </c>
      <c r="L52" s="74">
        <f t="shared" si="24"/>
        <v>937.08</v>
      </c>
      <c r="M52" s="163">
        <f t="shared" si="25"/>
        <v>16.440000000000001</v>
      </c>
      <c r="N52" s="161">
        <f t="shared" si="26"/>
        <v>937.08</v>
      </c>
      <c r="Q52" s="29"/>
      <c r="R52" s="214"/>
      <c r="S52" s="44"/>
      <c r="T52" s="154"/>
      <c r="U52" s="44"/>
    </row>
    <row r="53" spans="1:21" ht="14.25">
      <c r="A53" s="398">
        <f t="shared" si="0"/>
        <v>44</v>
      </c>
      <c r="B53" s="66" t="s">
        <v>169</v>
      </c>
      <c r="C53" s="323"/>
      <c r="D53" s="72">
        <v>71</v>
      </c>
      <c r="E53" s="72">
        <f t="shared" si="21"/>
        <v>0</v>
      </c>
      <c r="F53" s="73">
        <v>15.85</v>
      </c>
      <c r="G53" s="322">
        <f t="shared" si="22"/>
        <v>0</v>
      </c>
      <c r="H53" s="72">
        <f t="shared" si="23"/>
        <v>0</v>
      </c>
      <c r="I53" s="72">
        <v>71</v>
      </c>
      <c r="J53" s="72">
        <f t="shared" si="14"/>
        <v>0</v>
      </c>
      <c r="K53" s="73">
        <v>15.85</v>
      </c>
      <c r="L53" s="74">
        <f t="shared" si="24"/>
        <v>0</v>
      </c>
      <c r="M53" s="163">
        <f t="shared" si="25"/>
        <v>15.85</v>
      </c>
      <c r="N53" s="161">
        <f t="shared" si="26"/>
        <v>0</v>
      </c>
      <c r="Q53" s="29"/>
      <c r="R53" s="214"/>
      <c r="S53" s="44"/>
      <c r="T53" s="154"/>
      <c r="U53" s="44"/>
    </row>
    <row r="54" spans="1:21" ht="14.25">
      <c r="A54" s="398">
        <f t="shared" si="0"/>
        <v>45</v>
      </c>
      <c r="B54" s="66" t="s">
        <v>341</v>
      </c>
      <c r="C54" s="323"/>
      <c r="D54" s="75">
        <v>42</v>
      </c>
      <c r="E54" s="72">
        <f t="shared" si="21"/>
        <v>0</v>
      </c>
      <c r="F54" s="73">
        <v>15.49</v>
      </c>
      <c r="G54" s="322">
        <f t="shared" si="22"/>
        <v>0</v>
      </c>
      <c r="H54" s="72">
        <f t="shared" si="23"/>
        <v>0</v>
      </c>
      <c r="I54" s="75">
        <v>42</v>
      </c>
      <c r="J54" s="72">
        <f t="shared" si="14"/>
        <v>0</v>
      </c>
      <c r="K54" s="73">
        <v>15.49</v>
      </c>
      <c r="L54" s="74">
        <f t="shared" si="24"/>
        <v>0</v>
      </c>
      <c r="M54" s="163">
        <f t="shared" si="25"/>
        <v>15.49</v>
      </c>
      <c r="N54" s="161">
        <f t="shared" si="26"/>
        <v>0</v>
      </c>
      <c r="Q54" s="29"/>
      <c r="R54" s="214"/>
      <c r="S54" s="44"/>
      <c r="T54" s="154"/>
      <c r="U54" s="44"/>
    </row>
    <row r="55" spans="1:21" ht="15">
      <c r="A55" s="398">
        <f t="shared" si="0"/>
        <v>46</v>
      </c>
      <c r="B55" s="67" t="s">
        <v>170</v>
      </c>
      <c r="C55" s="329"/>
      <c r="D55" s="75"/>
      <c r="E55" s="329"/>
      <c r="F55" s="135"/>
      <c r="G55" s="328"/>
      <c r="H55" s="75"/>
      <c r="I55" s="75"/>
      <c r="J55" s="75"/>
      <c r="K55" s="135"/>
      <c r="L55" s="74"/>
      <c r="M55" s="155"/>
      <c r="N55" s="155"/>
      <c r="Q55" s="29"/>
      <c r="R55" s="153"/>
      <c r="S55" s="44"/>
      <c r="T55" s="153"/>
      <c r="U55" s="44"/>
    </row>
    <row r="56" spans="1:21" ht="15">
      <c r="A56" s="398">
        <f t="shared" si="0"/>
        <v>47</v>
      </c>
      <c r="B56" s="67" t="s">
        <v>171</v>
      </c>
      <c r="C56" s="329"/>
      <c r="D56" s="75"/>
      <c r="E56" s="329"/>
      <c r="F56" s="135"/>
      <c r="G56" s="328"/>
      <c r="H56" s="75"/>
      <c r="I56" s="75"/>
      <c r="J56" s="75"/>
      <c r="K56" s="135"/>
      <c r="L56" s="74"/>
      <c r="M56" s="155"/>
      <c r="N56" s="155"/>
      <c r="Q56" s="29"/>
      <c r="R56" s="153"/>
      <c r="S56" s="44"/>
      <c r="T56" s="153"/>
      <c r="U56" s="44"/>
    </row>
    <row r="57" spans="1:21" ht="15">
      <c r="A57" s="398">
        <f t="shared" si="0"/>
        <v>48</v>
      </c>
      <c r="B57" s="65" t="s">
        <v>428</v>
      </c>
      <c r="C57" s="329"/>
      <c r="D57" s="75"/>
      <c r="E57" s="329"/>
      <c r="F57" s="135"/>
      <c r="G57" s="328"/>
      <c r="H57" s="75"/>
      <c r="I57" s="75"/>
      <c r="J57" s="75"/>
      <c r="K57" s="135"/>
      <c r="L57" s="74"/>
      <c r="M57" s="155"/>
      <c r="N57" s="155"/>
      <c r="Q57" s="29"/>
      <c r="R57" s="153"/>
      <c r="S57" s="44"/>
      <c r="T57" s="153"/>
      <c r="U57" s="44"/>
    </row>
    <row r="58" spans="1:21" ht="14.25">
      <c r="A58" s="398">
        <f t="shared" si="0"/>
        <v>49</v>
      </c>
      <c r="B58" s="66" t="s">
        <v>172</v>
      </c>
      <c r="C58" s="323">
        <v>384</v>
      </c>
      <c r="D58" s="72"/>
      <c r="E58" s="72">
        <f t="shared" ref="E58:E66" si="27">C58*D58</f>
        <v>0</v>
      </c>
      <c r="F58" s="73">
        <v>9.36</v>
      </c>
      <c r="G58" s="322">
        <f t="shared" ref="G58:G66" si="28">C58*F58</f>
        <v>3594.24</v>
      </c>
      <c r="H58" s="72">
        <f t="shared" ref="H58:H66" si="29">C58</f>
        <v>384</v>
      </c>
      <c r="I58" s="72"/>
      <c r="J58" s="72"/>
      <c r="K58" s="73">
        <v>9.36</v>
      </c>
      <c r="L58" s="74">
        <f t="shared" ref="L58:L66" si="30">$H58*K58</f>
        <v>3594.24</v>
      </c>
      <c r="M58" s="163">
        <f t="shared" ref="M58:M66" si="31">K58</f>
        <v>9.36</v>
      </c>
      <c r="N58" s="161">
        <f t="shared" ref="N58:N66" si="32">H58*M58</f>
        <v>3594.24</v>
      </c>
      <c r="Q58" s="29"/>
      <c r="R58" s="214"/>
      <c r="S58" s="44"/>
      <c r="T58" s="154"/>
      <c r="U58" s="44"/>
    </row>
    <row r="59" spans="1:21" ht="14.25">
      <c r="A59" s="398">
        <f t="shared" si="0"/>
        <v>50</v>
      </c>
      <c r="B59" s="66" t="s">
        <v>173</v>
      </c>
      <c r="C59" s="323">
        <v>1104</v>
      </c>
      <c r="D59" s="72"/>
      <c r="E59" s="72">
        <f t="shared" si="27"/>
        <v>0</v>
      </c>
      <c r="F59" s="73">
        <v>10.52</v>
      </c>
      <c r="G59" s="322">
        <f t="shared" si="28"/>
        <v>11614.08</v>
      </c>
      <c r="H59" s="72">
        <f t="shared" si="29"/>
        <v>1104</v>
      </c>
      <c r="I59" s="72"/>
      <c r="J59" s="72"/>
      <c r="K59" s="73">
        <v>10.52</v>
      </c>
      <c r="L59" s="74">
        <f t="shared" si="30"/>
        <v>11614.08</v>
      </c>
      <c r="M59" s="163">
        <f t="shared" si="31"/>
        <v>10.52</v>
      </c>
      <c r="N59" s="161">
        <f t="shared" si="32"/>
        <v>11614.08</v>
      </c>
      <c r="Q59" s="29"/>
      <c r="R59" s="214"/>
      <c r="S59" s="44"/>
      <c r="T59" s="154"/>
      <c r="U59" s="44"/>
    </row>
    <row r="60" spans="1:21" ht="14.25">
      <c r="A60" s="398">
        <f t="shared" si="0"/>
        <v>51</v>
      </c>
      <c r="B60" s="66" t="s">
        <v>174</v>
      </c>
      <c r="C60" s="323">
        <v>132</v>
      </c>
      <c r="D60" s="72"/>
      <c r="E60" s="72">
        <f t="shared" si="27"/>
        <v>0</v>
      </c>
      <c r="F60" s="73">
        <v>16.440000000000001</v>
      </c>
      <c r="G60" s="322">
        <f t="shared" si="28"/>
        <v>2170.0800000000004</v>
      </c>
      <c r="H60" s="72">
        <f t="shared" si="29"/>
        <v>132</v>
      </c>
      <c r="I60" s="72"/>
      <c r="J60" s="72"/>
      <c r="K60" s="73">
        <v>16.440000000000001</v>
      </c>
      <c r="L60" s="74">
        <f t="shared" si="30"/>
        <v>2170.0800000000004</v>
      </c>
      <c r="M60" s="163">
        <f t="shared" si="31"/>
        <v>16.440000000000001</v>
      </c>
      <c r="N60" s="161">
        <f t="shared" si="32"/>
        <v>2170.0800000000004</v>
      </c>
      <c r="Q60" s="29"/>
      <c r="R60" s="214"/>
      <c r="S60" s="44"/>
      <c r="T60" s="154"/>
      <c r="U60" s="44"/>
    </row>
    <row r="61" spans="1:21" ht="15">
      <c r="A61" s="398">
        <f t="shared" si="0"/>
        <v>52</v>
      </c>
      <c r="B61" s="65" t="s">
        <v>429</v>
      </c>
      <c r="C61" s="323"/>
      <c r="D61" s="72"/>
      <c r="E61" s="323"/>
      <c r="F61" s="73"/>
      <c r="G61" s="322"/>
      <c r="H61" s="72">
        <f t="shared" si="29"/>
        <v>0</v>
      </c>
      <c r="I61" s="72"/>
      <c r="J61" s="72"/>
      <c r="K61" s="73"/>
      <c r="L61" s="74"/>
      <c r="M61" s="163">
        <f t="shared" si="31"/>
        <v>0</v>
      </c>
      <c r="N61" s="161"/>
      <c r="Q61" s="29"/>
      <c r="R61" s="214"/>
      <c r="S61" s="44"/>
      <c r="T61" s="154"/>
      <c r="U61" s="44"/>
    </row>
    <row r="62" spans="1:21" ht="14.25">
      <c r="A62" s="398">
        <f t="shared" si="0"/>
        <v>53</v>
      </c>
      <c r="B62" s="66" t="s">
        <v>175</v>
      </c>
      <c r="C62" s="323">
        <v>796</v>
      </c>
      <c r="D62" s="72"/>
      <c r="E62" s="72">
        <f t="shared" si="27"/>
        <v>0</v>
      </c>
      <c r="F62" s="73">
        <v>5.44</v>
      </c>
      <c r="G62" s="322">
        <f t="shared" si="28"/>
        <v>4330.2400000000007</v>
      </c>
      <c r="H62" s="72">
        <f t="shared" si="29"/>
        <v>796</v>
      </c>
      <c r="I62" s="72"/>
      <c r="J62" s="72"/>
      <c r="K62" s="73">
        <v>5.44</v>
      </c>
      <c r="L62" s="74">
        <f t="shared" si="30"/>
        <v>4330.2400000000007</v>
      </c>
      <c r="M62" s="163">
        <f t="shared" si="31"/>
        <v>5.44</v>
      </c>
      <c r="N62" s="161">
        <f t="shared" si="32"/>
        <v>4330.2400000000007</v>
      </c>
      <c r="Q62" s="29"/>
      <c r="R62" s="214"/>
      <c r="S62" s="44"/>
      <c r="T62" s="154"/>
      <c r="U62" s="44"/>
    </row>
    <row r="63" spans="1:21" ht="14.25">
      <c r="A63" s="398">
        <f t="shared" si="0"/>
        <v>54</v>
      </c>
      <c r="B63" s="66" t="s">
        <v>176</v>
      </c>
      <c r="C63" s="323">
        <v>51</v>
      </c>
      <c r="D63" s="72"/>
      <c r="E63" s="72">
        <f t="shared" si="27"/>
        <v>0</v>
      </c>
      <c r="F63" s="73">
        <v>12.05</v>
      </c>
      <c r="G63" s="322">
        <f t="shared" si="28"/>
        <v>614.55000000000007</v>
      </c>
      <c r="H63" s="72">
        <f t="shared" si="29"/>
        <v>51</v>
      </c>
      <c r="I63" s="72"/>
      <c r="J63" s="72"/>
      <c r="K63" s="73">
        <v>12.05</v>
      </c>
      <c r="L63" s="74">
        <f t="shared" si="30"/>
        <v>614.55000000000007</v>
      </c>
      <c r="M63" s="163">
        <f t="shared" si="31"/>
        <v>12.05</v>
      </c>
      <c r="N63" s="161">
        <f t="shared" si="32"/>
        <v>614.55000000000007</v>
      </c>
      <c r="Q63" s="29"/>
      <c r="R63" s="214"/>
      <c r="S63" s="44"/>
      <c r="T63" s="154"/>
      <c r="U63" s="44"/>
    </row>
    <row r="64" spans="1:21" ht="15">
      <c r="A64" s="398">
        <f t="shared" si="0"/>
        <v>55</v>
      </c>
      <c r="B64" s="65" t="s">
        <v>428</v>
      </c>
      <c r="C64" s="323"/>
      <c r="D64" s="72"/>
      <c r="E64" s="323"/>
      <c r="F64" s="73"/>
      <c r="G64" s="322"/>
      <c r="H64" s="72">
        <f t="shared" si="29"/>
        <v>0</v>
      </c>
      <c r="I64" s="72"/>
      <c r="J64" s="72"/>
      <c r="K64" s="73"/>
      <c r="L64" s="74"/>
      <c r="M64" s="163">
        <f t="shared" si="31"/>
        <v>0</v>
      </c>
      <c r="N64" s="161"/>
      <c r="Q64" s="29"/>
      <c r="R64" s="214"/>
      <c r="S64" s="44"/>
      <c r="T64" s="154"/>
      <c r="U64" s="44"/>
    </row>
    <row r="65" spans="1:22" ht="14.25">
      <c r="A65" s="398">
        <f t="shared" si="0"/>
        <v>56</v>
      </c>
      <c r="B65" s="66" t="s">
        <v>177</v>
      </c>
      <c r="C65" s="323">
        <v>326</v>
      </c>
      <c r="D65" s="72"/>
      <c r="E65" s="72">
        <f t="shared" si="27"/>
        <v>0</v>
      </c>
      <c r="F65" s="73">
        <v>12.88</v>
      </c>
      <c r="G65" s="322">
        <f t="shared" si="28"/>
        <v>4198.88</v>
      </c>
      <c r="H65" s="72">
        <f t="shared" si="29"/>
        <v>326</v>
      </c>
      <c r="I65" s="72"/>
      <c r="J65" s="72"/>
      <c r="K65" s="73">
        <v>12.88</v>
      </c>
      <c r="L65" s="74">
        <f t="shared" si="30"/>
        <v>4198.88</v>
      </c>
      <c r="M65" s="163">
        <f t="shared" si="31"/>
        <v>12.88</v>
      </c>
      <c r="N65" s="161">
        <f t="shared" si="32"/>
        <v>4198.88</v>
      </c>
      <c r="Q65" s="29"/>
      <c r="R65" s="214"/>
      <c r="S65" s="44"/>
      <c r="T65" s="154"/>
      <c r="U65" s="44"/>
    </row>
    <row r="66" spans="1:22" ht="14.25">
      <c r="A66" s="398">
        <f t="shared" si="0"/>
        <v>57</v>
      </c>
      <c r="B66" s="66" t="s">
        <v>178</v>
      </c>
      <c r="C66" s="323">
        <v>120</v>
      </c>
      <c r="D66" s="72"/>
      <c r="E66" s="72">
        <f t="shared" si="27"/>
        <v>0</v>
      </c>
      <c r="F66" s="73">
        <v>14.14</v>
      </c>
      <c r="G66" s="322">
        <f t="shared" si="28"/>
        <v>1696.8000000000002</v>
      </c>
      <c r="H66" s="72">
        <f t="shared" si="29"/>
        <v>120</v>
      </c>
      <c r="I66" s="72"/>
      <c r="J66" s="72"/>
      <c r="K66" s="73">
        <v>14.14</v>
      </c>
      <c r="L66" s="74">
        <f t="shared" si="30"/>
        <v>1696.8000000000002</v>
      </c>
      <c r="M66" s="163">
        <f t="shared" si="31"/>
        <v>14.14</v>
      </c>
      <c r="N66" s="161">
        <f t="shared" si="32"/>
        <v>1696.8000000000002</v>
      </c>
      <c r="O66" s="29"/>
      <c r="Q66" s="29"/>
      <c r="R66" s="214"/>
      <c r="S66" s="44"/>
      <c r="T66" s="154"/>
      <c r="U66" s="44"/>
      <c r="V66" s="29">
        <f>SUM(U58:U66)</f>
        <v>0</v>
      </c>
    </row>
    <row r="67" spans="1:22" ht="15">
      <c r="A67" s="398">
        <f t="shared" si="0"/>
        <v>58</v>
      </c>
      <c r="B67" s="67" t="s">
        <v>179</v>
      </c>
      <c r="C67" s="325"/>
      <c r="D67" s="72"/>
      <c r="E67" s="325"/>
      <c r="F67" s="135"/>
      <c r="G67" s="324"/>
      <c r="H67" s="72"/>
      <c r="I67" s="72"/>
      <c r="J67" s="72"/>
      <c r="K67" s="135"/>
      <c r="L67" s="74"/>
      <c r="M67" s="155"/>
      <c r="N67" s="155"/>
      <c r="Q67" s="29"/>
      <c r="R67" s="214"/>
      <c r="S67" s="44"/>
      <c r="T67" s="153"/>
      <c r="U67" s="44"/>
    </row>
    <row r="68" spans="1:22" ht="15">
      <c r="A68" s="398">
        <f t="shared" si="0"/>
        <v>59</v>
      </c>
      <c r="B68" s="67" t="s">
        <v>180</v>
      </c>
      <c r="C68" s="325"/>
      <c r="D68" s="72"/>
      <c r="E68" s="325"/>
      <c r="F68" s="135"/>
      <c r="G68" s="324"/>
      <c r="H68" s="72"/>
      <c r="I68" s="72"/>
      <c r="J68" s="72"/>
      <c r="K68" s="135"/>
      <c r="L68" s="74"/>
      <c r="M68" s="155"/>
      <c r="N68" s="155"/>
      <c r="Q68" s="29"/>
      <c r="R68" s="214"/>
      <c r="S68" s="44"/>
      <c r="T68" s="153"/>
      <c r="U68" s="44"/>
    </row>
    <row r="69" spans="1:22" ht="15">
      <c r="A69" s="398">
        <f t="shared" si="0"/>
        <v>60</v>
      </c>
      <c r="B69" s="67" t="s">
        <v>192</v>
      </c>
      <c r="C69" s="325"/>
      <c r="D69" s="72"/>
      <c r="E69" s="325"/>
      <c r="F69" s="135"/>
      <c r="G69" s="324"/>
      <c r="H69" s="72"/>
      <c r="I69" s="72"/>
      <c r="J69" s="72"/>
      <c r="K69" s="135"/>
      <c r="L69" s="74"/>
      <c r="M69" s="155"/>
      <c r="N69" s="155"/>
      <c r="Q69" s="29"/>
      <c r="R69" s="214"/>
      <c r="S69" s="44"/>
      <c r="T69" s="153"/>
      <c r="U69" s="44"/>
    </row>
    <row r="70" spans="1:22" ht="14.25">
      <c r="A70" s="398">
        <f t="shared" si="0"/>
        <v>61</v>
      </c>
      <c r="B70" s="66" t="s">
        <v>193</v>
      </c>
      <c r="C70" s="397">
        <v>804</v>
      </c>
      <c r="D70" s="72">
        <v>23</v>
      </c>
      <c r="E70" s="72">
        <f t="shared" ref="E70:E81" si="33">C70*D70</f>
        <v>18492</v>
      </c>
      <c r="F70" s="135">
        <v>3.87</v>
      </c>
      <c r="G70" s="322">
        <f t="shared" ref="G70:G81" si="34">C70*F70</f>
        <v>3111.48</v>
      </c>
      <c r="H70" s="72">
        <f t="shared" ref="H70:H81" si="35">C70</f>
        <v>804</v>
      </c>
      <c r="I70" s="72">
        <v>23</v>
      </c>
      <c r="J70" s="72">
        <f>H70*I70</f>
        <v>18492</v>
      </c>
      <c r="K70" s="135">
        <v>3.87</v>
      </c>
      <c r="L70" s="74">
        <f>$H70*K70</f>
        <v>3111.48</v>
      </c>
      <c r="M70" s="163">
        <f t="shared" ref="M70:M81" si="36">K70</f>
        <v>3.87</v>
      </c>
      <c r="N70" s="161">
        <f>H70*M70</f>
        <v>3111.48</v>
      </c>
      <c r="Q70" s="29"/>
      <c r="R70" s="214"/>
      <c r="S70" s="44"/>
      <c r="T70" s="153"/>
      <c r="U70" s="44"/>
    </row>
    <row r="71" spans="1:22" ht="14.25">
      <c r="A71" s="398">
        <f t="shared" si="0"/>
        <v>62</v>
      </c>
      <c r="B71" s="66" t="s">
        <v>194</v>
      </c>
      <c r="C71" s="397">
        <v>360</v>
      </c>
      <c r="D71" s="72">
        <v>23</v>
      </c>
      <c r="E71" s="72">
        <f t="shared" si="33"/>
        <v>8280</v>
      </c>
      <c r="F71" s="135">
        <v>3.52</v>
      </c>
      <c r="G71" s="322">
        <f t="shared" si="34"/>
        <v>1267.2</v>
      </c>
      <c r="H71" s="72">
        <f t="shared" si="35"/>
        <v>360</v>
      </c>
      <c r="I71" s="72">
        <v>23</v>
      </c>
      <c r="J71" s="72">
        <f>H71*I71</f>
        <v>8280</v>
      </c>
      <c r="K71" s="135">
        <v>3.52</v>
      </c>
      <c r="L71" s="74">
        <f>$H71*K71</f>
        <v>1267.2</v>
      </c>
      <c r="M71" s="163">
        <f t="shared" si="36"/>
        <v>3.52</v>
      </c>
      <c r="N71" s="161">
        <f>H71*M71</f>
        <v>1267.2</v>
      </c>
      <c r="Q71" s="29"/>
      <c r="R71" s="214"/>
      <c r="S71" s="44"/>
      <c r="T71" s="153"/>
      <c r="U71" s="44"/>
    </row>
    <row r="72" spans="1:22" ht="14.25">
      <c r="A72" s="398">
        <f t="shared" si="0"/>
        <v>63</v>
      </c>
      <c r="B72" s="66" t="s">
        <v>195</v>
      </c>
      <c r="C72" s="397">
        <v>683</v>
      </c>
      <c r="D72" s="72">
        <v>23</v>
      </c>
      <c r="E72" s="72">
        <f t="shared" si="33"/>
        <v>15709</v>
      </c>
      <c r="F72" s="135">
        <v>4.3600000000000003</v>
      </c>
      <c r="G72" s="322">
        <f t="shared" si="34"/>
        <v>2977.88</v>
      </c>
      <c r="H72" s="72">
        <f t="shared" si="35"/>
        <v>683</v>
      </c>
      <c r="I72" s="72">
        <v>23</v>
      </c>
      <c r="J72" s="72">
        <f>H72*I72</f>
        <v>15709</v>
      </c>
      <c r="K72" s="135">
        <v>4.3600000000000003</v>
      </c>
      <c r="L72" s="74">
        <f>$H72*K72</f>
        <v>2977.88</v>
      </c>
      <c r="M72" s="163">
        <f t="shared" si="36"/>
        <v>4.3600000000000003</v>
      </c>
      <c r="N72" s="161">
        <f>H72*M72</f>
        <v>2977.88</v>
      </c>
      <c r="Q72" s="29"/>
      <c r="R72" s="214"/>
      <c r="S72" s="44"/>
      <c r="T72" s="153"/>
      <c r="U72" s="44"/>
    </row>
    <row r="73" spans="1:22" ht="15">
      <c r="A73" s="398">
        <f t="shared" si="0"/>
        <v>64</v>
      </c>
      <c r="B73" s="65" t="s">
        <v>428</v>
      </c>
      <c r="C73" s="325"/>
      <c r="D73" s="72"/>
      <c r="E73" s="325"/>
      <c r="F73" s="135"/>
      <c r="G73" s="324"/>
      <c r="H73" s="72">
        <f t="shared" si="35"/>
        <v>0</v>
      </c>
      <c r="I73" s="72"/>
      <c r="J73" s="72"/>
      <c r="K73" s="135"/>
      <c r="L73" s="74"/>
      <c r="M73" s="163">
        <f t="shared" si="36"/>
        <v>0</v>
      </c>
      <c r="N73" s="155"/>
      <c r="Q73" s="29"/>
      <c r="R73" s="214"/>
      <c r="S73" s="44"/>
      <c r="T73" s="153"/>
      <c r="U73" s="44"/>
    </row>
    <row r="74" spans="1:22" ht="14.25">
      <c r="A74" s="398">
        <f t="shared" si="0"/>
        <v>65</v>
      </c>
      <c r="B74" s="66" t="s">
        <v>147</v>
      </c>
      <c r="C74" s="323">
        <v>1962</v>
      </c>
      <c r="D74" s="72">
        <v>70</v>
      </c>
      <c r="E74" s="72">
        <f t="shared" si="33"/>
        <v>137340</v>
      </c>
      <c r="F74" s="73">
        <v>11.15</v>
      </c>
      <c r="G74" s="322">
        <f t="shared" si="34"/>
        <v>21876.3</v>
      </c>
      <c r="H74" s="72">
        <f t="shared" si="35"/>
        <v>1962</v>
      </c>
      <c r="I74" s="72">
        <v>70</v>
      </c>
      <c r="J74" s="72">
        <f t="shared" ref="J74:J81" si="37">H74*I74</f>
        <v>137340</v>
      </c>
      <c r="K74" s="73">
        <v>11.15</v>
      </c>
      <c r="L74" s="74">
        <f t="shared" ref="L74:L86" si="38">$H74*K74</f>
        <v>21876.3</v>
      </c>
      <c r="M74" s="163">
        <f t="shared" si="36"/>
        <v>11.15</v>
      </c>
      <c r="N74" s="161">
        <f t="shared" ref="N74:N86" si="39">H74*M74</f>
        <v>21876.3</v>
      </c>
      <c r="Q74" s="29"/>
      <c r="R74" s="214"/>
      <c r="S74" s="44"/>
      <c r="T74" s="154"/>
      <c r="U74" s="44"/>
    </row>
    <row r="75" spans="1:22" ht="14.25">
      <c r="A75" s="398">
        <f t="shared" si="0"/>
        <v>66</v>
      </c>
      <c r="B75" s="66" t="s">
        <v>149</v>
      </c>
      <c r="C75" s="323">
        <v>1197</v>
      </c>
      <c r="D75" s="72">
        <v>155</v>
      </c>
      <c r="E75" s="72">
        <f t="shared" si="33"/>
        <v>185535</v>
      </c>
      <c r="F75" s="73">
        <v>16.809999999999999</v>
      </c>
      <c r="G75" s="322">
        <f t="shared" si="34"/>
        <v>20121.57</v>
      </c>
      <c r="H75" s="72">
        <f t="shared" si="35"/>
        <v>1197</v>
      </c>
      <c r="I75" s="72">
        <v>155</v>
      </c>
      <c r="J75" s="72">
        <f t="shared" si="37"/>
        <v>185535</v>
      </c>
      <c r="K75" s="73">
        <v>16.809999999999999</v>
      </c>
      <c r="L75" s="74">
        <f t="shared" si="38"/>
        <v>20121.57</v>
      </c>
      <c r="M75" s="163">
        <f t="shared" si="36"/>
        <v>16.809999999999999</v>
      </c>
      <c r="N75" s="161">
        <f t="shared" si="39"/>
        <v>20121.57</v>
      </c>
      <c r="Q75" s="29"/>
      <c r="R75" s="214"/>
      <c r="S75" s="44"/>
      <c r="T75" s="154"/>
      <c r="U75" s="44"/>
    </row>
    <row r="76" spans="1:22" ht="15">
      <c r="A76" s="398">
        <f t="shared" ref="A76:A124" si="40">A75+1</f>
        <v>67</v>
      </c>
      <c r="B76" s="65" t="s">
        <v>426</v>
      </c>
      <c r="C76" s="323"/>
      <c r="D76" s="72"/>
      <c r="E76" s="323"/>
      <c r="F76" s="73"/>
      <c r="G76" s="322"/>
      <c r="H76" s="72">
        <f t="shared" si="35"/>
        <v>0</v>
      </c>
      <c r="I76" s="72"/>
      <c r="J76" s="72"/>
      <c r="K76" s="73"/>
      <c r="L76" s="74"/>
      <c r="M76" s="163">
        <f t="shared" si="36"/>
        <v>0</v>
      </c>
      <c r="N76" s="161"/>
      <c r="Q76" s="29"/>
      <c r="R76" s="214"/>
      <c r="S76" s="44"/>
      <c r="T76" s="154"/>
      <c r="U76" s="44"/>
    </row>
    <row r="77" spans="1:22" ht="14.25">
      <c r="A77" s="398">
        <f t="shared" si="40"/>
        <v>68</v>
      </c>
      <c r="B77" s="66" t="s">
        <v>181</v>
      </c>
      <c r="C77" s="323">
        <v>2534</v>
      </c>
      <c r="D77" s="72">
        <v>43</v>
      </c>
      <c r="E77" s="72">
        <f t="shared" si="33"/>
        <v>108962</v>
      </c>
      <c r="F77" s="73">
        <v>10.02</v>
      </c>
      <c r="G77" s="322">
        <f t="shared" si="34"/>
        <v>25390.68</v>
      </c>
      <c r="H77" s="72">
        <f t="shared" si="35"/>
        <v>2534</v>
      </c>
      <c r="I77" s="72">
        <v>43</v>
      </c>
      <c r="J77" s="72">
        <f t="shared" si="37"/>
        <v>108962</v>
      </c>
      <c r="K77" s="73">
        <v>10.02</v>
      </c>
      <c r="L77" s="74">
        <f t="shared" si="38"/>
        <v>25390.68</v>
      </c>
      <c r="M77" s="163">
        <f t="shared" si="36"/>
        <v>10.02</v>
      </c>
      <c r="N77" s="161">
        <f t="shared" si="39"/>
        <v>25390.68</v>
      </c>
      <c r="Q77" s="29"/>
      <c r="R77" s="214"/>
      <c r="S77" s="44"/>
      <c r="T77" s="154"/>
      <c r="U77" s="44"/>
    </row>
    <row r="78" spans="1:22" ht="14.25">
      <c r="A78" s="398">
        <f t="shared" si="40"/>
        <v>69</v>
      </c>
      <c r="B78" s="66" t="s">
        <v>182</v>
      </c>
      <c r="C78" s="323">
        <v>252</v>
      </c>
      <c r="D78" s="72">
        <v>85</v>
      </c>
      <c r="E78" s="72">
        <f t="shared" si="33"/>
        <v>21420</v>
      </c>
      <c r="F78" s="73">
        <v>15.65</v>
      </c>
      <c r="G78" s="322">
        <f t="shared" si="34"/>
        <v>3943.8</v>
      </c>
      <c r="H78" s="72">
        <f t="shared" si="35"/>
        <v>252</v>
      </c>
      <c r="I78" s="72">
        <v>85</v>
      </c>
      <c r="J78" s="72">
        <f t="shared" si="37"/>
        <v>21420</v>
      </c>
      <c r="K78" s="73">
        <v>15.65</v>
      </c>
      <c r="L78" s="74">
        <f t="shared" si="38"/>
        <v>3943.8</v>
      </c>
      <c r="M78" s="163">
        <f t="shared" si="36"/>
        <v>15.65</v>
      </c>
      <c r="N78" s="161">
        <f t="shared" si="39"/>
        <v>3943.8</v>
      </c>
      <c r="Q78" s="29"/>
      <c r="R78" s="214"/>
      <c r="S78" s="44"/>
      <c r="T78" s="154"/>
      <c r="U78" s="44"/>
    </row>
    <row r="79" spans="1:22" ht="15">
      <c r="A79" s="398">
        <f t="shared" si="40"/>
        <v>70</v>
      </c>
      <c r="B79" s="65" t="s">
        <v>428</v>
      </c>
      <c r="C79" s="323"/>
      <c r="D79" s="72"/>
      <c r="E79" s="323"/>
      <c r="F79" s="73"/>
      <c r="G79" s="322"/>
      <c r="H79" s="72">
        <f t="shared" si="35"/>
        <v>0</v>
      </c>
      <c r="I79" s="72"/>
      <c r="J79" s="72"/>
      <c r="K79" s="73"/>
      <c r="L79" s="74"/>
      <c r="M79" s="163">
        <f t="shared" si="36"/>
        <v>0</v>
      </c>
      <c r="N79" s="161"/>
      <c r="Q79" s="29"/>
      <c r="R79" s="214"/>
      <c r="S79" s="44"/>
      <c r="T79" s="154"/>
      <c r="U79" s="44"/>
    </row>
    <row r="80" spans="1:22" ht="14.25">
      <c r="A80" s="398">
        <f t="shared" si="40"/>
        <v>71</v>
      </c>
      <c r="B80" s="66" t="s">
        <v>328</v>
      </c>
      <c r="C80" s="323">
        <v>-13</v>
      </c>
      <c r="D80" s="72">
        <v>42</v>
      </c>
      <c r="E80" s="72">
        <f t="shared" si="33"/>
        <v>-546</v>
      </c>
      <c r="F80" s="73">
        <v>9.4499999999999993</v>
      </c>
      <c r="G80" s="322">
        <f t="shared" si="34"/>
        <v>-122.85</v>
      </c>
      <c r="H80" s="72">
        <f t="shared" si="35"/>
        <v>-13</v>
      </c>
      <c r="I80" s="72">
        <v>42</v>
      </c>
      <c r="J80" s="72">
        <f t="shared" si="37"/>
        <v>-546</v>
      </c>
      <c r="K80" s="73">
        <v>9.4499999999999993</v>
      </c>
      <c r="L80" s="74">
        <f t="shared" si="38"/>
        <v>-122.85</v>
      </c>
      <c r="M80" s="163">
        <f t="shared" si="36"/>
        <v>9.4499999999999993</v>
      </c>
      <c r="N80" s="161">
        <f t="shared" si="39"/>
        <v>-122.85</v>
      </c>
      <c r="Q80" s="29"/>
      <c r="R80" s="214"/>
      <c r="S80" s="44"/>
      <c r="T80" s="154"/>
      <c r="U80" s="44"/>
    </row>
    <row r="81" spans="1:21" ht="14.25">
      <c r="A81" s="398">
        <f t="shared" si="40"/>
        <v>72</v>
      </c>
      <c r="B81" s="66" t="s">
        <v>327</v>
      </c>
      <c r="C81" s="323">
        <v>12</v>
      </c>
      <c r="D81" s="72">
        <v>156</v>
      </c>
      <c r="E81" s="72">
        <f t="shared" si="33"/>
        <v>1872</v>
      </c>
      <c r="F81" s="73">
        <v>20.61</v>
      </c>
      <c r="G81" s="322">
        <f t="shared" si="34"/>
        <v>247.32</v>
      </c>
      <c r="H81" s="72">
        <f t="shared" si="35"/>
        <v>12</v>
      </c>
      <c r="I81" s="72">
        <v>156</v>
      </c>
      <c r="J81" s="72">
        <f t="shared" si="37"/>
        <v>1872</v>
      </c>
      <c r="K81" s="73">
        <v>20.61</v>
      </c>
      <c r="L81" s="74">
        <f t="shared" si="38"/>
        <v>247.32</v>
      </c>
      <c r="M81" s="163">
        <f t="shared" si="36"/>
        <v>20.61</v>
      </c>
      <c r="N81" s="161">
        <f t="shared" si="39"/>
        <v>247.32</v>
      </c>
      <c r="Q81" s="29"/>
      <c r="R81" s="214"/>
      <c r="S81" s="44"/>
      <c r="T81" s="154"/>
      <c r="U81" s="44"/>
    </row>
    <row r="82" spans="1:21" ht="15">
      <c r="A82" s="398">
        <f t="shared" si="40"/>
        <v>73</v>
      </c>
      <c r="B82" s="67" t="s">
        <v>183</v>
      </c>
      <c r="C82" s="323"/>
      <c r="D82" s="72"/>
      <c r="E82" s="323"/>
      <c r="F82" s="73"/>
      <c r="G82" s="322"/>
      <c r="H82" s="72"/>
      <c r="I82" s="72"/>
      <c r="J82" s="72"/>
      <c r="K82" s="73"/>
      <c r="L82" s="74"/>
      <c r="M82" s="163"/>
      <c r="N82" s="161"/>
      <c r="Q82" s="29"/>
      <c r="R82" s="214"/>
      <c r="S82" s="44"/>
      <c r="T82" s="154"/>
      <c r="U82" s="44"/>
    </row>
    <row r="83" spans="1:21" ht="15">
      <c r="A83" s="398">
        <f t="shared" si="40"/>
        <v>74</v>
      </c>
      <c r="B83" s="65" t="s">
        <v>427</v>
      </c>
      <c r="C83" s="323"/>
      <c r="D83" s="72"/>
      <c r="E83" s="323"/>
      <c r="F83" s="73"/>
      <c r="G83" s="322"/>
      <c r="H83" s="72"/>
      <c r="I83" s="72"/>
      <c r="J83" s="72"/>
      <c r="K83" s="73"/>
      <c r="L83" s="74"/>
      <c r="M83" s="163"/>
      <c r="N83" s="161"/>
      <c r="Q83" s="29"/>
      <c r="R83" s="214"/>
      <c r="S83" s="44"/>
      <c r="T83" s="154"/>
      <c r="U83" s="44"/>
    </row>
    <row r="84" spans="1:21" ht="14.25">
      <c r="A84" s="400">
        <f t="shared" si="40"/>
        <v>75</v>
      </c>
      <c r="B84" s="66" t="s">
        <v>331</v>
      </c>
      <c r="C84" s="323"/>
      <c r="D84" s="72">
        <v>21</v>
      </c>
      <c r="E84" s="72">
        <f t="shared" ref="E84:E90" si="41">C84*D84</f>
        <v>0</v>
      </c>
      <c r="F84" s="73">
        <v>8.56</v>
      </c>
      <c r="G84" s="322">
        <f t="shared" ref="G84:G90" si="42">C84*F84</f>
        <v>0</v>
      </c>
      <c r="H84" s="72">
        <f t="shared" ref="H84:H90" si="43">C84</f>
        <v>0</v>
      </c>
      <c r="I84" s="72">
        <v>21</v>
      </c>
      <c r="J84" s="72">
        <f>H84*I84</f>
        <v>0</v>
      </c>
      <c r="K84" s="73">
        <v>8.56</v>
      </c>
      <c r="L84" s="74">
        <f t="shared" si="38"/>
        <v>0</v>
      </c>
      <c r="M84" s="163">
        <f t="shared" ref="M84:M90" si="44">K84</f>
        <v>8.56</v>
      </c>
      <c r="N84" s="161">
        <f t="shared" si="39"/>
        <v>0</v>
      </c>
      <c r="Q84" s="29"/>
      <c r="R84" s="214"/>
      <c r="S84" s="44"/>
      <c r="T84" s="154"/>
      <c r="U84" s="44"/>
    </row>
    <row r="85" spans="1:21" ht="14.25">
      <c r="A85" s="398">
        <f t="shared" si="40"/>
        <v>76</v>
      </c>
      <c r="B85" s="66" t="s">
        <v>333</v>
      </c>
      <c r="C85" s="323">
        <v>14930</v>
      </c>
      <c r="D85" s="72">
        <v>37</v>
      </c>
      <c r="E85" s="72">
        <f t="shared" si="41"/>
        <v>552410</v>
      </c>
      <c r="F85" s="73">
        <v>10.86</v>
      </c>
      <c r="G85" s="322">
        <f t="shared" si="42"/>
        <v>162139.79999999999</v>
      </c>
      <c r="H85" s="72">
        <f t="shared" si="43"/>
        <v>14930</v>
      </c>
      <c r="I85" s="72">
        <v>37</v>
      </c>
      <c r="J85" s="72">
        <f>H85*I85</f>
        <v>552410</v>
      </c>
      <c r="K85" s="73">
        <v>10.86</v>
      </c>
      <c r="L85" s="74">
        <f t="shared" si="38"/>
        <v>162139.79999999999</v>
      </c>
      <c r="M85" s="163">
        <f t="shared" si="44"/>
        <v>10.86</v>
      </c>
      <c r="N85" s="161">
        <f t="shared" si="39"/>
        <v>162139.79999999999</v>
      </c>
      <c r="Q85" s="29"/>
      <c r="R85" s="214"/>
      <c r="S85" s="44"/>
      <c r="T85" s="154"/>
      <c r="U85" s="44"/>
    </row>
    <row r="86" spans="1:21" ht="14.25">
      <c r="A86" s="398">
        <f t="shared" si="40"/>
        <v>77</v>
      </c>
      <c r="B86" s="66" t="s">
        <v>334</v>
      </c>
      <c r="C86" s="394"/>
      <c r="D86" s="72">
        <v>46</v>
      </c>
      <c r="E86" s="401">
        <f t="shared" si="41"/>
        <v>0</v>
      </c>
      <c r="F86" s="73">
        <v>13.28</v>
      </c>
      <c r="G86" s="322">
        <f t="shared" si="42"/>
        <v>0</v>
      </c>
      <c r="H86" s="72">
        <f t="shared" si="43"/>
        <v>0</v>
      </c>
      <c r="I86" s="72">
        <v>46</v>
      </c>
      <c r="J86" s="72">
        <f>H86*I86</f>
        <v>0</v>
      </c>
      <c r="K86" s="73">
        <v>13.28</v>
      </c>
      <c r="L86" s="74">
        <f t="shared" si="38"/>
        <v>0</v>
      </c>
      <c r="M86" s="163">
        <f t="shared" si="44"/>
        <v>13.28</v>
      </c>
      <c r="N86" s="161">
        <f t="shared" si="39"/>
        <v>0</v>
      </c>
      <c r="Q86" s="29"/>
      <c r="R86" s="214"/>
      <c r="S86" s="44"/>
      <c r="T86" s="154"/>
      <c r="U86" s="44"/>
    </row>
    <row r="87" spans="1:21" ht="15">
      <c r="A87" s="398">
        <f t="shared" si="40"/>
        <v>78</v>
      </c>
      <c r="B87" s="67" t="s">
        <v>184</v>
      </c>
      <c r="C87" s="325"/>
      <c r="D87" s="72"/>
      <c r="E87" s="325"/>
      <c r="F87" s="135"/>
      <c r="G87" s="324"/>
      <c r="H87" s="72"/>
      <c r="I87" s="72"/>
      <c r="J87" s="72"/>
      <c r="K87" s="135"/>
      <c r="L87" s="74"/>
      <c r="M87" s="155"/>
      <c r="N87" s="155"/>
      <c r="Q87" s="29"/>
      <c r="R87" s="214"/>
      <c r="S87" s="44"/>
      <c r="T87" s="153"/>
      <c r="U87" s="44"/>
    </row>
    <row r="88" spans="1:21" ht="14.25">
      <c r="A88" s="398">
        <f t="shared" si="40"/>
        <v>79</v>
      </c>
      <c r="B88" s="66" t="s">
        <v>185</v>
      </c>
      <c r="C88" s="323">
        <v>6564</v>
      </c>
      <c r="D88" s="72"/>
      <c r="E88" s="72">
        <f t="shared" si="41"/>
        <v>0</v>
      </c>
      <c r="F88" s="73">
        <v>7.33</v>
      </c>
      <c r="G88" s="322">
        <f t="shared" si="42"/>
        <v>48114.12</v>
      </c>
      <c r="H88" s="371">
        <f t="shared" si="43"/>
        <v>6564</v>
      </c>
      <c r="I88" s="72"/>
      <c r="J88" s="72"/>
      <c r="K88" s="73">
        <v>7.33</v>
      </c>
      <c r="L88" s="74">
        <f>$H88*K88</f>
        <v>48114.12</v>
      </c>
      <c r="M88" s="163">
        <f t="shared" si="44"/>
        <v>7.33</v>
      </c>
      <c r="N88" s="161">
        <f>H88*M88</f>
        <v>48114.12</v>
      </c>
      <c r="Q88" s="29"/>
      <c r="R88" s="214"/>
      <c r="S88" s="44"/>
      <c r="T88" s="154"/>
      <c r="U88" s="44"/>
    </row>
    <row r="89" spans="1:21" ht="15">
      <c r="A89" s="398">
        <f t="shared" si="40"/>
        <v>80</v>
      </c>
      <c r="B89" s="65" t="s">
        <v>186</v>
      </c>
      <c r="C89" s="327"/>
      <c r="D89" s="72"/>
      <c r="E89" s="327"/>
      <c r="F89" s="135"/>
      <c r="G89" s="326"/>
      <c r="H89" s="72"/>
      <c r="I89" s="72"/>
      <c r="J89" s="72"/>
      <c r="K89" s="135"/>
      <c r="L89" s="74"/>
      <c r="M89" s="155"/>
      <c r="N89" s="155"/>
      <c r="Q89" s="29"/>
      <c r="R89" s="214"/>
      <c r="S89" s="44"/>
      <c r="T89" s="153"/>
      <c r="U89" s="44"/>
    </row>
    <row r="90" spans="1:21" ht="14.25">
      <c r="A90" s="398">
        <f t="shared" si="40"/>
        <v>81</v>
      </c>
      <c r="B90" s="66" t="s">
        <v>187</v>
      </c>
      <c r="C90" s="323">
        <v>144</v>
      </c>
      <c r="D90" s="72"/>
      <c r="E90" s="72">
        <f t="shared" si="41"/>
        <v>0</v>
      </c>
      <c r="F90" s="73">
        <v>3.07</v>
      </c>
      <c r="G90" s="322">
        <f t="shared" si="42"/>
        <v>442.08</v>
      </c>
      <c r="H90" s="371">
        <f t="shared" si="43"/>
        <v>144</v>
      </c>
      <c r="I90" s="72"/>
      <c r="J90" s="72"/>
      <c r="K90" s="73">
        <v>3.07</v>
      </c>
      <c r="L90" s="74">
        <f>$H90*K90</f>
        <v>442.08</v>
      </c>
      <c r="M90" s="163">
        <f t="shared" si="44"/>
        <v>3.07</v>
      </c>
      <c r="N90" s="161">
        <f>H90*M90</f>
        <v>442.08</v>
      </c>
      <c r="Q90" s="29"/>
      <c r="R90" s="214"/>
      <c r="S90" s="44"/>
      <c r="T90" s="154"/>
      <c r="U90" s="44"/>
    </row>
    <row r="91" spans="1:21" ht="15">
      <c r="A91" s="398">
        <f t="shared" si="40"/>
        <v>82</v>
      </c>
      <c r="B91" s="67" t="s">
        <v>188</v>
      </c>
      <c r="C91" s="325"/>
      <c r="D91" s="72"/>
      <c r="E91" s="325"/>
      <c r="F91" s="135"/>
      <c r="G91" s="324"/>
      <c r="H91" s="72"/>
      <c r="I91" s="72"/>
      <c r="J91" s="72"/>
      <c r="K91" s="135"/>
      <c r="L91" s="74"/>
      <c r="M91" s="155"/>
      <c r="N91" s="155"/>
      <c r="Q91" s="29"/>
      <c r="R91" s="214"/>
      <c r="S91" s="44"/>
      <c r="T91" s="153"/>
      <c r="U91" s="44"/>
    </row>
    <row r="92" spans="1:21" ht="15">
      <c r="A92" s="398">
        <f t="shared" si="40"/>
        <v>83</v>
      </c>
      <c r="B92" s="65" t="s">
        <v>428</v>
      </c>
      <c r="C92" s="325"/>
      <c r="D92" s="72"/>
      <c r="E92" s="325"/>
      <c r="F92" s="135"/>
      <c r="G92" s="324"/>
      <c r="H92" s="72"/>
      <c r="I92" s="72"/>
      <c r="J92" s="72"/>
      <c r="K92" s="135"/>
      <c r="L92" s="74"/>
      <c r="M92" s="155"/>
      <c r="N92" s="155"/>
      <c r="Q92" s="29"/>
      <c r="R92" s="214"/>
      <c r="S92" s="44"/>
      <c r="T92" s="153"/>
      <c r="U92" s="44"/>
    </row>
    <row r="93" spans="1:21" ht="14.25">
      <c r="A93" s="398">
        <f t="shared" si="40"/>
        <v>84</v>
      </c>
      <c r="B93" s="66" t="s">
        <v>189</v>
      </c>
      <c r="C93" s="323">
        <v>2651</v>
      </c>
      <c r="D93" s="72">
        <v>30</v>
      </c>
      <c r="E93" s="72">
        <f>C93*D93</f>
        <v>79530</v>
      </c>
      <c r="F93" s="73">
        <v>14.89</v>
      </c>
      <c r="G93" s="322">
        <f>C93*F93</f>
        <v>39473.39</v>
      </c>
      <c r="H93" s="371">
        <f>C93</f>
        <v>2651</v>
      </c>
      <c r="I93" s="72">
        <v>30</v>
      </c>
      <c r="J93" s="72">
        <f t="shared" ref="J93:J100" si="45">H93*I93</f>
        <v>79530</v>
      </c>
      <c r="K93" s="73">
        <v>14.89</v>
      </c>
      <c r="L93" s="74">
        <f>$H93*K93</f>
        <v>39473.39</v>
      </c>
      <c r="M93" s="163">
        <f>K93</f>
        <v>14.89</v>
      </c>
      <c r="N93" s="161">
        <f>H93*M93</f>
        <v>39473.39</v>
      </c>
      <c r="Q93" s="29"/>
      <c r="R93" s="214"/>
      <c r="S93" s="44"/>
      <c r="T93" s="154"/>
      <c r="U93" s="44"/>
    </row>
    <row r="94" spans="1:21" ht="14.25">
      <c r="A94" s="398">
        <f t="shared" si="40"/>
        <v>85</v>
      </c>
      <c r="B94" s="66" t="s">
        <v>190</v>
      </c>
      <c r="C94" s="323">
        <v>1731</v>
      </c>
      <c r="D94" s="72">
        <v>30</v>
      </c>
      <c r="E94" s="72">
        <f>C94*D94</f>
        <v>51930</v>
      </c>
      <c r="F94" s="73">
        <v>14.89</v>
      </c>
      <c r="G94" s="322">
        <f>C94*F94</f>
        <v>25774.59</v>
      </c>
      <c r="H94" s="371">
        <f>C94</f>
        <v>1731</v>
      </c>
      <c r="I94" s="72">
        <v>30</v>
      </c>
      <c r="J94" s="72">
        <f t="shared" si="45"/>
        <v>51930</v>
      </c>
      <c r="K94" s="73">
        <v>14.89</v>
      </c>
      <c r="L94" s="74">
        <f>$H94*K94</f>
        <v>25774.59</v>
      </c>
      <c r="M94" s="163">
        <f>K94</f>
        <v>14.89</v>
      </c>
      <c r="N94" s="161">
        <f>H94*M94</f>
        <v>25774.59</v>
      </c>
      <c r="Q94" s="29"/>
      <c r="R94" s="214"/>
      <c r="S94" s="34"/>
      <c r="T94" s="154"/>
      <c r="U94" s="44"/>
    </row>
    <row r="95" spans="1:21" ht="14.25">
      <c r="A95" s="398">
        <f t="shared" si="40"/>
        <v>86</v>
      </c>
      <c r="B95" s="66" t="s">
        <v>191</v>
      </c>
      <c r="C95" s="323">
        <v>109</v>
      </c>
      <c r="D95" s="72">
        <v>60</v>
      </c>
      <c r="E95" s="72">
        <f>C95*D95</f>
        <v>6540</v>
      </c>
      <c r="F95" s="73">
        <v>24.49</v>
      </c>
      <c r="G95" s="322">
        <f>C95*F95</f>
        <v>2669.41</v>
      </c>
      <c r="H95" s="371">
        <f>C95</f>
        <v>109</v>
      </c>
      <c r="I95" s="72">
        <v>60</v>
      </c>
      <c r="J95" s="72">
        <f t="shared" si="45"/>
        <v>6540</v>
      </c>
      <c r="K95" s="73">
        <v>24.49</v>
      </c>
      <c r="L95" s="74">
        <f>$H95*K95</f>
        <v>2669.41</v>
      </c>
      <c r="M95" s="163">
        <f>K95</f>
        <v>24.49</v>
      </c>
      <c r="N95" s="161">
        <f>H95*M95</f>
        <v>2669.41</v>
      </c>
      <c r="Q95" s="29"/>
      <c r="R95" s="214"/>
      <c r="T95" s="154"/>
      <c r="U95" s="44"/>
    </row>
    <row r="96" spans="1:21" ht="15">
      <c r="A96" s="398">
        <f t="shared" si="40"/>
        <v>87</v>
      </c>
      <c r="B96" s="67" t="s">
        <v>430</v>
      </c>
      <c r="C96" s="323"/>
      <c r="D96" s="72"/>
      <c r="E96" s="323"/>
      <c r="F96" s="73"/>
      <c r="G96" s="322"/>
      <c r="H96" s="72"/>
      <c r="I96" s="72"/>
      <c r="J96" s="72"/>
      <c r="K96" s="73"/>
      <c r="L96" s="74"/>
      <c r="M96" s="163"/>
      <c r="N96" s="161"/>
      <c r="Q96" s="29"/>
      <c r="R96" s="214"/>
      <c r="T96" s="154"/>
      <c r="U96" s="44"/>
    </row>
    <row r="97" spans="1:28" ht="15">
      <c r="A97" s="398">
        <f t="shared" si="40"/>
        <v>88</v>
      </c>
      <c r="B97" s="65" t="s">
        <v>426</v>
      </c>
      <c r="C97" s="323"/>
      <c r="D97" s="72"/>
      <c r="E97" s="323"/>
      <c r="F97" s="322"/>
      <c r="G97" s="322"/>
      <c r="H97" s="72"/>
      <c r="I97" s="72"/>
      <c r="J97" s="72"/>
      <c r="K97" s="73"/>
      <c r="L97" s="74"/>
      <c r="M97" s="163"/>
      <c r="N97" s="161"/>
      <c r="Q97" s="29"/>
      <c r="R97" s="214"/>
      <c r="T97" s="154"/>
      <c r="U97" s="44"/>
    </row>
    <row r="98" spans="1:28" ht="14.25">
      <c r="A98" s="398">
        <f t="shared" si="40"/>
        <v>89</v>
      </c>
      <c r="B98" s="66" t="s">
        <v>339</v>
      </c>
      <c r="C98" s="323">
        <v>768</v>
      </c>
      <c r="D98" s="72">
        <v>43</v>
      </c>
      <c r="E98" s="72">
        <f>C98*D98</f>
        <v>33024</v>
      </c>
      <c r="F98" s="73">
        <v>26.75</v>
      </c>
      <c r="G98" s="322">
        <f>C98*F98</f>
        <v>20544</v>
      </c>
      <c r="H98" s="371">
        <f>C98</f>
        <v>768</v>
      </c>
      <c r="I98" s="72">
        <v>43</v>
      </c>
      <c r="J98" s="72">
        <f t="shared" si="45"/>
        <v>33024</v>
      </c>
      <c r="K98" s="73">
        <v>26.75</v>
      </c>
      <c r="L98" s="74">
        <f>$H98*K98</f>
        <v>20544</v>
      </c>
      <c r="M98" s="163">
        <f>K98</f>
        <v>26.75</v>
      </c>
      <c r="N98" s="161">
        <f>H98*M98</f>
        <v>20544</v>
      </c>
      <c r="O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5">
      <c r="A99" s="398">
        <f t="shared" si="40"/>
        <v>90</v>
      </c>
      <c r="B99" s="65" t="s">
        <v>427</v>
      </c>
      <c r="C99" s="323"/>
      <c r="D99" s="72"/>
      <c r="E99" s="323"/>
      <c r="F99" s="73"/>
      <c r="G99" s="322"/>
      <c r="H99" s="72"/>
      <c r="I99" s="72"/>
      <c r="J99" s="72"/>
      <c r="K99" s="73"/>
      <c r="L99" s="74"/>
      <c r="M99" s="163"/>
      <c r="N99" s="161"/>
      <c r="O99" s="46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</row>
    <row r="100" spans="1:28" ht="14.25">
      <c r="A100" s="398">
        <f t="shared" si="40"/>
        <v>91</v>
      </c>
      <c r="B100" s="66" t="s">
        <v>336</v>
      </c>
      <c r="C100" s="323">
        <v>5937</v>
      </c>
      <c r="D100" s="72">
        <v>14</v>
      </c>
      <c r="E100" s="72">
        <f>C100*D100</f>
        <v>83118</v>
      </c>
      <c r="F100" s="73">
        <v>23.13</v>
      </c>
      <c r="G100" s="322">
        <f>C100*F100</f>
        <v>137322.81</v>
      </c>
      <c r="H100" s="371">
        <f>C100</f>
        <v>5937</v>
      </c>
      <c r="I100" s="72">
        <v>14</v>
      </c>
      <c r="J100" s="72">
        <f t="shared" si="45"/>
        <v>83118</v>
      </c>
      <c r="K100" s="73">
        <v>23.13</v>
      </c>
      <c r="L100" s="74">
        <f>$H100*K100</f>
        <v>137322.81</v>
      </c>
      <c r="M100" s="163">
        <f>K100</f>
        <v>23.13</v>
      </c>
      <c r="N100" s="161">
        <f>H100*M100</f>
        <v>137322.81</v>
      </c>
      <c r="Q100" s="29"/>
      <c r="R100" s="214"/>
      <c r="S100" s="46"/>
      <c r="T100" s="154"/>
      <c r="U100" s="44"/>
    </row>
    <row r="101" spans="1:28">
      <c r="A101" s="398">
        <f t="shared" si="40"/>
        <v>92</v>
      </c>
      <c r="B101" s="155" t="s">
        <v>466</v>
      </c>
      <c r="C101" s="216"/>
      <c r="D101" s="155"/>
      <c r="E101" s="164">
        <f>SUM(E14:E100)</f>
        <v>8253325</v>
      </c>
      <c r="F101" s="155"/>
      <c r="G101" s="164">
        <f>SUM(G14:G100)</f>
        <v>2177619.0000000005</v>
      </c>
      <c r="J101" s="164">
        <f>SUM(J14:J100)</f>
        <v>8253325</v>
      </c>
      <c r="K101" s="155"/>
      <c r="L101" s="164">
        <f>SUM(L14:L100)</f>
        <v>2177619.0000000005</v>
      </c>
      <c r="M101" s="155"/>
      <c r="N101" s="164">
        <f>SUM(N14:N100)</f>
        <v>2177619.0000000005</v>
      </c>
      <c r="O101" s="34">
        <f>SUM(Q101:AB101)</f>
        <v>2179467.4700000002</v>
      </c>
      <c r="P101" t="s">
        <v>433</v>
      </c>
      <c r="Q101" s="60">
        <v>181924.01</v>
      </c>
      <c r="R101" s="34">
        <v>181947.47</v>
      </c>
      <c r="S101" s="60">
        <v>181967.07</v>
      </c>
      <c r="T101" s="60">
        <v>181606.67</v>
      </c>
      <c r="U101" s="60">
        <v>181479.87</v>
      </c>
      <c r="V101" s="60">
        <v>181625.07</v>
      </c>
      <c r="W101" s="60">
        <v>181688.05</v>
      </c>
      <c r="X101" s="60">
        <v>181463.4</v>
      </c>
      <c r="Y101" s="60">
        <v>181753.85</v>
      </c>
      <c r="Z101" s="60">
        <v>181463.05</v>
      </c>
      <c r="AA101" s="60">
        <v>181461.32</v>
      </c>
      <c r="AB101" s="60">
        <v>181087.64</v>
      </c>
    </row>
    <row r="102" spans="1:28">
      <c r="A102" s="398"/>
      <c r="B102" s="155" t="s">
        <v>467</v>
      </c>
      <c r="C102" s="216"/>
      <c r="D102" s="155"/>
      <c r="E102" s="164"/>
      <c r="F102" s="357">
        <f>G102/E101</f>
        <v>2.3421491338339401E-2</v>
      </c>
      <c r="G102" s="164">
        <f>O102+O104</f>
        <v>193305.18000000002</v>
      </c>
      <c r="K102" s="373"/>
      <c r="L102" s="155">
        <f>J101*K102</f>
        <v>0</v>
      </c>
      <c r="M102" s="155"/>
      <c r="N102" s="155">
        <f>L102</f>
        <v>0</v>
      </c>
      <c r="O102" s="34">
        <f>SUM(Q102:AB102)</f>
        <v>193429.50000000003</v>
      </c>
      <c r="P102" t="s">
        <v>246</v>
      </c>
      <c r="Q102" s="60">
        <f>10184.67+2459.06-2764.53+3541.73</f>
        <v>13420.929999999998</v>
      </c>
      <c r="R102">
        <f>21252.98+2970.2-5822.58+5059.57</f>
        <v>23460.17</v>
      </c>
      <c r="S102" s="60">
        <f>26036.6+4267.18-7182.17+4850.32</f>
        <v>27971.93</v>
      </c>
      <c r="T102" s="60">
        <f>26424.26+3022.35-5246.62+4498.82</f>
        <v>28698.809999999998</v>
      </c>
      <c r="U102" s="60">
        <f>15452.83+2996.18-3549.72+1594.88</f>
        <v>16494.169999999998</v>
      </c>
      <c r="V102" s="60">
        <f>11372.65+2361.75-2278.99+1305.13</f>
        <v>12760.54</v>
      </c>
      <c r="W102" s="60">
        <f>2509.65+3180.25-3200.29+1441.85</f>
        <v>3931.4599999999996</v>
      </c>
      <c r="X102" s="60">
        <f>14916.2+3725.84-5996.43+2056.51</f>
        <v>14702.12</v>
      </c>
      <c r="Y102" s="60">
        <f>12828.46+5578.97-6727.72+2116.17</f>
        <v>13795.88</v>
      </c>
      <c r="Z102" s="60">
        <f>16293.16+5583.36-6338.64+2383.41</f>
        <v>17921.29</v>
      </c>
      <c r="AA102" s="60">
        <f>7057.8+5214.43-3377.46+1315.61</f>
        <v>10210.380000000001</v>
      </c>
      <c r="AB102" s="60">
        <f>6687.95+4991.62-3304.18+1686.43</f>
        <v>10061.82</v>
      </c>
    </row>
    <row r="103" spans="1:28">
      <c r="A103" s="398"/>
      <c r="B103" s="155" t="s">
        <v>468</v>
      </c>
      <c r="C103" s="216"/>
      <c r="D103" s="155"/>
      <c r="E103" s="164">
        <f>E101+E102</f>
        <v>8253325</v>
      </c>
      <c r="F103" s="155"/>
      <c r="G103" s="164">
        <f>G101+G102</f>
        <v>2370924.1800000006</v>
      </c>
      <c r="K103" s="155"/>
      <c r="L103" s="164">
        <f>SUM(L101:L102)</f>
        <v>2177619.0000000005</v>
      </c>
      <c r="M103" s="155"/>
      <c r="N103" s="164">
        <f>SUM(N101:N102)</f>
        <v>2177619.0000000005</v>
      </c>
      <c r="O103" s="34">
        <f>SUM(Q103:AB103)</f>
        <v>-1848.4699999999998</v>
      </c>
      <c r="P103" t="s">
        <v>462</v>
      </c>
      <c r="Q103" s="60">
        <v>-300.85000000000002</v>
      </c>
      <c r="R103">
        <f>-620.4</f>
        <v>-620.4</v>
      </c>
      <c r="S103" s="60">
        <f>-147.04</f>
        <v>-147.04</v>
      </c>
      <c r="T103" s="60">
        <v>-90.64</v>
      </c>
      <c r="U103" s="60">
        <v>0</v>
      </c>
      <c r="V103" s="60">
        <v>-11.28</v>
      </c>
      <c r="W103" s="60">
        <v>0</v>
      </c>
      <c r="X103" s="60">
        <v>-313.12</v>
      </c>
      <c r="Y103" s="60">
        <v>-17.12</v>
      </c>
      <c r="Z103" s="60">
        <v>-53.68</v>
      </c>
      <c r="AA103" s="60">
        <v>-11.28</v>
      </c>
      <c r="AB103" s="60">
        <v>-283.06</v>
      </c>
    </row>
    <row r="104" spans="1:28">
      <c r="A104" s="398"/>
      <c r="B104" s="155" t="s">
        <v>469</v>
      </c>
      <c r="C104" s="216"/>
      <c r="D104" s="155"/>
      <c r="E104" s="26"/>
      <c r="F104" s="59"/>
      <c r="G104" s="34"/>
      <c r="J104" s="26">
        <f>E104</f>
        <v>0</v>
      </c>
      <c r="K104" s="155"/>
      <c r="L104" s="248">
        <f>G104</f>
        <v>0</v>
      </c>
      <c r="M104" s="155"/>
      <c r="N104" s="248">
        <f>L104</f>
        <v>0</v>
      </c>
      <c r="O104" s="34">
        <f>SUM(Q104:AB104)</f>
        <v>-124.32000000000001</v>
      </c>
      <c r="P104" t="s">
        <v>463</v>
      </c>
      <c r="Q104" s="60">
        <f>-16.22-7.86+7.67-5.2</f>
        <v>-21.609999999999996</v>
      </c>
      <c r="R104">
        <f>-18.69-23.81+19.08-9.45</f>
        <v>-32.870000000000005</v>
      </c>
      <c r="S104" s="60">
        <f>-22.42-4.36+6.52-3.92</f>
        <v>-24.18</v>
      </c>
      <c r="T104" s="60">
        <f>-15.26-1.9+3.14-2.57</f>
        <v>-16.59</v>
      </c>
      <c r="U104" s="60">
        <v>0</v>
      </c>
      <c r="V104" s="60">
        <f>-1.15-0.24+0.23-0.13</f>
        <v>-1.29</v>
      </c>
      <c r="W104" s="60">
        <v>0</v>
      </c>
      <c r="X104" s="60">
        <f>-5.03-11.86+9.43-4.33</f>
        <v>-11.790000000000001</v>
      </c>
      <c r="Y104" s="60">
        <f>-0.78-0.34+0.4-0.12</f>
        <v>-0.84000000000000008</v>
      </c>
      <c r="Z104" s="60">
        <f>-4.22-2.27+1.84-0.74</f>
        <v>-5.3900000000000006</v>
      </c>
      <c r="AA104" s="60">
        <f>-0.71-0.52+0.34-0.13</f>
        <v>-1.02</v>
      </c>
      <c r="AB104" s="60">
        <f>-2.3-9.86+7.02-3.6</f>
        <v>-8.74</v>
      </c>
    </row>
    <row r="105" spans="1:28">
      <c r="A105" s="398"/>
      <c r="C105" s="216">
        <f>SUM(C14:C100)</f>
        <v>201970</v>
      </c>
      <c r="D105" s="155"/>
      <c r="E105" s="216"/>
      <c r="F105" s="155" t="e">
        <f>G105/E104</f>
        <v>#DIV/0!</v>
      </c>
      <c r="G105" s="164"/>
      <c r="K105" s="373">
        <f>K102</f>
        <v>0</v>
      </c>
      <c r="L105" s="164">
        <f>J104*K105</f>
        <v>0</v>
      </c>
      <c r="M105" s="155"/>
      <c r="N105" s="164">
        <f>L105</f>
        <v>0</v>
      </c>
      <c r="O105" s="34">
        <f>SUM(O101:O104)</f>
        <v>2370924.1800000002</v>
      </c>
      <c r="Q105" s="60"/>
      <c r="R105" s="34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</row>
    <row r="106" spans="1:28">
      <c r="A106" s="398"/>
      <c r="B106" s="155"/>
      <c r="C106" s="318"/>
      <c r="D106" s="155"/>
      <c r="E106" s="164">
        <f>E103+E104+E105</f>
        <v>8253325</v>
      </c>
      <c r="F106" s="155"/>
      <c r="G106" s="164">
        <f>G103+G104+G105</f>
        <v>2370924.1800000006</v>
      </c>
      <c r="H106" s="155"/>
      <c r="I106" s="155"/>
      <c r="J106" s="164">
        <f>J101+J104</f>
        <v>8253325</v>
      </c>
      <c r="K106" s="155"/>
      <c r="L106" s="164">
        <f>L103+L104+L105</f>
        <v>2177619.0000000005</v>
      </c>
      <c r="M106" s="155"/>
      <c r="N106" s="164">
        <f>SUM(N103:N105)</f>
        <v>2177619.0000000005</v>
      </c>
      <c r="O106" s="46">
        <f>SUM(Q106:AB106)</f>
        <v>8263973</v>
      </c>
      <c r="P106" t="s">
        <v>464</v>
      </c>
      <c r="Q106" s="46">
        <v>675751</v>
      </c>
      <c r="R106" s="46">
        <v>678602</v>
      </c>
      <c r="S106" s="46">
        <v>680493</v>
      </c>
      <c r="T106" s="46">
        <v>683538</v>
      </c>
      <c r="U106" s="46">
        <v>685372</v>
      </c>
      <c r="V106" s="46">
        <v>689057</v>
      </c>
      <c r="W106" s="46">
        <v>691137</v>
      </c>
      <c r="X106" s="46">
        <v>691986</v>
      </c>
      <c r="Y106" s="46">
        <v>694927</v>
      </c>
      <c r="Z106" s="46">
        <v>695488</v>
      </c>
      <c r="AA106" s="46">
        <v>697272</v>
      </c>
      <c r="AB106" s="46">
        <v>700350</v>
      </c>
    </row>
    <row r="107" spans="1:28">
      <c r="A107" s="398"/>
      <c r="B107" s="155"/>
      <c r="C107" s="318"/>
      <c r="D107" s="155"/>
      <c r="E107" s="216"/>
      <c r="F107" s="155"/>
      <c r="G107" s="164"/>
      <c r="H107" s="155"/>
      <c r="I107" s="155"/>
      <c r="J107" s="155"/>
      <c r="K107" s="155"/>
      <c r="L107" s="155"/>
      <c r="M107" s="155"/>
      <c r="N107" s="155"/>
      <c r="O107" s="46">
        <f>SUM(Q107:AB107)</f>
        <v>-10648</v>
      </c>
      <c r="P107" t="s">
        <v>465</v>
      </c>
      <c r="Q107" s="46">
        <v>-1454</v>
      </c>
      <c r="R107" s="46">
        <v>-3850</v>
      </c>
      <c r="S107" s="46">
        <v>-784</v>
      </c>
      <c r="T107" s="46">
        <v>-434</v>
      </c>
      <c r="U107" s="46">
        <v>0</v>
      </c>
      <c r="V107" s="46">
        <v>-70</v>
      </c>
      <c r="W107" s="46">
        <v>0</v>
      </c>
      <c r="X107" s="46">
        <v>-1911</v>
      </c>
      <c r="Y107" s="46">
        <v>-42</v>
      </c>
      <c r="Z107" s="46">
        <v>-301</v>
      </c>
      <c r="AA107" s="46">
        <v>-70</v>
      </c>
      <c r="AB107" s="46">
        <v>-1732</v>
      </c>
    </row>
    <row r="108" spans="1:28">
      <c r="A108" s="398"/>
      <c r="B108" s="155"/>
      <c r="C108" s="318"/>
      <c r="D108" s="155"/>
      <c r="E108" s="216"/>
      <c r="F108" s="155"/>
      <c r="G108" s="164"/>
      <c r="H108" s="155"/>
      <c r="I108" s="155"/>
      <c r="J108" s="155"/>
      <c r="K108" s="155"/>
      <c r="L108" s="155"/>
      <c r="M108" s="155"/>
      <c r="N108" s="155"/>
      <c r="O108" s="26">
        <f>O106+O107</f>
        <v>8253325</v>
      </c>
    </row>
    <row r="109" spans="1:28" ht="15" thickBot="1">
      <c r="A109" s="398">
        <f>A101+1</f>
        <v>93</v>
      </c>
      <c r="B109" s="76"/>
      <c r="C109" s="76"/>
      <c r="D109" s="76"/>
      <c r="E109" s="76"/>
      <c r="F109" s="76"/>
      <c r="G109" s="76"/>
      <c r="H109" s="77"/>
      <c r="I109" s="77"/>
      <c r="J109" s="77"/>
      <c r="K109" s="76"/>
      <c r="L109" s="76"/>
      <c r="M109" s="76"/>
      <c r="N109" s="76"/>
      <c r="O109" s="35">
        <f>O108-E106</f>
        <v>0</v>
      </c>
      <c r="Q109" s="331">
        <v>44958</v>
      </c>
      <c r="R109" s="331">
        <v>44927</v>
      </c>
      <c r="S109" s="331">
        <v>44896</v>
      </c>
      <c r="T109" s="331">
        <v>44866</v>
      </c>
      <c r="U109" s="331">
        <v>44835</v>
      </c>
      <c r="V109" s="331">
        <v>44805</v>
      </c>
      <c r="W109" s="331">
        <v>44774</v>
      </c>
      <c r="X109" s="331">
        <v>44743</v>
      </c>
      <c r="Y109" s="331">
        <v>44713</v>
      </c>
      <c r="Z109" s="331">
        <v>44682</v>
      </c>
      <c r="AA109" s="331">
        <v>44652</v>
      </c>
      <c r="AB109" s="331">
        <v>44621</v>
      </c>
    </row>
    <row r="110" spans="1:28" ht="15">
      <c r="A110" s="398">
        <f t="shared" si="40"/>
        <v>94</v>
      </c>
      <c r="B110" s="65"/>
      <c r="C110" s="319"/>
      <c r="D110" s="65"/>
      <c r="E110" s="321"/>
      <c r="F110" s="65"/>
      <c r="G110" s="320" t="s">
        <v>608</v>
      </c>
      <c r="H110" s="71"/>
      <c r="I110" s="71"/>
      <c r="J110" s="78"/>
      <c r="K110" s="330"/>
      <c r="L110" s="66"/>
      <c r="M110" s="79"/>
      <c r="N110" s="79"/>
      <c r="S110" s="79"/>
      <c r="U110" s="79"/>
    </row>
    <row r="111" spans="1:28">
      <c r="A111" s="398">
        <f t="shared" si="40"/>
        <v>95</v>
      </c>
      <c r="B111" s="155"/>
      <c r="C111" s="155"/>
      <c r="D111" s="155"/>
      <c r="E111" s="46">
        <f>SUM(P121:AB121)</f>
        <v>8253325</v>
      </c>
      <c r="F111" s="155" t="s">
        <v>433</v>
      </c>
      <c r="G111" s="248">
        <f t="shared" ref="G111:G117" si="46">SUM(P111:AB111)</f>
        <v>2177619</v>
      </c>
      <c r="K111" s="35"/>
      <c r="Q111">
        <v>181623.16</v>
      </c>
      <c r="R111">
        <v>181327.07</v>
      </c>
      <c r="S111">
        <v>181820.03</v>
      </c>
      <c r="T111">
        <v>181516.03</v>
      </c>
      <c r="U111">
        <v>181479.87</v>
      </c>
      <c r="V111">
        <v>181613.79</v>
      </c>
      <c r="W111">
        <v>181688.05</v>
      </c>
      <c r="X111">
        <v>181150.28</v>
      </c>
      <c r="Y111">
        <v>181736.73</v>
      </c>
      <c r="Z111">
        <v>181409.37</v>
      </c>
      <c r="AA111" s="60">
        <v>181450.04</v>
      </c>
      <c r="AB111">
        <v>180804.58</v>
      </c>
    </row>
    <row r="112" spans="1:28">
      <c r="A112" s="398">
        <f t="shared" si="40"/>
        <v>96</v>
      </c>
      <c r="B112" s="155"/>
      <c r="C112" s="155"/>
      <c r="D112" s="155"/>
      <c r="E112" s="155"/>
      <c r="F112" s="155" t="s">
        <v>434</v>
      </c>
      <c r="G112" s="155">
        <f t="shared" si="46"/>
        <v>170930.43999999997</v>
      </c>
      <c r="Q112">
        <v>10168.450000000001</v>
      </c>
      <c r="R112">
        <v>21234.29</v>
      </c>
      <c r="S112">
        <v>26014.19</v>
      </c>
      <c r="T112">
        <v>26409</v>
      </c>
      <c r="U112">
        <v>15452.83</v>
      </c>
      <c r="V112">
        <v>11371.5</v>
      </c>
      <c r="W112">
        <v>2509.65</v>
      </c>
      <c r="X112">
        <v>14911.17</v>
      </c>
      <c r="Y112">
        <v>12827.68</v>
      </c>
      <c r="Z112">
        <v>16288.94</v>
      </c>
      <c r="AA112">
        <v>7057.09</v>
      </c>
      <c r="AB112">
        <v>6685.65</v>
      </c>
    </row>
    <row r="113" spans="1:33">
      <c r="A113" s="398">
        <f t="shared" si="40"/>
        <v>97</v>
      </c>
      <c r="B113" s="155"/>
      <c r="C113" s="155"/>
      <c r="D113" s="155"/>
      <c r="E113" s="155"/>
      <c r="F113" s="155" t="s">
        <v>435</v>
      </c>
      <c r="G113" s="155">
        <f t="shared" si="46"/>
        <v>46288.170000000006</v>
      </c>
      <c r="Q113">
        <v>2451.1999999999998</v>
      </c>
      <c r="R113">
        <v>2946.39</v>
      </c>
      <c r="S113">
        <v>4262.82</v>
      </c>
      <c r="T113">
        <v>3020.45</v>
      </c>
      <c r="U113">
        <v>2996.18</v>
      </c>
      <c r="V113">
        <v>2361.5100000000002</v>
      </c>
      <c r="W113">
        <v>3180.25</v>
      </c>
      <c r="X113">
        <v>3713.98</v>
      </c>
      <c r="Y113">
        <v>5578.63</v>
      </c>
      <c r="Z113">
        <v>5581.09</v>
      </c>
      <c r="AA113">
        <v>5213.91</v>
      </c>
      <c r="AB113">
        <v>4981.76</v>
      </c>
    </row>
    <row r="114" spans="1:33">
      <c r="A114" s="398">
        <f t="shared" si="40"/>
        <v>98</v>
      </c>
      <c r="B114" s="155"/>
      <c r="C114" s="155"/>
      <c r="D114" s="155"/>
      <c r="E114" s="155"/>
      <c r="F114" s="155" t="s">
        <v>436</v>
      </c>
      <c r="G114" s="155">
        <f t="shared" si="46"/>
        <v>-55733.66</v>
      </c>
      <c r="Q114">
        <v>-2756.86</v>
      </c>
      <c r="R114">
        <v>-5803.5</v>
      </c>
      <c r="S114">
        <v>-7175.65</v>
      </c>
      <c r="T114">
        <v>-5243.48</v>
      </c>
      <c r="U114">
        <v>-3549.72</v>
      </c>
      <c r="V114">
        <v>-2278.7600000000002</v>
      </c>
      <c r="W114">
        <v>-3200.29</v>
      </c>
      <c r="X114">
        <v>-5987</v>
      </c>
      <c r="Y114">
        <v>-6727.32</v>
      </c>
      <c r="Z114">
        <v>-6336.8</v>
      </c>
      <c r="AA114">
        <v>-3377.12</v>
      </c>
      <c r="AB114">
        <v>-3297.16</v>
      </c>
    </row>
    <row r="115" spans="1:33">
      <c r="A115" s="398">
        <f t="shared" si="40"/>
        <v>99</v>
      </c>
      <c r="B115" s="155"/>
      <c r="C115" s="155"/>
      <c r="D115" s="155"/>
      <c r="E115" s="155"/>
      <c r="F115" s="155" t="s">
        <v>437</v>
      </c>
      <c r="G115" s="155">
        <f t="shared" si="46"/>
        <v>31820.239999999998</v>
      </c>
      <c r="Q115">
        <v>3536.53</v>
      </c>
      <c r="R115">
        <v>5050.12</v>
      </c>
      <c r="S115">
        <v>4846.3999999999996</v>
      </c>
      <c r="T115">
        <v>4496.25</v>
      </c>
      <c r="U115">
        <v>1594.88</v>
      </c>
      <c r="V115">
        <v>1305</v>
      </c>
      <c r="W115">
        <v>1441.85</v>
      </c>
      <c r="X115">
        <v>2052.1799999999998</v>
      </c>
      <c r="Y115">
        <v>2116.0500000000002</v>
      </c>
      <c r="Z115">
        <v>2382.67</v>
      </c>
      <c r="AA115">
        <v>1315.48</v>
      </c>
      <c r="AB115">
        <v>1682.83</v>
      </c>
    </row>
    <row r="116" spans="1:33">
      <c r="A116" s="398">
        <f t="shared" si="40"/>
        <v>100</v>
      </c>
      <c r="B116" s="155"/>
      <c r="C116" s="155"/>
      <c r="D116" s="155"/>
      <c r="E116" s="155"/>
      <c r="F116" s="155" t="s">
        <v>438</v>
      </c>
      <c r="G116" s="155">
        <f t="shared" si="46"/>
        <v>0</v>
      </c>
    </row>
    <row r="117" spans="1:33">
      <c r="A117" s="156">
        <f t="shared" si="40"/>
        <v>101</v>
      </c>
      <c r="B117" s="155"/>
      <c r="C117" s="155"/>
      <c r="D117" s="155"/>
      <c r="E117" s="155"/>
      <c r="F117" s="155" t="s">
        <v>365</v>
      </c>
      <c r="G117" s="155">
        <f t="shared" si="46"/>
        <v>0</v>
      </c>
    </row>
    <row r="118" spans="1:33">
      <c r="A118" s="156"/>
      <c r="B118" s="155"/>
      <c r="C118" s="155"/>
      <c r="D118" s="155"/>
      <c r="E118" s="155"/>
      <c r="F118" s="155"/>
      <c r="G118" s="155">
        <f>SUM(G112:G117)</f>
        <v>193305.18999999997</v>
      </c>
    </row>
    <row r="119" spans="1:33">
      <c r="A119" s="156">
        <f>A117+1</f>
        <v>102</v>
      </c>
      <c r="B119" s="155"/>
      <c r="C119" s="155"/>
      <c r="D119" s="155"/>
      <c r="E119" s="155"/>
      <c r="F119" s="155"/>
      <c r="G119" s="155">
        <f>SUM(G111:G117)</f>
        <v>2370924.19</v>
      </c>
    </row>
    <row r="120" spans="1:33">
      <c r="A120" s="156">
        <f t="shared" si="40"/>
        <v>103</v>
      </c>
      <c r="B120" s="155"/>
      <c r="C120" s="155"/>
      <c r="D120" s="155"/>
      <c r="E120" s="155"/>
      <c r="F120" s="155"/>
    </row>
    <row r="121" spans="1:33">
      <c r="A121" s="156">
        <f t="shared" si="40"/>
        <v>104</v>
      </c>
      <c r="B121" s="155"/>
      <c r="C121" s="155"/>
      <c r="D121" s="155"/>
      <c r="E121" s="155"/>
      <c r="F121" s="155"/>
      <c r="G121" s="158"/>
      <c r="O121" s="29"/>
      <c r="Q121">
        <v>674297</v>
      </c>
      <c r="R121">
        <v>674752</v>
      </c>
      <c r="S121">
        <v>679709</v>
      </c>
      <c r="T121">
        <v>683104</v>
      </c>
      <c r="U121">
        <v>685372</v>
      </c>
      <c r="V121">
        <v>688987</v>
      </c>
      <c r="W121">
        <v>691137</v>
      </c>
      <c r="X121">
        <v>690075</v>
      </c>
      <c r="Y121">
        <v>694885</v>
      </c>
      <c r="Z121">
        <v>695187</v>
      </c>
      <c r="AA121">
        <v>697202</v>
      </c>
      <c r="AB121">
        <v>698618</v>
      </c>
    </row>
    <row r="122" spans="1:33">
      <c r="A122" s="156">
        <f t="shared" si="40"/>
        <v>105</v>
      </c>
      <c r="B122" s="155"/>
      <c r="C122" s="155"/>
      <c r="D122" s="155"/>
      <c r="E122" s="155"/>
      <c r="F122" s="155"/>
      <c r="G122" s="155"/>
      <c r="O122" s="29"/>
    </row>
    <row r="123" spans="1:33">
      <c r="A123" s="156">
        <f t="shared" si="40"/>
        <v>106</v>
      </c>
      <c r="B123" s="155"/>
      <c r="C123" s="155"/>
      <c r="D123" s="155"/>
      <c r="E123" s="155"/>
      <c r="F123" s="155"/>
      <c r="G123" s="30"/>
      <c r="O123" s="29"/>
    </row>
    <row r="124" spans="1:33">
      <c r="A124" s="156">
        <f t="shared" si="40"/>
        <v>107</v>
      </c>
      <c r="B124" s="155"/>
      <c r="C124" s="155"/>
      <c r="D124" s="155"/>
      <c r="F124" s="155"/>
      <c r="V124" s="35"/>
    </row>
    <row r="125" spans="1:33">
      <c r="P125" s="155" t="s">
        <v>434</v>
      </c>
      <c r="Q125" s="485">
        <f>Q112/SUM(Q$106:Q$107)</f>
        <v>1.5080075990253555E-2</v>
      </c>
      <c r="R125" s="485">
        <f t="shared" ref="R125:AB125" si="47">R112/SUM(R$106:R$107)</f>
        <v>3.1469769633880304E-2</v>
      </c>
      <c r="S125" s="485">
        <f t="shared" si="47"/>
        <v>3.8272540160568712E-2</v>
      </c>
      <c r="T125" s="485">
        <f t="shared" si="47"/>
        <v>3.8660291844287251E-2</v>
      </c>
      <c r="U125" s="485">
        <f t="shared" si="47"/>
        <v>2.2546631610278797E-2</v>
      </c>
      <c r="V125" s="485">
        <f t="shared" si="47"/>
        <v>1.650466554521348E-2</v>
      </c>
      <c r="W125" s="485">
        <f t="shared" si="47"/>
        <v>3.6311903428697927E-3</v>
      </c>
      <c r="X125" s="485">
        <f t="shared" si="47"/>
        <v>2.1608042604064775E-2</v>
      </c>
      <c r="Y125" s="485">
        <f t="shared" si="47"/>
        <v>1.8460148082056742E-2</v>
      </c>
      <c r="Z125" s="485">
        <f t="shared" si="47"/>
        <v>2.3431019279704597E-2</v>
      </c>
      <c r="AA125" s="485">
        <f t="shared" si="47"/>
        <v>1.0122016287962455E-2</v>
      </c>
      <c r="AB125" s="485">
        <f t="shared" si="47"/>
        <v>9.5698221345570829E-3</v>
      </c>
    </row>
    <row r="126" spans="1:33">
      <c r="P126" s="155" t="s">
        <v>435</v>
      </c>
      <c r="Q126" s="485">
        <f>Q113/SUM(Q$106:Q$107)</f>
        <v>3.6351933940088712E-3</v>
      </c>
      <c r="R126" s="485">
        <f t="shared" ref="R126:AB126" si="48">R113/SUM(R$106:R$107)</f>
        <v>4.3666265531632359E-3</v>
      </c>
      <c r="S126" s="485">
        <f t="shared" si="48"/>
        <v>6.2715367900086647E-3</v>
      </c>
      <c r="T126" s="485">
        <f t="shared" si="48"/>
        <v>4.4216546821567431E-3</v>
      </c>
      <c r="U126" s="485">
        <f t="shared" si="48"/>
        <v>4.3716113293218867E-3</v>
      </c>
      <c r="V126" s="485">
        <f t="shared" si="48"/>
        <v>3.427510243299221E-3</v>
      </c>
      <c r="W126" s="485">
        <f t="shared" si="48"/>
        <v>4.6014755395818773E-3</v>
      </c>
      <c r="X126" s="485">
        <f t="shared" si="48"/>
        <v>5.3819947107198495E-3</v>
      </c>
      <c r="Y126" s="485">
        <f t="shared" si="48"/>
        <v>8.0281341516941652E-3</v>
      </c>
      <c r="Z126" s="485">
        <f t="shared" si="48"/>
        <v>8.0281852221057073E-3</v>
      </c>
      <c r="AA126" s="485">
        <f t="shared" si="48"/>
        <v>7.4783348297910793E-3</v>
      </c>
      <c r="AB126" s="485">
        <f t="shared" si="48"/>
        <v>7.1308783913383283E-3</v>
      </c>
      <c r="AG126">
        <v>-66</v>
      </c>
    </row>
    <row r="127" spans="1:33">
      <c r="AG127">
        <v>46</v>
      </c>
    </row>
    <row r="128" spans="1:33">
      <c r="P128" s="155" t="s">
        <v>436</v>
      </c>
      <c r="Q128" s="485">
        <f>Q114/SUM(Q$106:Q$107)</f>
        <v>-4.0884951290010192E-3</v>
      </c>
      <c r="R128" s="485">
        <f t="shared" ref="R128:AB128" si="49">R114/SUM(R$106:R$107)</f>
        <v>-8.6009378260457174E-3</v>
      </c>
      <c r="S128" s="485">
        <f t="shared" si="49"/>
        <v>-1.0556944221718411E-2</v>
      </c>
      <c r="T128" s="485">
        <f t="shared" si="49"/>
        <v>-7.6759614934182787E-3</v>
      </c>
      <c r="U128" s="485">
        <f t="shared" si="49"/>
        <v>-5.1792603141067916E-3</v>
      </c>
      <c r="V128" s="485">
        <f t="shared" si="49"/>
        <v>-3.3074063806719143E-3</v>
      </c>
      <c r="W128" s="485">
        <f t="shared" si="49"/>
        <v>-4.6304712379745261E-3</v>
      </c>
      <c r="X128" s="485">
        <f t="shared" si="49"/>
        <v>-8.6758685650110499E-3</v>
      </c>
      <c r="Y128" s="485">
        <f t="shared" si="49"/>
        <v>-9.6811990473243768E-3</v>
      </c>
      <c r="Z128" s="485">
        <f t="shared" si="49"/>
        <v>-9.1152452505584829E-3</v>
      </c>
      <c r="AA128" s="485">
        <f t="shared" si="49"/>
        <v>-4.8438185776862371E-3</v>
      </c>
      <c r="AB128" s="485">
        <f t="shared" si="49"/>
        <v>-4.7195463042750112E-3</v>
      </c>
    </row>
    <row r="130" spans="16:28">
      <c r="P130" s="155" t="s">
        <v>437</v>
      </c>
      <c r="Q130" s="485">
        <f>Q115/SUM(Q$106:Q$107)</f>
        <v>5.2447660303990675E-3</v>
      </c>
      <c r="R130" s="485">
        <f t="shared" ref="R130:AB130" si="50">R115/SUM(R$106:R$107)</f>
        <v>7.484409086597742E-3</v>
      </c>
      <c r="S130" s="485">
        <f t="shared" si="50"/>
        <v>7.1301100912302172E-3</v>
      </c>
      <c r="T130" s="485">
        <f t="shared" si="50"/>
        <v>6.5820870614137815E-3</v>
      </c>
      <c r="U130" s="485">
        <f t="shared" si="50"/>
        <v>2.327028241597264E-3</v>
      </c>
      <c r="V130" s="485">
        <f t="shared" si="50"/>
        <v>1.8940850843339569E-3</v>
      </c>
      <c r="W130" s="485">
        <f t="shared" si="50"/>
        <v>2.0861999863992231E-3</v>
      </c>
      <c r="X130" s="485">
        <f t="shared" si="50"/>
        <v>2.9738506684056079E-3</v>
      </c>
      <c r="Y130" s="485">
        <f t="shared" si="50"/>
        <v>3.0451801377206302E-3</v>
      </c>
      <c r="Z130" s="485">
        <f t="shared" si="50"/>
        <v>3.4273799711444547E-3</v>
      </c>
      <c r="AA130" s="485">
        <f t="shared" si="50"/>
        <v>1.8867989477941831E-3</v>
      </c>
      <c r="AB130" s="485">
        <f t="shared" si="50"/>
        <v>2.4087985136369231E-3</v>
      </c>
    </row>
    <row r="134" spans="16:28">
      <c r="W134" s="34"/>
    </row>
    <row r="135" spans="16:28">
      <c r="W135" s="34"/>
    </row>
    <row r="136" spans="16:28">
      <c r="W136" s="34"/>
    </row>
    <row r="137" spans="16:28">
      <c r="W137" s="34"/>
    </row>
    <row r="139" spans="16:28">
      <c r="W139" s="46"/>
    </row>
    <row r="268" spans="16:16">
      <c r="P268" s="349">
        <v>44621</v>
      </c>
    </row>
    <row r="270" spans="16:16">
      <c r="P270">
        <v>-1</v>
      </c>
    </row>
    <row r="273" spans="16:17">
      <c r="P273">
        <v>-23</v>
      </c>
    </row>
    <row r="274" spans="16:17">
      <c r="P274">
        <v>-1</v>
      </c>
    </row>
    <row r="275" spans="16:17">
      <c r="P275">
        <f>P270*B270+P273*B273+P274*B274</f>
        <v>0</v>
      </c>
      <c r="Q275">
        <f>SUM(E275:P275)</f>
        <v>0</v>
      </c>
    </row>
    <row r="277" spans="16:17">
      <c r="Q277" s="29"/>
    </row>
    <row r="278" spans="16:17">
      <c r="Q278" s="46"/>
    </row>
    <row r="279" spans="16:17">
      <c r="Q279" s="46"/>
    </row>
    <row r="280" spans="16:17">
      <c r="Q280" s="46"/>
    </row>
    <row r="281" spans="16:17">
      <c r="Q281" s="46"/>
    </row>
    <row r="282" spans="16:17">
      <c r="Q282" s="46"/>
    </row>
    <row r="283" spans="16:17">
      <c r="Q283" s="46"/>
    </row>
    <row r="284" spans="16:17">
      <c r="Q284" s="46"/>
    </row>
    <row r="285" spans="16:17">
      <c r="Q285" s="46"/>
    </row>
    <row r="287" spans="16:17">
      <c r="Q287" s="46"/>
    </row>
    <row r="289" spans="17:19">
      <c r="Q289" s="29"/>
    </row>
    <row r="290" spans="17:19">
      <c r="Q290" s="29"/>
    </row>
    <row r="291" spans="17:19">
      <c r="Q291" s="29"/>
    </row>
    <row r="292" spans="17:19">
      <c r="Q292" s="29"/>
    </row>
    <row r="293" spans="17:19">
      <c r="Q293" s="29"/>
    </row>
    <row r="294" spans="17:19">
      <c r="Q294" s="29"/>
    </row>
    <row r="295" spans="17:19">
      <c r="Q295" s="27"/>
    </row>
    <row r="300" spans="17:19">
      <c r="R300" s="29"/>
    </row>
    <row r="301" spans="17:19">
      <c r="R301" s="29"/>
    </row>
    <row r="302" spans="17:19">
      <c r="R302" s="29"/>
    </row>
    <row r="303" spans="17:19">
      <c r="S303" s="26"/>
    </row>
    <row r="305" spans="17:26">
      <c r="S305" s="29"/>
    </row>
    <row r="306" spans="17:26">
      <c r="R306" s="155"/>
      <c r="S306" s="29"/>
    </row>
    <row r="307" spans="17:26">
      <c r="Q307" s="155"/>
    </row>
    <row r="308" spans="17:26">
      <c r="Q308" s="161"/>
      <c r="R308" s="29"/>
    </row>
    <row r="309" spans="17:26">
      <c r="R309" s="29"/>
      <c r="Z309" s="34"/>
    </row>
    <row r="310" spans="17:26">
      <c r="R310" s="29"/>
      <c r="Z310" s="34"/>
    </row>
    <row r="311" spans="17:26">
      <c r="R311" s="29"/>
      <c r="Z311" s="34"/>
    </row>
    <row r="312" spans="17:26">
      <c r="R312" s="29"/>
      <c r="Z312" s="34"/>
    </row>
    <row r="313" spans="17:26">
      <c r="R313" s="27"/>
      <c r="S313" s="27"/>
    </row>
    <row r="314" spans="17:26">
      <c r="Q314" s="31"/>
      <c r="R314" s="27"/>
      <c r="Z314" s="46"/>
    </row>
    <row r="362" spans="20:21">
      <c r="T362" s="29"/>
    </row>
    <row r="363" spans="20:21">
      <c r="T363" s="29"/>
    </row>
    <row r="364" spans="20:21">
      <c r="T364" s="29"/>
    </row>
    <row r="365" spans="20:21">
      <c r="T365" s="29"/>
    </row>
    <row r="366" spans="20:21">
      <c r="U366" s="26"/>
    </row>
    <row r="368" spans="20:21">
      <c r="U368" s="29"/>
    </row>
    <row r="369" spans="17:28">
      <c r="T369" s="155"/>
      <c r="U369" s="29"/>
    </row>
    <row r="370" spans="17:28">
      <c r="Q370" s="155"/>
      <c r="R370" s="155"/>
      <c r="S370" s="155"/>
    </row>
    <row r="371" spans="17:28">
      <c r="Q371" s="155"/>
      <c r="R371" s="161"/>
      <c r="S371" s="161"/>
      <c r="T371" s="29"/>
    </row>
    <row r="372" spans="17:28">
      <c r="T372" s="29"/>
      <c r="AB372" s="34"/>
    </row>
    <row r="373" spans="17:28">
      <c r="T373" s="29"/>
      <c r="AB373" s="34"/>
    </row>
    <row r="374" spans="17:28">
      <c r="T374" s="29"/>
      <c r="AB374" s="34"/>
    </row>
    <row r="375" spans="17:28">
      <c r="T375" s="29"/>
      <c r="AB375" s="34"/>
    </row>
    <row r="376" spans="17:28">
      <c r="R376" s="27"/>
      <c r="T376" s="27"/>
      <c r="U376" s="27"/>
    </row>
    <row r="377" spans="17:28">
      <c r="S377" s="31"/>
      <c r="T377" s="27"/>
      <c r="AB377" s="46"/>
    </row>
    <row r="401" spans="17:20">
      <c r="S401" s="29"/>
    </row>
    <row r="402" spans="17:20">
      <c r="S402" s="29"/>
    </row>
    <row r="403" spans="17:20">
      <c r="S403" s="29"/>
    </row>
    <row r="405" spans="17:20">
      <c r="S405" s="335"/>
    </row>
    <row r="407" spans="17:20">
      <c r="T407" s="29"/>
    </row>
    <row r="408" spans="17:20">
      <c r="S408" s="155"/>
      <c r="T408" s="29"/>
    </row>
    <row r="409" spans="17:20">
      <c r="Q409" s="155"/>
      <c r="R409" s="155"/>
    </row>
    <row r="410" spans="17:20">
      <c r="Q410" s="161"/>
      <c r="R410" s="161"/>
      <c r="S410" s="29"/>
    </row>
    <row r="411" spans="17:20">
      <c r="S411" s="29"/>
    </row>
    <row r="412" spans="17:20">
      <c r="S412" s="29"/>
    </row>
    <row r="413" spans="17:20">
      <c r="S413" s="29"/>
    </row>
    <row r="414" spans="17:20">
      <c r="S414" s="29"/>
    </row>
    <row r="415" spans="17:20">
      <c r="Q415" s="27"/>
      <c r="S415" s="27"/>
      <c r="T415" s="27"/>
    </row>
    <row r="416" spans="17:20">
      <c r="R416" s="31"/>
      <c r="S416" s="27"/>
    </row>
    <row r="494" spans="17:17">
      <c r="Q494" s="336"/>
    </row>
    <row r="541" spans="2:9">
      <c r="H541" s="155"/>
      <c r="I541" s="155"/>
    </row>
    <row r="542" spans="2:9">
      <c r="H542" s="155"/>
      <c r="I542" s="155"/>
    </row>
    <row r="544" spans="2:9">
      <c r="B544" s="338"/>
      <c r="C544" s="336"/>
      <c r="D544" s="336"/>
      <c r="E544" s="336"/>
    </row>
    <row r="548" spans="3:5">
      <c r="C548" s="30"/>
      <c r="D548" s="117"/>
      <c r="E548" s="30"/>
    </row>
  </sheetData>
  <mergeCells count="5">
    <mergeCell ref="B1:N1"/>
    <mergeCell ref="B2:N2"/>
    <mergeCell ref="B3:N3"/>
    <mergeCell ref="C7:G7"/>
    <mergeCell ref="H6:L6"/>
  </mergeCells>
  <phoneticPr fontId="10" type="noConversion"/>
  <pageMargins left="0.25" right="0.25" top="0.75" bottom="0.75" header="0.3" footer="0.3"/>
  <pageSetup scale="88" fitToHeight="2" orientation="portrait" horizontalDpi="4294967295" verticalDpi="300" r:id="rId1"/>
  <headerFooter alignWithMargins="0">
    <oddFooter>&amp;C&amp;12Exhibit 9, 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K53"/>
  <sheetViews>
    <sheetView topLeftCell="A4" workbookViewId="0">
      <pane xSplit="11" ySplit="4" topLeftCell="L8" activePane="bottomRight" state="frozen"/>
      <selection activeCell="A4" sqref="A4"/>
      <selection pane="topRight" activeCell="L4" sqref="L4"/>
      <selection pane="bottomLeft" activeCell="A8" sqref="A8"/>
      <selection pane="bottomRight" activeCell="AJ8" sqref="AJ8"/>
    </sheetView>
  </sheetViews>
  <sheetFormatPr defaultRowHeight="12.75"/>
  <cols>
    <col min="5" max="5" width="10.7109375" customWidth="1"/>
    <col min="6" max="6" width="14.140625" bestFit="1" customWidth="1"/>
    <col min="7" max="7" width="14.140625" customWidth="1"/>
    <col min="8" max="8" width="15.140625" bestFit="1" customWidth="1"/>
    <col min="10" max="10" width="10.5703125" bestFit="1" customWidth="1"/>
    <col min="11" max="11" width="41.7109375" customWidth="1"/>
    <col min="12" max="12" width="13" customWidth="1"/>
    <col min="13" max="13" width="15" bestFit="1" customWidth="1"/>
    <col min="14" max="14" width="14" bestFit="1" customWidth="1"/>
    <col min="15" max="15" width="14" customWidth="1"/>
    <col min="16" max="16" width="15" customWidth="1"/>
    <col min="17" max="17" width="13.5703125" customWidth="1"/>
    <col min="18" max="18" width="17" bestFit="1" customWidth="1"/>
    <col min="19" max="19" width="12.42578125" customWidth="1"/>
    <col min="20" max="20" width="12.28515625" bestFit="1" customWidth="1"/>
    <col min="21" max="21" width="11.28515625" bestFit="1" customWidth="1"/>
    <col min="22" max="22" width="14" bestFit="1" customWidth="1"/>
    <col min="23" max="23" width="11.28515625" bestFit="1" customWidth="1"/>
    <col min="24" max="24" width="14" bestFit="1" customWidth="1"/>
    <col min="25" max="25" width="11.28515625" bestFit="1" customWidth="1"/>
    <col min="26" max="26" width="13.42578125" bestFit="1" customWidth="1"/>
    <col min="27" max="27" width="11.28515625" bestFit="1" customWidth="1"/>
    <col min="28" max="28" width="12.28515625" bestFit="1" customWidth="1"/>
    <col min="29" max="29" width="11.28515625" bestFit="1" customWidth="1"/>
    <col min="30" max="30" width="14" bestFit="1" customWidth="1"/>
    <col min="31" max="31" width="11.28515625" bestFit="1" customWidth="1"/>
    <col min="32" max="32" width="12" bestFit="1" customWidth="1"/>
    <col min="33" max="33" width="11.28515625" bestFit="1" customWidth="1"/>
    <col min="34" max="34" width="14" bestFit="1" customWidth="1"/>
    <col min="35" max="35" width="11.28515625" bestFit="1" customWidth="1"/>
    <col min="36" max="37" width="15" bestFit="1" customWidth="1"/>
  </cols>
  <sheetData>
    <row r="1" spans="1:37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37">
      <c r="A2" s="488" t="s">
        <v>654</v>
      </c>
      <c r="B2" s="488"/>
      <c r="C2" s="488"/>
      <c r="D2" s="488"/>
      <c r="E2" s="488"/>
      <c r="F2" s="488"/>
      <c r="G2" s="488"/>
      <c r="H2" s="488"/>
      <c r="I2" s="488"/>
      <c r="J2" s="488"/>
    </row>
    <row r="3" spans="1:37">
      <c r="A3" s="36" t="s">
        <v>290</v>
      </c>
      <c r="B3" s="36"/>
      <c r="C3" s="36"/>
      <c r="D3" s="36"/>
      <c r="E3" s="36"/>
      <c r="F3" s="36"/>
      <c r="G3" s="36"/>
      <c r="H3" s="36"/>
      <c r="I3" s="36"/>
      <c r="J3" s="36"/>
    </row>
    <row r="5" spans="1:37">
      <c r="A5" s="54" t="s">
        <v>64</v>
      </c>
    </row>
    <row r="6" spans="1:37">
      <c r="A6" s="54" t="s">
        <v>36</v>
      </c>
      <c r="C6" s="63" t="s">
        <v>1</v>
      </c>
      <c r="F6" s="63" t="s">
        <v>2</v>
      </c>
      <c r="G6" s="63"/>
      <c r="H6" s="169" t="s">
        <v>3</v>
      </c>
      <c r="J6" s="63"/>
      <c r="L6" s="333">
        <v>44957</v>
      </c>
      <c r="M6" s="36"/>
      <c r="N6" s="333">
        <v>44985</v>
      </c>
      <c r="O6" s="36"/>
      <c r="P6" s="333">
        <v>44651</v>
      </c>
      <c r="Q6" s="36"/>
      <c r="R6" s="333">
        <v>44681</v>
      </c>
      <c r="S6" s="36"/>
      <c r="T6" s="333">
        <v>44712</v>
      </c>
      <c r="U6" s="36"/>
      <c r="V6" s="333">
        <v>44742</v>
      </c>
      <c r="W6" s="36"/>
      <c r="X6" s="333">
        <v>44773</v>
      </c>
      <c r="Y6" s="36"/>
      <c r="Z6" s="333">
        <v>44804</v>
      </c>
      <c r="AA6" s="36"/>
      <c r="AB6" s="333">
        <v>44834</v>
      </c>
      <c r="AC6" s="36"/>
      <c r="AD6" s="333">
        <v>44865</v>
      </c>
      <c r="AE6" s="36"/>
      <c r="AF6" s="333">
        <v>44895</v>
      </c>
      <c r="AG6" s="36"/>
      <c r="AH6" s="333">
        <v>44926</v>
      </c>
      <c r="AI6" s="36"/>
      <c r="AJ6" s="388">
        <v>44620</v>
      </c>
    </row>
    <row r="7" spans="1:37">
      <c r="A7" s="52"/>
      <c r="L7" t="s">
        <v>253</v>
      </c>
      <c r="M7" t="s">
        <v>11</v>
      </c>
    </row>
    <row r="8" spans="1:37">
      <c r="A8" s="52">
        <v>1</v>
      </c>
      <c r="B8" t="s">
        <v>290</v>
      </c>
      <c r="F8" t="s">
        <v>291</v>
      </c>
      <c r="H8" s="52" t="s">
        <v>11</v>
      </c>
      <c r="K8" s="29" t="s">
        <v>439</v>
      </c>
      <c r="L8" s="44">
        <v>9035872</v>
      </c>
      <c r="M8" s="46">
        <v>77874207</v>
      </c>
      <c r="N8" s="44">
        <f>L17</f>
        <v>8212424.7200000007</v>
      </c>
      <c r="O8" s="46">
        <f>M19</f>
        <v>70016386</v>
      </c>
      <c r="P8">
        <f>N17</f>
        <v>6445152.6499999985</v>
      </c>
      <c r="Q8">
        <f>O19</f>
        <v>53784313</v>
      </c>
      <c r="R8" s="46">
        <f>P17</f>
        <v>6445152.6499999985</v>
      </c>
      <c r="S8" s="46">
        <f>Q19</f>
        <v>0</v>
      </c>
      <c r="T8" s="46">
        <f>R17</f>
        <v>6445152.6499999985</v>
      </c>
      <c r="U8" s="46">
        <f>S19</f>
        <v>0</v>
      </c>
      <c r="V8" s="46">
        <f>T17</f>
        <v>6445152.6499999985</v>
      </c>
      <c r="W8" s="46">
        <f>U19</f>
        <v>0</v>
      </c>
      <c r="X8" s="46">
        <f>V17</f>
        <v>6445152.6499999985</v>
      </c>
      <c r="Y8" s="46">
        <f>W19</f>
        <v>0</v>
      </c>
      <c r="Z8" s="46">
        <f>X17</f>
        <v>6445152.6499999985</v>
      </c>
      <c r="AA8" s="46">
        <f>Y19</f>
        <v>0</v>
      </c>
      <c r="AB8" s="46">
        <f>Z17</f>
        <v>6445152.6499999985</v>
      </c>
      <c r="AC8" s="46">
        <f>AA19</f>
        <v>0</v>
      </c>
      <c r="AD8" s="46">
        <f>AB17</f>
        <v>6445152.6499999985</v>
      </c>
      <c r="AE8" s="46">
        <f>AC19</f>
        <v>0</v>
      </c>
      <c r="AF8" s="46">
        <f>AD17</f>
        <v>6445152.6499999985</v>
      </c>
      <c r="AG8" s="46">
        <f>AE19</f>
        <v>0</v>
      </c>
      <c r="AH8" s="46">
        <f>AF17</f>
        <v>6445152.6499999985</v>
      </c>
      <c r="AI8" s="46">
        <f>AG19</f>
        <v>0</v>
      </c>
      <c r="AJ8" s="44">
        <v>9710191.4100000001</v>
      </c>
      <c r="AK8" s="46">
        <v>84423986</v>
      </c>
    </row>
    <row r="9" spans="1:37">
      <c r="A9" s="52">
        <f>A8+1</f>
        <v>2</v>
      </c>
      <c r="B9" s="155" t="s">
        <v>450</v>
      </c>
      <c r="F9" s="29">
        <f>N17</f>
        <v>6445152.6499999985</v>
      </c>
      <c r="G9" s="29"/>
      <c r="H9" s="26"/>
      <c r="K9" t="s">
        <v>443</v>
      </c>
      <c r="L9" s="44">
        <v>4834015</v>
      </c>
      <c r="M9" s="46"/>
      <c r="N9" s="44">
        <f>L18</f>
        <v>3944735.91</v>
      </c>
      <c r="O9" s="46"/>
      <c r="P9">
        <f>N18</f>
        <v>3196439.87</v>
      </c>
      <c r="R9" s="46">
        <f>P18</f>
        <v>3196439.87</v>
      </c>
      <c r="T9" s="46">
        <f>R18</f>
        <v>3196439.87</v>
      </c>
      <c r="V9" s="46">
        <f>T18</f>
        <v>3196439.87</v>
      </c>
      <c r="X9" s="46">
        <f>V18</f>
        <v>3196439.87</v>
      </c>
      <c r="Z9" s="46">
        <f>X18</f>
        <v>3196439.87</v>
      </c>
      <c r="AB9" s="46">
        <f>Z18</f>
        <v>3196439.87</v>
      </c>
      <c r="AD9" s="46">
        <f>AB18</f>
        <v>3196439.87</v>
      </c>
      <c r="AF9" s="46">
        <f>AD18</f>
        <v>3196439.87</v>
      </c>
      <c r="AH9" s="46">
        <f>AF18</f>
        <v>3196439.87</v>
      </c>
      <c r="AJ9" s="44">
        <v>2665436.9300000006</v>
      </c>
      <c r="AK9" s="46"/>
    </row>
    <row r="10" spans="1:37">
      <c r="A10" s="52">
        <f t="shared" ref="A10:A27" si="0">A9+1</f>
        <v>3</v>
      </c>
      <c r="B10" s="155" t="s">
        <v>451</v>
      </c>
      <c r="F10" s="49">
        <f>N18</f>
        <v>3196439.87</v>
      </c>
      <c r="G10" s="26"/>
      <c r="K10" t="s">
        <v>444</v>
      </c>
      <c r="L10" s="44">
        <f>SUM(L8:L9)</f>
        <v>13869887</v>
      </c>
      <c r="M10" s="46"/>
      <c r="N10" s="44">
        <f>SUM(N8:N9)</f>
        <v>12157160.630000001</v>
      </c>
      <c r="O10" s="46"/>
      <c r="P10">
        <f>SUM(P8:P9)</f>
        <v>9641592.5199999996</v>
      </c>
      <c r="R10" s="44">
        <f>SUM(R8:R9)</f>
        <v>9641592.5199999996</v>
      </c>
      <c r="T10" s="44">
        <f>SUM(T8:T9)</f>
        <v>9641592.5199999996</v>
      </c>
      <c r="V10" s="44">
        <f>SUM(V8:V9)</f>
        <v>9641592.5199999996</v>
      </c>
      <c r="X10" s="44">
        <f>SUM(X8:X9)</f>
        <v>9641592.5199999996</v>
      </c>
      <c r="Z10" s="44">
        <f>SUM(Z8:Z9)</f>
        <v>9641592.5199999996</v>
      </c>
      <c r="AB10" s="44">
        <f>SUM(AB8:AB9)</f>
        <v>9641592.5199999996</v>
      </c>
      <c r="AD10" s="44">
        <f>SUM(AD8:AD9)</f>
        <v>9641592.5199999996</v>
      </c>
      <c r="AF10" s="44">
        <f>SUM(AF8:AF9)</f>
        <v>9641592.5199999996</v>
      </c>
      <c r="AH10" s="44">
        <f>SUM(AH8:AH9)</f>
        <v>9641592.5199999996</v>
      </c>
      <c r="AJ10" s="44">
        <v>12375628.34</v>
      </c>
      <c r="AK10" s="46"/>
    </row>
    <row r="11" spans="1:37">
      <c r="A11" s="52">
        <f t="shared" si="0"/>
        <v>4</v>
      </c>
      <c r="B11" s="155" t="s">
        <v>454</v>
      </c>
      <c r="F11" s="44">
        <f>SUM(F9:F10)</f>
        <v>9641592.5199999996</v>
      </c>
      <c r="G11" s="44"/>
      <c r="H11" s="46">
        <f>O19</f>
        <v>53784313</v>
      </c>
      <c r="K11" t="s">
        <v>442</v>
      </c>
      <c r="L11" s="44">
        <f>L13-L12</f>
        <v>10922562.390000001</v>
      </c>
      <c r="M11" s="46"/>
      <c r="N11" s="44">
        <f>N13-N12</f>
        <v>9252638.0299999993</v>
      </c>
      <c r="O11" s="46"/>
      <c r="P11" s="44">
        <f>P13-P12</f>
        <v>0</v>
      </c>
      <c r="R11" s="44">
        <f>R13-R12</f>
        <v>0</v>
      </c>
      <c r="T11" s="44">
        <f>T13-T12</f>
        <v>0</v>
      </c>
      <c r="V11" s="44">
        <f>V13-V12</f>
        <v>0</v>
      </c>
      <c r="X11" s="44">
        <f>X13-X12</f>
        <v>0</v>
      </c>
      <c r="Z11" s="44">
        <f>Z13-Z12</f>
        <v>0</v>
      </c>
      <c r="AB11" s="44">
        <f>AB13-AB12</f>
        <v>0</v>
      </c>
      <c r="AD11" s="44">
        <f>AD13-AD12</f>
        <v>0</v>
      </c>
      <c r="AF11" s="44">
        <f>AF13-AF12</f>
        <v>0</v>
      </c>
      <c r="AH11" s="44">
        <f>AH13-AH12</f>
        <v>0</v>
      </c>
      <c r="AJ11" s="44">
        <v>10793312.460000001</v>
      </c>
      <c r="AK11" s="46"/>
    </row>
    <row r="12" spans="1:37">
      <c r="A12" s="52">
        <f t="shared" si="0"/>
        <v>5</v>
      </c>
      <c r="B12" s="155"/>
      <c r="F12" s="44"/>
      <c r="G12" s="44"/>
      <c r="H12" s="46"/>
      <c r="K12" t="s">
        <v>614</v>
      </c>
      <c r="L12" s="44">
        <f>2584090.99-490</f>
        <v>2583600.9900000002</v>
      </c>
      <c r="M12" s="46"/>
      <c r="N12" s="44">
        <f>1131820.25-13375</f>
        <v>1118445.25</v>
      </c>
      <c r="O12" s="46"/>
      <c r="P12" s="44"/>
      <c r="AH12" s="30"/>
      <c r="AJ12" s="44">
        <v>1701157.96</v>
      </c>
      <c r="AK12" s="46"/>
    </row>
    <row r="13" spans="1:37">
      <c r="A13" s="52">
        <f t="shared" si="0"/>
        <v>6</v>
      </c>
      <c r="B13" s="155" t="s">
        <v>452</v>
      </c>
      <c r="F13" s="44">
        <f>AJ17</f>
        <v>7563287.7800000012</v>
      </c>
      <c r="G13" s="44"/>
      <c r="K13" t="s">
        <v>456</v>
      </c>
      <c r="L13" s="44">
        <f>13462155+44008.38</f>
        <v>13506163.380000001</v>
      </c>
      <c r="M13" s="46">
        <v>92742742</v>
      </c>
      <c r="N13" s="44">
        <f>10491543-120459.72</f>
        <v>10371083.279999999</v>
      </c>
      <c r="O13" s="46">
        <v>78106197</v>
      </c>
      <c r="AJ13" s="44">
        <v>12494470.42</v>
      </c>
      <c r="AK13" s="46">
        <v>92643061</v>
      </c>
    </row>
    <row r="14" spans="1:37">
      <c r="A14" s="52">
        <f t="shared" si="0"/>
        <v>7</v>
      </c>
      <c r="B14" s="155" t="s">
        <v>453</v>
      </c>
      <c r="F14" s="42">
        <f>AJ18</f>
        <v>3013609.9300000006</v>
      </c>
      <c r="G14" s="43"/>
      <c r="H14" s="46"/>
      <c r="J14" s="29"/>
      <c r="K14" t="s">
        <v>440</v>
      </c>
      <c r="L14" s="44">
        <f>L16-L15</f>
        <v>11746009.67</v>
      </c>
      <c r="M14" s="46"/>
      <c r="N14" s="44">
        <f>N16-N15</f>
        <v>11019910.100000001</v>
      </c>
      <c r="O14" s="46"/>
      <c r="P14" s="44">
        <f>P16-P15</f>
        <v>0</v>
      </c>
      <c r="R14">
        <f>R16-R15</f>
        <v>0</v>
      </c>
      <c r="T14">
        <f>T16-T15</f>
        <v>0</v>
      </c>
      <c r="V14" s="29">
        <f>V16-V15</f>
        <v>0</v>
      </c>
      <c r="X14" s="29">
        <f>X16-X15</f>
        <v>0</v>
      </c>
      <c r="Z14" s="29">
        <f>Z16-Z15</f>
        <v>0</v>
      </c>
      <c r="AB14" s="29">
        <f>AB16-AB15</f>
        <v>0</v>
      </c>
      <c r="AD14" s="29">
        <f>AD16-AD15</f>
        <v>0</v>
      </c>
      <c r="AF14" s="29">
        <f>AF16-AF15</f>
        <v>0</v>
      </c>
      <c r="AH14" s="29">
        <f>AH16-AH15</f>
        <v>0</v>
      </c>
      <c r="AJ14" s="44">
        <v>12940216.09</v>
      </c>
      <c r="AK14" s="46"/>
    </row>
    <row r="15" spans="1:37">
      <c r="A15" s="52">
        <f t="shared" si="0"/>
        <v>8</v>
      </c>
      <c r="B15" s="155" t="s">
        <v>455</v>
      </c>
      <c r="F15" s="43">
        <f>SUM(F13:F14)</f>
        <v>10576897.710000001</v>
      </c>
      <c r="G15" s="43"/>
      <c r="H15" s="46">
        <f>AK19</f>
        <v>64377005</v>
      </c>
      <c r="K15" t="s">
        <v>612</v>
      </c>
      <c r="L15" s="44">
        <f>3472880.08</f>
        <v>3472880.08</v>
      </c>
      <c r="M15" s="46"/>
      <c r="N15" s="44">
        <f>1866741.29</f>
        <v>1866741.29</v>
      </c>
      <c r="O15" s="46"/>
      <c r="V15" s="30"/>
      <c r="X15" s="30"/>
      <c r="Z15" s="30"/>
      <c r="AD15" s="30"/>
      <c r="AJ15" s="44">
        <v>1352984.96</v>
      </c>
      <c r="AK15" s="46"/>
    </row>
    <row r="16" spans="1:37">
      <c r="A16" s="52">
        <f t="shared" si="0"/>
        <v>9</v>
      </c>
      <c r="B16" s="155"/>
      <c r="F16" s="43"/>
      <c r="G16" s="43"/>
      <c r="H16" s="45"/>
      <c r="K16" t="s">
        <v>613</v>
      </c>
      <c r="L16" s="44">
        <f>15218889.75</f>
        <v>15218889.75</v>
      </c>
      <c r="M16" s="46">
        <v>100600563</v>
      </c>
      <c r="N16" s="44">
        <v>12886651.390000001</v>
      </c>
      <c r="O16" s="46">
        <v>94338270</v>
      </c>
      <c r="AJ16" s="44">
        <v>14293201.050000001</v>
      </c>
      <c r="AK16" s="46">
        <v>112690042</v>
      </c>
    </row>
    <row r="17" spans="1:37" ht="13.5" thickBot="1">
      <c r="A17" s="52">
        <f t="shared" si="0"/>
        <v>10</v>
      </c>
      <c r="B17" s="169" t="s">
        <v>597</v>
      </c>
      <c r="F17" s="57">
        <f>F9-F13</f>
        <v>-1118135.1300000027</v>
      </c>
      <c r="G17" s="29"/>
      <c r="I17" s="53"/>
      <c r="K17" t="s">
        <v>446</v>
      </c>
      <c r="L17" s="44">
        <f>L8+L11-L14</f>
        <v>8212424.7200000007</v>
      </c>
      <c r="M17" s="46"/>
      <c r="N17" s="44">
        <f>N8+N11-N14</f>
        <v>6445152.6499999985</v>
      </c>
      <c r="O17" s="46"/>
      <c r="P17">
        <f>P8+P11-P14</f>
        <v>6445152.6499999985</v>
      </c>
      <c r="R17" s="44">
        <f>R8+R11-R14</f>
        <v>6445152.6499999985</v>
      </c>
      <c r="T17" s="44">
        <f>T8+T11-T14</f>
        <v>6445152.6499999985</v>
      </c>
      <c r="V17" s="44">
        <f>V8+V11-V14</f>
        <v>6445152.6499999985</v>
      </c>
      <c r="X17" s="44">
        <f>X8+X11-X14</f>
        <v>6445152.6499999985</v>
      </c>
      <c r="Z17" s="44">
        <f>Z8+Z11-Z14</f>
        <v>6445152.6499999985</v>
      </c>
      <c r="AB17" s="44">
        <f>AB8+AB11-AB14</f>
        <v>6445152.6499999985</v>
      </c>
      <c r="AD17" s="44">
        <f>AD8+AD11-AD14</f>
        <v>6445152.6499999985</v>
      </c>
      <c r="AF17" s="44">
        <f>AF8+AF11-AF14</f>
        <v>6445152.6499999985</v>
      </c>
      <c r="AH17" s="44">
        <f>AH8+AH11-AH14</f>
        <v>6445152.6499999985</v>
      </c>
      <c r="AJ17" s="44">
        <v>7563287.7800000012</v>
      </c>
    </row>
    <row r="18" spans="1:37" ht="14.25" thickTop="1" thickBot="1">
      <c r="A18" s="52">
        <f t="shared" si="0"/>
        <v>11</v>
      </c>
      <c r="B18" s="155" t="s">
        <v>598</v>
      </c>
      <c r="F18" s="334">
        <f>F10-F14</f>
        <v>182829.93999999948</v>
      </c>
      <c r="G18" s="29"/>
      <c r="K18" t="s">
        <v>447</v>
      </c>
      <c r="L18" s="44">
        <f>L9+L12-L15</f>
        <v>3944735.91</v>
      </c>
      <c r="M18" s="46"/>
      <c r="N18" s="44">
        <f>N9+N12-N15</f>
        <v>3196439.87</v>
      </c>
      <c r="O18" s="46"/>
      <c r="P18" s="29">
        <f>P9+P12-P15</f>
        <v>3196439.87</v>
      </c>
      <c r="R18" s="44">
        <f>R9+R12-R15</f>
        <v>3196439.87</v>
      </c>
      <c r="T18" s="44">
        <f>T9+T12-T15</f>
        <v>3196439.87</v>
      </c>
      <c r="V18" s="44">
        <f>V9+V12-V15</f>
        <v>3196439.87</v>
      </c>
      <c r="X18" s="337">
        <f>X9+X12-X15</f>
        <v>3196439.87</v>
      </c>
      <c r="Z18" s="337">
        <f>Z9+Z12-Z15</f>
        <v>3196439.87</v>
      </c>
      <c r="AB18" s="337">
        <f>AB9+AB12-AB15</f>
        <v>3196439.87</v>
      </c>
      <c r="AD18" s="337">
        <f>AD9+AD12-AD15</f>
        <v>3196439.87</v>
      </c>
      <c r="AF18" s="337">
        <f>AF9+AF12-AF15</f>
        <v>3196439.87</v>
      </c>
      <c r="AH18" s="337">
        <f>AH9+AH12-AH15</f>
        <v>3196439.87</v>
      </c>
      <c r="AJ18" s="44">
        <v>3013609.9300000006</v>
      </c>
    </row>
    <row r="19" spans="1:37" ht="14.25" thickTop="1" thickBot="1">
      <c r="A19" s="52">
        <f t="shared" si="0"/>
        <v>12</v>
      </c>
      <c r="B19" s="155" t="s">
        <v>599</v>
      </c>
      <c r="H19" s="287">
        <f>H11-H15</f>
        <v>-10592692</v>
      </c>
      <c r="K19" t="s">
        <v>448</v>
      </c>
      <c r="L19" s="44">
        <v>12157159.25</v>
      </c>
      <c r="M19" s="46">
        <v>70016386</v>
      </c>
      <c r="N19" s="44">
        <v>9641591.25</v>
      </c>
      <c r="O19" s="46">
        <v>53784313</v>
      </c>
      <c r="AJ19" s="44">
        <v>10576897.25</v>
      </c>
      <c r="AK19">
        <v>64377005</v>
      </c>
    </row>
    <row r="20" spans="1:37" ht="13.5" thickTop="1">
      <c r="A20" s="52">
        <f t="shared" si="0"/>
        <v>13</v>
      </c>
      <c r="B20" s="1"/>
      <c r="K20" t="s">
        <v>449</v>
      </c>
      <c r="L20" s="44">
        <f>L10+L13-L16</f>
        <v>12157160.630000003</v>
      </c>
      <c r="M20" s="46">
        <f>M8+M13-M16</f>
        <v>70016386</v>
      </c>
      <c r="N20" s="44">
        <f>N10+N13-N16</f>
        <v>9641592.5199999996</v>
      </c>
      <c r="O20" s="46">
        <f>O8+O13-O16</f>
        <v>53784313</v>
      </c>
      <c r="P20">
        <f>P10+P13-P16</f>
        <v>9641592.5199999996</v>
      </c>
      <c r="Q20" s="46">
        <f>Q8+Q13-Q16</f>
        <v>53784313</v>
      </c>
      <c r="R20">
        <f>R10+R13-R16</f>
        <v>9641592.5199999996</v>
      </c>
      <c r="S20" s="46">
        <f>S8+S13-S16</f>
        <v>0</v>
      </c>
      <c r="T20" s="44">
        <f>T10+T13-T16</f>
        <v>9641592.5199999996</v>
      </c>
      <c r="U20" s="46">
        <f>U8+U13-U16</f>
        <v>0</v>
      </c>
      <c r="V20" s="44">
        <f>V10+V13-V16</f>
        <v>9641592.5199999996</v>
      </c>
      <c r="X20" s="44">
        <f>X10+X13-X16</f>
        <v>9641592.5199999996</v>
      </c>
      <c r="Z20" s="44">
        <f>Z10+Z13-Z16</f>
        <v>9641592.5199999996</v>
      </c>
      <c r="AB20" s="44">
        <f>AB10+AB13-AB16</f>
        <v>9641592.5199999996</v>
      </c>
      <c r="AD20" s="44">
        <f>AD10+AD13-AD16</f>
        <v>9641592.5199999996</v>
      </c>
      <c r="AF20" s="44">
        <f>AF10+AF13-AF16</f>
        <v>9641592.5199999996</v>
      </c>
      <c r="AH20" s="44">
        <f>AH10+AH13-AH16</f>
        <v>9641592.5199999996</v>
      </c>
      <c r="AI20" s="44"/>
      <c r="AJ20" s="44">
        <v>10576897.709999997</v>
      </c>
      <c r="AK20">
        <v>64377005</v>
      </c>
    </row>
    <row r="21" spans="1:37">
      <c r="A21" s="52">
        <f t="shared" si="0"/>
        <v>14</v>
      </c>
      <c r="T21" s="29"/>
      <c r="V21" s="29"/>
      <c r="AJ21" s="44"/>
    </row>
    <row r="22" spans="1:37">
      <c r="A22" s="52">
        <f t="shared" si="0"/>
        <v>15</v>
      </c>
      <c r="M22" s="206"/>
      <c r="N22" s="52"/>
      <c r="O22" s="52"/>
      <c r="P22" s="54">
        <f>P20-R10</f>
        <v>0</v>
      </c>
      <c r="Q22" s="52"/>
      <c r="R22" s="52"/>
      <c r="S22" s="52"/>
      <c r="T22" s="52"/>
      <c r="AF22" s="29">
        <f>AF19-AF20</f>
        <v>-9641592.5199999996</v>
      </c>
      <c r="AJ22" s="44"/>
    </row>
    <row r="23" spans="1:37">
      <c r="A23" s="52">
        <f t="shared" si="0"/>
        <v>16</v>
      </c>
      <c r="M23" s="206"/>
      <c r="N23" s="206"/>
      <c r="O23" s="206"/>
      <c r="P23" s="206"/>
      <c r="Q23" s="206"/>
      <c r="R23" s="206"/>
      <c r="S23" s="206"/>
      <c r="T23" s="206"/>
      <c r="AJ23" s="44"/>
    </row>
    <row r="24" spans="1:37">
      <c r="A24" s="52">
        <f t="shared" si="0"/>
        <v>17</v>
      </c>
      <c r="B24" s="169" t="s">
        <v>600</v>
      </c>
      <c r="K24" t="s">
        <v>443</v>
      </c>
      <c r="L24" s="44">
        <f>L9</f>
        <v>4834015</v>
      </c>
      <c r="M24" s="367"/>
      <c r="N24" s="44">
        <f>L18</f>
        <v>3944735.91</v>
      </c>
      <c r="P24" s="44">
        <f>N18</f>
        <v>3196439.87</v>
      </c>
      <c r="R24" s="44">
        <f>P18</f>
        <v>3196439.87</v>
      </c>
      <c r="T24" s="44">
        <f>R18</f>
        <v>3196439.87</v>
      </c>
      <c r="V24" s="44">
        <f>T18</f>
        <v>3196439.87</v>
      </c>
      <c r="X24" s="44">
        <f>V18</f>
        <v>3196439.87</v>
      </c>
      <c r="Z24" s="44">
        <f>X18</f>
        <v>3196439.87</v>
      </c>
      <c r="AB24" s="44">
        <f>Z18</f>
        <v>3196439.87</v>
      </c>
      <c r="AD24" s="44">
        <f>AB18</f>
        <v>3196439.87</v>
      </c>
      <c r="AF24" s="44">
        <f>AD18</f>
        <v>3196439.87</v>
      </c>
      <c r="AH24" s="44">
        <f>AF18</f>
        <v>3196439.87</v>
      </c>
      <c r="AJ24" s="44">
        <v>2665436.9300000006</v>
      </c>
    </row>
    <row r="25" spans="1:37">
      <c r="A25" s="52">
        <f t="shared" si="0"/>
        <v>18</v>
      </c>
      <c r="K25" t="s">
        <v>445</v>
      </c>
      <c r="L25" s="44">
        <f>+L12</f>
        <v>2583600.9900000002</v>
      </c>
      <c r="M25" s="367"/>
      <c r="N25" s="44">
        <f>+N12</f>
        <v>1118445.25</v>
      </c>
      <c r="O25" s="25"/>
      <c r="P25" s="44">
        <f>+P12</f>
        <v>0</v>
      </c>
      <c r="Q25" s="25"/>
      <c r="R25" s="44">
        <f>+R12</f>
        <v>0</v>
      </c>
      <c r="S25" s="25"/>
      <c r="T25" s="44">
        <f>+T12</f>
        <v>0</v>
      </c>
      <c r="V25" s="44">
        <f>+V12</f>
        <v>0</v>
      </c>
      <c r="X25" s="44">
        <f>+X12</f>
        <v>0</v>
      </c>
      <c r="Z25" s="44">
        <f>+Z12</f>
        <v>0</v>
      </c>
      <c r="AB25" s="44">
        <f>+AB12</f>
        <v>0</v>
      </c>
      <c r="AD25" s="44">
        <f>+AD12</f>
        <v>0</v>
      </c>
      <c r="AF25" s="44">
        <f>+AF12</f>
        <v>0</v>
      </c>
      <c r="AH25" s="44">
        <f>+AH12</f>
        <v>0</v>
      </c>
      <c r="AJ25" s="44">
        <v>1701157.96</v>
      </c>
    </row>
    <row r="26" spans="1:37" ht="15">
      <c r="A26" s="52">
        <f t="shared" si="0"/>
        <v>19</v>
      </c>
      <c r="B26" s="155"/>
      <c r="K26" t="s">
        <v>441</v>
      </c>
      <c r="L26" s="56">
        <f>-L15</f>
        <v>-3472880.08</v>
      </c>
      <c r="M26" s="367"/>
      <c r="N26" s="56">
        <f>-N15</f>
        <v>-1866741.29</v>
      </c>
      <c r="P26" s="56">
        <f>-P15</f>
        <v>0</v>
      </c>
      <c r="R26" s="56">
        <f>-R15</f>
        <v>0</v>
      </c>
      <c r="T26" s="56">
        <f>-T15</f>
        <v>0</v>
      </c>
      <c r="V26" s="56">
        <f>-V15</f>
        <v>0</v>
      </c>
      <c r="X26" s="56">
        <f>-X15</f>
        <v>0</v>
      </c>
      <c r="Z26" s="56">
        <f>-Z15</f>
        <v>0</v>
      </c>
      <c r="AB26" s="56">
        <f>-AB15</f>
        <v>0</v>
      </c>
      <c r="AD26" s="56">
        <f>-AD15</f>
        <v>0</v>
      </c>
      <c r="AF26" s="56">
        <f>-AF15</f>
        <v>0</v>
      </c>
      <c r="AH26" s="56">
        <f>-AH15</f>
        <v>0</v>
      </c>
      <c r="AJ26" s="44">
        <v>-1352984.96</v>
      </c>
    </row>
    <row r="27" spans="1:37">
      <c r="A27" s="52">
        <f t="shared" si="0"/>
        <v>20</v>
      </c>
      <c r="B27" s="170"/>
      <c r="F27" s="173"/>
      <c r="G27" s="173"/>
      <c r="H27" s="60"/>
      <c r="K27" t="s">
        <v>447</v>
      </c>
      <c r="L27" s="29">
        <f>L24+L25+L26</f>
        <v>3944735.91</v>
      </c>
      <c r="N27" s="29">
        <f>N24+N25+N26</f>
        <v>3196439.87</v>
      </c>
      <c r="O27" s="44"/>
      <c r="P27" s="29">
        <f>P24+P25+P26</f>
        <v>3196439.87</v>
      </c>
      <c r="Q27" s="44"/>
      <c r="R27" s="29">
        <f>R24+R25+R26</f>
        <v>3196439.87</v>
      </c>
      <c r="S27" s="44"/>
      <c r="T27" s="29">
        <f>T24+T25+T26</f>
        <v>3196439.87</v>
      </c>
      <c r="V27" s="29">
        <f>V24+V25+V26</f>
        <v>3196439.87</v>
      </c>
      <c r="X27" s="29">
        <f>X24+X25+X26</f>
        <v>3196439.87</v>
      </c>
      <c r="Z27" s="29">
        <f>Z24+Z25+Z26</f>
        <v>3196439.87</v>
      </c>
      <c r="AB27" s="29">
        <f>AB24+AB25+AB26</f>
        <v>3196439.87</v>
      </c>
      <c r="AD27" s="29">
        <f>AD24+AD25+AD26</f>
        <v>3196439.87</v>
      </c>
      <c r="AF27" s="29">
        <f>AF24+AF25+AF26</f>
        <v>3196439.87</v>
      </c>
      <c r="AH27" s="29">
        <f>AH24+AH25+AH26</f>
        <v>3196439.87</v>
      </c>
      <c r="AJ27" s="44">
        <v>3013609.9300000006</v>
      </c>
    </row>
    <row r="28" spans="1:37">
      <c r="B28" s="170"/>
      <c r="C28" s="155"/>
      <c r="F28" s="173"/>
      <c r="G28" s="173"/>
      <c r="H28" s="60"/>
      <c r="K28" s="155" t="s">
        <v>609</v>
      </c>
      <c r="L28" s="44">
        <v>3944735.62</v>
      </c>
      <c r="M28" s="155"/>
      <c r="N28" s="29">
        <v>3196439.96</v>
      </c>
      <c r="O28" s="44"/>
      <c r="P28" s="29"/>
      <c r="Q28" s="44"/>
      <c r="R28" s="44"/>
      <c r="S28" s="44"/>
      <c r="T28" s="29"/>
      <c r="AH28" s="30"/>
      <c r="AJ28" s="44"/>
    </row>
    <row r="29" spans="1:37">
      <c r="B29" s="170"/>
      <c r="C29" s="155"/>
      <c r="F29" s="173"/>
      <c r="G29" s="173"/>
      <c r="H29" s="60"/>
      <c r="K29" s="52"/>
      <c r="L29" s="29">
        <f>L27-L28</f>
        <v>0.2900000000372529</v>
      </c>
      <c r="N29" s="29">
        <f>N27-N28</f>
        <v>-8.9999999850988388E-2</v>
      </c>
      <c r="O29" s="44"/>
      <c r="P29" s="29">
        <f>P27-P28</f>
        <v>3196439.87</v>
      </c>
      <c r="Q29" s="44"/>
      <c r="R29" s="29">
        <f>R27-R28</f>
        <v>3196439.87</v>
      </c>
      <c r="S29" s="44"/>
      <c r="T29" s="29">
        <f>T27-T28</f>
        <v>3196439.87</v>
      </c>
      <c r="V29" s="29">
        <f>V27-V28</f>
        <v>3196439.87</v>
      </c>
      <c r="X29" s="29">
        <f>X27-X28</f>
        <v>3196439.87</v>
      </c>
      <c r="AF29" s="29">
        <f>AF27-AF28</f>
        <v>3196439.87</v>
      </c>
      <c r="AH29" s="29">
        <f>AH27-AH28</f>
        <v>3196439.87</v>
      </c>
      <c r="AJ29" s="44">
        <v>3013609.9300000006</v>
      </c>
    </row>
    <row r="30" spans="1:37">
      <c r="B30" s="170"/>
      <c r="C30" s="155"/>
      <c r="F30" s="173"/>
      <c r="G30" s="173"/>
      <c r="H30" s="60"/>
      <c r="O30" s="44"/>
      <c r="P30" s="44"/>
      <c r="Q30" s="44"/>
      <c r="R30" s="44"/>
      <c r="S30" s="44"/>
      <c r="T30" s="29"/>
    </row>
    <row r="31" spans="1:37">
      <c r="B31" s="170"/>
      <c r="C31" s="155"/>
      <c r="F31" s="173"/>
      <c r="G31" s="173"/>
      <c r="H31" s="60"/>
      <c r="O31" s="44"/>
      <c r="P31" s="44"/>
      <c r="Q31" s="44"/>
      <c r="R31" s="44"/>
      <c r="S31" s="44"/>
      <c r="T31" s="29"/>
    </row>
    <row r="32" spans="1:37" ht="15">
      <c r="B32" s="170"/>
      <c r="C32" s="155"/>
      <c r="F32" s="173"/>
      <c r="G32" s="173"/>
      <c r="H32" s="60"/>
      <c r="K32" s="52" t="s">
        <v>610</v>
      </c>
      <c r="L32" s="155">
        <v>2591948.87</v>
      </c>
      <c r="M32" s="367"/>
      <c r="N32" s="60">
        <v>1123241.99</v>
      </c>
      <c r="O32" s="56"/>
      <c r="P32" s="162"/>
      <c r="Q32" s="162"/>
      <c r="R32" s="162"/>
      <c r="S32" s="56"/>
      <c r="T32" s="161"/>
    </row>
    <row r="33" spans="8:34">
      <c r="H33" s="30"/>
      <c r="K33" t="s">
        <v>611</v>
      </c>
      <c r="L33" s="29">
        <f>L12</f>
        <v>2583600.9900000002</v>
      </c>
      <c r="N33" s="29">
        <f>N25</f>
        <v>1118445.25</v>
      </c>
      <c r="P33" s="29">
        <f>P25</f>
        <v>0</v>
      </c>
      <c r="R33" s="29">
        <f>R25</f>
        <v>0</v>
      </c>
      <c r="T33" s="29">
        <f>T25</f>
        <v>0</v>
      </c>
      <c r="V33" s="29">
        <f>V25</f>
        <v>0</v>
      </c>
      <c r="X33" s="29">
        <f t="shared" ref="X33:AH33" si="1">X25</f>
        <v>0</v>
      </c>
      <c r="Y33" s="29">
        <f t="shared" si="1"/>
        <v>0</v>
      </c>
      <c r="Z33" s="29">
        <f t="shared" si="1"/>
        <v>0</v>
      </c>
      <c r="AA33" s="29">
        <f t="shared" si="1"/>
        <v>0</v>
      </c>
      <c r="AB33" s="29">
        <f t="shared" si="1"/>
        <v>0</v>
      </c>
      <c r="AC33" s="29">
        <f t="shared" si="1"/>
        <v>0</v>
      </c>
      <c r="AD33" s="29">
        <f t="shared" si="1"/>
        <v>0</v>
      </c>
      <c r="AE33" s="29">
        <f t="shared" si="1"/>
        <v>0</v>
      </c>
      <c r="AF33" s="29">
        <f t="shared" si="1"/>
        <v>0</v>
      </c>
      <c r="AG33" s="29">
        <f t="shared" si="1"/>
        <v>0</v>
      </c>
      <c r="AH33" s="29">
        <f t="shared" si="1"/>
        <v>0</v>
      </c>
    </row>
    <row r="34" spans="8:34">
      <c r="L34" s="29"/>
      <c r="N34" s="30"/>
      <c r="O34" s="29"/>
      <c r="P34" s="30"/>
      <c r="Q34" s="29"/>
      <c r="R34" s="30"/>
      <c r="S34" s="29"/>
      <c r="T34" s="30"/>
    </row>
    <row r="35" spans="8:34">
      <c r="K35" t="s">
        <v>615</v>
      </c>
      <c r="L35" s="29">
        <f>L32-L33-L34</f>
        <v>8347.8799999998882</v>
      </c>
      <c r="N35" s="29">
        <f t="shared" ref="N35:AH35" si="2">N32-N33-N34</f>
        <v>4796.7399999999907</v>
      </c>
      <c r="O35" s="29">
        <f t="shared" si="2"/>
        <v>0</v>
      </c>
      <c r="P35" s="29">
        <f t="shared" si="2"/>
        <v>0</v>
      </c>
      <c r="Q35" s="29">
        <f t="shared" si="2"/>
        <v>0</v>
      </c>
      <c r="R35" s="29">
        <f t="shared" si="2"/>
        <v>0</v>
      </c>
      <c r="S35" s="29">
        <f t="shared" si="2"/>
        <v>0</v>
      </c>
      <c r="T35" s="29">
        <f t="shared" si="2"/>
        <v>0</v>
      </c>
      <c r="U35" s="29">
        <f t="shared" si="2"/>
        <v>0</v>
      </c>
      <c r="V35" s="29">
        <f t="shared" si="2"/>
        <v>0</v>
      </c>
      <c r="W35" s="29">
        <f t="shared" si="2"/>
        <v>0</v>
      </c>
      <c r="X35" s="29">
        <f t="shared" si="2"/>
        <v>0</v>
      </c>
      <c r="Y35" s="29">
        <f t="shared" si="2"/>
        <v>0</v>
      </c>
      <c r="Z35" s="29">
        <f t="shared" si="2"/>
        <v>0</v>
      </c>
      <c r="AA35" s="29">
        <f t="shared" si="2"/>
        <v>0</v>
      </c>
      <c r="AB35" s="29">
        <f t="shared" si="2"/>
        <v>0</v>
      </c>
      <c r="AC35" s="29">
        <f t="shared" si="2"/>
        <v>0</v>
      </c>
      <c r="AD35" s="29">
        <f t="shared" si="2"/>
        <v>0</v>
      </c>
      <c r="AE35" s="29">
        <f t="shared" si="2"/>
        <v>0</v>
      </c>
      <c r="AF35" s="29">
        <f t="shared" si="2"/>
        <v>0</v>
      </c>
      <c r="AG35" s="29">
        <f t="shared" si="2"/>
        <v>0</v>
      </c>
      <c r="AH35" s="29">
        <f t="shared" si="2"/>
        <v>0</v>
      </c>
    </row>
    <row r="36" spans="8:34">
      <c r="K36" s="52" t="s">
        <v>639</v>
      </c>
      <c r="L36" s="155"/>
      <c r="M36" s="155"/>
      <c r="N36" s="30"/>
      <c r="O36" s="372"/>
      <c r="P36" s="44"/>
      <c r="Q36" s="372"/>
      <c r="R36" s="372"/>
      <c r="S36" s="372"/>
    </row>
    <row r="37" spans="8:34">
      <c r="K37" s="52"/>
    </row>
    <row r="38" spans="8:34">
      <c r="O38" s="44"/>
      <c r="Q38" s="44"/>
      <c r="R38" s="44"/>
      <c r="S38" s="44"/>
      <c r="T38" s="29"/>
    </row>
    <row r="39" spans="8:34">
      <c r="K39" s="52"/>
      <c r="P39" s="30"/>
    </row>
    <row r="40" spans="8:34">
      <c r="K40" s="52"/>
      <c r="L40" s="155"/>
      <c r="M40" s="155"/>
      <c r="N40" s="47"/>
      <c r="O40" s="59"/>
      <c r="P40" s="59"/>
      <c r="Q40" s="59"/>
      <c r="R40" s="59"/>
      <c r="S40" s="59"/>
      <c r="AH40">
        <f>Res!E37+Comm1p!E37+Comm3p!E37+Comm1000!E45+lights!G118</f>
        <v>24436251.259</v>
      </c>
    </row>
    <row r="41" spans="8:34">
      <c r="K41" s="136" t="s">
        <v>635</v>
      </c>
      <c r="L41">
        <v>7559.78</v>
      </c>
      <c r="N41">
        <v>3634.1</v>
      </c>
    </row>
    <row r="42" spans="8:34">
      <c r="K42" s="136" t="s">
        <v>636</v>
      </c>
      <c r="L42" s="155">
        <v>1066.0899999999999</v>
      </c>
      <c r="M42" s="156"/>
      <c r="N42" s="44">
        <v>873.34</v>
      </c>
      <c r="O42" s="44"/>
      <c r="P42" s="44"/>
      <c r="Q42" s="44"/>
      <c r="R42" s="44"/>
      <c r="S42" s="44"/>
      <c r="T42" s="44"/>
    </row>
    <row r="43" spans="8:34">
      <c r="K43" s="136" t="s">
        <v>638</v>
      </c>
      <c r="L43">
        <v>-2072.61</v>
      </c>
      <c r="N43">
        <v>-984.04</v>
      </c>
    </row>
    <row r="44" spans="8:34">
      <c r="K44" s="136" t="s">
        <v>637</v>
      </c>
      <c r="L44">
        <v>1795.28</v>
      </c>
      <c r="N44">
        <v>1264.93</v>
      </c>
    </row>
    <row r="45" spans="8:34">
      <c r="L45">
        <f>SUM(L41:L44)</f>
        <v>8348.5399999999991</v>
      </c>
      <c r="N45">
        <f>SUM(N41:N44)</f>
        <v>4788.33</v>
      </c>
    </row>
    <row r="47" spans="8:34">
      <c r="M47" t="s">
        <v>434</v>
      </c>
      <c r="N47">
        <f>-10168.23</f>
        <v>-10168.23</v>
      </c>
    </row>
    <row r="48" spans="8:34">
      <c r="M48" t="s">
        <v>435</v>
      </c>
      <c r="N48">
        <v>-3956.97</v>
      </c>
    </row>
    <row r="49" spans="13:14">
      <c r="M49" t="s">
        <v>436</v>
      </c>
      <c r="N49">
        <v>4181.5600000000004</v>
      </c>
    </row>
    <row r="50" spans="13:14">
      <c r="M50" t="s">
        <v>437</v>
      </c>
      <c r="N50">
        <v>-2150.5</v>
      </c>
    </row>
    <row r="51" spans="13:14">
      <c r="M51" t="s">
        <v>645</v>
      </c>
      <c r="N51">
        <f>SUM(N47:N50)</f>
        <v>-12094.14</v>
      </c>
    </row>
    <row r="52" spans="13:14">
      <c r="M52" t="s">
        <v>646</v>
      </c>
      <c r="N52">
        <f>N51-N53</f>
        <v>1280.8600000000006</v>
      </c>
    </row>
    <row r="53" spans="13:14">
      <c r="M53" t="s">
        <v>647</v>
      </c>
      <c r="N53">
        <v>-13375</v>
      </c>
    </row>
  </sheetData>
  <mergeCells count="1">
    <mergeCell ref="A2:J2"/>
  </mergeCells>
  <pageMargins left="0.25" right="0.25" top="0.75" bottom="0.75" header="0.3" footer="0.3"/>
  <pageSetup scale="90" orientation="landscape" r:id="rId1"/>
  <headerFooter>
    <oddFooter>&amp;C&amp;12Exhibit 9, Page 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U83"/>
  <sheetViews>
    <sheetView topLeftCell="B1" workbookViewId="0">
      <selection activeCell="B3" sqref="B3:L3"/>
    </sheetView>
  </sheetViews>
  <sheetFormatPr defaultRowHeight="12.75"/>
  <cols>
    <col min="3" max="3" width="25.85546875" bestFit="1" customWidth="1"/>
    <col min="4" max="4" width="21.85546875" bestFit="1" customWidth="1"/>
    <col min="5" max="5" width="19.42578125" bestFit="1" customWidth="1"/>
    <col min="6" max="6" width="16" bestFit="1" customWidth="1"/>
    <col min="7" max="7" width="16.5703125" bestFit="1" customWidth="1"/>
    <col min="8" max="8" width="16.7109375" bestFit="1" customWidth="1"/>
    <col min="9" max="9" width="15.140625" bestFit="1" customWidth="1"/>
    <col min="10" max="10" width="15" bestFit="1" customWidth="1"/>
    <col min="11" max="11" width="15.5703125" bestFit="1" customWidth="1"/>
    <col min="12" max="13" width="16" bestFit="1" customWidth="1"/>
    <col min="14" max="14" width="15.85546875" bestFit="1" customWidth="1"/>
    <col min="15" max="15" width="12.28515625" bestFit="1" customWidth="1"/>
    <col min="16" max="16" width="11.28515625" bestFit="1" customWidth="1"/>
    <col min="17" max="17" width="14.42578125" bestFit="1" customWidth="1"/>
    <col min="18" max="18" width="16.28515625" bestFit="1" customWidth="1"/>
    <col min="19" max="19" width="12.7109375" bestFit="1" customWidth="1"/>
    <col min="20" max="20" width="16.85546875" bestFit="1" customWidth="1"/>
    <col min="21" max="21" width="12.7109375" bestFit="1" customWidth="1"/>
    <col min="22" max="22" width="12.5703125" bestFit="1" customWidth="1"/>
    <col min="23" max="23" width="17.140625" bestFit="1" customWidth="1"/>
    <col min="24" max="31" width="12.42578125" bestFit="1" customWidth="1"/>
    <col min="33" max="34" width="14.140625" bestFit="1" customWidth="1"/>
    <col min="35" max="47" width="12.42578125" bestFit="1" customWidth="1"/>
  </cols>
  <sheetData>
    <row r="1" spans="1:15">
      <c r="B1" s="497" t="s">
        <v>0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5">
      <c r="B2" s="497" t="s">
        <v>1165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5">
      <c r="B3" s="497" t="s">
        <v>1114</v>
      </c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155"/>
      <c r="N3" s="155"/>
      <c r="O3" s="155"/>
    </row>
    <row r="4" spans="1:15">
      <c r="A4" s="177" t="s">
        <v>64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1:15">
      <c r="A5" s="177" t="s">
        <v>36</v>
      </c>
      <c r="C5" s="160" t="s">
        <v>1</v>
      </c>
      <c r="D5" s="160" t="s">
        <v>2</v>
      </c>
      <c r="E5" s="160" t="s">
        <v>3</v>
      </c>
      <c r="F5" s="160" t="s">
        <v>4</v>
      </c>
      <c r="G5" s="160" t="s">
        <v>5</v>
      </c>
      <c r="H5" s="160" t="s">
        <v>6</v>
      </c>
      <c r="I5" s="160" t="s">
        <v>28</v>
      </c>
      <c r="J5" s="160" t="s">
        <v>7</v>
      </c>
      <c r="K5" s="160" t="s">
        <v>29</v>
      </c>
      <c r="L5" s="160" t="s">
        <v>50</v>
      </c>
    </row>
    <row r="6" spans="1:15">
      <c r="A6" s="155"/>
      <c r="C6" s="156"/>
      <c r="D6" s="494" t="s">
        <v>117</v>
      </c>
      <c r="E6" s="495"/>
      <c r="F6" s="496"/>
      <c r="G6" s="494" t="s">
        <v>118</v>
      </c>
      <c r="H6" s="495"/>
      <c r="I6" s="496"/>
      <c r="J6" s="494" t="s">
        <v>119</v>
      </c>
      <c r="K6" s="495"/>
      <c r="L6" s="496"/>
    </row>
    <row r="7" spans="1:15">
      <c r="A7" s="156">
        <v>1</v>
      </c>
      <c r="C7" s="16"/>
      <c r="E7" s="155"/>
      <c r="F7" s="251"/>
      <c r="G7" s="158"/>
      <c r="H7" s="158"/>
      <c r="I7" s="158"/>
      <c r="J7" s="158"/>
      <c r="K7" s="158"/>
      <c r="L7" s="158"/>
    </row>
    <row r="8" spans="1:15">
      <c r="A8" s="156">
        <f t="shared" ref="A8:A23" si="0">A7+1</f>
        <v>2</v>
      </c>
      <c r="C8" s="155"/>
      <c r="E8" s="216"/>
      <c r="F8" s="230"/>
      <c r="G8" s="255"/>
    </row>
    <row r="9" spans="1:15">
      <c r="A9" s="156">
        <f t="shared" si="0"/>
        <v>3</v>
      </c>
      <c r="C9" s="155"/>
      <c r="D9" s="156" t="s">
        <v>140</v>
      </c>
      <c r="E9" s="155"/>
      <c r="G9" s="156"/>
      <c r="H9" s="155"/>
    </row>
    <row r="10" spans="1:15">
      <c r="A10" s="156">
        <f t="shared" si="0"/>
        <v>4</v>
      </c>
      <c r="C10" s="155" t="s">
        <v>202</v>
      </c>
      <c r="D10" s="158">
        <f>G56+G76</f>
        <v>4488051663</v>
      </c>
      <c r="E10" s="233">
        <f>F10/D10</f>
        <v>8.1430155361827877E-2</v>
      </c>
      <c r="F10" s="29">
        <f>G27</f>
        <v>365462744.19</v>
      </c>
      <c r="G10" s="158"/>
      <c r="H10" s="233"/>
      <c r="I10" s="29"/>
      <c r="J10" s="26">
        <f t="shared" ref="J10:L10" si="1">G10</f>
        <v>0</v>
      </c>
      <c r="K10" s="31"/>
      <c r="L10" s="29">
        <f t="shared" si="1"/>
        <v>0</v>
      </c>
    </row>
    <row r="11" spans="1:15">
      <c r="A11" s="156">
        <f t="shared" si="0"/>
        <v>5</v>
      </c>
      <c r="C11" s="155"/>
      <c r="D11" s="155"/>
      <c r="E11" s="155"/>
      <c r="F11" s="230"/>
      <c r="G11" s="155"/>
      <c r="H11" s="155"/>
      <c r="I11" s="230"/>
      <c r="J11" s="230"/>
      <c r="K11" s="230"/>
      <c r="L11" s="230"/>
    </row>
    <row r="12" spans="1:15">
      <c r="A12" s="156">
        <f t="shared" si="0"/>
        <v>6</v>
      </c>
      <c r="C12" s="155" t="s">
        <v>120</v>
      </c>
      <c r="D12" s="155"/>
      <c r="E12" s="155"/>
      <c r="F12" s="155"/>
      <c r="G12" s="155"/>
      <c r="H12" s="155"/>
      <c r="I12" s="155"/>
      <c r="J12" s="155"/>
      <c r="K12" s="155"/>
      <c r="L12" s="155"/>
    </row>
    <row r="13" spans="1:15">
      <c r="A13" s="156">
        <f t="shared" si="0"/>
        <v>7</v>
      </c>
      <c r="C13" s="170" t="s">
        <v>206</v>
      </c>
      <c r="D13" s="155">
        <v>4.5000000000000003E-5</v>
      </c>
      <c r="F13" s="171">
        <f>D10*D13</f>
        <v>201962.32483500001</v>
      </c>
      <c r="G13" s="155">
        <v>4.5000000000000003E-5</v>
      </c>
      <c r="I13" s="171">
        <f>G10*G13</f>
        <v>0</v>
      </c>
      <c r="J13">
        <f>G13</f>
        <v>4.5000000000000003E-5</v>
      </c>
      <c r="K13" s="29"/>
      <c r="L13" s="29">
        <f>I13</f>
        <v>0</v>
      </c>
    </row>
    <row r="14" spans="1:15">
      <c r="A14" s="156">
        <f t="shared" si="0"/>
        <v>8</v>
      </c>
      <c r="C14" s="170" t="s">
        <v>53</v>
      </c>
      <c r="D14" s="219">
        <v>2614</v>
      </c>
      <c r="E14" s="171" t="s">
        <v>486</v>
      </c>
      <c r="F14" s="230">
        <f>D14*12*2</f>
        <v>62736</v>
      </c>
      <c r="G14" s="219">
        <v>2614</v>
      </c>
      <c r="H14" s="171" t="s">
        <v>486</v>
      </c>
      <c r="I14" s="230">
        <f>G14*12*2</f>
        <v>62736</v>
      </c>
      <c r="J14" s="171">
        <f>G14</f>
        <v>2614</v>
      </c>
      <c r="K14" s="171" t="s">
        <v>486</v>
      </c>
      <c r="L14" s="29">
        <f>I14</f>
        <v>62736</v>
      </c>
    </row>
    <row r="15" spans="1:15">
      <c r="A15" s="156">
        <f t="shared" si="0"/>
        <v>9</v>
      </c>
      <c r="C15" s="170" t="s">
        <v>485</v>
      </c>
      <c r="D15" s="219"/>
      <c r="E15" s="171"/>
      <c r="F15" s="230">
        <f>S56+S76</f>
        <v>404937.83999999991</v>
      </c>
      <c r="G15" s="219"/>
      <c r="H15" s="171"/>
      <c r="I15" s="230">
        <f>F15</f>
        <v>404937.83999999991</v>
      </c>
      <c r="J15" s="171"/>
      <c r="K15" s="171"/>
      <c r="L15" s="230">
        <f>I15</f>
        <v>404937.83999999991</v>
      </c>
    </row>
    <row r="16" spans="1:15">
      <c r="A16" s="156">
        <f t="shared" si="0"/>
        <v>10</v>
      </c>
      <c r="C16" s="155" t="s">
        <v>487</v>
      </c>
      <c r="D16" s="219"/>
      <c r="E16" s="171"/>
      <c r="F16" s="230">
        <f>Q56-W56+Q76-W76</f>
        <v>60867.730000002208</v>
      </c>
      <c r="G16" s="219"/>
      <c r="H16" s="171"/>
      <c r="I16" s="230">
        <f>F16</f>
        <v>60867.730000002208</v>
      </c>
      <c r="L16" s="29">
        <f>I16</f>
        <v>60867.730000002208</v>
      </c>
    </row>
    <row r="17" spans="1:12" ht="13.5" thickBot="1">
      <c r="A17" s="156">
        <f t="shared" si="0"/>
        <v>11</v>
      </c>
      <c r="C17" s="155" t="s">
        <v>49</v>
      </c>
      <c r="D17" s="155"/>
      <c r="E17" s="155"/>
      <c r="F17" s="231">
        <f>SUM(F10:F16)</f>
        <v>366193248.08483499</v>
      </c>
      <c r="G17" s="155"/>
      <c r="H17" s="155"/>
      <c r="I17" s="231">
        <f>SUM(I10:I16)</f>
        <v>528541.57000000216</v>
      </c>
      <c r="L17" s="29">
        <f>I17</f>
        <v>528541.57000000216</v>
      </c>
    </row>
    <row r="18" spans="1:12" ht="13.5" thickTop="1">
      <c r="A18" s="156">
        <f t="shared" si="0"/>
        <v>12</v>
      </c>
      <c r="C18" s="155"/>
      <c r="D18" s="155"/>
      <c r="E18" s="155"/>
      <c r="F18" s="161"/>
    </row>
    <row r="19" spans="1:12">
      <c r="A19" s="156">
        <f t="shared" si="0"/>
        <v>13</v>
      </c>
      <c r="F19" s="161"/>
    </row>
    <row r="20" spans="1:12">
      <c r="A20" s="156" t="e">
        <f>#REF!+1</f>
        <v>#REF!</v>
      </c>
      <c r="C20" s="169" t="s">
        <v>366</v>
      </c>
      <c r="D20" s="155"/>
      <c r="E20" s="155" t="s">
        <v>231</v>
      </c>
      <c r="F20" s="155"/>
      <c r="G20" s="155" t="s">
        <v>232</v>
      </c>
      <c r="H20" s="155"/>
      <c r="I20" s="155"/>
      <c r="J20" s="155"/>
      <c r="K20" s="155"/>
      <c r="L20" s="155"/>
    </row>
    <row r="21" spans="1:12" ht="15">
      <c r="A21" s="156" t="e">
        <f t="shared" si="0"/>
        <v>#REF!</v>
      </c>
      <c r="D21" s="180">
        <v>442.23</v>
      </c>
      <c r="E21" s="408">
        <v>1166.3699999999999</v>
      </c>
      <c r="F21" s="410" t="s">
        <v>789</v>
      </c>
      <c r="G21" s="408">
        <v>1166.3699999999999</v>
      </c>
      <c r="I21" s="402"/>
      <c r="J21" s="493"/>
      <c r="K21" s="493"/>
      <c r="L21" s="493"/>
    </row>
    <row r="22" spans="1:12" ht="15">
      <c r="A22" s="156" t="e">
        <f t="shared" si="0"/>
        <v>#REF!</v>
      </c>
      <c r="D22" s="155">
        <v>442.23099999999999</v>
      </c>
      <c r="E22" s="408">
        <v>106116223.59999999</v>
      </c>
      <c r="F22" s="410" t="s">
        <v>791</v>
      </c>
      <c r="G22" s="408">
        <v>106127756.98</v>
      </c>
      <c r="I22" s="403"/>
    </row>
    <row r="23" spans="1:12" ht="15">
      <c r="A23" s="156" t="e">
        <f t="shared" si="0"/>
        <v>#REF!</v>
      </c>
      <c r="D23" s="180">
        <v>442.23200000000003</v>
      </c>
      <c r="E23" s="408">
        <v>319564.74</v>
      </c>
      <c r="I23" s="403"/>
    </row>
    <row r="24" spans="1:12" ht="15">
      <c r="A24" s="156" t="e">
        <f t="shared" ref="A24:A77" si="2">A23+1</f>
        <v>#REF!</v>
      </c>
      <c r="B24" s="156"/>
      <c r="D24" s="410" t="s">
        <v>687</v>
      </c>
      <c r="E24" s="408">
        <v>28353.88</v>
      </c>
      <c r="F24" s="410" t="s">
        <v>791</v>
      </c>
      <c r="G24" s="408">
        <v>28353.88</v>
      </c>
      <c r="I24" s="403"/>
    </row>
    <row r="25" spans="1:12" ht="15">
      <c r="A25" s="156" t="e">
        <f t="shared" si="2"/>
        <v>#REF!</v>
      </c>
      <c r="B25" s="156"/>
      <c r="D25" s="410" t="s">
        <v>689</v>
      </c>
      <c r="E25" s="408">
        <v>275383618.86000001</v>
      </c>
      <c r="F25" s="410" t="s">
        <v>793</v>
      </c>
      <c r="G25" s="408">
        <v>259305466.96000001</v>
      </c>
      <c r="I25" s="403"/>
    </row>
    <row r="26" spans="1:12" ht="15">
      <c r="A26" s="156" t="e">
        <f t="shared" si="2"/>
        <v>#REF!</v>
      </c>
      <c r="B26" s="156"/>
      <c r="D26" s="410" t="s">
        <v>691</v>
      </c>
      <c r="E26" s="408">
        <v>-15655679.35</v>
      </c>
      <c r="F26" s="410"/>
      <c r="G26" s="426"/>
      <c r="I26" s="403"/>
    </row>
    <row r="27" spans="1:12" ht="13.5" thickBot="1">
      <c r="A27" s="156" t="e">
        <f t="shared" si="2"/>
        <v>#REF!</v>
      </c>
      <c r="B27" s="156"/>
      <c r="D27" s="155"/>
      <c r="E27" s="236">
        <f>SUM(E21:E26)</f>
        <v>366193248.09999996</v>
      </c>
      <c r="G27" s="427">
        <f>SUM(G21:G26)</f>
        <v>365462744.19</v>
      </c>
      <c r="H27" s="161">
        <f>E27-G27</f>
        <v>730503.90999996662</v>
      </c>
      <c r="I27" s="403"/>
      <c r="J27" s="493"/>
      <c r="K27" s="493"/>
      <c r="L27" s="493"/>
    </row>
    <row r="28" spans="1:12" ht="15.75" thickTop="1">
      <c r="A28" s="156" t="e">
        <f t="shared" si="2"/>
        <v>#REF!</v>
      </c>
      <c r="B28" s="156"/>
      <c r="F28" s="180"/>
      <c r="G28" s="339"/>
      <c r="H28" s="163"/>
      <c r="I28" s="155"/>
      <c r="J28" s="493"/>
      <c r="K28" s="493"/>
      <c r="L28" s="493"/>
    </row>
    <row r="29" spans="1:12">
      <c r="A29" s="156" t="e">
        <f t="shared" si="2"/>
        <v>#REF!</v>
      </c>
      <c r="B29" s="156"/>
      <c r="C29" s="155"/>
      <c r="F29" s="155"/>
      <c r="I29" s="163"/>
      <c r="J29" s="155"/>
      <c r="K29" s="155"/>
      <c r="L29" s="155"/>
    </row>
    <row r="30" spans="1:12">
      <c r="A30" s="156" t="e">
        <f t="shared" si="2"/>
        <v>#REF!</v>
      </c>
      <c r="B30" s="156"/>
      <c r="C30" s="169"/>
      <c r="D30" s="155"/>
      <c r="E30" s="171"/>
      <c r="F30" s="155"/>
      <c r="G30" s="162"/>
      <c r="H30" s="155"/>
      <c r="I30" s="155"/>
      <c r="J30" s="155"/>
      <c r="K30" s="155"/>
      <c r="L30" s="155"/>
    </row>
    <row r="31" spans="1:12">
      <c r="A31" s="156" t="e">
        <f t="shared" si="2"/>
        <v>#REF!</v>
      </c>
    </row>
    <row r="32" spans="1:12">
      <c r="A32" s="156" t="e">
        <f t="shared" si="2"/>
        <v>#REF!</v>
      </c>
    </row>
    <row r="33" spans="1:47">
      <c r="A33" s="156" t="e">
        <f t="shared" si="2"/>
        <v>#REF!</v>
      </c>
    </row>
    <row r="34" spans="1:47">
      <c r="A34" s="156" t="e">
        <f t="shared" si="2"/>
        <v>#REF!</v>
      </c>
    </row>
    <row r="35" spans="1:47">
      <c r="A35" s="156" t="e">
        <f t="shared" si="2"/>
        <v>#REF!</v>
      </c>
    </row>
    <row r="36" spans="1:47" ht="19.5">
      <c r="A36" s="156" t="e">
        <f t="shared" si="2"/>
        <v>#REF!</v>
      </c>
      <c r="B36" s="415" t="s">
        <v>470</v>
      </c>
      <c r="C36" s="36"/>
      <c r="D36" s="36"/>
      <c r="E36" s="36"/>
      <c r="O36" s="52"/>
      <c r="P36" s="52"/>
      <c r="Q36" s="52"/>
      <c r="R36" s="52"/>
      <c r="S36" s="52"/>
      <c r="T36" s="52"/>
      <c r="U36" s="52"/>
      <c r="V36" s="52"/>
      <c r="W36" s="52"/>
    </row>
    <row r="37" spans="1:47">
      <c r="A37" s="156" t="e">
        <f t="shared" si="2"/>
        <v>#REF!</v>
      </c>
      <c r="K37" s="52" t="s">
        <v>9</v>
      </c>
      <c r="P37" s="52"/>
      <c r="Q37" s="52"/>
      <c r="R37" s="52"/>
      <c r="S37" s="52"/>
      <c r="T37" s="52"/>
      <c r="U37" s="52" t="s">
        <v>805</v>
      </c>
      <c r="W37" s="52"/>
    </row>
    <row r="38" spans="1:47">
      <c r="A38" s="156" t="e">
        <f t="shared" si="2"/>
        <v>#REF!</v>
      </c>
      <c r="C38" s="52" t="s">
        <v>244</v>
      </c>
      <c r="D38" s="52" t="s">
        <v>255</v>
      </c>
      <c r="E38" s="52" t="s">
        <v>416</v>
      </c>
      <c r="F38" s="52" t="s">
        <v>245</v>
      </c>
      <c r="J38" s="52" t="s">
        <v>15</v>
      </c>
      <c r="K38" s="52" t="s">
        <v>245</v>
      </c>
      <c r="O38" s="52" t="s">
        <v>806</v>
      </c>
      <c r="P38" s="52"/>
      <c r="Q38" s="52" t="s">
        <v>806</v>
      </c>
      <c r="R38" s="52"/>
      <c r="S38" s="52"/>
      <c r="T38" s="52"/>
      <c r="U38" s="52" t="s">
        <v>488</v>
      </c>
      <c r="V38" s="52"/>
      <c r="W38" s="52"/>
    </row>
    <row r="39" spans="1:47">
      <c r="A39" s="156" t="e">
        <f t="shared" si="2"/>
        <v>#REF!</v>
      </c>
      <c r="C39" s="52" t="s">
        <v>248</v>
      </c>
      <c r="D39" s="52" t="s">
        <v>224</v>
      </c>
      <c r="E39" s="52" t="s">
        <v>224</v>
      </c>
      <c r="F39" s="52" t="s">
        <v>224</v>
      </c>
      <c r="G39" s="52" t="s">
        <v>11</v>
      </c>
      <c r="H39" s="52" t="s">
        <v>219</v>
      </c>
      <c r="I39" s="52" t="s">
        <v>220</v>
      </c>
      <c r="J39" s="52" t="s">
        <v>249</v>
      </c>
      <c r="K39" s="52" t="s">
        <v>250</v>
      </c>
      <c r="L39" s="52" t="s">
        <v>251</v>
      </c>
      <c r="M39" s="52" t="s">
        <v>8</v>
      </c>
      <c r="N39" s="52" t="s">
        <v>252</v>
      </c>
      <c r="O39" s="343" t="s">
        <v>807</v>
      </c>
      <c r="P39" s="52" t="s">
        <v>137</v>
      </c>
      <c r="Q39" s="343" t="s">
        <v>807</v>
      </c>
      <c r="R39" s="52" t="s">
        <v>32</v>
      </c>
      <c r="S39" s="52" t="s">
        <v>808</v>
      </c>
      <c r="T39" s="52" t="s">
        <v>32</v>
      </c>
      <c r="U39" s="52" t="s">
        <v>141</v>
      </c>
      <c r="V39" s="52" t="s">
        <v>217</v>
      </c>
      <c r="W39" s="52" t="s">
        <v>809</v>
      </c>
    </row>
    <row r="40" spans="1:47">
      <c r="A40" s="156" t="e">
        <f t="shared" si="2"/>
        <v>#REF!</v>
      </c>
      <c r="B40" s="122" t="s">
        <v>134</v>
      </c>
      <c r="C40" s="122"/>
      <c r="D40" s="122" t="s">
        <v>134</v>
      </c>
      <c r="E40" s="122"/>
      <c r="F40" s="122" t="s">
        <v>134</v>
      </c>
      <c r="G40" s="122" t="s">
        <v>134</v>
      </c>
      <c r="H40" s="122" t="s">
        <v>134</v>
      </c>
      <c r="I40" s="122" t="s">
        <v>134</v>
      </c>
      <c r="J40" s="122" t="s">
        <v>134</v>
      </c>
      <c r="K40" s="122" t="s">
        <v>134</v>
      </c>
      <c r="L40" s="122" t="s">
        <v>134</v>
      </c>
      <c r="M40" s="122" t="s">
        <v>134</v>
      </c>
      <c r="N40" s="122" t="s">
        <v>134</v>
      </c>
      <c r="O40" s="52">
        <v>4.5000000000000003E-5</v>
      </c>
      <c r="P40" s="52"/>
      <c r="Q40" s="52" t="s">
        <v>810</v>
      </c>
      <c r="R40" s="52"/>
      <c r="S40" s="52" t="s">
        <v>471</v>
      </c>
      <c r="T40" s="52"/>
      <c r="U40" s="52">
        <v>4.5000000000000003E-5</v>
      </c>
      <c r="V40" s="52"/>
      <c r="W40" s="52" t="s">
        <v>811</v>
      </c>
    </row>
    <row r="41" spans="1:47">
      <c r="A41" s="156" t="e">
        <f t="shared" si="2"/>
        <v>#REF!</v>
      </c>
      <c r="G41" s="58">
        <v>244322125</v>
      </c>
      <c r="H41" s="112"/>
      <c r="I41" s="112"/>
      <c r="J41" s="112"/>
      <c r="L41" s="112"/>
      <c r="Q41" s="52" t="s">
        <v>812</v>
      </c>
      <c r="AI41" s="52"/>
    </row>
    <row r="42" spans="1:47">
      <c r="A42" s="156" t="e">
        <f t="shared" si="2"/>
        <v>#REF!</v>
      </c>
      <c r="B42" s="90">
        <v>45007</v>
      </c>
      <c r="C42" s="61"/>
      <c r="D42" s="58">
        <v>391565</v>
      </c>
      <c r="E42" s="58">
        <v>391565</v>
      </c>
      <c r="F42" s="58"/>
      <c r="G42" s="58">
        <v>278203891</v>
      </c>
      <c r="H42" s="112"/>
      <c r="I42" s="112">
        <v>13848399.119999999</v>
      </c>
      <c r="J42" s="35"/>
      <c r="K42" s="112"/>
      <c r="L42" s="112">
        <f t="shared" ref="L42:L53" si="3">SUM(H42:K42)</f>
        <v>13848399.119999999</v>
      </c>
      <c r="M42" s="112">
        <v>13878592.74</v>
      </c>
      <c r="N42" s="127">
        <f t="shared" ref="N42:N53" si="4">M42-L42</f>
        <v>30193.620000001043</v>
      </c>
      <c r="O42" s="117">
        <f t="shared" ref="O42:O52" si="5">ROUND(G41*$O$40,2)</f>
        <v>10994.5</v>
      </c>
      <c r="P42" s="117">
        <v>2614</v>
      </c>
      <c r="Q42" s="117">
        <v>646.92999999999995</v>
      </c>
      <c r="R42" s="348">
        <f t="shared" ref="R42:R51" si="6">SUM(O42:Q42)</f>
        <v>14255.43</v>
      </c>
      <c r="S42" s="348">
        <v>14413.51</v>
      </c>
      <c r="T42" s="348">
        <f t="shared" ref="T42:T51" si="7">R42+S42</f>
        <v>28668.940000000002</v>
      </c>
      <c r="U42" s="348">
        <f t="shared" ref="U42:U52" si="8">ROUND((G42-G41)*$U$40,2)</f>
        <v>1524.68</v>
      </c>
      <c r="V42" s="35">
        <f t="shared" ref="V42:V51" si="9">T42+U42</f>
        <v>30193.620000000003</v>
      </c>
      <c r="W42" s="35">
        <f t="shared" ref="W42:W51" si="10">V42-N42</f>
        <v>-1.0404619388282299E-9</v>
      </c>
      <c r="AI42" s="52"/>
    </row>
    <row r="43" spans="1:47">
      <c r="A43" s="156" t="e">
        <f t="shared" si="2"/>
        <v>#REF!</v>
      </c>
      <c r="B43" t="s">
        <v>476</v>
      </c>
      <c r="C43" s="61"/>
      <c r="D43" s="58">
        <v>388800</v>
      </c>
      <c r="E43" s="58">
        <v>388800</v>
      </c>
      <c r="F43" s="58"/>
      <c r="G43" s="58">
        <v>272301313</v>
      </c>
      <c r="H43" s="112"/>
      <c r="I43" s="112">
        <v>20806761.77</v>
      </c>
      <c r="J43" s="35"/>
      <c r="K43" s="112"/>
      <c r="L43" s="112">
        <f t="shared" si="3"/>
        <v>20806761.77</v>
      </c>
      <c r="M43" s="112">
        <v>20836809.07</v>
      </c>
      <c r="N43" s="127">
        <f t="shared" si="4"/>
        <v>30047.300000000745</v>
      </c>
      <c r="O43" s="117">
        <f t="shared" si="5"/>
        <v>12519.18</v>
      </c>
      <c r="P43" s="117">
        <v>2614</v>
      </c>
      <c r="Q43" s="117">
        <v>766.22</v>
      </c>
      <c r="R43" s="348">
        <f>SUM(O43:Q43)</f>
        <v>15899.4</v>
      </c>
      <c r="S43" s="348">
        <v>14413.51</v>
      </c>
      <c r="T43" s="348">
        <f>R43+S43</f>
        <v>30312.91</v>
      </c>
      <c r="U43" s="348">
        <f t="shared" si="8"/>
        <v>-265.62</v>
      </c>
      <c r="V43" s="35">
        <f>T43+U43</f>
        <v>30047.29</v>
      </c>
      <c r="W43" s="35">
        <f>V43-N43</f>
        <v>-1.0000000744184945E-2</v>
      </c>
      <c r="AI43" s="52"/>
    </row>
    <row r="44" spans="1:47">
      <c r="A44" s="156" t="e">
        <f t="shared" si="2"/>
        <v>#REF!</v>
      </c>
      <c r="B44" t="s">
        <v>477</v>
      </c>
      <c r="C44" s="61"/>
      <c r="D44" s="58">
        <v>392947</v>
      </c>
      <c r="E44" s="58">
        <v>392947</v>
      </c>
      <c r="F44" s="58"/>
      <c r="G44" s="58">
        <v>281542656</v>
      </c>
      <c r="H44" s="112"/>
      <c r="I44" s="112">
        <v>24021646.199999999</v>
      </c>
      <c r="J44" s="35"/>
      <c r="K44" s="112"/>
      <c r="L44" s="112">
        <f t="shared" si="3"/>
        <v>24021646.199999999</v>
      </c>
      <c r="M44" s="112">
        <v>24052476.609999999</v>
      </c>
      <c r="N44" s="127">
        <f t="shared" si="4"/>
        <v>30830.410000000149</v>
      </c>
      <c r="O44" s="117">
        <f t="shared" si="5"/>
        <v>12253.56</v>
      </c>
      <c r="P44" s="117">
        <v>2614</v>
      </c>
      <c r="Q44" s="117">
        <v>1133.48</v>
      </c>
      <c r="R44" s="348">
        <f t="shared" si="6"/>
        <v>16001.039999999999</v>
      </c>
      <c r="S44" s="348">
        <v>14413.51</v>
      </c>
      <c r="T44" s="348">
        <f t="shared" si="7"/>
        <v>30414.55</v>
      </c>
      <c r="U44" s="348">
        <f t="shared" si="8"/>
        <v>415.86</v>
      </c>
      <c r="V44" s="35">
        <f t="shared" si="9"/>
        <v>30830.41</v>
      </c>
      <c r="W44" s="35">
        <f t="shared" si="10"/>
        <v>-1.4915713109076023E-10</v>
      </c>
      <c r="AE44" s="44"/>
      <c r="AH44" s="44"/>
      <c r="AI44" s="52"/>
      <c r="AU44" s="44"/>
    </row>
    <row r="45" spans="1:47">
      <c r="A45" s="156" t="e">
        <f t="shared" si="2"/>
        <v>#REF!</v>
      </c>
      <c r="B45" t="s">
        <v>478</v>
      </c>
      <c r="C45" s="61"/>
      <c r="D45" s="58">
        <v>395021</v>
      </c>
      <c r="E45" s="58">
        <v>395021</v>
      </c>
      <c r="F45" s="58"/>
      <c r="G45" s="58">
        <v>245424547</v>
      </c>
      <c r="H45" s="112"/>
      <c r="I45" s="112">
        <v>26429749.800000001</v>
      </c>
      <c r="J45" s="35"/>
      <c r="K45" s="112"/>
      <c r="L45" s="112">
        <f t="shared" si="3"/>
        <v>26429749.800000001</v>
      </c>
      <c r="M45" s="112">
        <v>26457734.550000001</v>
      </c>
      <c r="N45" s="127">
        <f t="shared" si="4"/>
        <v>27984.75</v>
      </c>
      <c r="O45" s="117">
        <f t="shared" si="5"/>
        <v>12669.42</v>
      </c>
      <c r="P45" s="117">
        <v>2614</v>
      </c>
      <c r="Q45" s="117">
        <v>513.11</v>
      </c>
      <c r="R45" s="348">
        <f t="shared" si="6"/>
        <v>15796.53</v>
      </c>
      <c r="S45" s="348">
        <v>14413.51</v>
      </c>
      <c r="T45" s="348">
        <f t="shared" si="7"/>
        <v>30210.04</v>
      </c>
      <c r="U45" s="348">
        <f t="shared" si="8"/>
        <v>-1625.31</v>
      </c>
      <c r="V45" s="35">
        <f t="shared" si="9"/>
        <v>28584.73</v>
      </c>
      <c r="W45" s="35">
        <f t="shared" si="10"/>
        <v>599.97999999999956</v>
      </c>
      <c r="AE45" s="46"/>
      <c r="AH45" s="46"/>
      <c r="AI45" s="52"/>
      <c r="AU45" s="46"/>
    </row>
    <row r="46" spans="1:47">
      <c r="A46" s="156" t="e">
        <f t="shared" si="2"/>
        <v>#REF!</v>
      </c>
      <c r="B46" t="s">
        <v>479</v>
      </c>
      <c r="C46" s="61"/>
      <c r="D46" s="58">
        <v>283738</v>
      </c>
      <c r="E46" s="58">
        <v>283738</v>
      </c>
      <c r="F46" s="58"/>
      <c r="G46" s="58">
        <v>71047937</v>
      </c>
      <c r="H46" s="112"/>
      <c r="I46" s="112">
        <v>8660644.4199999999</v>
      </c>
      <c r="J46" s="35"/>
      <c r="K46" s="112"/>
      <c r="L46" s="112">
        <f t="shared" si="3"/>
        <v>8660644.4199999999</v>
      </c>
      <c r="M46" s="112">
        <v>8684433.0299999993</v>
      </c>
      <c r="N46" s="127">
        <f t="shared" si="4"/>
        <v>23788.609999999404</v>
      </c>
      <c r="O46" s="117">
        <f t="shared" si="5"/>
        <v>11044.1</v>
      </c>
      <c r="P46" s="117">
        <v>2614</v>
      </c>
      <c r="Q46" s="348">
        <v>786.77</v>
      </c>
      <c r="R46" s="348">
        <f t="shared" si="6"/>
        <v>14444.87</v>
      </c>
      <c r="S46" s="348">
        <v>17190.68</v>
      </c>
      <c r="T46" s="348">
        <f t="shared" si="7"/>
        <v>31635.550000000003</v>
      </c>
      <c r="U46" s="348">
        <f t="shared" si="8"/>
        <v>-7846.95</v>
      </c>
      <c r="V46" s="35">
        <f t="shared" si="9"/>
        <v>23788.600000000002</v>
      </c>
      <c r="W46" s="35">
        <f t="shared" si="10"/>
        <v>-9.999999401770765E-3</v>
      </c>
      <c r="AI46" s="52"/>
    </row>
    <row r="47" spans="1:47">
      <c r="A47" s="156" t="e">
        <f t="shared" si="2"/>
        <v>#REF!</v>
      </c>
      <c r="B47" t="s">
        <v>480</v>
      </c>
      <c r="C47" s="61"/>
      <c r="D47" s="58">
        <v>4608</v>
      </c>
      <c r="E47" s="58">
        <v>4608</v>
      </c>
      <c r="F47" s="58"/>
      <c r="G47" s="58">
        <v>2083719</v>
      </c>
      <c r="H47" s="112"/>
      <c r="I47" s="112">
        <v>1919243.32</v>
      </c>
      <c r="J47" s="35"/>
      <c r="K47" s="112"/>
      <c r="L47" s="112">
        <f t="shared" si="3"/>
        <v>1919243.32</v>
      </c>
      <c r="M47" s="112">
        <v>1939771.72</v>
      </c>
      <c r="N47" s="127">
        <f>M47-L47</f>
        <v>20528.399999999907</v>
      </c>
      <c r="O47" s="117">
        <f t="shared" si="5"/>
        <v>3197.16</v>
      </c>
      <c r="P47" s="117">
        <v>2614</v>
      </c>
      <c r="Q47" s="117">
        <v>629.95000000000005</v>
      </c>
      <c r="R47" s="348">
        <f t="shared" si="6"/>
        <v>6441.11</v>
      </c>
      <c r="S47" s="348">
        <v>17190.68</v>
      </c>
      <c r="T47" s="348">
        <f t="shared" si="7"/>
        <v>23631.79</v>
      </c>
      <c r="U47" s="348">
        <f t="shared" si="8"/>
        <v>-3103.39</v>
      </c>
      <c r="V47" s="35">
        <f t="shared" si="9"/>
        <v>20528.400000000001</v>
      </c>
      <c r="W47" s="35">
        <f t="shared" si="10"/>
        <v>9.4587448984384537E-11</v>
      </c>
      <c r="X47" s="46"/>
      <c r="Y47" s="46"/>
      <c r="Z47" s="46"/>
      <c r="AA47" s="46"/>
      <c r="AB47" s="46"/>
      <c r="AC47" s="46"/>
      <c r="AD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</row>
    <row r="48" spans="1:47">
      <c r="A48" s="156" t="e">
        <f t="shared" si="2"/>
        <v>#REF!</v>
      </c>
      <c r="B48" t="s">
        <v>481</v>
      </c>
      <c r="C48" s="61"/>
      <c r="D48" s="58">
        <v>2304</v>
      </c>
      <c r="E48" s="58">
        <v>2304</v>
      </c>
      <c r="F48" s="58"/>
      <c r="G48" s="58">
        <v>1299734</v>
      </c>
      <c r="H48" s="112"/>
      <c r="I48" s="112">
        <v>2068968.2</v>
      </c>
      <c r="J48" s="35"/>
      <c r="K48" s="112"/>
      <c r="L48" s="112">
        <f t="shared" si="3"/>
        <v>2068968.2</v>
      </c>
      <c r="M48" s="112">
        <v>2089382.86</v>
      </c>
      <c r="N48" s="127">
        <f t="shared" si="4"/>
        <v>20414.660000000149</v>
      </c>
      <c r="O48" s="117">
        <f t="shared" si="5"/>
        <v>93.77</v>
      </c>
      <c r="P48" s="117">
        <v>2614</v>
      </c>
      <c r="Q48" s="117">
        <v>551.49</v>
      </c>
      <c r="R48" s="348">
        <f t="shared" si="6"/>
        <v>3259.26</v>
      </c>
      <c r="S48" s="348">
        <v>17190.68</v>
      </c>
      <c r="T48" s="348">
        <f t="shared" si="7"/>
        <v>20449.940000000002</v>
      </c>
      <c r="U48" s="348">
        <f t="shared" si="8"/>
        <v>-35.28</v>
      </c>
      <c r="V48" s="35">
        <f t="shared" si="9"/>
        <v>20414.660000000003</v>
      </c>
      <c r="W48" s="35">
        <f t="shared" si="10"/>
        <v>-1.4551915228366852E-10</v>
      </c>
      <c r="X48" s="46"/>
      <c r="Y48" s="46"/>
      <c r="Z48" s="46"/>
      <c r="AA48" s="46"/>
      <c r="AB48" s="46"/>
      <c r="AC48" s="46"/>
      <c r="AD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</row>
    <row r="49" spans="1:46">
      <c r="A49" s="156" t="e">
        <f t="shared" si="2"/>
        <v>#REF!</v>
      </c>
      <c r="B49" t="s">
        <v>482</v>
      </c>
      <c r="C49" s="61"/>
      <c r="D49" s="58">
        <v>2304</v>
      </c>
      <c r="E49" s="58">
        <v>2304</v>
      </c>
      <c r="F49" s="58"/>
      <c r="G49" s="58">
        <v>1295016</v>
      </c>
      <c r="H49" s="112"/>
      <c r="I49" s="112">
        <v>1822003.1</v>
      </c>
      <c r="J49" s="35"/>
      <c r="K49" s="112"/>
      <c r="L49" s="112">
        <f t="shared" si="3"/>
        <v>1822003.1</v>
      </c>
      <c r="M49" s="112">
        <v>1842315.26</v>
      </c>
      <c r="N49" s="127">
        <f t="shared" si="4"/>
        <v>20312.159999999916</v>
      </c>
      <c r="O49" s="117">
        <f t="shared" si="5"/>
        <v>58.49</v>
      </c>
      <c r="P49" s="117">
        <v>2614</v>
      </c>
      <c r="Q49" s="117">
        <v>449.2</v>
      </c>
      <c r="R49" s="348">
        <f t="shared" si="6"/>
        <v>3121.6899999999996</v>
      </c>
      <c r="S49" s="348">
        <v>17190.68</v>
      </c>
      <c r="T49" s="348">
        <f t="shared" si="7"/>
        <v>20312.37</v>
      </c>
      <c r="U49" s="348">
        <f t="shared" si="8"/>
        <v>-0.21</v>
      </c>
      <c r="V49" s="35">
        <f t="shared" si="9"/>
        <v>20312.16</v>
      </c>
      <c r="W49" s="35">
        <f t="shared" si="10"/>
        <v>8.3673512563109398E-11</v>
      </c>
      <c r="X49" s="46"/>
      <c r="Y49" s="46"/>
      <c r="Z49" s="46"/>
      <c r="AA49" s="46"/>
      <c r="AB49" s="46"/>
      <c r="AC49" s="46"/>
      <c r="AD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</row>
    <row r="50" spans="1:46">
      <c r="A50" s="156" t="e">
        <f t="shared" si="2"/>
        <v>#REF!</v>
      </c>
      <c r="B50" t="s">
        <v>483</v>
      </c>
      <c r="C50" s="61"/>
      <c r="D50" s="58">
        <v>2419</v>
      </c>
      <c r="E50" s="58">
        <v>2419</v>
      </c>
      <c r="F50" s="58"/>
      <c r="G50" s="58">
        <v>1382656</v>
      </c>
      <c r="H50" s="112"/>
      <c r="I50" s="112">
        <v>1782028.14</v>
      </c>
      <c r="J50" s="35"/>
      <c r="K50" s="112"/>
      <c r="L50" s="112">
        <f t="shared" si="3"/>
        <v>1782028.14</v>
      </c>
      <c r="M50" s="112">
        <v>1808619.31</v>
      </c>
      <c r="N50" s="127">
        <f>M50-L50</f>
        <v>26591.170000000158</v>
      </c>
      <c r="O50" s="117">
        <f t="shared" si="5"/>
        <v>58.28</v>
      </c>
      <c r="P50" s="117">
        <v>2614</v>
      </c>
      <c r="Q50" s="117">
        <v>6724.27</v>
      </c>
      <c r="R50" s="348">
        <f t="shared" si="6"/>
        <v>9396.5500000000011</v>
      </c>
      <c r="S50" s="348">
        <v>17190.68</v>
      </c>
      <c r="T50" s="348">
        <f t="shared" si="7"/>
        <v>26587.230000000003</v>
      </c>
      <c r="U50" s="348">
        <f t="shared" si="8"/>
        <v>3.94</v>
      </c>
      <c r="V50" s="35">
        <f t="shared" si="9"/>
        <v>26591.170000000002</v>
      </c>
      <c r="W50" s="35">
        <f t="shared" si="10"/>
        <v>-1.5643308870494366E-10</v>
      </c>
      <c r="X50" s="46"/>
      <c r="Y50" s="46"/>
      <c r="Z50" s="46"/>
      <c r="AA50" s="46"/>
      <c r="AB50" s="46"/>
      <c r="AC50" s="46"/>
      <c r="AD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</row>
    <row r="51" spans="1:46">
      <c r="A51" s="156" t="e">
        <f t="shared" si="2"/>
        <v>#REF!</v>
      </c>
      <c r="B51" t="s">
        <v>484</v>
      </c>
      <c r="C51" s="61"/>
      <c r="D51" s="58">
        <v>2650</v>
      </c>
      <c r="E51" s="58">
        <v>2650</v>
      </c>
      <c r="F51" s="58"/>
      <c r="G51" s="58">
        <v>1504359</v>
      </c>
      <c r="H51" s="112"/>
      <c r="I51" s="112">
        <v>1331506.23</v>
      </c>
      <c r="J51" s="35"/>
      <c r="K51" s="112"/>
      <c r="L51" s="112">
        <f t="shared" si="3"/>
        <v>1331506.23</v>
      </c>
      <c r="M51" s="112">
        <v>1363060.36</v>
      </c>
      <c r="N51" s="127">
        <f t="shared" si="4"/>
        <v>31554.130000000121</v>
      </c>
      <c r="O51" s="117">
        <f t="shared" si="5"/>
        <v>62.22</v>
      </c>
      <c r="P51" s="117">
        <v>2614</v>
      </c>
      <c r="Q51" s="117">
        <v>11681.76</v>
      </c>
      <c r="R51" s="348">
        <f t="shared" si="6"/>
        <v>14357.98</v>
      </c>
      <c r="S51" s="348">
        <v>17190.68</v>
      </c>
      <c r="T51" s="348">
        <f t="shared" si="7"/>
        <v>31548.66</v>
      </c>
      <c r="U51" s="348">
        <f t="shared" si="8"/>
        <v>5.48</v>
      </c>
      <c r="V51" s="35">
        <f t="shared" si="9"/>
        <v>31554.14</v>
      </c>
      <c r="W51" s="35">
        <f t="shared" si="10"/>
        <v>9.9999998783459887E-3</v>
      </c>
      <c r="X51" s="46"/>
      <c r="Y51" s="46"/>
      <c r="Z51" s="46"/>
      <c r="AA51" s="46"/>
      <c r="AB51" s="46"/>
      <c r="AC51" s="46"/>
      <c r="AD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</row>
    <row r="52" spans="1:46" ht="15.75">
      <c r="A52" s="156" t="e">
        <f t="shared" si="2"/>
        <v>#REF!</v>
      </c>
      <c r="B52" s="90">
        <v>44949</v>
      </c>
      <c r="C52" s="61"/>
      <c r="D52" s="58">
        <v>2534</v>
      </c>
      <c r="E52" s="58">
        <v>2534</v>
      </c>
      <c r="F52" s="58"/>
      <c r="G52" s="58">
        <v>1492188</v>
      </c>
      <c r="H52" s="112"/>
      <c r="I52" s="112">
        <v>1815158.04</v>
      </c>
      <c r="J52" s="35"/>
      <c r="K52" s="112"/>
      <c r="L52" s="112">
        <f t="shared" si="3"/>
        <v>1815158.04</v>
      </c>
      <c r="M52" s="112">
        <v>1838617.63</v>
      </c>
      <c r="N52" s="127">
        <f t="shared" si="4"/>
        <v>23459.589999999851</v>
      </c>
      <c r="O52" s="117">
        <f t="shared" si="5"/>
        <v>67.7</v>
      </c>
      <c r="P52" s="117">
        <v>2614</v>
      </c>
      <c r="Q52" s="117">
        <v>3587.75</v>
      </c>
      <c r="R52" s="348">
        <f>SUM(O52:Q52)</f>
        <v>6269.45</v>
      </c>
      <c r="S52" s="348">
        <v>17190.68</v>
      </c>
      <c r="T52" s="348">
        <f>R52+S52</f>
        <v>23460.13</v>
      </c>
      <c r="U52" s="348">
        <f t="shared" si="8"/>
        <v>-0.55000000000000004</v>
      </c>
      <c r="V52" s="35">
        <f>T52+U52</f>
        <v>23459.58</v>
      </c>
      <c r="W52" s="412">
        <f>V52-N52</f>
        <v>-9.9999998492421582E-3</v>
      </c>
      <c r="X52" s="117">
        <f>+[1]Aleris!W56+[1]Tyson!W56+[1]KC!W56+[1]Domtar!W56+[1]Alcoa!W56+'[1]spare 5'!W56+[1]Precoat!W56+[1]Accuride!W56+[1]AMG!W56+'[1]spare 3'!W56+[1]Hartshorne!W56+[1]Dotiki!W56+[1]Hopkins!W56+[1]Pennyrile!W56+[1]Southwire!W56+'[1]spare 4'!W56+[1]Azteca!W56+'[1]C''wealth Rolled'!W56+'[1]Rough Creek'!W56+'[1]Sebree KMMC'!W56+'[1]Sebree Steamport'!W56+'[1]KY Res - Dock'!W56+'[1]KY Res - Equality'!W56+'[1]KY Res - Lewis Crk'!W56+'[1]KY Res - Midway'!W56</f>
        <v>0</v>
      </c>
      <c r="Y52" s="46">
        <f>+[1]Aleris!X56+[1]Tyson!X56+[1]KC!X56+[1]Domtar!X56+[1]Alcoa!X56+'[1]spare 5'!X56+[1]Precoat!X56+[1]Accuride!X56+[1]AMG!X56+'[1]spare 3'!X56+[1]Hartshorne!X56+[1]Dotiki!X56+[1]Hopkins!X56+[1]Pennyrile!X56+[1]Southwire!X56+'[1]spare 4'!X56+[1]Azteca!X56+'[1]C''wealth Rolled'!X56+'[1]Rough Creek'!X56+'[1]Sebree KMMC'!X56+'[1]Sebree Steamport'!X56+'[1]KY Res - Dock'!X56+'[1]KY Res - Equality'!X56+'[1]KY Res - Lewis Crk'!X56+'[1]KY Res - Midway'!X56</f>
        <v>0</v>
      </c>
      <c r="Z52" s="46">
        <f>G52-'[1]Century - Hawesville'!F56-'[1]Century - Sebree'!F56-Y52</f>
        <v>1492188</v>
      </c>
      <c r="AA52" s="117">
        <f>+[1]Aleris!Z56+[1]Tyson!Z56+[1]KC!Z56+[1]Domtar!Z56+[1]Alcoa!Z56+'[1]spare 5'!Z56+[1]Precoat!Z56+[1]Accuride!Z56+[1]AMG!Z56+'[1]spare 3'!Z56+[1]Hartshorne!Z56+[1]Dotiki!Z56+[1]Hopkins!Z56+[1]Pennyrile!Z56+[1]Southwire!Z56+'[1]spare 4'!Z56+[1]Azteca!Z56+'[1]C''wealth Rolled'!Z56+'[1]Rough Creek'!Z56+'[1]Sebree KMMC'!Z56+'[1]Sebree Steamport'!Z56+'[1]KY Res - Dock'!Z56+'[1]KY Res - Equality'!Z56+'[1]KY Res - Lewis Crk'!Z56+'[1]KY Res - Midway'!Z56</f>
        <v>0</v>
      </c>
      <c r="AB52" s="412">
        <f>+[1]Aleris!AA56+[1]Tyson!AA56+[1]KC!AA56+[1]Domtar!AA56+[1]Alcoa!AA56+'[1]spare 5'!AA56+[1]Precoat!AA56+[1]Accuride!AA56+[1]AMG!AA56+'[1]spare 3'!AA56+[1]Hartshorne!AA56+[1]Dotiki!AA56+[1]Hopkins!AA56+[1]Pennyrile!AA56+[1]Southwire!AA56+'[1]spare 4'!AA56+[1]Azteca!AA56+'[1]C''wealth Rolled'!AA56+'[1]Rough Creek'!AA56+'[1]Sebree KMMC'!AA56+'[1]Sebree Steamport'!AA56+'[1]KY Res - Dock'!AA56+'[1]KY Res - Equality'!AA56+'[1]KY Res - Lewis Crk'!AA56+'[1]KY Res - Midway'!AA56</f>
        <v>0</v>
      </c>
      <c r="AC52" s="46">
        <f>+[1]Aleris!AB56+[1]Tyson!AB56+[1]KC!AB56+[1]Domtar!AB56+[1]Alcoa!AB56+'[1]spare 5'!AB56+[1]Precoat!AB56+[1]Accuride!AB56+[1]AMG!AB56+'[1]spare 3'!AB56+[1]Hartshorne!AB56+[1]Dotiki!AB56+[1]Hopkins!AB56+[1]Pennyrile!AB56+[1]Southwire!AB56+'[1]spare 4'!AB56+[1]Azteca!AB56+'[1]C''wealth Rolled'!AB56+'[1]Rough Creek'!AB56+'[1]Sebree KMMC'!AB56+'[1]Sebree Steamport'!AB56+'[1]KY Res - Dock'!AB56+'[1]KY Res - Equality'!AB56+'[1]KY Res - Lewis Crk'!AB56+'[1]KY Res - Midway'!AB56</f>
        <v>0</v>
      </c>
      <c r="AD52" s="117">
        <f>+[1]Aleris!AC56+[1]Tyson!AC56+[1]KC!AC56+[1]Domtar!AC56+[1]Alcoa!AC56+'[1]spare 5'!AC56+[1]Precoat!AC56+[1]Accuride!AC56+[1]AMG!AC56+'[1]spare 3'!AC56+[1]Hartshorne!AC56+[1]Dotiki!AC56+[1]Hopkins!AC56+[1]Pennyrile!AC56+[1]Southwire!AC56+'[1]spare 4'!AC56+[1]Azteca!AC56+'[1]C''wealth Rolled'!AC56+'[1]Rough Creek'!AC56+'[1]Sebree KMMC'!AC56+'[1]Sebree Steamport'!AC56+'[1]KY Res - Dock'!AC56+'[1]KY Res - Equality'!AC56+'[1]KY Res - Lewis Crk'!AC56+'[1]KY Res - Midway'!AC56</f>
        <v>0</v>
      </c>
      <c r="AE52" s="117">
        <f>+[1]Aleris!AD56+[1]Tyson!AD56+[1]KC!AD56+[1]Domtar!AD56+[1]Alcoa!AD56+'[1]spare 5'!AD56+[1]Precoat!AD56+[1]Accuride!AD56+[1]AMG!AD56+'[1]spare 3'!AD56+[1]Hartshorne!AD56+[1]Dotiki!AD56+[1]Hopkins!AD56+[1]Pennyrile!AD56+[1]Southwire!AD56+'[1]spare 4'!AD56+[1]Azteca!AD56+'[1]C''wealth Rolled'!AD56+'[1]Rough Creek'!AD56+'[1]Sebree KMMC'!AD56+'[1]Sebree Steamport'!AD56+'[1]KY Res - Dock'!AD56+'[1]KY Res - Equality'!AD56+'[1]KY Res - Lewis Crk'!AD56+'[1]KY Res - Midway'!AD56</f>
        <v>0</v>
      </c>
      <c r="AF52" s="412">
        <f>AD52+AE52+X52-N52+'[1]Century - Hawesville'!M56+'[1]Century - Sebree'!M56</f>
        <v>-23459.589999999851</v>
      </c>
      <c r="AG52" s="413">
        <f>'[1]Century - Hawesville'!V56+'[1]Century - Sebree'!V56</f>
        <v>0</v>
      </c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</row>
    <row r="53" spans="1:46" ht="15.75">
      <c r="A53" s="156" t="e">
        <f t="shared" si="2"/>
        <v>#REF!</v>
      </c>
      <c r="B53" s="90">
        <v>44980</v>
      </c>
      <c r="C53" s="61"/>
      <c r="D53" s="58">
        <v>2650</v>
      </c>
      <c r="E53" s="58">
        <v>2650</v>
      </c>
      <c r="F53" s="58"/>
      <c r="G53" s="58">
        <v>1358156</v>
      </c>
      <c r="H53" s="112"/>
      <c r="I53" s="112">
        <v>1622815.01</v>
      </c>
      <c r="J53" s="35"/>
      <c r="K53" s="112"/>
      <c r="L53" s="112">
        <f t="shared" si="3"/>
        <v>1622815.01</v>
      </c>
      <c r="M53" s="112">
        <v>1645141.57</v>
      </c>
      <c r="N53" s="127">
        <f t="shared" si="4"/>
        <v>22326.560000000056</v>
      </c>
      <c r="O53" s="117">
        <f>ROUND(G52*$O$40,2)</f>
        <v>67.150000000000006</v>
      </c>
      <c r="P53" s="117">
        <v>2614</v>
      </c>
      <c r="Q53" s="117">
        <v>2460.77</v>
      </c>
      <c r="R53" s="348">
        <f t="shared" ref="R53" si="11">SUM(O53:Q53)</f>
        <v>5141.92</v>
      </c>
      <c r="S53" s="348">
        <v>17190.68</v>
      </c>
      <c r="T53" s="348">
        <f t="shared" ref="T53" si="12">R53+S53</f>
        <v>22332.6</v>
      </c>
      <c r="U53" s="348">
        <f>ROUND((G53-G52)*$U$40,2)</f>
        <v>-6.03</v>
      </c>
      <c r="V53" s="35">
        <f>T53+U53</f>
        <v>22326.57</v>
      </c>
      <c r="W53" s="412">
        <f>V53-N53</f>
        <v>9.9999999438296072E-3</v>
      </c>
      <c r="X53" s="117">
        <f>+[1]Aleris!W57+[1]Tyson!W57+[1]KC!W57+[1]Domtar!W57+[1]Alcoa!W57+'[1]spare 5'!W57+[1]Precoat!W57+[1]Accuride!W57+[1]AMG!W57+'[1]spare 3'!W57+[1]Hartshorne!W57+[1]Dotiki!W57+[1]Hopkins!W57+[1]Pennyrile!W57+[1]Southwire!W57+'[1]spare 4'!W57+[1]Azteca!W57+'[1]C''wealth Rolled'!W57+'[1]Rough Creek'!W57+'[1]Sebree KMMC'!W57+'[1]Sebree Steamport'!W57+'[1]KY Res - Dock'!W57+'[1]KY Res - Equality'!W57+'[1]KY Res - Lewis Crk'!W57+'[1]KY Res - Midway'!W57</f>
        <v>0</v>
      </c>
      <c r="Y53" s="46">
        <f>+[1]Aleris!X57+[1]Tyson!X57+[1]KC!X57+[1]Domtar!X57+[1]Alcoa!X57+'[1]spare 5'!X57+[1]Precoat!X57+[1]Accuride!X57+[1]AMG!X57+'[1]spare 3'!X57+[1]Hartshorne!X57+[1]Dotiki!X57+[1]Hopkins!X57+[1]Pennyrile!X57+[1]Southwire!X57+'[1]spare 4'!X57+[1]Azteca!X57+'[1]C''wealth Rolled'!X57+'[1]Rough Creek'!X57+'[1]Sebree KMMC'!X57+'[1]Sebree Steamport'!X57+'[1]KY Res - Dock'!X57+'[1]KY Res - Equality'!X57+'[1]KY Res - Lewis Crk'!X57+'[1]KY Res - Midway'!X57</f>
        <v>0</v>
      </c>
      <c r="Z53" s="46">
        <f>+[1]Aleris!Y57+[1]Tyson!Y57+[1]KC!Y57+[1]Domtar!Y57+[1]Alcoa!Y57+'[1]spare 5'!Y57+[1]Precoat!Y57+[1]Accuride!Y57+[1]AMG!Y57+'[1]spare 3'!Y57+[1]Hartshorne!Y57+[1]Dotiki!Y57+[1]Hopkins!Y57+[1]Pennyrile!Y57+[1]Southwire!Y57+'[1]spare 4'!Y57+[1]Azteca!Y57+'[1]C''wealth Rolled'!Y57+'[1]Rough Creek'!Y57+'[1]Sebree KMMC'!Y57+'[1]Sebree Steamport'!Y57+'[1]KY Res - Dock'!Y57+'[1]KY Res - Equality'!Y57+'[1]KY Res - Lewis Crk'!Y57+'[1]KY Res - Midway'!Y57</f>
        <v>0</v>
      </c>
      <c r="AA53" s="117">
        <f>+[1]Aleris!Z57+[1]Tyson!Z57+[1]KC!Z57+[1]Domtar!Z57+[1]Alcoa!Z57+'[1]spare 5'!Z57+[1]Precoat!Z57+[1]Accuride!Z57+[1]AMG!Z57+'[1]spare 3'!Z57+[1]Hartshorne!Z57+[1]Dotiki!Z57+[1]Hopkins!Z57+[1]Pennyrile!Z57+[1]Southwire!Z57+'[1]spare 4'!Z57+[1]Azteca!Z57+'[1]C''wealth Rolled'!Z57+'[1]Rough Creek'!Z57+'[1]Sebree KMMC'!Z57+'[1]Sebree Steamport'!Z57+'[1]KY Res - Dock'!Z57+'[1]KY Res - Equality'!Z57+'[1]KY Res - Lewis Crk'!Z57+'[1]KY Res - Midway'!Z57</f>
        <v>0</v>
      </c>
      <c r="AB53" s="412">
        <f>+[1]Aleris!AA57+[1]Tyson!AA57+[1]KC!AA57+[1]Domtar!AA57+[1]Alcoa!AA57+'[1]spare 5'!AA57+[1]Precoat!AA57+[1]Accuride!AA57+[1]AMG!AA57+'[1]spare 3'!AA57+[1]Hartshorne!AA57+[1]Dotiki!AA57+[1]Hopkins!AA57+[1]Pennyrile!AA57+[1]Southwire!AA57+'[1]spare 4'!AA57+[1]Azteca!AA57+'[1]C''wealth Rolled'!AA57+'[1]Rough Creek'!AA57+'[1]Sebree KMMC'!AA57+'[1]Sebree Steamport'!AA57+'[1]KY Res - Dock'!AA57+'[1]KY Res - Equality'!AA57+'[1]KY Res - Lewis Crk'!AA57+'[1]KY Res - Midway'!AA57</f>
        <v>0</v>
      </c>
      <c r="AC53" s="46">
        <f>+[1]Aleris!AB57+[1]Tyson!AB57+[1]KC!AB57+[1]Domtar!AB57+[1]Alcoa!AB57+'[1]spare 5'!AB57+[1]Precoat!AB57+[1]Accuride!AB57+[1]AMG!AB57+'[1]spare 3'!AB57+[1]Hartshorne!AB57+[1]Dotiki!AB57+[1]Hopkins!AB57+[1]Pennyrile!AB57+[1]Southwire!AB57+'[1]spare 4'!AB57+[1]Azteca!AB57+'[1]C''wealth Rolled'!AB57+'[1]Rough Creek'!AB57+'[1]Sebree KMMC'!AB57+'[1]Sebree Steamport'!AB57+'[1]KY Res - Dock'!AB57+'[1]KY Res - Equality'!AB57+'[1]KY Res - Lewis Crk'!AB57+'[1]KY Res - Midway'!AB57</f>
        <v>0</v>
      </c>
      <c r="AD53" s="117">
        <f>+[1]Aleris!AC57+[1]Tyson!AC57+[1]KC!AC57+[1]Domtar!AC57+[1]Alcoa!AC57+'[1]spare 5'!AC57+[1]Precoat!AC57+[1]Accuride!AC57+[1]AMG!AC57+'[1]spare 3'!AC57+[1]Hartshorne!AC57+[1]Dotiki!AC57+[1]Hopkins!AC57+[1]Pennyrile!AC57+[1]Southwire!AC57+'[1]spare 4'!AC57+[1]Azteca!AC57+'[1]C''wealth Rolled'!AC57+'[1]Rough Creek'!AC57+'[1]Sebree KMMC'!AC57+'[1]Sebree Steamport'!AC57+'[1]KY Res - Dock'!AC57+'[1]KY Res - Equality'!AC57+'[1]KY Res - Lewis Crk'!AC57+'[1]KY Res - Midway'!AC57</f>
        <v>0</v>
      </c>
      <c r="AE53" s="117">
        <f>+[1]Aleris!AD57+[1]Tyson!AD57+[1]KC!AD57+[1]Domtar!AD57+[1]Alcoa!AD57+'[1]spare 5'!AD57+[1]Precoat!AD57+[1]Accuride!AD57+[1]AMG!AD57+'[1]spare 3'!AD57+[1]Hartshorne!AD57+[1]Dotiki!AD57+[1]Hopkins!AD57+[1]Pennyrile!AD57+[1]Southwire!AD57+'[1]spare 4'!AD57+[1]Azteca!AD57+'[1]C''wealth Rolled'!AD57+'[1]Rough Creek'!AD57+'[1]Sebree KMMC'!AD57+'[1]Sebree Steamport'!AD57+'[1]KY Res - Dock'!AD57+'[1]KY Res - Equality'!AD57+'[1]KY Res - Lewis Crk'!AD57+'[1]KY Res - Midway'!AD57</f>
        <v>0</v>
      </c>
      <c r="AF53" s="412">
        <f>AD53+AE53+X53-N53+'[1]Century - Hawesville'!M57+'[1]Century - Sebree'!M57</f>
        <v>-22326.560000000056</v>
      </c>
      <c r="AG53" s="413">
        <f>'[1]Century - Hawesville'!V57+'[1]Century - Sebree'!V57</f>
        <v>0</v>
      </c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</row>
    <row r="54" spans="1:46">
      <c r="A54" s="156" t="e">
        <f t="shared" si="2"/>
        <v>#REF!</v>
      </c>
      <c r="D54" s="124" t="s">
        <v>134</v>
      </c>
      <c r="E54" s="124"/>
      <c r="F54" s="124" t="s">
        <v>134</v>
      </c>
      <c r="G54" s="124" t="s">
        <v>134</v>
      </c>
      <c r="H54" s="125" t="s">
        <v>134</v>
      </c>
      <c r="I54" s="125" t="s">
        <v>134</v>
      </c>
      <c r="J54" s="125" t="s">
        <v>134</v>
      </c>
      <c r="K54" s="122" t="s">
        <v>134</v>
      </c>
      <c r="L54" s="125" t="s">
        <v>134</v>
      </c>
      <c r="M54" s="125" t="s">
        <v>134</v>
      </c>
      <c r="N54" s="411" t="s">
        <v>134</v>
      </c>
      <c r="Q54" s="117"/>
      <c r="X54" s="44"/>
      <c r="Y54" s="44"/>
      <c r="Z54" s="44"/>
      <c r="AA54" s="44"/>
      <c r="AB54" s="44"/>
      <c r="AC54" s="44"/>
      <c r="AD54" s="44"/>
      <c r="AG54" s="26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</row>
    <row r="55" spans="1:46">
      <c r="A55" s="156" t="e">
        <f t="shared" si="2"/>
        <v>#REF!</v>
      </c>
      <c r="D55" s="58"/>
      <c r="E55" s="58"/>
      <c r="F55" s="58"/>
      <c r="G55" s="58"/>
      <c r="H55" s="112"/>
      <c r="I55" s="112"/>
      <c r="J55" s="112"/>
      <c r="L55" s="112"/>
      <c r="M55" s="112"/>
      <c r="N55" s="127"/>
      <c r="X55" s="44"/>
      <c r="Y55" s="44"/>
      <c r="Z55" s="44"/>
      <c r="AA55" s="44"/>
      <c r="AB55" s="44"/>
      <c r="AC55" s="44"/>
      <c r="AD55" s="44"/>
      <c r="AG55" s="26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</row>
    <row r="56" spans="1:46">
      <c r="A56" s="156" t="e">
        <f t="shared" si="2"/>
        <v>#REF!</v>
      </c>
      <c r="D56" s="58">
        <f>SUM(D42:D53)</f>
        <v>1871540</v>
      </c>
      <c r="E56" s="58">
        <f t="shared" ref="E56:K56" si="13">SUM(E42:E53)</f>
        <v>1871540</v>
      </c>
      <c r="F56" s="58">
        <f t="shared" si="13"/>
        <v>0</v>
      </c>
      <c r="G56" s="58">
        <f t="shared" si="13"/>
        <v>1158936172</v>
      </c>
      <c r="H56" s="58">
        <f t="shared" si="13"/>
        <v>0</v>
      </c>
      <c r="I56" s="58">
        <f t="shared" si="13"/>
        <v>106128923.35000001</v>
      </c>
      <c r="J56" s="58">
        <f t="shared" si="13"/>
        <v>0</v>
      </c>
      <c r="K56" s="58">
        <f t="shared" si="13"/>
        <v>0</v>
      </c>
      <c r="L56" s="112">
        <f>SUM(L42:L53)</f>
        <v>106128923.35000001</v>
      </c>
      <c r="M56" s="112">
        <f>SUM(M42:M53)</f>
        <v>106436954.70999999</v>
      </c>
      <c r="N56" s="112">
        <f>SUM(N42:N53)</f>
        <v>308031.3600000015</v>
      </c>
      <c r="O56" s="112">
        <f t="shared" ref="O56:W56" si="14">SUM(O42:O53)</f>
        <v>63085.529999999992</v>
      </c>
      <c r="P56" s="112">
        <f t="shared" si="14"/>
        <v>31368</v>
      </c>
      <c r="Q56" s="112">
        <f t="shared" si="14"/>
        <v>29931.7</v>
      </c>
      <c r="R56" s="112">
        <f t="shared" si="14"/>
        <v>124385.23</v>
      </c>
      <c r="S56" s="112">
        <f t="shared" si="14"/>
        <v>195179.47999999995</v>
      </c>
      <c r="T56" s="112">
        <f t="shared" si="14"/>
        <v>319564.70999999996</v>
      </c>
      <c r="U56" s="112">
        <f t="shared" si="14"/>
        <v>-10933.38</v>
      </c>
      <c r="V56" s="112">
        <f t="shared" si="14"/>
        <v>308631.33</v>
      </c>
      <c r="W56" s="112">
        <f t="shared" si="14"/>
        <v>599.96999999851323</v>
      </c>
      <c r="X56" s="44"/>
      <c r="Y56" s="44"/>
      <c r="Z56" s="44"/>
      <c r="AA56" s="44"/>
      <c r="AB56" s="44"/>
      <c r="AC56" s="44"/>
      <c r="AD56" s="44"/>
      <c r="AG56" s="26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</row>
    <row r="57" spans="1:46">
      <c r="A57" s="156" t="e">
        <f t="shared" si="2"/>
        <v>#REF!</v>
      </c>
      <c r="D57" s="124" t="s">
        <v>229</v>
      </c>
      <c r="E57" s="124"/>
      <c r="F57" s="124" t="s">
        <v>229</v>
      </c>
      <c r="G57" s="124" t="s">
        <v>229</v>
      </c>
      <c r="H57" s="125" t="s">
        <v>229</v>
      </c>
      <c r="I57" s="125" t="s">
        <v>229</v>
      </c>
      <c r="J57" s="125" t="s">
        <v>229</v>
      </c>
      <c r="K57" s="125" t="s">
        <v>229</v>
      </c>
      <c r="L57" s="125" t="s">
        <v>229</v>
      </c>
      <c r="M57" s="125" t="s">
        <v>229</v>
      </c>
      <c r="N57" s="411" t="s">
        <v>229</v>
      </c>
      <c r="O57" s="125" t="s">
        <v>229</v>
      </c>
      <c r="P57" s="125" t="s">
        <v>229</v>
      </c>
      <c r="Q57" s="125" t="s">
        <v>229</v>
      </c>
      <c r="R57" s="125" t="s">
        <v>229</v>
      </c>
      <c r="S57" s="125" t="s">
        <v>229</v>
      </c>
      <c r="T57" s="125" t="s">
        <v>229</v>
      </c>
      <c r="U57" s="125" t="s">
        <v>229</v>
      </c>
      <c r="V57" s="125" t="s">
        <v>229</v>
      </c>
      <c r="W57" s="125" t="s">
        <v>229</v>
      </c>
      <c r="X57" s="44"/>
      <c r="Y57" s="44"/>
      <c r="Z57" s="44"/>
      <c r="AA57" s="44"/>
      <c r="AB57" s="44"/>
      <c r="AC57" s="44"/>
      <c r="AD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</row>
    <row r="58" spans="1:46">
      <c r="A58" s="156" t="e">
        <f t="shared" si="2"/>
        <v>#REF!</v>
      </c>
      <c r="K58" s="26"/>
      <c r="L58" s="29"/>
      <c r="M58" s="341"/>
      <c r="N58" s="44"/>
      <c r="Q58" s="26"/>
      <c r="R58" s="44"/>
      <c r="S58" s="44"/>
      <c r="T58" s="340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G58" s="26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</row>
    <row r="59" spans="1:46">
      <c r="A59" s="156" t="e">
        <f t="shared" si="2"/>
        <v>#REF!</v>
      </c>
      <c r="L59" s="29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</row>
    <row r="60" spans="1:46" ht="18">
      <c r="A60" s="156" t="e">
        <f t="shared" si="2"/>
        <v>#REF!</v>
      </c>
      <c r="B60" s="414" t="s">
        <v>813</v>
      </c>
      <c r="C60" s="336"/>
      <c r="L60" s="29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</row>
    <row r="61" spans="1:46">
      <c r="A61" s="156" t="e">
        <f t="shared" si="2"/>
        <v>#REF!</v>
      </c>
      <c r="G61" s="46">
        <v>259932938</v>
      </c>
      <c r="L61" s="29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</row>
    <row r="62" spans="1:46">
      <c r="A62" s="156" t="e">
        <f t="shared" si="2"/>
        <v>#REF!</v>
      </c>
      <c r="B62" s="90">
        <v>45007</v>
      </c>
      <c r="C62" s="61"/>
      <c r="D62" s="58">
        <v>393638</v>
      </c>
      <c r="E62" s="58">
        <v>393638</v>
      </c>
      <c r="F62" s="58"/>
      <c r="G62" s="58">
        <v>286948063</v>
      </c>
      <c r="H62" s="112"/>
      <c r="I62" s="112">
        <v>14558519.220000001</v>
      </c>
      <c r="J62" s="39">
        <f t="shared" ref="J62:J71" si="15">SUM(D86:I86)</f>
        <v>0</v>
      </c>
      <c r="K62" s="112"/>
      <c r="L62" s="112">
        <f t="shared" ref="L62:L71" si="16">SUM(H62:K62)</f>
        <v>14558519.220000001</v>
      </c>
      <c r="M62" s="112">
        <v>14590054.109999999</v>
      </c>
      <c r="N62" s="112">
        <f t="shared" ref="N62:N72" si="17">M62-L62</f>
        <v>31534.889999998733</v>
      </c>
      <c r="O62" s="117">
        <f>ROUND(G61*$O$40,2)</f>
        <v>11696.98</v>
      </c>
      <c r="P62" s="117">
        <v>2614</v>
      </c>
      <c r="Q62" s="117">
        <v>662.94</v>
      </c>
      <c r="R62" s="348">
        <f t="shared" ref="R62:R71" si="18">SUM(O62:Q62)</f>
        <v>14973.92</v>
      </c>
      <c r="S62" s="348">
        <v>15345.29</v>
      </c>
      <c r="T62" s="348">
        <f t="shared" ref="T62:T71" si="19">R62+S62</f>
        <v>30319.21</v>
      </c>
      <c r="U62" s="348">
        <f>ROUND((G62-G61)*$U$40,2)</f>
        <v>1215.68</v>
      </c>
      <c r="V62" s="35">
        <f t="shared" ref="V62:V71" si="20">T62+U62</f>
        <v>31534.89</v>
      </c>
      <c r="W62" s="35">
        <f t="shared" ref="W62:W71" si="21">V62-N62</f>
        <v>1.2660166248679161E-9</v>
      </c>
      <c r="X62" s="44"/>
      <c r="Y62" s="44"/>
      <c r="Z62" s="44"/>
      <c r="AA62" s="44"/>
      <c r="AB62" s="44"/>
      <c r="AC62" s="44"/>
      <c r="AD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</row>
    <row r="63" spans="1:46">
      <c r="A63" s="156" t="e">
        <f t="shared" si="2"/>
        <v>#REF!</v>
      </c>
      <c r="B63" t="s">
        <v>476</v>
      </c>
      <c r="C63" s="61"/>
      <c r="D63" s="58">
        <v>398045</v>
      </c>
      <c r="E63" s="58">
        <v>398045</v>
      </c>
      <c r="F63" s="58"/>
      <c r="G63" s="58">
        <v>276847000</v>
      </c>
      <c r="H63" s="112"/>
      <c r="I63" s="112">
        <v>21688510.109999999</v>
      </c>
      <c r="J63" s="39">
        <f t="shared" si="15"/>
        <v>0</v>
      </c>
      <c r="K63" s="112"/>
      <c r="L63" s="112">
        <f t="shared" si="16"/>
        <v>21688510.109999999</v>
      </c>
      <c r="M63" s="112">
        <v>21719708.48</v>
      </c>
      <c r="N63" s="112">
        <f t="shared" si="17"/>
        <v>31198.370000001043</v>
      </c>
      <c r="O63" s="117">
        <f t="shared" ref="O63:O73" si="22">ROUND(G62*$O$40,2)</f>
        <v>12912.66</v>
      </c>
      <c r="P63" s="117">
        <v>2614</v>
      </c>
      <c r="Q63" s="117">
        <v>780.96</v>
      </c>
      <c r="R63" s="348">
        <f t="shared" si="18"/>
        <v>16307.619999999999</v>
      </c>
      <c r="S63" s="348">
        <v>15345.29</v>
      </c>
      <c r="T63" s="348">
        <f t="shared" si="19"/>
        <v>31652.91</v>
      </c>
      <c r="U63" s="348">
        <f t="shared" ref="U63:U73" si="23">ROUND((G63-G62)*$U$40,2)</f>
        <v>-454.55</v>
      </c>
      <c r="V63" s="35">
        <f t="shared" si="20"/>
        <v>31198.36</v>
      </c>
      <c r="W63" s="35">
        <f t="shared" si="21"/>
        <v>-1.0000001042499207E-2</v>
      </c>
      <c r="X63" s="44"/>
      <c r="Y63" s="44"/>
      <c r="Z63" s="44"/>
      <c r="AA63" s="44"/>
      <c r="AB63" s="44"/>
      <c r="AC63" s="44"/>
      <c r="AD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</row>
    <row r="64" spans="1:46">
      <c r="A64" s="156" t="e">
        <f t="shared" si="2"/>
        <v>#REF!</v>
      </c>
      <c r="B64" t="s">
        <v>477</v>
      </c>
      <c r="C64" s="61"/>
      <c r="D64" s="58">
        <v>391997</v>
      </c>
      <c r="E64" s="58">
        <v>391997</v>
      </c>
      <c r="F64" s="58"/>
      <c r="G64" s="58">
        <v>285800688</v>
      </c>
      <c r="H64" s="112"/>
      <c r="I64" s="112">
        <v>26226985.489999998</v>
      </c>
      <c r="J64" s="39">
        <f t="shared" si="15"/>
        <v>0</v>
      </c>
      <c r="K64" s="112"/>
      <c r="L64" s="112">
        <f t="shared" si="16"/>
        <v>26226985.489999998</v>
      </c>
      <c r="M64" s="112">
        <v>26258956.91</v>
      </c>
      <c r="N64" s="112">
        <f t="shared" si="17"/>
        <v>31971.420000001788</v>
      </c>
      <c r="O64" s="117">
        <f t="shared" si="22"/>
        <v>12458.12</v>
      </c>
      <c r="P64" s="117">
        <v>2614</v>
      </c>
      <c r="Q64" s="117">
        <v>1151.0999999999999</v>
      </c>
      <c r="R64" s="348">
        <f t="shared" si="18"/>
        <v>16223.220000000001</v>
      </c>
      <c r="S64" s="348">
        <v>15345.29</v>
      </c>
      <c r="T64" s="348">
        <f t="shared" si="19"/>
        <v>31568.510000000002</v>
      </c>
      <c r="U64" s="348">
        <f t="shared" si="23"/>
        <v>402.92</v>
      </c>
      <c r="V64" s="35">
        <f t="shared" si="20"/>
        <v>31971.43</v>
      </c>
      <c r="W64" s="35">
        <f t="shared" si="21"/>
        <v>9.999998212151695E-3</v>
      </c>
      <c r="X64" s="44"/>
      <c r="Y64" s="44"/>
      <c r="Z64" s="44"/>
      <c r="AA64" s="44"/>
      <c r="AB64" s="44"/>
      <c r="AC64" s="44"/>
      <c r="AD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</row>
    <row r="65" spans="1:47">
      <c r="A65" s="156" t="e">
        <f t="shared" si="2"/>
        <v>#REF!</v>
      </c>
      <c r="B65" t="s">
        <v>478</v>
      </c>
      <c r="C65" s="61"/>
      <c r="D65" s="58">
        <v>390442</v>
      </c>
      <c r="E65" s="58">
        <v>390442</v>
      </c>
      <c r="F65" s="58"/>
      <c r="G65" s="58">
        <v>272332250</v>
      </c>
      <c r="H65" s="112"/>
      <c r="I65" s="112">
        <v>30937534.079999998</v>
      </c>
      <c r="J65" s="39">
        <f t="shared" si="15"/>
        <v>0</v>
      </c>
      <c r="K65" s="112"/>
      <c r="L65" s="112">
        <f t="shared" si="16"/>
        <v>30937534.079999998</v>
      </c>
      <c r="M65" s="112">
        <v>30967656.670000002</v>
      </c>
      <c r="N65" s="112">
        <f t="shared" si="17"/>
        <v>30122.590000003576</v>
      </c>
      <c r="O65" s="117">
        <f t="shared" si="22"/>
        <v>12861.03</v>
      </c>
      <c r="P65" s="117">
        <v>2614</v>
      </c>
      <c r="Q65" s="117">
        <v>508.35</v>
      </c>
      <c r="R65" s="348">
        <f>SUM(O65:Q65)</f>
        <v>15983.380000000001</v>
      </c>
      <c r="S65" s="348">
        <v>15345.29</v>
      </c>
      <c r="T65" s="348">
        <f>R65+S65</f>
        <v>31328.670000000002</v>
      </c>
      <c r="U65" s="348">
        <f t="shared" si="23"/>
        <v>-606.08000000000004</v>
      </c>
      <c r="V65" s="35">
        <f>T65+U65</f>
        <v>30722.59</v>
      </c>
      <c r="W65" s="35">
        <f>V65-N65</f>
        <v>599.99999999642387</v>
      </c>
      <c r="X65" s="44"/>
      <c r="Y65" s="44"/>
      <c r="Z65" s="44"/>
      <c r="AA65" s="44"/>
      <c r="AB65" s="44"/>
      <c r="AC65" s="44"/>
      <c r="AD65" s="44"/>
      <c r="AH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</row>
    <row r="66" spans="1:47">
      <c r="A66" s="156" t="e">
        <f t="shared" si="2"/>
        <v>#REF!</v>
      </c>
      <c r="B66" t="s">
        <v>479</v>
      </c>
      <c r="C66" s="61"/>
      <c r="D66" s="58">
        <v>387418</v>
      </c>
      <c r="E66" s="58">
        <v>387418</v>
      </c>
      <c r="F66" s="58"/>
      <c r="G66" s="58">
        <v>278343000</v>
      </c>
      <c r="H66" s="112"/>
      <c r="I66" s="112">
        <v>27375529.32</v>
      </c>
      <c r="J66" s="39">
        <f t="shared" si="15"/>
        <v>0</v>
      </c>
      <c r="K66" s="112"/>
      <c r="L66" s="112">
        <f>SUM(H66:K66)</f>
        <v>27375529.32</v>
      </c>
      <c r="M66" s="112">
        <v>27410005.129999999</v>
      </c>
      <c r="N66" s="112">
        <f t="shared" si="17"/>
        <v>34475.809999998659</v>
      </c>
      <c r="O66" s="117">
        <f t="shared" si="22"/>
        <v>12254.95</v>
      </c>
      <c r="P66" s="117">
        <v>2614</v>
      </c>
      <c r="Q66" s="348">
        <v>789.22</v>
      </c>
      <c r="R66" s="348">
        <f t="shared" si="18"/>
        <v>15658.17</v>
      </c>
      <c r="S66" s="348">
        <v>18547.150000000001</v>
      </c>
      <c r="T66" s="348">
        <f t="shared" si="19"/>
        <v>34205.32</v>
      </c>
      <c r="U66" s="348">
        <f t="shared" si="23"/>
        <v>270.48</v>
      </c>
      <c r="V66" s="35">
        <f t="shared" si="20"/>
        <v>34475.800000000003</v>
      </c>
      <c r="W66" s="35">
        <f t="shared" si="21"/>
        <v>-9.9999986559851095E-3</v>
      </c>
      <c r="X66" s="44"/>
      <c r="Y66" s="44"/>
      <c r="Z66" s="44"/>
      <c r="AA66" s="44"/>
      <c r="AB66" s="44"/>
      <c r="AC66" s="44"/>
      <c r="AD66" s="44"/>
      <c r="AH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</row>
    <row r="67" spans="1:47">
      <c r="A67" s="156" t="e">
        <f t="shared" si="2"/>
        <v>#REF!</v>
      </c>
      <c r="B67" t="s">
        <v>480</v>
      </c>
      <c r="C67" s="61"/>
      <c r="D67" s="58">
        <v>385776</v>
      </c>
      <c r="E67" s="58">
        <v>385776</v>
      </c>
      <c r="F67" s="58"/>
      <c r="G67" s="58">
        <v>279440438</v>
      </c>
      <c r="H67" s="112"/>
      <c r="I67" s="112">
        <v>29168331.050000001</v>
      </c>
      <c r="J67" s="39">
        <f t="shared" si="15"/>
        <v>0</v>
      </c>
      <c r="K67" s="112"/>
      <c r="L67" s="112">
        <f t="shared" si="16"/>
        <v>29168331.050000001</v>
      </c>
      <c r="M67" s="112">
        <v>29202719.59</v>
      </c>
      <c r="N67" s="112">
        <f t="shared" si="17"/>
        <v>34388.539999999106</v>
      </c>
      <c r="O67" s="117">
        <f t="shared" si="22"/>
        <v>12525.44</v>
      </c>
      <c r="P67" s="117">
        <v>2614</v>
      </c>
      <c r="Q67" s="117">
        <v>652.57000000000005</v>
      </c>
      <c r="R67" s="348">
        <f t="shared" si="18"/>
        <v>15792.01</v>
      </c>
      <c r="S67" s="348">
        <v>18547.150000000001</v>
      </c>
      <c r="T67" s="348">
        <f t="shared" si="19"/>
        <v>34339.160000000003</v>
      </c>
      <c r="U67" s="348">
        <f t="shared" si="23"/>
        <v>49.38</v>
      </c>
      <c r="V67" s="35">
        <f t="shared" si="20"/>
        <v>34388.54</v>
      </c>
      <c r="W67" s="35">
        <f t="shared" si="21"/>
        <v>8.9494278654456139E-10</v>
      </c>
      <c r="X67" s="44"/>
      <c r="Y67" s="44"/>
      <c r="Z67" s="44"/>
      <c r="AA67" s="44"/>
      <c r="AB67" s="44"/>
      <c r="AC67" s="44"/>
      <c r="AD67" s="44"/>
      <c r="AH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</row>
    <row r="68" spans="1:47">
      <c r="A68" s="156" t="e">
        <f t="shared" si="2"/>
        <v>#REF!</v>
      </c>
      <c r="B68" t="s">
        <v>481</v>
      </c>
      <c r="C68" s="61"/>
      <c r="D68" s="58">
        <v>387418</v>
      </c>
      <c r="E68" s="58">
        <v>387418</v>
      </c>
      <c r="F68" s="58"/>
      <c r="G68" s="58">
        <v>273160064</v>
      </c>
      <c r="H68" s="112"/>
      <c r="I68" s="112">
        <v>27719521.34</v>
      </c>
      <c r="J68" s="39">
        <f t="shared" si="15"/>
        <v>0</v>
      </c>
      <c r="K68" s="112"/>
      <c r="L68" s="112">
        <f t="shared" si="16"/>
        <v>27719521.34</v>
      </c>
      <c r="M68" s="112">
        <v>27753710.469999999</v>
      </c>
      <c r="N68" s="112">
        <f t="shared" si="17"/>
        <v>34189.129999998957</v>
      </c>
      <c r="O68" s="117">
        <f t="shared" si="22"/>
        <v>12574.82</v>
      </c>
      <c r="P68" s="117">
        <v>2614</v>
      </c>
      <c r="Q68" s="117">
        <v>735.78</v>
      </c>
      <c r="R68" s="348">
        <f t="shared" si="18"/>
        <v>15924.6</v>
      </c>
      <c r="S68" s="348">
        <v>18547.150000000001</v>
      </c>
      <c r="T68" s="348">
        <f t="shared" si="19"/>
        <v>34471.75</v>
      </c>
      <c r="U68" s="348">
        <f t="shared" si="23"/>
        <v>-282.62</v>
      </c>
      <c r="V68" s="35">
        <f t="shared" si="20"/>
        <v>34189.129999999997</v>
      </c>
      <c r="W68" s="35">
        <f t="shared" si="21"/>
        <v>1.0404619388282299E-9</v>
      </c>
      <c r="X68" s="44"/>
      <c r="Y68" s="44"/>
      <c r="Z68" s="44"/>
      <c r="AA68" s="44"/>
      <c r="AB68" s="44"/>
      <c r="AC68" s="44"/>
      <c r="AD68" s="44"/>
      <c r="AH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7">
      <c r="A69" s="156" t="e">
        <f t="shared" si="2"/>
        <v>#REF!</v>
      </c>
      <c r="B69" t="s">
        <v>482</v>
      </c>
      <c r="C69" s="61"/>
      <c r="D69" s="58">
        <v>389059</v>
      </c>
      <c r="E69" s="58">
        <v>389059</v>
      </c>
      <c r="F69" s="58"/>
      <c r="G69" s="58">
        <v>282701535</v>
      </c>
      <c r="H69" s="112"/>
      <c r="I69" s="112">
        <v>18056858.539999999</v>
      </c>
      <c r="J69" s="39">
        <f t="shared" si="15"/>
        <v>0</v>
      </c>
      <c r="K69" s="112"/>
      <c r="L69" s="112">
        <f t="shared" si="16"/>
        <v>18056858.539999999</v>
      </c>
      <c r="M69" s="112">
        <v>18091537.039999999</v>
      </c>
      <c r="N69" s="112">
        <f t="shared" si="17"/>
        <v>34678.5</v>
      </c>
      <c r="O69" s="117">
        <f t="shared" si="22"/>
        <v>12292.2</v>
      </c>
      <c r="P69" s="117">
        <v>2614</v>
      </c>
      <c r="Q69" s="117">
        <v>795.78</v>
      </c>
      <c r="R69" s="348">
        <f t="shared" si="18"/>
        <v>15701.980000000001</v>
      </c>
      <c r="S69" s="348">
        <v>18547.150000000001</v>
      </c>
      <c r="T69" s="348">
        <f t="shared" si="19"/>
        <v>34249.130000000005</v>
      </c>
      <c r="U69" s="348">
        <f t="shared" si="23"/>
        <v>429.37</v>
      </c>
      <c r="V69" s="35">
        <f t="shared" si="20"/>
        <v>34678.500000000007</v>
      </c>
      <c r="W69" s="35">
        <f t="shared" si="21"/>
        <v>0</v>
      </c>
      <c r="X69" s="44"/>
      <c r="Y69" s="44"/>
      <c r="Z69" s="44"/>
      <c r="AA69" s="44"/>
      <c r="AB69" s="44"/>
      <c r="AC69" s="44"/>
      <c r="AD69" s="44"/>
      <c r="AG69" s="26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7">
      <c r="A70" s="156" t="e">
        <f t="shared" si="2"/>
        <v>#REF!</v>
      </c>
      <c r="B70" t="s">
        <v>483</v>
      </c>
      <c r="C70" s="61"/>
      <c r="D70" s="58">
        <v>389405</v>
      </c>
      <c r="E70" s="58">
        <v>389405</v>
      </c>
      <c r="F70" s="58"/>
      <c r="G70" s="58">
        <v>275239766</v>
      </c>
      <c r="H70" s="112"/>
      <c r="I70" s="112">
        <v>17539257.84</v>
      </c>
      <c r="J70" s="39">
        <f t="shared" si="15"/>
        <v>0</v>
      </c>
      <c r="K70" s="112"/>
      <c r="L70" s="112">
        <f t="shared" si="16"/>
        <v>17539257.84</v>
      </c>
      <c r="M70" s="112">
        <v>17580184.300000001</v>
      </c>
      <c r="N70" s="112">
        <f t="shared" si="17"/>
        <v>40926.460000000894</v>
      </c>
      <c r="O70" s="117">
        <f t="shared" si="22"/>
        <v>12721.57</v>
      </c>
      <c r="P70" s="117">
        <v>2614</v>
      </c>
      <c r="Q70" s="117">
        <v>7379.52</v>
      </c>
      <c r="R70" s="348">
        <f t="shared" si="18"/>
        <v>22715.09</v>
      </c>
      <c r="S70" s="348">
        <v>18547.150000000001</v>
      </c>
      <c r="T70" s="348">
        <f t="shared" si="19"/>
        <v>41262.240000000005</v>
      </c>
      <c r="U70" s="348">
        <f t="shared" si="23"/>
        <v>-335.78</v>
      </c>
      <c r="V70" s="35">
        <f t="shared" si="20"/>
        <v>40926.460000000006</v>
      </c>
      <c r="W70" s="35">
        <f t="shared" si="21"/>
        <v>-8.8766682893037796E-10</v>
      </c>
      <c r="X70" s="44"/>
      <c r="Y70" s="44"/>
      <c r="Z70" s="44"/>
      <c r="AA70" s="44"/>
      <c r="AB70" s="44"/>
      <c r="AC70" s="44"/>
      <c r="AD70" s="44"/>
      <c r="AE70" s="44"/>
      <c r="AF70" s="25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>
      <c r="A71" s="156" t="e">
        <f t="shared" si="2"/>
        <v>#REF!</v>
      </c>
      <c r="B71" t="s">
        <v>484</v>
      </c>
      <c r="C71" s="61"/>
      <c r="D71" s="58">
        <v>389146</v>
      </c>
      <c r="E71" s="58">
        <v>389146</v>
      </c>
      <c r="F71" s="58"/>
      <c r="G71" s="58">
        <v>280885375</v>
      </c>
      <c r="H71" s="112"/>
      <c r="I71" s="112">
        <v>22865328.420000002</v>
      </c>
      <c r="J71" s="39">
        <f t="shared" si="15"/>
        <v>0</v>
      </c>
      <c r="K71" s="112"/>
      <c r="L71" s="112">
        <f t="shared" si="16"/>
        <v>22865328.420000002</v>
      </c>
      <c r="M71" s="112">
        <v>22911058.82</v>
      </c>
      <c r="N71" s="112">
        <f t="shared" si="17"/>
        <v>45730.39999999851</v>
      </c>
      <c r="O71" s="117">
        <f t="shared" si="22"/>
        <v>12385.79</v>
      </c>
      <c r="P71" s="117">
        <v>2614</v>
      </c>
      <c r="Q71" s="117">
        <v>11929.41</v>
      </c>
      <c r="R71" s="348">
        <f t="shared" si="18"/>
        <v>26929.200000000001</v>
      </c>
      <c r="S71" s="348">
        <v>18547.150000000001</v>
      </c>
      <c r="T71" s="348">
        <f t="shared" si="19"/>
        <v>45476.350000000006</v>
      </c>
      <c r="U71" s="348">
        <f t="shared" si="23"/>
        <v>254.05</v>
      </c>
      <c r="V71" s="35">
        <f t="shared" si="20"/>
        <v>45730.400000000009</v>
      </c>
      <c r="W71" s="35">
        <f t="shared" si="21"/>
        <v>1.4988472685217857E-9</v>
      </c>
      <c r="X71" s="44"/>
      <c r="Y71" s="44"/>
      <c r="Z71" s="44"/>
      <c r="AA71" s="44"/>
      <c r="AB71" s="44"/>
      <c r="AC71" s="44"/>
      <c r="AD71" s="44"/>
      <c r="AH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7">
      <c r="A72" s="156" t="e">
        <f t="shared" si="2"/>
        <v>#REF!</v>
      </c>
      <c r="B72" s="90">
        <v>44949</v>
      </c>
      <c r="C72" s="61"/>
      <c r="D72" s="58">
        <v>388627</v>
      </c>
      <c r="E72" s="58">
        <v>388627</v>
      </c>
      <c r="F72" s="58"/>
      <c r="G72" s="58">
        <v>280323281</v>
      </c>
      <c r="H72" s="112"/>
      <c r="I72" s="112">
        <v>12657353.51</v>
      </c>
      <c r="J72" s="39">
        <f t="shared" ref="J72:J73" si="24">SUM(D94:I94)</f>
        <v>0</v>
      </c>
      <c r="K72" s="112"/>
      <c r="L72" s="112">
        <f>SUM(H72:K72)</f>
        <v>12657353.51</v>
      </c>
      <c r="M72" s="112">
        <v>12695177.34</v>
      </c>
      <c r="N72" s="112">
        <f t="shared" si="17"/>
        <v>37823.830000000075</v>
      </c>
      <c r="O72" s="117">
        <f t="shared" si="22"/>
        <v>12639.84</v>
      </c>
      <c r="P72" s="117">
        <v>2614</v>
      </c>
      <c r="Q72" s="117">
        <v>4048.13</v>
      </c>
      <c r="R72" s="348">
        <f>SUM(O72:Q72)</f>
        <v>19301.97</v>
      </c>
      <c r="S72" s="348">
        <v>18547.150000000001</v>
      </c>
      <c r="T72" s="348">
        <f>R72+S72</f>
        <v>37849.120000000003</v>
      </c>
      <c r="U72" s="348">
        <f t="shared" si="23"/>
        <v>-25.29</v>
      </c>
      <c r="V72" s="35">
        <f>T72+U72</f>
        <v>37823.83</v>
      </c>
      <c r="W72" s="412">
        <f>V72-N72</f>
        <v>-7.2759576141834259E-11</v>
      </c>
      <c r="X72" s="44"/>
      <c r="Y72" s="44"/>
      <c r="Z72" s="44"/>
      <c r="AA72" s="44"/>
      <c r="AB72" s="44"/>
      <c r="AC72" s="44"/>
      <c r="AD72" s="44"/>
      <c r="AH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7">
      <c r="A73" s="156" t="e">
        <f t="shared" si="2"/>
        <v>#REF!</v>
      </c>
      <c r="B73" s="90">
        <v>44980</v>
      </c>
      <c r="C73" s="61"/>
      <c r="D73" s="58">
        <v>390010</v>
      </c>
      <c r="E73" s="58">
        <v>39010</v>
      </c>
      <c r="F73" s="58"/>
      <c r="G73" s="58">
        <v>257094031</v>
      </c>
      <c r="H73" s="112"/>
      <c r="I73" s="112">
        <v>10540091.92</v>
      </c>
      <c r="J73" s="39">
        <f t="shared" si="24"/>
        <v>0</v>
      </c>
      <c r="K73" s="112"/>
      <c r="L73" s="112">
        <f t="shared" ref="L73" si="25">SUM(H73:K73)</f>
        <v>10540091.92</v>
      </c>
      <c r="M73" s="112">
        <v>10575524.529999999</v>
      </c>
      <c r="N73" s="112">
        <f>M73-L73</f>
        <v>35432.609999999404</v>
      </c>
      <c r="O73" s="117">
        <f t="shared" si="22"/>
        <v>12614.55</v>
      </c>
      <c r="P73" s="117">
        <v>2614</v>
      </c>
      <c r="Q73" s="117">
        <v>2702.23</v>
      </c>
      <c r="R73" s="348">
        <f t="shared" ref="R73" si="26">SUM(O73:Q73)</f>
        <v>17930.78</v>
      </c>
      <c r="S73" s="348">
        <v>18547.150000000001</v>
      </c>
      <c r="T73" s="348">
        <f t="shared" ref="T73" si="27">R73+S73</f>
        <v>36477.93</v>
      </c>
      <c r="U73" s="348">
        <f t="shared" si="23"/>
        <v>-1045.32</v>
      </c>
      <c r="V73" s="35">
        <f t="shared" ref="V73" si="28">T73+U73</f>
        <v>35432.61</v>
      </c>
      <c r="W73" s="412">
        <f>V73-N73</f>
        <v>5.9662852436304092E-10</v>
      </c>
      <c r="X73" s="44"/>
      <c r="Y73" s="44"/>
      <c r="Z73" s="44"/>
      <c r="AA73" s="44"/>
      <c r="AB73" s="44"/>
      <c r="AC73" s="44"/>
      <c r="AD73" s="44"/>
      <c r="AH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7">
      <c r="A74" s="156" t="e">
        <f t="shared" si="2"/>
        <v>#REF!</v>
      </c>
      <c r="D74" s="124" t="s">
        <v>134</v>
      </c>
      <c r="E74" s="124"/>
      <c r="F74" s="124" t="s">
        <v>134</v>
      </c>
      <c r="G74" s="124" t="s">
        <v>134</v>
      </c>
      <c r="H74" s="125" t="s">
        <v>134</v>
      </c>
      <c r="I74" s="125" t="s">
        <v>134</v>
      </c>
      <c r="J74" s="125" t="s">
        <v>134</v>
      </c>
      <c r="K74" s="122" t="s">
        <v>134</v>
      </c>
      <c r="L74" s="125" t="s">
        <v>134</v>
      </c>
      <c r="M74" s="125" t="s">
        <v>134</v>
      </c>
      <c r="N74" s="125" t="s">
        <v>134</v>
      </c>
      <c r="Q74" s="117"/>
      <c r="X74" s="44"/>
      <c r="Y74" s="44"/>
      <c r="Z74" s="44"/>
      <c r="AA74" s="44"/>
      <c r="AB74" s="44"/>
      <c r="AC74" s="44"/>
      <c r="AD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7">
      <c r="A75" s="156" t="e">
        <f t="shared" si="2"/>
        <v>#REF!</v>
      </c>
      <c r="D75" s="58"/>
      <c r="E75" s="58"/>
      <c r="F75" s="58"/>
      <c r="G75" s="58"/>
      <c r="H75" s="112"/>
      <c r="I75" s="112"/>
      <c r="J75" s="112"/>
      <c r="L75" s="112"/>
      <c r="M75" s="112"/>
      <c r="N75" s="112"/>
      <c r="AH75" s="44"/>
    </row>
    <row r="76" spans="1:47">
      <c r="A76" s="156" t="e">
        <f t="shared" si="2"/>
        <v>#REF!</v>
      </c>
      <c r="D76" s="58">
        <f>SUM(D60:D73)</f>
        <v>4680981</v>
      </c>
      <c r="E76" s="58">
        <f t="shared" ref="E76:I76" si="29">SUM(E60:E73)</f>
        <v>4329981</v>
      </c>
      <c r="F76" s="58">
        <f t="shared" si="29"/>
        <v>0</v>
      </c>
      <c r="G76" s="117">
        <f>SUM(G62:G73)</f>
        <v>3329115491</v>
      </c>
      <c r="H76" s="58">
        <f t="shared" si="29"/>
        <v>0</v>
      </c>
      <c r="I76" s="115">
        <f t="shared" si="29"/>
        <v>259333820.84</v>
      </c>
      <c r="J76" s="112">
        <f t="shared" ref="J76:K76" si="30">SUM(J60:J71)</f>
        <v>0</v>
      </c>
      <c r="K76" s="112">
        <f t="shared" si="30"/>
        <v>0</v>
      </c>
      <c r="L76" s="30">
        <f>SUM(L60:L73)</f>
        <v>259333820.84</v>
      </c>
      <c r="M76" s="30">
        <f t="shared" ref="M76:W76" si="31">SUM(M60:M73)</f>
        <v>259756293.38999999</v>
      </c>
      <c r="N76" s="30">
        <f t="shared" si="31"/>
        <v>422472.55000000075</v>
      </c>
      <c r="O76" s="30">
        <f t="shared" si="31"/>
        <v>149937.94999999998</v>
      </c>
      <c r="P76" s="30">
        <f t="shared" si="31"/>
        <v>31368</v>
      </c>
      <c r="Q76" s="30">
        <f t="shared" si="31"/>
        <v>32135.989999999998</v>
      </c>
      <c r="R76" s="30">
        <f t="shared" si="31"/>
        <v>213441.94</v>
      </c>
      <c r="S76" s="30">
        <f t="shared" si="31"/>
        <v>209758.35999999996</v>
      </c>
      <c r="T76" s="30">
        <f t="shared" si="31"/>
        <v>423200.3</v>
      </c>
      <c r="U76" s="30">
        <f t="shared" si="31"/>
        <v>-127.75999999999976</v>
      </c>
      <c r="V76" s="30">
        <f t="shared" si="31"/>
        <v>423072.5400000001</v>
      </c>
      <c r="W76" s="30">
        <f t="shared" si="31"/>
        <v>599.989999999274</v>
      </c>
      <c r="X76" s="44"/>
      <c r="Y76" s="44"/>
      <c r="Z76" s="44"/>
      <c r="AA76" s="44"/>
      <c r="AB76" s="44"/>
      <c r="AC76" s="44"/>
      <c r="AD76" s="44"/>
      <c r="AH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7">
      <c r="A77" s="156" t="e">
        <f t="shared" si="2"/>
        <v>#REF!</v>
      </c>
      <c r="D77" s="124" t="s">
        <v>229</v>
      </c>
      <c r="E77" s="124"/>
      <c r="F77" s="124" t="s">
        <v>229</v>
      </c>
      <c r="G77" s="124" t="s">
        <v>229</v>
      </c>
      <c r="H77" s="125" t="s">
        <v>229</v>
      </c>
      <c r="I77" s="125" t="s">
        <v>229</v>
      </c>
      <c r="J77" s="125" t="s">
        <v>229</v>
      </c>
      <c r="K77" s="125" t="s">
        <v>229</v>
      </c>
      <c r="L77" s="125" t="s">
        <v>229</v>
      </c>
      <c r="M77" s="125" t="s">
        <v>229</v>
      </c>
      <c r="N77" s="125" t="s">
        <v>229</v>
      </c>
      <c r="O77" s="125" t="s">
        <v>229</v>
      </c>
      <c r="P77" s="125" t="s">
        <v>229</v>
      </c>
      <c r="Q77" s="125" t="s">
        <v>229</v>
      </c>
      <c r="R77" s="125" t="s">
        <v>229</v>
      </c>
      <c r="S77" s="125" t="s">
        <v>229</v>
      </c>
      <c r="T77" s="125" t="s">
        <v>229</v>
      </c>
      <c r="U77" s="125" t="s">
        <v>229</v>
      </c>
      <c r="V77" s="125" t="s">
        <v>229</v>
      </c>
      <c r="W77" s="125" t="s">
        <v>229</v>
      </c>
      <c r="X77" s="44"/>
      <c r="Y77" s="44"/>
      <c r="Z77" s="44"/>
      <c r="AA77" s="44"/>
      <c r="AB77" s="44"/>
      <c r="AC77" s="44"/>
      <c r="AD77" s="44"/>
      <c r="AH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</row>
    <row r="78" spans="1:47">
      <c r="G78" s="46"/>
      <c r="L78" s="29"/>
      <c r="R78" s="44"/>
      <c r="T78" s="30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H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</row>
    <row r="79" spans="1:47">
      <c r="L79" s="29">
        <f>L56+L76</f>
        <v>365462744.19</v>
      </c>
      <c r="M79" s="29">
        <f>M56+M76</f>
        <v>366193248.09999996</v>
      </c>
      <c r="N79" s="112">
        <f>N56+N76</f>
        <v>730503.91000000224</v>
      </c>
      <c r="O79" s="112">
        <f t="shared" ref="O79:W79" si="32">O56+O76</f>
        <v>213023.47999999998</v>
      </c>
      <c r="P79" s="112">
        <f t="shared" si="32"/>
        <v>62736</v>
      </c>
      <c r="Q79" s="112">
        <f t="shared" si="32"/>
        <v>62067.69</v>
      </c>
      <c r="R79" s="112">
        <f t="shared" si="32"/>
        <v>337827.17</v>
      </c>
      <c r="S79" s="112">
        <f t="shared" si="32"/>
        <v>404937.83999999991</v>
      </c>
      <c r="T79" s="112">
        <f t="shared" si="32"/>
        <v>742765.01</v>
      </c>
      <c r="U79" s="112">
        <f t="shared" si="32"/>
        <v>-11061.14</v>
      </c>
      <c r="V79" s="112">
        <f t="shared" si="32"/>
        <v>731703.87000000011</v>
      </c>
      <c r="W79" s="112">
        <f t="shared" si="32"/>
        <v>1199.9599999977872</v>
      </c>
      <c r="X79" s="44"/>
      <c r="Y79" s="44"/>
      <c r="Z79" s="44"/>
      <c r="AA79" s="44"/>
      <c r="AB79" s="44"/>
      <c r="AC79" s="44"/>
      <c r="AD79" s="44"/>
      <c r="AH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</row>
    <row r="80" spans="1:47">
      <c r="G80" s="35"/>
      <c r="L80" s="29"/>
      <c r="O80" s="112">
        <f>U79</f>
        <v>-11061.14</v>
      </c>
      <c r="Q80" s="112">
        <f>W79</f>
        <v>1199.9599999977872</v>
      </c>
      <c r="R80" s="44"/>
      <c r="T80" s="30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H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</row>
    <row r="81" spans="5:47">
      <c r="E81" s="155"/>
      <c r="G81" s="26"/>
      <c r="K81" s="26"/>
      <c r="L81" s="26"/>
      <c r="M81" s="26"/>
      <c r="N81" s="26"/>
      <c r="O81" s="35">
        <f>O79+O80</f>
        <v>201962.33999999997</v>
      </c>
      <c r="P81" s="26"/>
      <c r="Q81" s="26">
        <f>Q79-Q80</f>
        <v>60867.730000002215</v>
      </c>
      <c r="R81" s="26"/>
      <c r="S81" s="26"/>
      <c r="T81" s="30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H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</row>
    <row r="82" spans="5:47">
      <c r="L82" s="29"/>
      <c r="N82" s="30"/>
      <c r="O82" s="30">
        <f>F13</f>
        <v>201962.32483500001</v>
      </c>
      <c r="P82" s="29">
        <f>F14</f>
        <v>62736</v>
      </c>
      <c r="Q82" s="29">
        <f>F16</f>
        <v>60867.730000002208</v>
      </c>
      <c r="R82" s="44"/>
      <c r="S82" s="29">
        <f>F15</f>
        <v>404937.83999999991</v>
      </c>
      <c r="Y82" s="44"/>
      <c r="AB82" s="44"/>
      <c r="AH82" s="44"/>
      <c r="AO82" s="44"/>
      <c r="AR82" s="44"/>
      <c r="AS82" s="44"/>
    </row>
    <row r="83" spans="5:47">
      <c r="G83" s="35"/>
      <c r="L83" s="44"/>
      <c r="N83" s="26"/>
      <c r="O83" s="30">
        <f>O81-O82</f>
        <v>1.5164999960688874E-2</v>
      </c>
      <c r="P83" s="26">
        <f>P82-P79</f>
        <v>0</v>
      </c>
      <c r="Q83" s="26">
        <f>Q82-Q81</f>
        <v>0</v>
      </c>
      <c r="R83" s="44"/>
      <c r="S83" s="26">
        <f>S82-S79</f>
        <v>0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H83" s="44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</row>
  </sheetData>
  <mergeCells count="9">
    <mergeCell ref="J28:L28"/>
    <mergeCell ref="J6:L6"/>
    <mergeCell ref="D6:F6"/>
    <mergeCell ref="G6:I6"/>
    <mergeCell ref="B1:L1"/>
    <mergeCell ref="B2:L2"/>
    <mergeCell ref="B3:L3"/>
    <mergeCell ref="J21:L21"/>
    <mergeCell ref="J27:L27"/>
  </mergeCells>
  <phoneticPr fontId="10" type="noConversion"/>
  <pageMargins left="0.25" right="0.25" top="0.75" bottom="0.75" header="0.3" footer="0.3"/>
  <pageSetup orientation="landscape" r:id="rId1"/>
  <headerFooter alignWithMargins="0">
    <oddFooter>&amp;C&amp;12Exhibit 9, Page 10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215"/>
  <sheetViews>
    <sheetView workbookViewId="0">
      <selection activeCell="A3" sqref="A3:J3"/>
    </sheetView>
  </sheetViews>
  <sheetFormatPr defaultRowHeight="12.75"/>
  <cols>
    <col min="2" max="2" width="37.140625" bestFit="1" customWidth="1"/>
    <col min="3" max="4" width="15.140625" bestFit="1" customWidth="1"/>
    <col min="5" max="5" width="14.5703125" bestFit="1" customWidth="1"/>
    <col min="6" max="6" width="14" customWidth="1"/>
    <col min="7" max="7" width="16" bestFit="1" customWidth="1"/>
    <col min="8" max="8" width="16.28515625" customWidth="1"/>
    <col min="9" max="9" width="20.140625" bestFit="1" customWidth="1"/>
    <col min="10" max="10" width="20.140625" customWidth="1"/>
    <col min="11" max="11" width="13.5703125" bestFit="1" customWidth="1"/>
    <col min="12" max="12" width="15.5703125" bestFit="1" customWidth="1"/>
    <col min="13" max="13" width="18.7109375" bestFit="1" customWidth="1"/>
    <col min="14" max="14" width="14.42578125" bestFit="1" customWidth="1"/>
    <col min="15" max="15" width="16.28515625" customWidth="1"/>
    <col min="16" max="16" width="15.28515625" bestFit="1" customWidth="1"/>
    <col min="17" max="17" width="16" bestFit="1" customWidth="1"/>
    <col min="18" max="18" width="16.85546875" bestFit="1" customWidth="1"/>
    <col min="19" max="19" width="15.140625" bestFit="1" customWidth="1"/>
    <col min="20" max="20" width="15.7109375" customWidth="1"/>
    <col min="21" max="21" width="15.140625" bestFit="1" customWidth="1"/>
    <col min="22" max="23" width="16.85546875" bestFit="1" customWidth="1"/>
    <col min="24" max="24" width="14.28515625" customWidth="1"/>
    <col min="25" max="25" width="14" bestFit="1" customWidth="1"/>
    <col min="26" max="26" width="14.140625" bestFit="1" customWidth="1"/>
    <col min="27" max="27" width="14" bestFit="1" customWidth="1"/>
    <col min="28" max="28" width="13.42578125" bestFit="1" customWidth="1"/>
    <col min="29" max="29" width="14" bestFit="1" customWidth="1"/>
    <col min="30" max="30" width="12.28515625" bestFit="1" customWidth="1"/>
    <col min="31" max="31" width="11.7109375" bestFit="1" customWidth="1"/>
    <col min="32" max="32" width="12.42578125" bestFit="1" customWidth="1"/>
    <col min="33" max="33" width="10.7109375" bestFit="1" customWidth="1"/>
    <col min="34" max="34" width="13.28515625" customWidth="1"/>
    <col min="35" max="35" width="11.7109375" bestFit="1" customWidth="1"/>
    <col min="36" max="36" width="14.140625" bestFit="1" customWidth="1"/>
    <col min="37" max="37" width="10.7109375" bestFit="1" customWidth="1"/>
    <col min="38" max="38" width="12.85546875" customWidth="1"/>
    <col min="39" max="39" width="10.7109375" bestFit="1" customWidth="1"/>
    <col min="40" max="40" width="14.140625" bestFit="1" customWidth="1"/>
    <col min="42" max="42" width="12.42578125" bestFit="1" customWidth="1"/>
  </cols>
  <sheetData>
    <row r="1" spans="1:15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5">
      <c r="A2" s="497" t="s">
        <v>1165</v>
      </c>
      <c r="B2" s="497"/>
      <c r="C2" s="497"/>
      <c r="D2" s="497"/>
      <c r="E2" s="497"/>
      <c r="F2" s="497"/>
      <c r="G2" s="497"/>
      <c r="H2" s="497"/>
      <c r="I2" s="497"/>
      <c r="J2" s="497"/>
      <c r="K2" s="155"/>
      <c r="L2" s="155"/>
      <c r="M2" s="155"/>
    </row>
    <row r="3" spans="1:15">
      <c r="A3" s="497" t="s">
        <v>1113</v>
      </c>
      <c r="B3" s="497"/>
      <c r="C3" s="497"/>
      <c r="D3" s="497"/>
      <c r="E3" s="497"/>
      <c r="F3" s="497"/>
      <c r="G3" s="497"/>
      <c r="H3" s="497"/>
      <c r="I3" s="497"/>
      <c r="J3" s="497"/>
      <c r="K3" s="1"/>
      <c r="L3" s="1"/>
      <c r="M3" s="1"/>
    </row>
    <row r="4" spans="1:15">
      <c r="A4" s="155"/>
      <c r="B4" s="155"/>
      <c r="C4" s="155"/>
      <c r="D4" s="155"/>
      <c r="E4" s="155"/>
      <c r="F4" s="155"/>
      <c r="G4" s="155"/>
      <c r="H4" s="155"/>
      <c r="I4" s="155"/>
      <c r="J4" s="155"/>
    </row>
    <row r="5" spans="1:15">
      <c r="A5" s="177" t="s">
        <v>64</v>
      </c>
      <c r="B5" s="177" t="s">
        <v>1</v>
      </c>
      <c r="C5" s="177" t="s">
        <v>2</v>
      </c>
      <c r="D5" s="177" t="s">
        <v>3</v>
      </c>
      <c r="E5" s="177" t="s">
        <v>4</v>
      </c>
      <c r="F5" s="177" t="s">
        <v>5</v>
      </c>
      <c r="G5" s="177" t="s">
        <v>6</v>
      </c>
      <c r="H5" s="177" t="s">
        <v>7</v>
      </c>
      <c r="I5" s="177" t="s">
        <v>29</v>
      </c>
      <c r="J5" s="177" t="s">
        <v>50</v>
      </c>
    </row>
    <row r="6" spans="1:15">
      <c r="A6" s="177" t="s">
        <v>36</v>
      </c>
      <c r="B6" s="161"/>
      <c r="C6" s="155"/>
      <c r="D6" s="155"/>
      <c r="E6" s="161"/>
      <c r="F6" s="155"/>
      <c r="G6" s="155"/>
      <c r="H6" s="155"/>
      <c r="I6" s="155"/>
      <c r="J6" s="155"/>
    </row>
    <row r="7" spans="1:15">
      <c r="A7" s="161"/>
      <c r="B7" s="161"/>
      <c r="C7" s="494" t="s">
        <v>123</v>
      </c>
      <c r="D7" s="495"/>
      <c r="E7" s="496"/>
      <c r="F7" s="494" t="s">
        <v>26</v>
      </c>
      <c r="G7" s="496"/>
      <c r="H7" s="494" t="s">
        <v>200</v>
      </c>
      <c r="I7" s="495"/>
      <c r="J7" s="496"/>
    </row>
    <row r="8" spans="1:15">
      <c r="A8" s="156">
        <v>1</v>
      </c>
      <c r="B8" s="155" t="s">
        <v>201</v>
      </c>
      <c r="C8" s="155"/>
      <c r="D8" s="155"/>
      <c r="E8" s="155"/>
      <c r="F8" s="155"/>
      <c r="G8" s="155"/>
      <c r="H8" s="155"/>
      <c r="I8" s="155"/>
      <c r="J8" s="155"/>
    </row>
    <row r="9" spans="1:15">
      <c r="A9" s="156">
        <f>A8+1</f>
        <v>2</v>
      </c>
      <c r="B9" s="155" t="s">
        <v>511</v>
      </c>
      <c r="C9" s="216">
        <f>M62</f>
        <v>1233164</v>
      </c>
      <c r="D9" s="256">
        <v>10.715</v>
      </c>
      <c r="E9" s="161">
        <f>C9*D9</f>
        <v>13213352.26</v>
      </c>
      <c r="F9" s="216"/>
      <c r="G9" s="171"/>
      <c r="H9" s="158"/>
      <c r="I9" s="257"/>
      <c r="J9" s="171">
        <f>I9*H9</f>
        <v>0</v>
      </c>
      <c r="L9" s="26"/>
      <c r="M9" s="112"/>
      <c r="N9" s="35"/>
      <c r="O9" s="30"/>
    </row>
    <row r="10" spans="1:15">
      <c r="A10" s="156">
        <f>A9+1</f>
        <v>3</v>
      </c>
      <c r="B10" s="155" t="s">
        <v>408</v>
      </c>
      <c r="C10" s="216">
        <f>Z149</f>
        <v>-3253</v>
      </c>
      <c r="D10" s="257">
        <f>AA133</f>
        <v>9.6434999999999995</v>
      </c>
      <c r="E10" s="161">
        <f>C10*D10</f>
        <v>-31370.305499999999</v>
      </c>
      <c r="F10" s="216"/>
      <c r="G10" s="171"/>
      <c r="H10" s="158"/>
      <c r="I10" s="163"/>
      <c r="J10" s="171">
        <f>I10*H10</f>
        <v>0</v>
      </c>
    </row>
    <row r="11" spans="1:15">
      <c r="A11" s="156">
        <f t="shared" ref="A11:A47" si="0">A10+1</f>
        <v>4</v>
      </c>
      <c r="B11" s="155" t="s">
        <v>1110</v>
      </c>
      <c r="C11" s="216">
        <f>AK193</f>
        <v>168000</v>
      </c>
      <c r="D11" s="257">
        <f>M16</f>
        <v>-3.7892857142857141</v>
      </c>
      <c r="E11" s="161">
        <f>C11*D11</f>
        <v>-636600</v>
      </c>
      <c r="F11" s="216"/>
      <c r="G11" s="171"/>
      <c r="H11" s="158"/>
      <c r="I11" s="163"/>
      <c r="J11" s="171"/>
    </row>
    <row r="12" spans="1:15">
      <c r="A12" s="156">
        <f t="shared" si="0"/>
        <v>5</v>
      </c>
      <c r="B12" s="155" t="s">
        <v>512</v>
      </c>
      <c r="C12" s="158">
        <f>N64</f>
        <v>547815603</v>
      </c>
      <c r="D12" s="246">
        <v>3.805E-2</v>
      </c>
      <c r="E12" s="161">
        <f>C12*D12</f>
        <v>20844383.694150001</v>
      </c>
      <c r="F12" s="216"/>
      <c r="G12" s="161"/>
      <c r="H12" s="158"/>
      <c r="I12" s="225"/>
      <c r="J12" s="44">
        <f>G12</f>
        <v>0</v>
      </c>
    </row>
    <row r="13" spans="1:15">
      <c r="A13" s="156">
        <f t="shared" si="0"/>
        <v>6</v>
      </c>
      <c r="B13" s="155"/>
      <c r="C13" s="155"/>
      <c r="D13" s="239"/>
      <c r="E13" s="155"/>
      <c r="F13" s="155"/>
      <c r="G13" s="155"/>
      <c r="H13" s="155"/>
      <c r="I13" s="239"/>
      <c r="J13" s="374"/>
    </row>
    <row r="14" spans="1:15">
      <c r="A14" s="156">
        <f t="shared" si="0"/>
        <v>7</v>
      </c>
      <c r="B14" s="155" t="s">
        <v>197</v>
      </c>
      <c r="C14" s="155"/>
      <c r="D14" s="239"/>
      <c r="E14" s="161"/>
      <c r="F14" s="155"/>
      <c r="G14" s="155"/>
      <c r="H14" s="155"/>
      <c r="I14" s="239"/>
      <c r="J14" s="155"/>
      <c r="M14">
        <v>-3.8</v>
      </c>
    </row>
    <row r="15" spans="1:15">
      <c r="A15" s="156">
        <f t="shared" si="0"/>
        <v>8</v>
      </c>
      <c r="B15" s="155" t="s">
        <v>198</v>
      </c>
      <c r="C15" s="216">
        <f>Z105+Y193</f>
        <v>73940500</v>
      </c>
      <c r="D15" s="246">
        <f>E15/C15</f>
        <v>9.3978840824717177E-2</v>
      </c>
      <c r="E15" s="216">
        <f>AB105+AA193</f>
        <v>6948842.4800000004</v>
      </c>
      <c r="F15" s="216"/>
      <c r="G15" s="246"/>
      <c r="H15" s="216"/>
      <c r="I15" s="246"/>
      <c r="J15" s="216">
        <f>H15</f>
        <v>0</v>
      </c>
      <c r="L15" s="155">
        <f>150*12</f>
        <v>1800</v>
      </c>
      <c r="M15" s="438">
        <f>L15/168000</f>
        <v>1.0714285714285714E-2</v>
      </c>
      <c r="N15" s="32"/>
      <c r="O15" s="30"/>
    </row>
    <row r="16" spans="1:15">
      <c r="A16" s="156">
        <f t="shared" si="0"/>
        <v>9</v>
      </c>
      <c r="B16" s="155"/>
      <c r="C16" s="216">
        <f>SUM(C12:C15)</f>
        <v>621756103</v>
      </c>
      <c r="D16" s="155"/>
      <c r="E16" s="171"/>
      <c r="F16" s="216"/>
      <c r="G16" s="161"/>
      <c r="H16" s="158">
        <f>F16</f>
        <v>0</v>
      </c>
      <c r="I16" s="171"/>
      <c r="J16" s="161"/>
      <c r="M16" s="35">
        <f>M14+M15</f>
        <v>-3.7892857142857141</v>
      </c>
    </row>
    <row r="17" spans="1:10">
      <c r="A17" s="156">
        <f t="shared" si="0"/>
        <v>10</v>
      </c>
      <c r="B17" s="16" t="s">
        <v>350</v>
      </c>
      <c r="C17" s="216"/>
      <c r="D17" s="155"/>
      <c r="E17" s="171"/>
      <c r="F17" s="155"/>
      <c r="G17" s="161"/>
      <c r="H17" s="161"/>
      <c r="I17" s="171"/>
      <c r="J17" s="161"/>
    </row>
    <row r="18" spans="1:10">
      <c r="A18" s="156">
        <f t="shared" si="0"/>
        <v>11</v>
      </c>
      <c r="B18" s="170" t="s">
        <v>351</v>
      </c>
      <c r="C18" s="216"/>
      <c r="D18" s="258">
        <f>E18/C12</f>
        <v>1.9831036776803888E-2</v>
      </c>
      <c r="E18" s="171">
        <f>N83</f>
        <v>10863751.369999999</v>
      </c>
      <c r="F18" s="258"/>
      <c r="G18" s="216"/>
      <c r="H18" s="216"/>
      <c r="J18" s="171">
        <f>G18</f>
        <v>0</v>
      </c>
    </row>
    <row r="19" spans="1:10">
      <c r="A19" s="156">
        <f t="shared" si="0"/>
        <v>12</v>
      </c>
      <c r="B19" s="170" t="s">
        <v>352</v>
      </c>
      <c r="C19" s="216"/>
      <c r="D19" s="258">
        <f>E19/C12</f>
        <v>4.3915143833535529E-3</v>
      </c>
      <c r="E19" s="171">
        <f>P83</f>
        <v>2405740.0999999996</v>
      </c>
      <c r="F19" s="258"/>
      <c r="G19" s="216"/>
      <c r="H19" s="155"/>
      <c r="J19" s="171">
        <f>G19</f>
        <v>0</v>
      </c>
    </row>
    <row r="20" spans="1:10">
      <c r="A20" s="156">
        <f t="shared" si="0"/>
        <v>13</v>
      </c>
      <c r="B20" s="170" t="s">
        <v>254</v>
      </c>
      <c r="C20" s="216"/>
      <c r="D20" s="258">
        <f>E20/C12</f>
        <v>-4.4657818189234744E-3</v>
      </c>
      <c r="E20" s="171">
        <f>Q83</f>
        <v>-2446424.96</v>
      </c>
      <c r="F20" s="258"/>
      <c r="G20" s="216"/>
      <c r="H20" s="155"/>
      <c r="J20" s="171">
        <f>G20</f>
        <v>0</v>
      </c>
    </row>
    <row r="21" spans="1:10">
      <c r="A21" s="156">
        <f t="shared" si="0"/>
        <v>14</v>
      </c>
      <c r="B21" s="170" t="s">
        <v>354</v>
      </c>
      <c r="C21" s="216"/>
      <c r="D21" s="258">
        <f>E21/C12</f>
        <v>4.3624092430240621E-3</v>
      </c>
      <c r="E21" s="172">
        <f>O83</f>
        <v>2389795.85</v>
      </c>
      <c r="F21" s="258"/>
      <c r="G21" s="220"/>
      <c r="H21" s="155"/>
      <c r="J21" s="171">
        <f>G21</f>
        <v>0</v>
      </c>
    </row>
    <row r="22" spans="1:10">
      <c r="A22" s="156">
        <f t="shared" si="0"/>
        <v>15</v>
      </c>
      <c r="B22" s="155" t="s">
        <v>364</v>
      </c>
      <c r="C22" s="216"/>
      <c r="D22" s="258"/>
      <c r="E22" s="161">
        <f>SUM(E18:E21)</f>
        <v>13212862.359999998</v>
      </c>
      <c r="F22" s="258"/>
      <c r="G22" s="161"/>
      <c r="H22" s="158">
        <f>C22</f>
        <v>0</v>
      </c>
      <c r="J22" s="171">
        <f>SUM(J18:J21)</f>
        <v>0</v>
      </c>
    </row>
    <row r="23" spans="1:10">
      <c r="A23" s="156">
        <f t="shared" si="0"/>
        <v>16</v>
      </c>
      <c r="B23" s="155"/>
      <c r="C23" s="216"/>
      <c r="D23" s="227"/>
      <c r="E23" s="161"/>
      <c r="F23" s="259"/>
      <c r="G23" s="161"/>
      <c r="H23" s="158"/>
      <c r="I23" s="259"/>
      <c r="J23" s="171"/>
    </row>
    <row r="24" spans="1:10">
      <c r="A24" s="156">
        <f t="shared" si="0"/>
        <v>17</v>
      </c>
      <c r="B24" s="155" t="s">
        <v>202</v>
      </c>
      <c r="C24" s="155"/>
      <c r="D24" s="155"/>
      <c r="E24" s="161">
        <f>SUM(E9:E15)+E22</f>
        <v>53551470.488649994</v>
      </c>
      <c r="F24" s="169" t="s">
        <v>43</v>
      </c>
      <c r="G24" s="161">
        <f>E24</f>
        <v>53551470.488649994</v>
      </c>
      <c r="H24" s="161"/>
      <c r="I24" s="155"/>
      <c r="J24" s="161">
        <f>G24</f>
        <v>53551470.488649994</v>
      </c>
    </row>
    <row r="25" spans="1:10">
      <c r="A25" s="156">
        <f t="shared" si="0"/>
        <v>18</v>
      </c>
      <c r="B25" s="155" t="s">
        <v>203</v>
      </c>
      <c r="C25" s="155"/>
      <c r="D25" s="155"/>
      <c r="E25" s="161"/>
      <c r="F25" s="155"/>
      <c r="G25" s="161"/>
      <c r="H25" s="161"/>
      <c r="I25" s="155"/>
      <c r="J25" s="161"/>
    </row>
    <row r="26" spans="1:10">
      <c r="A26" s="156">
        <f t="shared" si="0"/>
        <v>19</v>
      </c>
      <c r="B26" s="155" t="s">
        <v>42</v>
      </c>
      <c r="C26" s="216">
        <f>3*12</f>
        <v>36</v>
      </c>
      <c r="D26" s="161">
        <v>1028</v>
      </c>
      <c r="E26" s="161">
        <f>C26*D26</f>
        <v>37008</v>
      </c>
      <c r="F26" s="155"/>
      <c r="G26" s="161">
        <f>E26</f>
        <v>37008</v>
      </c>
      <c r="H26" s="161"/>
      <c r="I26" s="161"/>
      <c r="J26" s="171">
        <f>G26</f>
        <v>37008</v>
      </c>
    </row>
    <row r="27" spans="1:10">
      <c r="A27" s="156">
        <f t="shared" si="0"/>
        <v>20</v>
      </c>
      <c r="B27" s="155" t="s">
        <v>204</v>
      </c>
      <c r="C27" s="216">
        <f>C12+C15</f>
        <v>621756103</v>
      </c>
      <c r="D27" s="225">
        <v>1.66E-4</v>
      </c>
      <c r="E27" s="161">
        <f>C27*D27</f>
        <v>103211.513098</v>
      </c>
      <c r="F27" s="155"/>
      <c r="G27" s="161">
        <f>E27</f>
        <v>103211.513098</v>
      </c>
      <c r="H27" s="216"/>
      <c r="I27" s="168"/>
      <c r="J27" s="171">
        <f>G27</f>
        <v>103211.513098</v>
      </c>
    </row>
    <row r="28" spans="1:10">
      <c r="A28" s="156">
        <f t="shared" si="0"/>
        <v>21</v>
      </c>
      <c r="B28" s="155" t="s">
        <v>199</v>
      </c>
      <c r="C28" s="158">
        <f>AD108+AC196</f>
        <v>445313667</v>
      </c>
      <c r="D28" s="255">
        <v>1.66E-4</v>
      </c>
      <c r="E28" s="172">
        <f>C28*D28</f>
        <v>73922.068721999996</v>
      </c>
      <c r="F28" s="155"/>
      <c r="G28" s="167">
        <f>E28</f>
        <v>73922.068721999996</v>
      </c>
      <c r="H28" s="161"/>
      <c r="I28" s="255"/>
      <c r="J28" s="171">
        <f>G28</f>
        <v>73922.068721999996</v>
      </c>
    </row>
    <row r="29" spans="1:10">
      <c r="A29" s="156">
        <f t="shared" si="0"/>
        <v>22</v>
      </c>
      <c r="B29" s="155" t="s">
        <v>1111</v>
      </c>
      <c r="C29" s="216">
        <f>SUM(C27:C28)</f>
        <v>1067069770</v>
      </c>
      <c r="D29" s="155"/>
      <c r="E29" s="161">
        <f>SUM(E26:E28)</f>
        <v>214141.58181999999</v>
      </c>
      <c r="F29" s="155"/>
      <c r="G29" s="161">
        <f>E29</f>
        <v>214141.58181999999</v>
      </c>
      <c r="H29" s="161"/>
      <c r="I29" s="155"/>
      <c r="J29" s="161">
        <f>G29</f>
        <v>214141.58181999999</v>
      </c>
    </row>
    <row r="30" spans="1:10" ht="13.5" thickBot="1">
      <c r="A30" s="156">
        <f t="shared" si="0"/>
        <v>23</v>
      </c>
      <c r="B30" s="155" t="s">
        <v>49</v>
      </c>
      <c r="C30" s="155"/>
      <c r="D30" s="155"/>
      <c r="E30" s="249">
        <f>E24+E26+E27+E28</f>
        <v>53765612.070469998</v>
      </c>
      <c r="F30" s="169" t="s">
        <v>43</v>
      </c>
      <c r="G30" s="249">
        <f>G24+G26+G27+G28</f>
        <v>53765612.070469998</v>
      </c>
      <c r="H30" s="161"/>
      <c r="I30" s="155"/>
      <c r="J30" s="249">
        <f>J24+J26+J27+J28</f>
        <v>53765612.070469998</v>
      </c>
    </row>
    <row r="31" spans="1:10" ht="13.5" thickTop="1">
      <c r="A31" s="156">
        <f t="shared" si="0"/>
        <v>24</v>
      </c>
      <c r="B31" s="155"/>
      <c r="C31" s="155"/>
      <c r="D31" s="155"/>
      <c r="E31" s="161"/>
      <c r="F31" s="155"/>
      <c r="G31" s="161"/>
      <c r="H31" s="155"/>
      <c r="I31" s="155"/>
      <c r="J31" s="161"/>
    </row>
    <row r="32" spans="1:10">
      <c r="A32" s="156">
        <f t="shared" si="0"/>
        <v>25</v>
      </c>
      <c r="B32" s="169"/>
      <c r="C32" s="155"/>
      <c r="D32" s="155"/>
      <c r="E32" s="161"/>
      <c r="F32" s="155"/>
      <c r="G32" s="155"/>
      <c r="H32" s="155"/>
      <c r="I32" s="155"/>
      <c r="J32" s="155"/>
    </row>
    <row r="33" spans="1:40">
      <c r="A33" s="156">
        <f t="shared" si="0"/>
        <v>26</v>
      </c>
      <c r="B33" s="155" t="s">
        <v>394</v>
      </c>
      <c r="C33" s="155"/>
      <c r="D33" s="155" t="s">
        <v>231</v>
      </c>
      <c r="E33" s="155"/>
      <c r="F33" s="155" t="s">
        <v>232</v>
      </c>
      <c r="G33" s="155"/>
      <c r="H33" s="155"/>
      <c r="I33" s="155"/>
      <c r="J33" s="155"/>
    </row>
    <row r="34" spans="1:40">
      <c r="A34" s="156">
        <f t="shared" si="0"/>
        <v>27</v>
      </c>
      <c r="B34" s="155"/>
      <c r="C34" s="180">
        <v>442.22</v>
      </c>
      <c r="D34" s="171">
        <f>revpergl!U13</f>
        <v>21374681.5</v>
      </c>
      <c r="E34" s="180">
        <v>555.29999999999995</v>
      </c>
      <c r="F34" s="171">
        <f>revpergl!U56</f>
        <v>21266547.800000001</v>
      </c>
      <c r="G34" s="161">
        <f t="shared" ref="G34:G36" si="1">D34-F34</f>
        <v>108133.69999999925</v>
      </c>
      <c r="H34" s="155"/>
      <c r="I34" s="155"/>
      <c r="J34" s="155"/>
    </row>
    <row r="35" spans="1:40">
      <c r="A35" s="156">
        <f t="shared" si="0"/>
        <v>28</v>
      </c>
      <c r="B35" s="155"/>
      <c r="C35" s="180">
        <v>442.21100000000001</v>
      </c>
      <c r="D35" s="171">
        <f>revpergl!U9</f>
        <v>19302535.699999999</v>
      </c>
      <c r="E35" s="180">
        <v>555.12</v>
      </c>
      <c r="F35" s="171">
        <f>revpergl!U55</f>
        <v>19252304.18</v>
      </c>
      <c r="G35" s="161">
        <f t="shared" si="1"/>
        <v>50231.519999999553</v>
      </c>
      <c r="H35" s="155"/>
      <c r="I35" s="155"/>
      <c r="J35" s="155"/>
    </row>
    <row r="36" spans="1:40">
      <c r="A36" s="156">
        <f t="shared" si="0"/>
        <v>29</v>
      </c>
      <c r="B36" s="155"/>
      <c r="C36" s="180">
        <v>442.29</v>
      </c>
      <c r="D36" s="172">
        <f>revpergl!U18</f>
        <v>13088394.859999999</v>
      </c>
      <c r="E36" s="180">
        <v>555.95000000000005</v>
      </c>
      <c r="F36" s="172">
        <f>revpergl!U66</f>
        <v>13032618.48</v>
      </c>
      <c r="G36" s="161">
        <f t="shared" si="1"/>
        <v>55776.379999998957</v>
      </c>
      <c r="H36" s="155"/>
      <c r="I36" s="155"/>
      <c r="J36" s="155"/>
    </row>
    <row r="37" spans="1:40" ht="13.5" thickBot="1">
      <c r="A37" s="156">
        <f t="shared" si="0"/>
        <v>30</v>
      </c>
      <c r="B37" s="155"/>
      <c r="C37" s="155"/>
      <c r="D37" s="236">
        <f>SUM(D34:D36)</f>
        <v>53765612.060000002</v>
      </c>
      <c r="E37" s="155"/>
      <c r="F37" s="236">
        <f>SUM(F34:F36)</f>
        <v>53551470.460000008</v>
      </c>
      <c r="G37" s="161">
        <f>D37-F37</f>
        <v>214141.59999999404</v>
      </c>
      <c r="H37" s="155"/>
      <c r="I37" s="155"/>
      <c r="J37" s="155"/>
    </row>
    <row r="38" spans="1:40" ht="13.5" thickTop="1">
      <c r="A38" s="156">
        <f t="shared" si="0"/>
        <v>31</v>
      </c>
      <c r="B38" s="155"/>
      <c r="C38" s="155"/>
      <c r="G38" s="155"/>
      <c r="H38" s="155"/>
      <c r="I38" s="155"/>
      <c r="J38" s="155"/>
      <c r="L38" s="81" t="s">
        <v>0</v>
      </c>
      <c r="M38" s="81"/>
      <c r="N38" s="81"/>
      <c r="O38" s="81"/>
      <c r="P38" s="81"/>
      <c r="Q38" s="81"/>
      <c r="R38" s="81"/>
    </row>
    <row r="39" spans="1:40">
      <c r="A39" s="156">
        <f t="shared" si="0"/>
        <v>32</v>
      </c>
      <c r="D39" s="161">
        <f>E30-D37</f>
        <v>1.0469995439052582E-2</v>
      </c>
      <c r="E39" s="155"/>
      <c r="F39" s="161">
        <f>E24-F37</f>
        <v>2.8649985790252686E-2</v>
      </c>
      <c r="L39" s="81" t="s">
        <v>1086</v>
      </c>
      <c r="M39" s="81"/>
      <c r="N39" s="81"/>
      <c r="O39" s="81"/>
      <c r="P39" s="81"/>
      <c r="Q39" s="81"/>
      <c r="R39" s="81"/>
    </row>
    <row r="40" spans="1:40">
      <c r="A40" s="156">
        <f t="shared" si="0"/>
        <v>33</v>
      </c>
      <c r="L40" s="81" t="s">
        <v>400</v>
      </c>
      <c r="M40" s="81"/>
      <c r="N40" s="81"/>
      <c r="O40" s="81"/>
      <c r="P40" s="81"/>
      <c r="Q40" s="81"/>
      <c r="R40" s="81"/>
    </row>
    <row r="41" spans="1:40">
      <c r="A41" s="156">
        <f t="shared" si="0"/>
        <v>34</v>
      </c>
      <c r="E41" s="29"/>
      <c r="G41" s="29"/>
      <c r="L41" s="81" t="s">
        <v>1087</v>
      </c>
      <c r="M41" s="81"/>
      <c r="N41" s="81"/>
      <c r="O41" s="81"/>
      <c r="P41" s="81"/>
      <c r="Q41" s="81"/>
      <c r="R41" s="81"/>
    </row>
    <row r="42" spans="1:40">
      <c r="A42" s="156">
        <f t="shared" si="0"/>
        <v>35</v>
      </c>
      <c r="G42" s="29"/>
      <c r="L42" s="81"/>
      <c r="M42" s="81"/>
      <c r="N42" s="81"/>
      <c r="O42" s="81"/>
      <c r="P42" s="81"/>
      <c r="Q42" s="81"/>
      <c r="R42" s="81"/>
    </row>
    <row r="43" spans="1:40" ht="15.75">
      <c r="A43" s="156">
        <f t="shared" si="0"/>
        <v>36</v>
      </c>
      <c r="C43" s="216" t="s">
        <v>1107</v>
      </c>
      <c r="D43" s="155" t="s">
        <v>1108</v>
      </c>
      <c r="F43" s="155" t="s">
        <v>1109</v>
      </c>
      <c r="L43" s="288" t="s">
        <v>1</v>
      </c>
      <c r="M43" s="288" t="s">
        <v>2</v>
      </c>
      <c r="N43" s="288" t="s">
        <v>3</v>
      </c>
      <c r="O43" s="288" t="s">
        <v>4</v>
      </c>
      <c r="P43" s="288" t="s">
        <v>5</v>
      </c>
      <c r="Q43" s="288" t="s">
        <v>6</v>
      </c>
      <c r="R43" s="288" t="s">
        <v>28</v>
      </c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1:40">
      <c r="A44" s="156">
        <f t="shared" si="0"/>
        <v>37</v>
      </c>
      <c r="C44" s="58">
        <v>182758123</v>
      </c>
      <c r="D44">
        <v>137050273</v>
      </c>
      <c r="E44" s="58">
        <f>C44+D44</f>
        <v>319808396</v>
      </c>
      <c r="F44" s="58">
        <f>Q149</f>
        <v>228286270</v>
      </c>
      <c r="G44" s="58">
        <f>E44+F44</f>
        <v>548094666</v>
      </c>
      <c r="N44" s="156" t="s">
        <v>1089</v>
      </c>
      <c r="O44" s="155" t="s">
        <v>257</v>
      </c>
      <c r="P44" s="52" t="s">
        <v>257</v>
      </c>
      <c r="Q44" s="52" t="s">
        <v>9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>
      <c r="A45" s="156">
        <f t="shared" si="0"/>
        <v>38</v>
      </c>
      <c r="C45" s="58">
        <v>64544581</v>
      </c>
      <c r="D45">
        <v>10325576</v>
      </c>
      <c r="E45" s="58">
        <f t="shared" ref="E45:E47" si="2">C45+D45</f>
        <v>74870157</v>
      </c>
      <c r="M45" s="52" t="s">
        <v>141</v>
      </c>
      <c r="N45" s="52" t="s">
        <v>491</v>
      </c>
      <c r="O45" s="155" t="s">
        <v>1106</v>
      </c>
      <c r="P45" s="156" t="s">
        <v>1093</v>
      </c>
      <c r="Q45" s="52" t="s">
        <v>15</v>
      </c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</row>
    <row r="46" spans="1:40">
      <c r="A46" s="156">
        <f t="shared" si="0"/>
        <v>39</v>
      </c>
      <c r="C46" s="26">
        <v>329791800</v>
      </c>
      <c r="D46">
        <v>115288882</v>
      </c>
      <c r="E46" s="58">
        <f t="shared" si="2"/>
        <v>445080682</v>
      </c>
      <c r="K46" s="156" t="s">
        <v>402</v>
      </c>
      <c r="L46" s="156" t="s">
        <v>401</v>
      </c>
      <c r="M46" s="52" t="s">
        <v>224</v>
      </c>
      <c r="N46" s="52" t="s">
        <v>11</v>
      </c>
      <c r="O46" s="52" t="s">
        <v>219</v>
      </c>
      <c r="P46" s="52" t="s">
        <v>220</v>
      </c>
      <c r="Q46" s="52" t="s">
        <v>249</v>
      </c>
      <c r="R46" s="52" t="s">
        <v>251</v>
      </c>
      <c r="V46" s="89" t="s">
        <v>8</v>
      </c>
      <c r="W46" s="89" t="s">
        <v>252</v>
      </c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</row>
    <row r="47" spans="1:40">
      <c r="A47" s="156">
        <f t="shared" si="0"/>
        <v>40</v>
      </c>
      <c r="C47" s="26">
        <f>C44+C45+C46</f>
        <v>577094504</v>
      </c>
      <c r="D47" s="26">
        <f>D44+D45+D46</f>
        <v>262664731</v>
      </c>
      <c r="E47" s="58">
        <f t="shared" si="2"/>
        <v>839759235</v>
      </c>
      <c r="F47" s="58">
        <f>F44+F45+F46</f>
        <v>228286270</v>
      </c>
      <c r="G47" s="58">
        <f>E47+F47</f>
        <v>1068045505</v>
      </c>
      <c r="K47" s="122" t="s">
        <v>134</v>
      </c>
      <c r="L47" s="122" t="s">
        <v>134</v>
      </c>
      <c r="M47" s="122" t="s">
        <v>134</v>
      </c>
      <c r="N47" s="122" t="s">
        <v>134</v>
      </c>
      <c r="O47" s="122" t="s">
        <v>134</v>
      </c>
      <c r="P47" s="122" t="s">
        <v>134</v>
      </c>
      <c r="Q47" s="122" t="s">
        <v>134</v>
      </c>
      <c r="R47" s="122" t="s">
        <v>134</v>
      </c>
      <c r="V47" s="122"/>
      <c r="W47" s="122"/>
      <c r="X47" s="12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</row>
    <row r="49" spans="7:40">
      <c r="H49" s="26"/>
      <c r="I49" s="29"/>
      <c r="K49" s="52">
        <v>1</v>
      </c>
      <c r="L49" s="169" t="s">
        <v>1090</v>
      </c>
      <c r="M49" s="26">
        <f>O91+O135+O179</f>
        <v>89668</v>
      </c>
      <c r="N49" s="26">
        <f>Q91+Q135+Q179</f>
        <v>47929518</v>
      </c>
      <c r="O49" s="26">
        <f>R135+R179+R91</f>
        <v>876372.31</v>
      </c>
      <c r="P49" s="26">
        <f>S91+S135+S179</f>
        <v>2071073.0999999999</v>
      </c>
      <c r="Q49" s="26">
        <f>T91+T135+T179</f>
        <v>853385.28999999992</v>
      </c>
      <c r="R49" s="26">
        <f>V91+V135+V179</f>
        <v>3800830.7</v>
      </c>
      <c r="V49" s="26">
        <f>W91+W135+W179</f>
        <v>3817368.5300000003</v>
      </c>
      <c r="W49" s="26">
        <f>X91+X135+X179</f>
        <v>16537.830000000075</v>
      </c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7:40">
      <c r="K50" s="52">
        <v>2</v>
      </c>
      <c r="L50" s="155" t="s">
        <v>236</v>
      </c>
      <c r="M50" s="26">
        <f t="shared" ref="M50:M60" si="3">O92+O136+O180</f>
        <v>89581</v>
      </c>
      <c r="N50" s="26">
        <f t="shared" ref="N50:N60" si="4">Q92+Q136+Q180</f>
        <v>49325781</v>
      </c>
      <c r="O50" s="26">
        <f t="shared" ref="O50:O60" si="5">R136+R180+R92</f>
        <v>906810.40999999992</v>
      </c>
      <c r="P50" s="26">
        <f t="shared" ref="P50:P60" si="6">S92+S136+S180</f>
        <v>2195989.3199999998</v>
      </c>
      <c r="Q50" s="26">
        <f t="shared" ref="Q50:Q60" si="7">T92+T136+T180</f>
        <v>748102.09</v>
      </c>
      <c r="R50" s="26">
        <f t="shared" ref="R50:R60" si="8">V92+V136+V180</f>
        <v>3850901.8199999994</v>
      </c>
      <c r="V50" s="26">
        <f t="shared" ref="V50:W60" si="9">W92+W136+W180</f>
        <v>3869000.94</v>
      </c>
      <c r="W50" s="26">
        <f t="shared" si="9"/>
        <v>18099.120000000112</v>
      </c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7:40">
      <c r="K51" s="52">
        <v>3</v>
      </c>
      <c r="L51" s="155" t="s">
        <v>235</v>
      </c>
      <c r="M51" s="26">
        <f t="shared" si="3"/>
        <v>89604</v>
      </c>
      <c r="N51" s="26">
        <f t="shared" si="4"/>
        <v>52220614</v>
      </c>
      <c r="O51" s="26">
        <f t="shared" si="5"/>
        <v>907056.86</v>
      </c>
      <c r="P51" s="26">
        <f t="shared" si="6"/>
        <v>2758708.05</v>
      </c>
      <c r="Q51" s="26">
        <f t="shared" si="7"/>
        <v>801947.42999999993</v>
      </c>
      <c r="R51" s="26">
        <f t="shared" si="8"/>
        <v>4467712.34</v>
      </c>
      <c r="V51" s="26">
        <f t="shared" si="9"/>
        <v>4485545.3499999996</v>
      </c>
      <c r="W51" s="26">
        <f t="shared" si="9"/>
        <v>17833.009999999776</v>
      </c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7:40">
      <c r="K52" s="52">
        <v>4</v>
      </c>
      <c r="L52" s="155" t="s">
        <v>234</v>
      </c>
      <c r="M52" s="26">
        <f t="shared" si="3"/>
        <v>82885</v>
      </c>
      <c r="N52" s="26">
        <f t="shared" si="4"/>
        <v>55156571</v>
      </c>
      <c r="O52" s="26">
        <f t="shared" si="5"/>
        <v>835062.78</v>
      </c>
      <c r="P52" s="26">
        <f t="shared" si="6"/>
        <v>3005829.23</v>
      </c>
      <c r="Q52" s="26">
        <f t="shared" si="7"/>
        <v>359434.55000000005</v>
      </c>
      <c r="R52" s="26">
        <f t="shared" si="8"/>
        <v>4200326.5600000005</v>
      </c>
      <c r="V52" s="26">
        <f t="shared" si="9"/>
        <v>4218419.6899999995</v>
      </c>
      <c r="W52" s="26">
        <f t="shared" si="9"/>
        <v>18093.130000000005</v>
      </c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7:40">
      <c r="K53" s="52">
        <v>5</v>
      </c>
      <c r="L53" s="155" t="s">
        <v>342</v>
      </c>
      <c r="M53" s="26">
        <f t="shared" si="3"/>
        <v>116257</v>
      </c>
      <c r="N53" s="26">
        <f t="shared" si="4"/>
        <v>56668755</v>
      </c>
      <c r="O53" s="26">
        <f t="shared" si="5"/>
        <v>1192643.76</v>
      </c>
      <c r="P53" s="26">
        <f t="shared" si="6"/>
        <v>2352228.4300000002</v>
      </c>
      <c r="Q53" s="26">
        <f t="shared" si="7"/>
        <v>1250576.6599999999</v>
      </c>
      <c r="R53" s="26">
        <f t="shared" si="8"/>
        <v>4795448.8499999996</v>
      </c>
      <c r="V53" s="26">
        <f t="shared" si="9"/>
        <v>4814357.78</v>
      </c>
      <c r="W53" s="26">
        <f t="shared" si="9"/>
        <v>18908.929999999935</v>
      </c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7:40">
      <c r="K54" s="52">
        <v>6</v>
      </c>
      <c r="L54" s="155" t="s">
        <v>241</v>
      </c>
      <c r="M54" s="26">
        <f t="shared" si="3"/>
        <v>109573</v>
      </c>
      <c r="N54" s="26">
        <f t="shared" si="4"/>
        <v>51622485</v>
      </c>
      <c r="O54" s="26">
        <f t="shared" si="5"/>
        <v>1121024.7</v>
      </c>
      <c r="P54" s="26">
        <f t="shared" si="6"/>
        <v>2307687.62</v>
      </c>
      <c r="Q54" s="26">
        <f t="shared" si="7"/>
        <v>1212022.76</v>
      </c>
      <c r="R54" s="26">
        <f t="shared" si="8"/>
        <v>4640735.08</v>
      </c>
      <c r="V54" s="26">
        <f t="shared" si="9"/>
        <v>4658948.68</v>
      </c>
      <c r="W54" s="26">
        <f t="shared" si="9"/>
        <v>18213.600000000326</v>
      </c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</row>
    <row r="55" spans="7:40">
      <c r="K55" s="52">
        <v>7</v>
      </c>
      <c r="L55" s="155" t="s">
        <v>240</v>
      </c>
      <c r="M55" s="26">
        <f t="shared" si="3"/>
        <v>109230</v>
      </c>
      <c r="N55" s="26">
        <f t="shared" si="4"/>
        <v>47637158</v>
      </c>
      <c r="O55" s="26">
        <f t="shared" si="5"/>
        <v>1117349.45</v>
      </c>
      <c r="P55" s="26">
        <f t="shared" si="6"/>
        <v>2066186.46</v>
      </c>
      <c r="Q55" s="26">
        <f t="shared" si="7"/>
        <v>1827536.78</v>
      </c>
      <c r="R55" s="26">
        <f t="shared" si="8"/>
        <v>5011072.6900000004</v>
      </c>
      <c r="V55" s="26">
        <f t="shared" si="9"/>
        <v>5029017.82</v>
      </c>
      <c r="W55" s="26">
        <f t="shared" si="9"/>
        <v>17945.129999999655</v>
      </c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7:40">
      <c r="K56" s="52">
        <v>8</v>
      </c>
      <c r="L56" s="155" t="s">
        <v>239</v>
      </c>
      <c r="M56" s="26">
        <f t="shared" si="3"/>
        <v>108974</v>
      </c>
      <c r="N56" s="26">
        <f t="shared" si="4"/>
        <v>57682200</v>
      </c>
      <c r="O56" s="26">
        <f t="shared" si="5"/>
        <v>1114606.4099999999</v>
      </c>
      <c r="P56" s="26">
        <f t="shared" si="6"/>
        <v>2509324.96</v>
      </c>
      <c r="Q56" s="26">
        <f t="shared" si="7"/>
        <v>1765380.0500000003</v>
      </c>
      <c r="R56" s="26">
        <f t="shared" si="8"/>
        <v>5389311.4199999999</v>
      </c>
      <c r="V56" s="26">
        <f t="shared" si="9"/>
        <v>5407837.3599999994</v>
      </c>
      <c r="W56" s="26">
        <f t="shared" si="9"/>
        <v>18525.939999999944</v>
      </c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7:40">
      <c r="K57" s="52">
        <v>9</v>
      </c>
      <c r="L57" s="155" t="s">
        <v>238</v>
      </c>
      <c r="M57" s="26">
        <f t="shared" si="3"/>
        <v>108977</v>
      </c>
      <c r="N57" s="26">
        <f t="shared" si="4"/>
        <v>43617298</v>
      </c>
      <c r="O57" s="26">
        <f t="shared" si="5"/>
        <v>1114638.55</v>
      </c>
      <c r="P57" s="26">
        <f t="shared" si="6"/>
        <v>1860983.65</v>
      </c>
      <c r="Q57" s="26">
        <f t="shared" si="7"/>
        <v>1202806.6600000001</v>
      </c>
      <c r="R57" s="26">
        <f t="shared" si="8"/>
        <v>4178428.86</v>
      </c>
      <c r="V57" s="26">
        <f t="shared" si="9"/>
        <v>4195989.9400000004</v>
      </c>
      <c r="W57" s="26">
        <f t="shared" si="9"/>
        <v>17561.079999999842</v>
      </c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</row>
    <row r="58" spans="7:40">
      <c r="K58" s="52">
        <v>10</v>
      </c>
      <c r="L58" s="155" t="s">
        <v>237</v>
      </c>
      <c r="M58" s="26">
        <f t="shared" si="3"/>
        <v>109574</v>
      </c>
      <c r="N58" s="26">
        <f t="shared" si="4"/>
        <v>55196334</v>
      </c>
      <c r="O58" s="26">
        <f t="shared" si="5"/>
        <v>1121035.4099999999</v>
      </c>
      <c r="P58" s="26">
        <f t="shared" si="6"/>
        <v>2442553.71</v>
      </c>
      <c r="Q58" s="26">
        <f t="shared" si="7"/>
        <v>1269721.5099999998</v>
      </c>
      <c r="R58" s="26">
        <f t="shared" si="8"/>
        <v>4833310.63</v>
      </c>
      <c r="V58" s="26">
        <f t="shared" si="9"/>
        <v>4850789.62</v>
      </c>
      <c r="W58" s="26">
        <f t="shared" si="9"/>
        <v>17478.990000000107</v>
      </c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7:40">
      <c r="K59" s="52">
        <v>11</v>
      </c>
      <c r="L59" s="169" t="s">
        <v>1091</v>
      </c>
      <c r="M59" s="26">
        <f t="shared" si="3"/>
        <v>109377</v>
      </c>
      <c r="N59" s="26">
        <f t="shared" si="4"/>
        <v>62798538</v>
      </c>
      <c r="O59" s="26">
        <f t="shared" si="5"/>
        <v>1118924.55</v>
      </c>
      <c r="P59" s="26">
        <f t="shared" si="6"/>
        <v>2486116.2599999998</v>
      </c>
      <c r="Q59" s="26">
        <f t="shared" si="7"/>
        <v>1337593.26</v>
      </c>
      <c r="R59" s="26">
        <f t="shared" si="8"/>
        <v>4942634.07</v>
      </c>
      <c r="V59" s="26">
        <f t="shared" si="9"/>
        <v>4960597.45</v>
      </c>
      <c r="W59" s="26">
        <f t="shared" si="9"/>
        <v>17963.380000000121</v>
      </c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</row>
    <row r="60" spans="7:40">
      <c r="K60" s="52">
        <v>12</v>
      </c>
      <c r="L60" s="169" t="s">
        <v>1092</v>
      </c>
      <c r="M60" s="26">
        <f t="shared" si="3"/>
        <v>109464</v>
      </c>
      <c r="N60" s="26">
        <f t="shared" si="4"/>
        <v>41900851</v>
      </c>
      <c r="O60" s="26">
        <f t="shared" si="5"/>
        <v>1119856.76</v>
      </c>
      <c r="P60" s="26">
        <f t="shared" si="6"/>
        <v>1736545.3600000003</v>
      </c>
      <c r="Q60" s="26">
        <f t="shared" si="7"/>
        <v>584355.32000000007</v>
      </c>
      <c r="R60" s="26">
        <f t="shared" si="8"/>
        <v>3440757.4400000004</v>
      </c>
      <c r="V60" s="26">
        <f t="shared" si="9"/>
        <v>3457738.9000000004</v>
      </c>
      <c r="W60" s="26">
        <f t="shared" si="9"/>
        <v>16981.459999999963</v>
      </c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</row>
    <row r="61" spans="7:40">
      <c r="G61">
        <f>1233164</f>
        <v>1233164</v>
      </c>
      <c r="K61" s="52"/>
      <c r="L61" s="155"/>
      <c r="M61" s="26"/>
      <c r="N61" s="26"/>
      <c r="O61" s="26"/>
      <c r="P61" s="26"/>
      <c r="Q61" s="26"/>
      <c r="R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7:40" ht="13.5" thickBot="1">
      <c r="G62">
        <v>10.715</v>
      </c>
      <c r="K62" s="52">
        <v>13</v>
      </c>
      <c r="M62" s="287">
        <f t="shared" ref="M62:R62" si="10">SUM(M49:M60)</f>
        <v>1233164</v>
      </c>
      <c r="N62" s="287">
        <f t="shared" si="10"/>
        <v>621756103</v>
      </c>
      <c r="O62" s="287">
        <f t="shared" si="10"/>
        <v>12545381.950000001</v>
      </c>
      <c r="P62" s="287">
        <f t="shared" si="10"/>
        <v>27793226.149999999</v>
      </c>
      <c r="Q62" s="287">
        <f t="shared" si="10"/>
        <v>13212862.359999999</v>
      </c>
      <c r="R62" s="287">
        <f t="shared" si="10"/>
        <v>53551470.460000001</v>
      </c>
      <c r="V62" s="26">
        <f>SUM(V49:V60)</f>
        <v>53765612.059999995</v>
      </c>
      <c r="W62" s="35">
        <f>SUM(W49:W60)</f>
        <v>214141.59999999986</v>
      </c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7:40" ht="13.5" thickTop="1">
      <c r="G63">
        <f>G61*G62</f>
        <v>13213352.26</v>
      </c>
      <c r="H63" s="29">
        <f>E10</f>
        <v>-31370.305499999999</v>
      </c>
      <c r="I63" s="29">
        <f>E11</f>
        <v>-636600</v>
      </c>
      <c r="J63" s="29">
        <f>G63+H63+I63</f>
        <v>12545381.954499999</v>
      </c>
      <c r="M63" t="s">
        <v>258</v>
      </c>
      <c r="N63" s="26">
        <f>AD107+AC195</f>
        <v>73940500</v>
      </c>
    </row>
    <row r="64" spans="7:40">
      <c r="M64" t="s">
        <v>259</v>
      </c>
      <c r="N64" s="26">
        <f>N62-N63</f>
        <v>547815603</v>
      </c>
    </row>
    <row r="67" spans="11:24">
      <c r="N67" s="52"/>
      <c r="O67" s="52" t="s">
        <v>367</v>
      </c>
      <c r="P67" s="52"/>
      <c r="Q67" s="52"/>
      <c r="R67" s="52"/>
      <c r="S67" s="52"/>
      <c r="T67" s="52"/>
      <c r="U67" s="52"/>
      <c r="V67" s="52"/>
      <c r="W67" s="52"/>
      <c r="X67" s="52"/>
    </row>
    <row r="68" spans="11:24">
      <c r="N68" s="52" t="s">
        <v>221</v>
      </c>
      <c r="O68" s="52" t="s">
        <v>343</v>
      </c>
      <c r="P68" s="52" t="s">
        <v>222</v>
      </c>
      <c r="Q68" s="52" t="s">
        <v>254</v>
      </c>
      <c r="R68" s="52" t="s">
        <v>369</v>
      </c>
      <c r="S68" s="52" t="s">
        <v>370</v>
      </c>
      <c r="T68" s="52" t="s">
        <v>371</v>
      </c>
      <c r="U68" s="52" t="s">
        <v>372</v>
      </c>
      <c r="V68" s="52" t="s">
        <v>223</v>
      </c>
      <c r="W68" s="52"/>
      <c r="X68" s="52"/>
    </row>
    <row r="69" spans="11:24">
      <c r="N69" s="89" t="s">
        <v>15</v>
      </c>
      <c r="O69" s="89" t="s">
        <v>344</v>
      </c>
      <c r="P69" s="89" t="s">
        <v>227</v>
      </c>
      <c r="Q69" s="89"/>
      <c r="R69" s="89" t="s">
        <v>373</v>
      </c>
      <c r="S69" s="89" t="s">
        <v>374</v>
      </c>
      <c r="T69" s="89" t="s">
        <v>375</v>
      </c>
      <c r="U69" s="89" t="s">
        <v>376</v>
      </c>
      <c r="V69" s="89" t="s">
        <v>228</v>
      </c>
      <c r="W69" s="89" t="s">
        <v>254</v>
      </c>
      <c r="X69" s="183" t="s">
        <v>217</v>
      </c>
    </row>
    <row r="70" spans="11:24">
      <c r="K70">
        <f>K49</f>
        <v>1</v>
      </c>
      <c r="L70" t="str">
        <f>L49</f>
        <v>March 2022</v>
      </c>
      <c r="N70" s="35">
        <f>N113+N157+N201</f>
        <v>783909.45</v>
      </c>
      <c r="O70" s="35">
        <f>O113+O157+O201</f>
        <v>101923.76000000001</v>
      </c>
      <c r="P70" s="35">
        <f>P113+P157+P201</f>
        <v>177923.21</v>
      </c>
      <c r="Q70" s="35">
        <f t="shared" ref="Q70:W70" si="11">Q113+Q157+Q201</f>
        <v>-210371.13</v>
      </c>
      <c r="R70" s="35">
        <f t="shared" si="11"/>
        <v>0</v>
      </c>
      <c r="S70" s="35">
        <f t="shared" si="11"/>
        <v>0</v>
      </c>
      <c r="T70" s="35">
        <f t="shared" si="11"/>
        <v>0</v>
      </c>
      <c r="U70" s="35">
        <f t="shared" si="11"/>
        <v>0</v>
      </c>
      <c r="V70" s="35">
        <f t="shared" si="11"/>
        <v>0</v>
      </c>
      <c r="W70" s="35">
        <f t="shared" si="11"/>
        <v>0</v>
      </c>
      <c r="X70" s="35">
        <f>SUM(N70:W70)</f>
        <v>853385.28999999992</v>
      </c>
    </row>
    <row r="71" spans="11:24">
      <c r="L71" t="str">
        <f t="shared" ref="L71:L79" si="12">L50</f>
        <v>April</v>
      </c>
      <c r="N71" s="35">
        <f t="shared" ref="N71:P76" si="13">N114+N158+N202</f>
        <v>645934.62</v>
      </c>
      <c r="O71" s="35">
        <f t="shared" si="13"/>
        <v>105753.93000000001</v>
      </c>
      <c r="P71" s="35">
        <f t="shared" si="13"/>
        <v>213856.99</v>
      </c>
      <c r="Q71" s="35">
        <f t="shared" ref="Q71:W71" si="14">Q114+Q158+Q202</f>
        <v>-217443.44999999998</v>
      </c>
      <c r="R71" s="35">
        <f t="shared" si="14"/>
        <v>0</v>
      </c>
      <c r="S71" s="35">
        <f t="shared" si="14"/>
        <v>0</v>
      </c>
      <c r="T71" s="35">
        <f t="shared" si="14"/>
        <v>0</v>
      </c>
      <c r="U71" s="35">
        <f t="shared" si="14"/>
        <v>0</v>
      </c>
      <c r="V71" s="35">
        <f t="shared" si="14"/>
        <v>0</v>
      </c>
      <c r="W71" s="35">
        <f t="shared" si="14"/>
        <v>0</v>
      </c>
      <c r="X71" s="35">
        <f t="shared" ref="X71:X81" si="15">SUM(N71:W71)</f>
        <v>748102.09000000008</v>
      </c>
    </row>
    <row r="72" spans="11:24">
      <c r="L72" t="str">
        <f t="shared" si="12"/>
        <v>May</v>
      </c>
      <c r="N72" s="35">
        <f t="shared" si="13"/>
        <v>757103.41999999993</v>
      </c>
      <c r="O72" s="35">
        <f t="shared" si="13"/>
        <v>104435.29000000001</v>
      </c>
      <c r="P72" s="35">
        <f t="shared" si="13"/>
        <v>153197.90999999997</v>
      </c>
      <c r="Q72" s="35">
        <f t="shared" ref="Q72:W72" si="16">Q115+Q159+Q203</f>
        <v>-212789.19</v>
      </c>
      <c r="R72" s="35">
        <f t="shared" si="16"/>
        <v>0</v>
      </c>
      <c r="S72" s="35">
        <f t="shared" si="16"/>
        <v>0</v>
      </c>
      <c r="T72" s="35">
        <f t="shared" si="16"/>
        <v>0</v>
      </c>
      <c r="U72" s="35">
        <f t="shared" si="16"/>
        <v>0</v>
      </c>
      <c r="V72" s="35">
        <f t="shared" si="16"/>
        <v>0</v>
      </c>
      <c r="W72" s="35">
        <f t="shared" si="16"/>
        <v>0</v>
      </c>
      <c r="X72" s="35">
        <f t="shared" si="15"/>
        <v>801947.42999999993</v>
      </c>
    </row>
    <row r="73" spans="11:24">
      <c r="L73" t="str">
        <f t="shared" si="12"/>
        <v>June</v>
      </c>
      <c r="N73" s="35">
        <f t="shared" si="13"/>
        <v>271139.37</v>
      </c>
      <c r="O73" s="35">
        <f t="shared" si="13"/>
        <v>109129.88</v>
      </c>
      <c r="P73" s="35">
        <f t="shared" si="13"/>
        <v>188118.01</v>
      </c>
      <c r="Q73" s="35">
        <f t="shared" ref="Q73:W73" si="17">Q116+Q160+Q204</f>
        <v>-208952.71</v>
      </c>
      <c r="R73" s="35">
        <f t="shared" si="17"/>
        <v>0</v>
      </c>
      <c r="S73" s="35">
        <f t="shared" si="17"/>
        <v>0</v>
      </c>
      <c r="T73" s="35">
        <f t="shared" si="17"/>
        <v>0</v>
      </c>
      <c r="U73" s="35">
        <f t="shared" si="17"/>
        <v>0</v>
      </c>
      <c r="V73" s="35">
        <f t="shared" si="17"/>
        <v>0</v>
      </c>
      <c r="W73" s="35">
        <f t="shared" si="17"/>
        <v>0</v>
      </c>
      <c r="X73" s="35">
        <f t="shared" si="15"/>
        <v>359434.55000000005</v>
      </c>
    </row>
    <row r="74" spans="11:24">
      <c r="L74" t="str">
        <f t="shared" si="12"/>
        <v>July</v>
      </c>
      <c r="N74" s="35">
        <f t="shared" si="13"/>
        <v>1119175.22</v>
      </c>
      <c r="O74" s="35">
        <f t="shared" si="13"/>
        <v>136328.72999999998</v>
      </c>
      <c r="P74" s="35">
        <f t="shared" si="13"/>
        <v>204087.28999999998</v>
      </c>
      <c r="Q74" s="35">
        <f t="shared" ref="Q74:W74" si="18">Q117+Q161+Q205</f>
        <v>-209014.58</v>
      </c>
      <c r="R74" s="35">
        <f t="shared" si="18"/>
        <v>0</v>
      </c>
      <c r="S74" s="35">
        <f t="shared" si="18"/>
        <v>0</v>
      </c>
      <c r="T74" s="35">
        <f t="shared" si="18"/>
        <v>0</v>
      </c>
      <c r="U74" s="35">
        <f t="shared" si="18"/>
        <v>0</v>
      </c>
      <c r="V74" s="35">
        <f t="shared" si="18"/>
        <v>0</v>
      </c>
      <c r="W74" s="35">
        <f t="shared" si="18"/>
        <v>0</v>
      </c>
      <c r="X74" s="35">
        <f t="shared" si="15"/>
        <v>1250576.6599999999</v>
      </c>
    </row>
    <row r="75" spans="11:24">
      <c r="L75" t="str">
        <f t="shared" si="12"/>
        <v>August</v>
      </c>
      <c r="N75" s="35">
        <f t="shared" si="13"/>
        <v>1105514.77</v>
      </c>
      <c r="O75" s="35">
        <f t="shared" si="13"/>
        <v>124051.32999999999</v>
      </c>
      <c r="P75" s="35">
        <f t="shared" si="13"/>
        <v>204809.71</v>
      </c>
      <c r="Q75" s="35">
        <f t="shared" ref="Q75:W75" si="19">Q118+Q162+Q206</f>
        <v>-222353.05</v>
      </c>
      <c r="R75" s="35">
        <f t="shared" si="19"/>
        <v>0</v>
      </c>
      <c r="S75" s="35">
        <f t="shared" si="19"/>
        <v>0</v>
      </c>
      <c r="T75" s="35">
        <f t="shared" si="19"/>
        <v>0</v>
      </c>
      <c r="U75" s="35">
        <f t="shared" si="19"/>
        <v>0</v>
      </c>
      <c r="V75" s="35">
        <f t="shared" si="19"/>
        <v>0</v>
      </c>
      <c r="W75" s="35">
        <f t="shared" si="19"/>
        <v>0</v>
      </c>
      <c r="X75" s="35">
        <f t="shared" si="15"/>
        <v>1212022.76</v>
      </c>
    </row>
    <row r="76" spans="11:24">
      <c r="L76" t="str">
        <f t="shared" si="12"/>
        <v>September</v>
      </c>
      <c r="N76" s="35">
        <f t="shared" si="13"/>
        <v>1611614.27</v>
      </c>
      <c r="O76" s="35">
        <f t="shared" si="13"/>
        <v>279870.34999999998</v>
      </c>
      <c r="P76" s="35">
        <f t="shared" si="13"/>
        <v>147717.34</v>
      </c>
      <c r="Q76" s="35">
        <f t="shared" ref="Q76:W76" si="20">Q119+Q163+Q207</f>
        <v>-211665.18</v>
      </c>
      <c r="R76" s="35">
        <f t="shared" si="20"/>
        <v>0</v>
      </c>
      <c r="S76" s="35">
        <f t="shared" si="20"/>
        <v>0</v>
      </c>
      <c r="T76" s="35">
        <f t="shared" si="20"/>
        <v>0</v>
      </c>
      <c r="U76" s="35">
        <f t="shared" si="20"/>
        <v>0</v>
      </c>
      <c r="V76" s="35">
        <f t="shared" si="20"/>
        <v>0</v>
      </c>
      <c r="W76" s="35">
        <f t="shared" si="20"/>
        <v>0</v>
      </c>
      <c r="X76" s="35">
        <f t="shared" si="15"/>
        <v>1827536.7800000003</v>
      </c>
    </row>
    <row r="77" spans="11:24">
      <c r="L77" t="str">
        <f t="shared" si="12"/>
        <v>October</v>
      </c>
      <c r="N77" s="35">
        <f t="shared" ref="N77:P81" si="21">N120+N164+N208</f>
        <v>1473599.69</v>
      </c>
      <c r="O77" s="35">
        <f t="shared" si="21"/>
        <v>307182.81</v>
      </c>
      <c r="P77" s="35">
        <f t="shared" si="21"/>
        <v>201371.19</v>
      </c>
      <c r="Q77" s="35">
        <f t="shared" ref="Q77:W77" si="22">Q120+Q164+Q208</f>
        <v>-216773.63999999998</v>
      </c>
      <c r="R77" s="35">
        <f t="shared" si="22"/>
        <v>0</v>
      </c>
      <c r="S77" s="35">
        <f t="shared" si="22"/>
        <v>0</v>
      </c>
      <c r="T77" s="35">
        <f t="shared" si="22"/>
        <v>0</v>
      </c>
      <c r="U77" s="35">
        <f t="shared" si="22"/>
        <v>0</v>
      </c>
      <c r="V77" s="35">
        <f t="shared" si="22"/>
        <v>0</v>
      </c>
      <c r="W77" s="35">
        <f t="shared" si="22"/>
        <v>0</v>
      </c>
      <c r="X77" s="35">
        <f t="shared" si="15"/>
        <v>1765380.05</v>
      </c>
    </row>
    <row r="78" spans="11:24">
      <c r="L78" t="str">
        <f t="shared" si="12"/>
        <v>November</v>
      </c>
      <c r="N78" s="35">
        <f t="shared" si="21"/>
        <v>1017946.38</v>
      </c>
      <c r="O78" s="35">
        <f t="shared" si="21"/>
        <v>260724.21999999997</v>
      </c>
      <c r="P78" s="35">
        <f t="shared" si="21"/>
        <v>134519.52000000002</v>
      </c>
      <c r="Q78" s="35">
        <f t="shared" ref="Q78:W78" si="23">Q121+Q165+Q209</f>
        <v>-210383.46</v>
      </c>
      <c r="R78" s="35">
        <f t="shared" si="23"/>
        <v>0</v>
      </c>
      <c r="S78" s="35">
        <f t="shared" si="23"/>
        <v>0</v>
      </c>
      <c r="T78" s="35">
        <f t="shared" si="23"/>
        <v>0</v>
      </c>
      <c r="U78" s="35">
        <f t="shared" si="23"/>
        <v>0</v>
      </c>
      <c r="V78" s="35">
        <f t="shared" si="23"/>
        <v>0</v>
      </c>
      <c r="W78" s="35">
        <f t="shared" si="23"/>
        <v>0</v>
      </c>
      <c r="X78" s="35">
        <f t="shared" si="15"/>
        <v>1202806.6600000001</v>
      </c>
    </row>
    <row r="79" spans="11:24">
      <c r="L79" t="str">
        <f t="shared" si="12"/>
        <v>December</v>
      </c>
      <c r="N79" s="35">
        <f t="shared" si="21"/>
        <v>1011711.1000000001</v>
      </c>
      <c r="O79" s="35">
        <f t="shared" si="21"/>
        <v>304003.25</v>
      </c>
      <c r="P79" s="35">
        <f t="shared" si="21"/>
        <v>177820.5</v>
      </c>
      <c r="Q79" s="35">
        <f t="shared" ref="Q79:W79" si="24">Q122+Q166+Q210</f>
        <v>-223813.34000000003</v>
      </c>
      <c r="R79" s="35">
        <f t="shared" si="24"/>
        <v>0</v>
      </c>
      <c r="S79" s="35">
        <f t="shared" si="24"/>
        <v>0</v>
      </c>
      <c r="T79" s="35">
        <f t="shared" si="24"/>
        <v>0</v>
      </c>
      <c r="U79" s="35">
        <f t="shared" si="24"/>
        <v>0</v>
      </c>
      <c r="V79" s="35">
        <f t="shared" si="24"/>
        <v>0</v>
      </c>
      <c r="W79" s="35">
        <f t="shared" si="24"/>
        <v>0</v>
      </c>
      <c r="X79" s="35">
        <f t="shared" si="15"/>
        <v>1269721.51</v>
      </c>
    </row>
    <row r="80" spans="11:24">
      <c r="L80" s="169" t="s">
        <v>1091</v>
      </c>
      <c r="N80" s="35">
        <f t="shared" si="21"/>
        <v>744803.93</v>
      </c>
      <c r="O80" s="35">
        <f t="shared" si="21"/>
        <v>309469.47000000003</v>
      </c>
      <c r="P80" s="35">
        <f t="shared" si="21"/>
        <v>439038.58999999997</v>
      </c>
      <c r="Q80" s="35">
        <f t="shared" ref="Q80:W80" si="25">Q123+Q167+Q211</f>
        <v>-155718.73000000001</v>
      </c>
      <c r="R80" s="35">
        <f t="shared" si="25"/>
        <v>0</v>
      </c>
      <c r="S80" s="35">
        <f t="shared" si="25"/>
        <v>0</v>
      </c>
      <c r="T80" s="35">
        <f t="shared" si="25"/>
        <v>0</v>
      </c>
      <c r="U80" s="35">
        <f t="shared" si="25"/>
        <v>0</v>
      </c>
      <c r="V80" s="35">
        <f t="shared" si="25"/>
        <v>0</v>
      </c>
      <c r="W80" s="35">
        <f t="shared" si="25"/>
        <v>0</v>
      </c>
      <c r="X80" s="35">
        <f t="shared" si="15"/>
        <v>1337593.2600000002</v>
      </c>
    </row>
    <row r="81" spans="10:43">
      <c r="K81">
        <f>K60</f>
        <v>12</v>
      </c>
      <c r="L81" s="169" t="s">
        <v>672</v>
      </c>
      <c r="N81" s="35">
        <f t="shared" si="21"/>
        <v>321299.15000000002</v>
      </c>
      <c r="O81" s="35">
        <f t="shared" si="21"/>
        <v>246922.83</v>
      </c>
      <c r="P81" s="35">
        <f t="shared" si="21"/>
        <v>163279.84</v>
      </c>
      <c r="Q81" s="35">
        <f t="shared" ref="Q81:W81" si="26">Q124+Q168+Q212</f>
        <v>-147146.5</v>
      </c>
      <c r="R81" s="35">
        <f t="shared" si="26"/>
        <v>0</v>
      </c>
      <c r="S81" s="35">
        <f t="shared" si="26"/>
        <v>0</v>
      </c>
      <c r="T81" s="35">
        <f t="shared" si="26"/>
        <v>0</v>
      </c>
      <c r="U81" s="35">
        <f t="shared" si="26"/>
        <v>0</v>
      </c>
      <c r="V81" s="35">
        <f t="shared" si="26"/>
        <v>0</v>
      </c>
      <c r="W81" s="35">
        <f t="shared" si="26"/>
        <v>0</v>
      </c>
      <c r="X81" s="35">
        <f t="shared" si="15"/>
        <v>584355.31999999995</v>
      </c>
    </row>
    <row r="83" spans="10:43">
      <c r="L83" t="s">
        <v>108</v>
      </c>
      <c r="N83" s="35">
        <f t="shared" ref="N83:X83" si="27">SUM(N70:N81)</f>
        <v>10863751.369999999</v>
      </c>
      <c r="O83" s="35">
        <f t="shared" si="27"/>
        <v>2389795.85</v>
      </c>
      <c r="P83" s="35">
        <f t="shared" si="27"/>
        <v>2405740.0999999996</v>
      </c>
      <c r="Q83" s="35">
        <f t="shared" si="27"/>
        <v>-2446424.96</v>
      </c>
      <c r="R83" s="35">
        <f t="shared" si="27"/>
        <v>0</v>
      </c>
      <c r="S83" s="35">
        <f t="shared" si="27"/>
        <v>0</v>
      </c>
      <c r="T83" s="35">
        <f t="shared" si="27"/>
        <v>0</v>
      </c>
      <c r="U83" s="35">
        <f t="shared" si="27"/>
        <v>0</v>
      </c>
      <c r="V83" s="35">
        <f t="shared" si="27"/>
        <v>0</v>
      </c>
      <c r="W83" s="35">
        <f t="shared" si="27"/>
        <v>0</v>
      </c>
      <c r="X83" s="35">
        <f t="shared" si="27"/>
        <v>13212862.359999999</v>
      </c>
    </row>
    <row r="84" spans="10:43">
      <c r="AD84" s="52" t="s">
        <v>490</v>
      </c>
    </row>
    <row r="85" spans="10:43" ht="15.75">
      <c r="L85" s="121" t="s">
        <v>242</v>
      </c>
      <c r="M85" s="36"/>
      <c r="Z85" s="52"/>
      <c r="AA85" s="52"/>
      <c r="AB85" s="52"/>
      <c r="AC85" s="52"/>
      <c r="AD85" s="52" t="s">
        <v>495</v>
      </c>
      <c r="AE85" s="52"/>
      <c r="AF85" s="52"/>
      <c r="AG85" s="52"/>
      <c r="AH85" s="52"/>
      <c r="AJ85" s="52"/>
      <c r="AK85" s="52"/>
      <c r="AL85" s="52"/>
      <c r="AM85" s="52"/>
      <c r="AN85" s="52"/>
      <c r="AO85" s="52"/>
    </row>
    <row r="86" spans="10:43">
      <c r="M86" s="52" t="s">
        <v>489</v>
      </c>
      <c r="Q86" s="436" t="s">
        <v>490</v>
      </c>
      <c r="R86" s="436" t="s">
        <v>492</v>
      </c>
      <c r="S86" s="436" t="s">
        <v>493</v>
      </c>
      <c r="T86" s="52" t="s">
        <v>9</v>
      </c>
      <c r="Z86" s="52"/>
      <c r="AA86" s="52">
        <v>3.805E-2</v>
      </c>
      <c r="AB86" s="52" t="s">
        <v>496</v>
      </c>
      <c r="AC86" s="52"/>
      <c r="AD86" s="52" t="s">
        <v>216</v>
      </c>
      <c r="AE86" s="52"/>
      <c r="AF86" s="52"/>
      <c r="AG86" s="52"/>
      <c r="AH86" s="52"/>
      <c r="AJ86" s="52"/>
      <c r="AK86" s="52"/>
      <c r="AL86" s="52"/>
      <c r="AM86" s="52"/>
      <c r="AN86" s="52"/>
      <c r="AO86" s="52"/>
    </row>
    <row r="87" spans="10:43">
      <c r="M87" s="52" t="s">
        <v>244</v>
      </c>
      <c r="N87" s="52" t="s">
        <v>255</v>
      </c>
      <c r="O87" s="52" t="s">
        <v>416</v>
      </c>
      <c r="P87" s="52" t="s">
        <v>245</v>
      </c>
      <c r="Q87" s="436" t="s">
        <v>491</v>
      </c>
      <c r="R87" s="436">
        <v>10.715</v>
      </c>
      <c r="S87" s="436" t="s">
        <v>271</v>
      </c>
      <c r="T87" s="52" t="s">
        <v>15</v>
      </c>
      <c r="U87" s="52" t="s">
        <v>245</v>
      </c>
      <c r="Z87" s="52"/>
      <c r="AA87" s="52"/>
      <c r="AB87" s="52" t="s">
        <v>499</v>
      </c>
      <c r="AC87" s="52" t="s">
        <v>497</v>
      </c>
      <c r="AD87" s="52" t="s">
        <v>140</v>
      </c>
      <c r="AE87" s="52" t="s">
        <v>500</v>
      </c>
      <c r="AF87" s="52" t="s">
        <v>501</v>
      </c>
      <c r="AG87" s="52"/>
      <c r="AH87" s="52"/>
      <c r="AJ87" s="52"/>
      <c r="AK87" s="52"/>
      <c r="AL87" s="52"/>
      <c r="AM87" s="52"/>
      <c r="AN87" s="52"/>
      <c r="AO87" s="52"/>
    </row>
    <row r="88" spans="10:43">
      <c r="M88" s="52" t="s">
        <v>248</v>
      </c>
      <c r="N88" s="52" t="s">
        <v>224</v>
      </c>
      <c r="O88" s="52" t="s">
        <v>224</v>
      </c>
      <c r="P88" s="52" t="s">
        <v>224</v>
      </c>
      <c r="Q88" s="52" t="s">
        <v>11</v>
      </c>
      <c r="R88" s="52" t="s">
        <v>219</v>
      </c>
      <c r="S88" s="52" t="s">
        <v>220</v>
      </c>
      <c r="T88" s="52" t="s">
        <v>249</v>
      </c>
      <c r="U88" s="52" t="s">
        <v>250</v>
      </c>
      <c r="V88" s="52" t="s">
        <v>251</v>
      </c>
      <c r="W88" s="52" t="s">
        <v>8</v>
      </c>
      <c r="X88" s="52" t="s">
        <v>252</v>
      </c>
      <c r="Y88" s="52"/>
      <c r="Z88" s="52" t="s">
        <v>494</v>
      </c>
      <c r="AA88" s="52" t="s">
        <v>498</v>
      </c>
      <c r="AB88" s="343" t="s">
        <v>503</v>
      </c>
      <c r="AC88" s="52" t="s">
        <v>212</v>
      </c>
      <c r="AD88" t="s">
        <v>505</v>
      </c>
      <c r="AE88" t="s">
        <v>38</v>
      </c>
      <c r="AF88" t="s">
        <v>506</v>
      </c>
      <c r="AG88" s="52"/>
      <c r="AH88" s="52"/>
      <c r="AJ88" s="52"/>
      <c r="AK88" s="52"/>
      <c r="AL88" s="52"/>
      <c r="AM88" s="52"/>
      <c r="AN88" s="52"/>
      <c r="AO88" s="52"/>
    </row>
    <row r="89" spans="10:43">
      <c r="L89" s="122" t="s">
        <v>134</v>
      </c>
      <c r="M89" s="122"/>
      <c r="N89" s="122" t="s">
        <v>134</v>
      </c>
      <c r="O89" s="122"/>
      <c r="P89" s="122" t="s">
        <v>134</v>
      </c>
      <c r="Q89" s="122" t="s">
        <v>134</v>
      </c>
      <c r="R89" s="122" t="s">
        <v>134</v>
      </c>
      <c r="S89" s="122" t="s">
        <v>134</v>
      </c>
      <c r="T89" s="122" t="s">
        <v>134</v>
      </c>
      <c r="U89" s="122" t="s">
        <v>134</v>
      </c>
      <c r="V89" s="122" t="s">
        <v>134</v>
      </c>
      <c r="W89" s="122" t="s">
        <v>134</v>
      </c>
      <c r="X89" s="122" t="s">
        <v>134</v>
      </c>
      <c r="Y89" s="122"/>
      <c r="Z89" t="s">
        <v>140</v>
      </c>
      <c r="AA89" t="s">
        <v>502</v>
      </c>
      <c r="AB89" t="s">
        <v>212</v>
      </c>
      <c r="AC89" t="s">
        <v>504</v>
      </c>
      <c r="AD89" t="s">
        <v>507</v>
      </c>
      <c r="AE89">
        <v>1.66E-4</v>
      </c>
      <c r="AF89" t="s">
        <v>247</v>
      </c>
    </row>
    <row r="90" spans="10:43">
      <c r="R90" s="112"/>
      <c r="S90" s="112"/>
      <c r="T90" s="112"/>
      <c r="V90" s="112"/>
      <c r="AA90" s="60"/>
    </row>
    <row r="91" spans="10:43">
      <c r="J91" s="311"/>
      <c r="K91">
        <f>K49</f>
        <v>1</v>
      </c>
      <c r="L91" s="169" t="s">
        <v>1088</v>
      </c>
      <c r="M91" s="123">
        <v>15000</v>
      </c>
      <c r="N91" s="58">
        <v>15000</v>
      </c>
      <c r="O91" s="58">
        <v>15000</v>
      </c>
      <c r="P91" s="58"/>
      <c r="Q91" s="58">
        <v>17315581</v>
      </c>
      <c r="R91" s="112">
        <v>160725</v>
      </c>
      <c r="S91" s="112">
        <v>904464.57</v>
      </c>
      <c r="T91" s="35">
        <f t="shared" ref="T91:T102" si="28">SUM(N113:U113)</f>
        <v>209436.84</v>
      </c>
      <c r="U91" s="112"/>
      <c r="V91" s="112">
        <f t="shared" ref="V91:V102" si="29">SUM(R91:U91)</f>
        <v>1274626.4099999999</v>
      </c>
      <c r="W91" s="112">
        <v>1282332.8600000001</v>
      </c>
      <c r="X91" s="112">
        <f t="shared" ref="X91:X100" si="30">W91-V91</f>
        <v>7706.4500000001863</v>
      </c>
      <c r="Y91" s="112"/>
      <c r="Z91" s="46">
        <v>7045537</v>
      </c>
      <c r="AA91" s="46">
        <f>Q91-Z91</f>
        <v>10270044</v>
      </c>
      <c r="AB91" s="117">
        <f>359784.65+2226.07+7045.54+3976.37+552.07+140104.7</f>
        <v>513689.4</v>
      </c>
      <c r="AC91" s="412">
        <f t="shared" ref="AC91:AC101" si="31">(R91+AB91+U91+T91+(AA$86*AA91))-V91</f>
        <v>4.2000000830739737E-3</v>
      </c>
      <c r="AD91" s="46">
        <v>40231613</v>
      </c>
      <c r="AE91" s="117">
        <f>ROUND(AD91*$AE$89,2)</f>
        <v>6678.45</v>
      </c>
      <c r="AF91" s="117">
        <v>1028</v>
      </c>
      <c r="AG91" s="412">
        <f t="shared" ref="AG91:AG101" si="32">AE91+AF91-X91</f>
        <v>-1.8644641386345029E-10</v>
      </c>
      <c r="AH91" s="181"/>
      <c r="AJ91" s="58"/>
      <c r="AK91" s="30"/>
      <c r="AL91" s="181"/>
      <c r="AM91" s="182"/>
      <c r="AN91" s="181"/>
      <c r="AO91" s="30"/>
      <c r="AQ91" s="30"/>
    </row>
    <row r="92" spans="10:43">
      <c r="J92" s="311"/>
      <c r="L92" t="s">
        <v>476</v>
      </c>
      <c r="M92" s="123">
        <v>15000</v>
      </c>
      <c r="N92" s="58">
        <v>15000</v>
      </c>
      <c r="O92" s="58">
        <v>15000</v>
      </c>
      <c r="P92" s="58"/>
      <c r="Q92" s="58">
        <v>17705434</v>
      </c>
      <c r="R92" s="112">
        <v>160725</v>
      </c>
      <c r="S92" s="112">
        <v>982075.5</v>
      </c>
      <c r="T92" s="35">
        <f t="shared" si="28"/>
        <v>185333.45</v>
      </c>
      <c r="U92" s="112"/>
      <c r="V92" s="112">
        <f t="shared" si="29"/>
        <v>1328133.95</v>
      </c>
      <c r="W92" s="112">
        <v>1337276.73</v>
      </c>
      <c r="X92" s="127">
        <f t="shared" si="30"/>
        <v>9142.7800000000279</v>
      </c>
      <c r="Y92" s="112"/>
      <c r="Z92" s="46">
        <v>6905434</v>
      </c>
      <c r="AA92" s="46">
        <f t="shared" ref="AA92:AA102" si="33">Q92-Z92</f>
        <v>10800000</v>
      </c>
      <c r="AB92" s="117">
        <f>447309.71+2456.66+6905.43+3976.37+1378.47+109108.86</f>
        <v>571135.5</v>
      </c>
      <c r="AC92" s="412">
        <f t="shared" si="31"/>
        <v>0</v>
      </c>
      <c r="AD92" s="46">
        <v>48884203</v>
      </c>
      <c r="AE92" s="117">
        <f t="shared" ref="AE92:AE102" si="34">ROUND(AD92*$AE$89,2)</f>
        <v>8114.78</v>
      </c>
      <c r="AF92" s="117">
        <v>1028</v>
      </c>
      <c r="AG92" s="412">
        <f t="shared" si="32"/>
        <v>-2.9103830456733704E-11</v>
      </c>
      <c r="AH92" s="181"/>
      <c r="AJ92" s="58"/>
      <c r="AK92" s="30"/>
      <c r="AL92" s="181"/>
      <c r="AM92" s="182"/>
      <c r="AN92" s="181"/>
      <c r="AO92" s="30"/>
      <c r="AQ92" s="30"/>
    </row>
    <row r="93" spans="10:43">
      <c r="J93" s="311"/>
      <c r="L93" t="s">
        <v>477</v>
      </c>
      <c r="M93" s="123">
        <v>15000</v>
      </c>
      <c r="N93" s="58">
        <v>15000</v>
      </c>
      <c r="O93" s="58">
        <v>15000</v>
      </c>
      <c r="P93" s="58"/>
      <c r="Q93" s="58">
        <v>21476545</v>
      </c>
      <c r="R93" s="112">
        <v>160725</v>
      </c>
      <c r="S93" s="112">
        <v>1402790.86</v>
      </c>
      <c r="T93" s="35">
        <f t="shared" si="28"/>
        <v>208166.56</v>
      </c>
      <c r="U93" s="112"/>
      <c r="V93" s="112">
        <f t="shared" si="29"/>
        <v>1771682.4200000002</v>
      </c>
      <c r="W93" s="112">
        <v>1781190.15</v>
      </c>
      <c r="X93" s="112">
        <f t="shared" si="30"/>
        <v>9507.7299999997485</v>
      </c>
      <c r="Y93" s="112"/>
      <c r="Z93" s="46">
        <v>10329206</v>
      </c>
      <c r="AA93" s="46">
        <f t="shared" si="33"/>
        <v>11147339</v>
      </c>
      <c r="AB93" s="117">
        <f>821720.24+2800.24+10329.21+3976.37+69.63+139738.92</f>
        <v>978634.61</v>
      </c>
      <c r="AC93" s="412">
        <f t="shared" si="31"/>
        <v>-1.050000311806798E-3</v>
      </c>
      <c r="AD93" s="46">
        <v>51082704</v>
      </c>
      <c r="AE93" s="117">
        <f t="shared" si="34"/>
        <v>8479.73</v>
      </c>
      <c r="AF93" s="117">
        <v>1028</v>
      </c>
      <c r="AG93" s="412">
        <f t="shared" si="32"/>
        <v>2.5102053768932819E-10</v>
      </c>
      <c r="AH93" s="181"/>
      <c r="AJ93" s="58"/>
      <c r="AK93" s="30"/>
      <c r="AL93" s="181"/>
      <c r="AM93" s="182"/>
      <c r="AN93" s="181"/>
      <c r="AO93" s="30"/>
      <c r="AQ93" s="30"/>
    </row>
    <row r="94" spans="10:43">
      <c r="J94" s="311"/>
      <c r="L94" t="s">
        <v>478</v>
      </c>
      <c r="M94" s="123">
        <v>15000</v>
      </c>
      <c r="N94" s="58">
        <v>15000</v>
      </c>
      <c r="O94" s="58">
        <v>15000</v>
      </c>
      <c r="P94" s="58"/>
      <c r="Q94" s="58">
        <v>22178297</v>
      </c>
      <c r="R94" s="112">
        <v>160725</v>
      </c>
      <c r="S94" s="112">
        <v>1686082.42</v>
      </c>
      <c r="T94" s="35">
        <f t="shared" si="28"/>
        <v>84737.71</v>
      </c>
      <c r="U94" s="112"/>
      <c r="V94" s="112">
        <f t="shared" si="29"/>
        <v>1931545.13</v>
      </c>
      <c r="W94" s="112">
        <v>1940575.36</v>
      </c>
      <c r="X94" s="112">
        <f t="shared" si="30"/>
        <v>9030.2300000002142</v>
      </c>
      <c r="Y94" s="112"/>
      <c r="Z94" s="46">
        <v>11382053</v>
      </c>
      <c r="AA94" s="46">
        <f t="shared" si="33"/>
        <v>10796244</v>
      </c>
      <c r="AB94" s="117">
        <f>1119141.96+3216.55+11382.05+3976.37+436.76+137131.65</f>
        <v>1275285.3400000001</v>
      </c>
      <c r="AC94" s="412">
        <f t="shared" si="31"/>
        <v>4.2000000830739737E-3</v>
      </c>
      <c r="AD94" s="46">
        <v>48206223</v>
      </c>
      <c r="AE94" s="117">
        <f t="shared" si="34"/>
        <v>8002.23</v>
      </c>
      <c r="AF94" s="117">
        <v>1028</v>
      </c>
      <c r="AG94" s="412">
        <f t="shared" si="32"/>
        <v>-2.1464074961841106E-10</v>
      </c>
      <c r="AH94" s="181"/>
      <c r="AJ94" s="58"/>
      <c r="AK94" s="30"/>
      <c r="AL94" s="181"/>
      <c r="AM94" s="182"/>
      <c r="AN94" s="181"/>
      <c r="AO94" s="30"/>
      <c r="AQ94" s="30"/>
    </row>
    <row r="95" spans="10:43">
      <c r="J95" s="311"/>
      <c r="L95" t="s">
        <v>479</v>
      </c>
      <c r="M95" s="123">
        <v>15000</v>
      </c>
      <c r="N95" s="58">
        <v>35000</v>
      </c>
      <c r="O95" s="58">
        <v>35000</v>
      </c>
      <c r="P95" s="58"/>
      <c r="Q95" s="58">
        <v>21313897</v>
      </c>
      <c r="R95" s="112">
        <v>375025</v>
      </c>
      <c r="S95" s="112">
        <v>1070599.6200000001</v>
      </c>
      <c r="T95" s="35">
        <f t="shared" si="28"/>
        <v>440931.39</v>
      </c>
      <c r="U95" s="112"/>
      <c r="V95" s="112">
        <f t="shared" si="29"/>
        <v>1886556.0100000002</v>
      </c>
      <c r="W95" s="112">
        <v>1896047.25</v>
      </c>
      <c r="X95" s="112">
        <f t="shared" si="30"/>
        <v>9491.2399999997579</v>
      </c>
      <c r="Y95" s="112"/>
      <c r="Z95" s="46">
        <v>1984145</v>
      </c>
      <c r="AA95" s="46">
        <f t="shared" si="33"/>
        <v>19329752</v>
      </c>
      <c r="AB95" s="117">
        <f>246141.05+1214.14+1984.15+3976.37+861.5+80925.35</f>
        <v>335102.56</v>
      </c>
      <c r="AC95" s="412">
        <f t="shared" si="31"/>
        <v>3.599999938160181E-3</v>
      </c>
      <c r="AD95" s="46">
        <v>50983364</v>
      </c>
      <c r="AE95" s="117">
        <f t="shared" si="34"/>
        <v>8463.24</v>
      </c>
      <c r="AF95" s="117">
        <v>1028</v>
      </c>
      <c r="AG95" s="412">
        <f t="shared" si="32"/>
        <v>2.4192559067159891E-10</v>
      </c>
      <c r="AH95" s="181"/>
      <c r="AJ95" s="58"/>
      <c r="AK95" s="30"/>
      <c r="AL95" s="181"/>
      <c r="AM95" s="182"/>
      <c r="AN95" s="181"/>
      <c r="AO95" s="30"/>
      <c r="AQ95" s="30"/>
    </row>
    <row r="96" spans="10:43">
      <c r="J96" s="311"/>
      <c r="L96" t="s">
        <v>480</v>
      </c>
      <c r="M96" s="123">
        <v>15000</v>
      </c>
      <c r="N96" s="58">
        <v>35000</v>
      </c>
      <c r="O96" s="58">
        <v>35000</v>
      </c>
      <c r="P96" s="58"/>
      <c r="Q96" s="58">
        <v>20059758</v>
      </c>
      <c r="R96" s="112">
        <v>375025</v>
      </c>
      <c r="S96" s="112">
        <v>1038340.21</v>
      </c>
      <c r="T96" s="35">
        <f t="shared" si="28"/>
        <v>440529.98</v>
      </c>
      <c r="U96" s="112"/>
      <c r="V96" s="112">
        <f t="shared" si="29"/>
        <v>1853895.19</v>
      </c>
      <c r="W96" s="112">
        <v>1863312.5</v>
      </c>
      <c r="X96" s="112">
        <f t="shared" si="30"/>
        <v>9417.3100000000559</v>
      </c>
      <c r="Y96" s="112"/>
      <c r="Z96" s="46">
        <v>1862627</v>
      </c>
      <c r="AA96" s="46">
        <f t="shared" si="33"/>
        <v>18197131</v>
      </c>
      <c r="AB96" s="117">
        <f>254268.95+1614.98+1862.63+3976.37-273.24+84489.69</f>
        <v>345939.38</v>
      </c>
      <c r="AC96" s="412">
        <f t="shared" si="31"/>
        <v>4.5499999541789293E-3</v>
      </c>
      <c r="AD96" s="46">
        <v>50537988</v>
      </c>
      <c r="AE96" s="117">
        <f t="shared" si="34"/>
        <v>8389.31</v>
      </c>
      <c r="AF96" s="117">
        <v>1028</v>
      </c>
      <c r="AG96" s="412">
        <f t="shared" si="32"/>
        <v>-5.6388671509921551E-11</v>
      </c>
      <c r="AH96" s="181"/>
      <c r="AJ96" s="58"/>
      <c r="AK96" s="30"/>
      <c r="AL96" s="181"/>
      <c r="AM96" s="182"/>
      <c r="AN96" s="181"/>
      <c r="AO96" s="30"/>
      <c r="AQ96" s="30"/>
    </row>
    <row r="97" spans="8:43">
      <c r="J97" s="311"/>
      <c r="L97" t="s">
        <v>481</v>
      </c>
      <c r="M97" s="123">
        <v>15000</v>
      </c>
      <c r="N97" s="58">
        <v>35000</v>
      </c>
      <c r="O97" s="58">
        <v>35000</v>
      </c>
      <c r="P97" s="58"/>
      <c r="Q97" s="58">
        <v>16865118</v>
      </c>
      <c r="R97" s="112">
        <v>375025</v>
      </c>
      <c r="S97" s="112">
        <v>852039.2</v>
      </c>
      <c r="T97" s="35">
        <f t="shared" si="28"/>
        <v>617545.11</v>
      </c>
      <c r="U97" s="112"/>
      <c r="V97" s="112">
        <f t="shared" si="29"/>
        <v>1844609.31</v>
      </c>
      <c r="W97" s="112">
        <v>1853824.45</v>
      </c>
      <c r="X97" s="112">
        <f t="shared" si="30"/>
        <v>9215.1399999998976</v>
      </c>
      <c r="Y97" s="112"/>
      <c r="Z97" s="46">
        <v>1139343</v>
      </c>
      <c r="AA97" s="46">
        <f t="shared" si="33"/>
        <v>15725775</v>
      </c>
      <c r="AB97" s="117">
        <f>169524.72+1204.85+1139.34+3976.37+2938.83+74889.35</f>
        <v>253673.46</v>
      </c>
      <c r="AC97" s="412">
        <f t="shared" si="31"/>
        <v>-1.2500002048909664E-3</v>
      </c>
      <c r="AD97" s="46">
        <v>49320109</v>
      </c>
      <c r="AE97" s="117">
        <f t="shared" si="34"/>
        <v>8187.14</v>
      </c>
      <c r="AF97" s="117">
        <v>1028</v>
      </c>
      <c r="AG97" s="412">
        <f t="shared" si="32"/>
        <v>1.0186340659856796E-10</v>
      </c>
      <c r="AH97" s="181"/>
      <c r="AJ97" s="58"/>
      <c r="AK97" s="30"/>
      <c r="AL97" s="181"/>
      <c r="AM97" s="182"/>
      <c r="AN97" s="181"/>
      <c r="AO97" s="30"/>
      <c r="AQ97" s="30"/>
    </row>
    <row r="98" spans="8:43">
      <c r="J98" s="311"/>
      <c r="L98" t="s">
        <v>482</v>
      </c>
      <c r="M98" s="123">
        <v>15000</v>
      </c>
      <c r="N98" s="58">
        <v>35000</v>
      </c>
      <c r="O98" s="58">
        <v>35000</v>
      </c>
      <c r="P98" s="58"/>
      <c r="Q98" s="58">
        <v>24909163</v>
      </c>
      <c r="R98" s="112">
        <v>375025</v>
      </c>
      <c r="S98" s="112">
        <v>1258857.1599999999</v>
      </c>
      <c r="T98" s="35">
        <f t="shared" si="28"/>
        <v>630473.65000000014</v>
      </c>
      <c r="U98" s="112"/>
      <c r="V98" s="112">
        <f t="shared" si="29"/>
        <v>2264355.81</v>
      </c>
      <c r="W98" s="112">
        <v>2273634.34</v>
      </c>
      <c r="X98" s="112">
        <f t="shared" si="30"/>
        <v>9278.5299999997951</v>
      </c>
      <c r="Y98" s="112"/>
      <c r="Z98" s="46">
        <v>6646677</v>
      </c>
      <c r="AA98" s="46">
        <f t="shared" si="33"/>
        <v>18262486</v>
      </c>
      <c r="AB98" s="117">
        <f>456796.04+1926.05+6646.68+3976.37+9109.38+85515.05</f>
        <v>563969.56999999995</v>
      </c>
      <c r="AC98" s="412">
        <f t="shared" si="31"/>
        <v>2.3000002838671207E-3</v>
      </c>
      <c r="AD98" s="46">
        <v>49701996</v>
      </c>
      <c r="AE98" s="117">
        <f t="shared" si="34"/>
        <v>8250.5300000000007</v>
      </c>
      <c r="AF98" s="117">
        <v>1028</v>
      </c>
      <c r="AG98" s="412">
        <f t="shared" si="32"/>
        <v>2.0554580260068178E-10</v>
      </c>
      <c r="AH98" s="181"/>
      <c r="AJ98" s="58"/>
      <c r="AK98" s="30"/>
      <c r="AL98" s="181"/>
      <c r="AM98" s="182"/>
      <c r="AN98" s="181"/>
      <c r="AO98" s="30"/>
      <c r="AQ98" s="30"/>
    </row>
    <row r="99" spans="8:43">
      <c r="J99" s="311"/>
      <c r="L99" t="s">
        <v>483</v>
      </c>
      <c r="M99" s="123">
        <v>15000</v>
      </c>
      <c r="N99" s="58">
        <v>35000</v>
      </c>
      <c r="O99" s="58">
        <v>35000</v>
      </c>
      <c r="P99" s="58"/>
      <c r="Q99" s="58">
        <v>15356563</v>
      </c>
      <c r="R99" s="112">
        <v>375025</v>
      </c>
      <c r="S99" s="117">
        <v>748686.45</v>
      </c>
      <c r="T99" s="35">
        <f t="shared" si="28"/>
        <v>417443.70999999996</v>
      </c>
      <c r="U99" s="112"/>
      <c r="V99" s="112">
        <f t="shared" si="29"/>
        <v>1541155.16</v>
      </c>
      <c r="W99" s="112">
        <v>1550388.81</v>
      </c>
      <c r="X99" s="112">
        <f t="shared" si="30"/>
        <v>9233.6500000001397</v>
      </c>
      <c r="Y99" s="112"/>
      <c r="Z99" s="46">
        <v>300431</v>
      </c>
      <c r="AA99" s="46">
        <f t="shared" si="33"/>
        <v>15056132</v>
      </c>
      <c r="AB99" s="117">
        <f>95956.03+1005.21+300.43+3976.37-1968.18+76530.77</f>
        <v>175800.63</v>
      </c>
      <c r="AC99" s="412">
        <f t="shared" si="31"/>
        <v>2.6000000070780516E-3</v>
      </c>
      <c r="AD99" s="46">
        <v>49431646</v>
      </c>
      <c r="AE99" s="117">
        <f t="shared" si="34"/>
        <v>8205.65</v>
      </c>
      <c r="AF99" s="117">
        <v>1028</v>
      </c>
      <c r="AG99" s="412">
        <f t="shared" si="32"/>
        <v>-1.4006218407303095E-10</v>
      </c>
      <c r="AH99" s="181"/>
      <c r="AJ99" s="58"/>
      <c r="AK99" s="30"/>
      <c r="AL99" s="181"/>
      <c r="AM99" s="182"/>
      <c r="AN99" s="181"/>
      <c r="AO99" s="30"/>
      <c r="AQ99" s="30"/>
    </row>
    <row r="100" spans="8:43">
      <c r="J100" s="311"/>
      <c r="L100" t="s">
        <v>484</v>
      </c>
      <c r="M100" s="123">
        <v>15000</v>
      </c>
      <c r="N100" s="58">
        <v>35000</v>
      </c>
      <c r="O100" s="58">
        <v>35000</v>
      </c>
      <c r="P100" s="58"/>
      <c r="Q100" s="58">
        <v>24008756</v>
      </c>
      <c r="R100" s="112">
        <v>375025</v>
      </c>
      <c r="S100" s="112">
        <v>1245238.1200000001</v>
      </c>
      <c r="T100" s="35">
        <f t="shared" si="28"/>
        <v>483330.60999999987</v>
      </c>
      <c r="U100" s="112"/>
      <c r="V100" s="112">
        <f t="shared" si="29"/>
        <v>2103593.73</v>
      </c>
      <c r="W100" s="112">
        <v>2112027.59</v>
      </c>
      <c r="X100" s="112">
        <f t="shared" si="30"/>
        <v>8433.8599999998696</v>
      </c>
      <c r="Y100" s="112"/>
      <c r="Z100" s="46">
        <v>4689065</v>
      </c>
      <c r="AA100" s="46">
        <f t="shared" si="33"/>
        <v>19319691</v>
      </c>
      <c r="AB100" s="117">
        <f>443570.34+1656.76+4689.07+3976.37+-48.11+56279.45</f>
        <v>510123.88000000006</v>
      </c>
      <c r="AC100" s="412">
        <f t="shared" si="31"/>
        <v>2.5499998591840267E-3</v>
      </c>
      <c r="AD100" s="46">
        <v>44613585</v>
      </c>
      <c r="AE100" s="117">
        <f t="shared" si="34"/>
        <v>7405.86</v>
      </c>
      <c r="AF100" s="117">
        <v>1028</v>
      </c>
      <c r="AG100" s="412">
        <f t="shared" si="32"/>
        <v>1.3096723705530167E-10</v>
      </c>
      <c r="AH100" s="181"/>
      <c r="AJ100" s="58"/>
      <c r="AK100" s="30"/>
      <c r="AL100" s="181"/>
      <c r="AM100" s="182"/>
      <c r="AN100" s="181"/>
      <c r="AO100" s="30"/>
      <c r="AQ100" s="30"/>
    </row>
    <row r="101" spans="8:43">
      <c r="I101" s="112"/>
      <c r="J101" s="311"/>
      <c r="L101" s="169" t="s">
        <v>671</v>
      </c>
      <c r="M101" s="123">
        <v>35000</v>
      </c>
      <c r="N101" s="58">
        <v>35000</v>
      </c>
      <c r="O101" s="58">
        <v>35000</v>
      </c>
      <c r="P101" s="58"/>
      <c r="Q101" s="58">
        <v>32479240</v>
      </c>
      <c r="R101" s="112">
        <v>375025</v>
      </c>
      <c r="S101" s="112">
        <v>1332404.1499999999</v>
      </c>
      <c r="T101" s="35">
        <f t="shared" si="28"/>
        <v>539882.97</v>
      </c>
      <c r="U101" s="112"/>
      <c r="V101" s="112">
        <f t="shared" si="29"/>
        <v>2247312.12</v>
      </c>
      <c r="W101" s="112">
        <v>2256364.6800000002</v>
      </c>
      <c r="X101" s="112">
        <f>W101-V101</f>
        <v>9052.5600000000559</v>
      </c>
      <c r="Y101" s="112"/>
      <c r="Z101" s="46">
        <v>11383108</v>
      </c>
      <c r="AA101" s="46">
        <f t="shared" si="33"/>
        <v>21096132</v>
      </c>
      <c r="AB101" s="117">
        <f>477190.82+1734.14+11383.11+3976.37+798.72+34613.17</f>
        <v>529696.32999999996</v>
      </c>
      <c r="AC101" s="412">
        <f t="shared" si="31"/>
        <v>2.5999997742474079E-3</v>
      </c>
      <c r="AD101" s="46">
        <v>48340740</v>
      </c>
      <c r="AE101" s="117">
        <f t="shared" si="34"/>
        <v>8024.56</v>
      </c>
      <c r="AF101" s="117">
        <v>1028</v>
      </c>
      <c r="AG101" s="412">
        <f t="shared" si="32"/>
        <v>-5.4569682106375694E-11</v>
      </c>
      <c r="AH101" s="181"/>
      <c r="AJ101" s="58"/>
      <c r="AK101" s="30"/>
      <c r="AL101" s="181"/>
      <c r="AM101" s="182"/>
      <c r="AN101" s="181"/>
      <c r="AO101" s="30"/>
      <c r="AQ101" s="30"/>
    </row>
    <row r="102" spans="8:43">
      <c r="H102">
        <f>340000</f>
        <v>340000</v>
      </c>
      <c r="K102">
        <f>K60</f>
        <v>12</v>
      </c>
      <c r="L102" s="169" t="s">
        <v>672</v>
      </c>
      <c r="M102" s="123">
        <v>35000</v>
      </c>
      <c r="N102" s="58">
        <v>35000</v>
      </c>
      <c r="O102" s="58">
        <v>35000</v>
      </c>
      <c r="P102" s="58"/>
      <c r="Q102" s="58">
        <v>13634352</v>
      </c>
      <c r="R102" s="112">
        <v>375025</v>
      </c>
      <c r="S102" s="112">
        <v>660992.29</v>
      </c>
      <c r="T102" s="35">
        <f t="shared" si="28"/>
        <v>183065.27</v>
      </c>
      <c r="U102" s="112"/>
      <c r="V102" s="112">
        <f t="shared" si="29"/>
        <v>1219082.56</v>
      </c>
      <c r="W102" s="112">
        <v>1227706.78</v>
      </c>
      <c r="X102" s="112">
        <f t="shared" ref="X102" si="35">W102-V102</f>
        <v>8624.2199999999721</v>
      </c>
      <c r="Y102" s="112"/>
      <c r="Z102" s="46">
        <v>876955</v>
      </c>
      <c r="AA102" s="46">
        <f t="shared" si="33"/>
        <v>12757397</v>
      </c>
      <c r="AB102" s="117">
        <f>98775.07+1215.69+876.96+3976.37+2780.92+67948.32</f>
        <v>175573.33000000002</v>
      </c>
      <c r="AC102" s="412">
        <f>(R102+AB102+U102+T102+(AA$86*AA102))-V102</f>
        <v>-4.1499999351799488E-3</v>
      </c>
      <c r="AD102" s="46">
        <v>45760333</v>
      </c>
      <c r="AE102" s="117">
        <f t="shared" si="34"/>
        <v>7596.22</v>
      </c>
      <c r="AF102" s="117">
        <v>1028</v>
      </c>
      <c r="AG102" s="412">
        <f>AE102+AF102-X102</f>
        <v>2.9103830456733704E-11</v>
      </c>
      <c r="AH102" s="181"/>
      <c r="AJ102" s="58"/>
      <c r="AK102" s="30"/>
      <c r="AL102" s="181"/>
      <c r="AM102" s="182"/>
      <c r="AN102" s="181"/>
      <c r="AO102" s="30"/>
      <c r="AQ102" s="30"/>
    </row>
    <row r="103" spans="8:43" ht="15.75">
      <c r="H103">
        <v>10.715</v>
      </c>
      <c r="M103" s="188"/>
      <c r="N103" s="124" t="s">
        <v>134</v>
      </c>
      <c r="P103" s="124" t="s">
        <v>134</v>
      </c>
      <c r="Q103" s="124" t="s">
        <v>134</v>
      </c>
      <c r="R103" s="125" t="s">
        <v>134</v>
      </c>
      <c r="S103" s="125" t="s">
        <v>134</v>
      </c>
      <c r="T103" s="125" t="s">
        <v>134</v>
      </c>
      <c r="U103" s="122" t="s">
        <v>134</v>
      </c>
      <c r="V103" s="125" t="s">
        <v>134</v>
      </c>
      <c r="W103" s="125" t="s">
        <v>134</v>
      </c>
      <c r="X103" s="125" t="s">
        <v>134</v>
      </c>
      <c r="Y103" s="125"/>
      <c r="AC103" s="26">
        <f>SUM(AC91:AC102)</f>
        <v>2.0149999530985951E-2</v>
      </c>
      <c r="AH103" s="181"/>
    </row>
    <row r="104" spans="8:43">
      <c r="H104">
        <f>H102*H103</f>
        <v>3643100</v>
      </c>
      <c r="N104" s="58"/>
      <c r="P104" s="58"/>
      <c r="Q104" s="58"/>
      <c r="R104" s="112"/>
      <c r="S104" s="112"/>
      <c r="T104" s="112"/>
      <c r="V104" s="112"/>
      <c r="W104" s="112"/>
      <c r="X104" s="112"/>
      <c r="Y104" s="112"/>
      <c r="AB104" s="46"/>
    </row>
    <row r="105" spans="8:43">
      <c r="N105" s="58">
        <f>SUM(N91:N102)</f>
        <v>340000</v>
      </c>
      <c r="O105" s="58">
        <f>SUM(O91:O102)</f>
        <v>340000</v>
      </c>
      <c r="P105" s="58">
        <v>0</v>
      </c>
      <c r="Q105" s="58">
        <f t="shared" ref="Q105:X105" si="36">SUM(Q91:Q102)</f>
        <v>247302704</v>
      </c>
      <c r="R105" s="60">
        <f t="shared" si="36"/>
        <v>3643100</v>
      </c>
      <c r="S105" s="60">
        <f t="shared" si="36"/>
        <v>13182570.550000001</v>
      </c>
      <c r="T105" s="60">
        <f t="shared" si="36"/>
        <v>4440877.25</v>
      </c>
      <c r="U105" s="60">
        <f t="shared" si="36"/>
        <v>0</v>
      </c>
      <c r="V105" s="60">
        <f t="shared" si="36"/>
        <v>21266547.800000001</v>
      </c>
      <c r="W105" s="60">
        <f t="shared" si="36"/>
        <v>21374681.5</v>
      </c>
      <c r="X105" s="60">
        <f t="shared" si="36"/>
        <v>108133.69999999972</v>
      </c>
      <c r="Y105" s="112"/>
      <c r="Z105" s="26">
        <f>SUM(Z91:Z102)</f>
        <v>64544581</v>
      </c>
      <c r="AA105" s="26">
        <f>SUM(AA91:AA102)</f>
        <v>182758123</v>
      </c>
      <c r="AB105" s="26">
        <f>SUM(AB91:AB102)</f>
        <v>6228623.9900000002</v>
      </c>
      <c r="AC105" s="112"/>
      <c r="AD105" s="26">
        <f>SUM(AD91:AD102)</f>
        <v>577094504</v>
      </c>
      <c r="AE105" s="26">
        <f t="shared" ref="AE105:AF105" si="37">SUM(AE91:AE102)</f>
        <v>95797.7</v>
      </c>
      <c r="AF105" s="26">
        <f t="shared" si="37"/>
        <v>12336</v>
      </c>
      <c r="AG105" s="26">
        <f>AE105+AF105</f>
        <v>108133.7</v>
      </c>
      <c r="AH105" s="112"/>
      <c r="AJ105" s="112"/>
      <c r="AK105" s="112"/>
      <c r="AL105" s="112"/>
      <c r="AM105" s="123"/>
      <c r="AN105" s="112"/>
      <c r="AO105" s="112"/>
      <c r="AQ105" s="30"/>
    </row>
    <row r="106" spans="8:43">
      <c r="J106">
        <v>340000</v>
      </c>
      <c r="N106" s="124" t="s">
        <v>229</v>
      </c>
      <c r="P106" s="124" t="s">
        <v>229</v>
      </c>
      <c r="Q106" s="124" t="s">
        <v>229</v>
      </c>
      <c r="R106" s="125" t="s">
        <v>229</v>
      </c>
      <c r="S106" s="125" t="s">
        <v>229</v>
      </c>
      <c r="T106" s="125" t="s">
        <v>229</v>
      </c>
      <c r="U106" s="125" t="s">
        <v>229</v>
      </c>
      <c r="V106" s="125" t="s">
        <v>229</v>
      </c>
      <c r="W106" s="125" t="s">
        <v>229</v>
      </c>
      <c r="X106" s="125" t="s">
        <v>229</v>
      </c>
      <c r="Y106" s="125"/>
      <c r="AD106" s="26">
        <f>AA105</f>
        <v>182758123</v>
      </c>
      <c r="AE106" t="s">
        <v>509</v>
      </c>
      <c r="AM106" s="58"/>
    </row>
    <row r="107" spans="8:43">
      <c r="J107">
        <v>10.715</v>
      </c>
      <c r="L107" t="s">
        <v>213</v>
      </c>
      <c r="N107" s="58"/>
      <c r="Q107" s="58"/>
      <c r="R107" s="115"/>
      <c r="S107" s="115"/>
      <c r="T107" s="115"/>
      <c r="V107" s="115"/>
      <c r="W107" s="115"/>
      <c r="AD107" s="26">
        <f>Z105</f>
        <v>64544581</v>
      </c>
      <c r="AE107" s="112" t="s">
        <v>510</v>
      </c>
      <c r="AF107" s="112"/>
      <c r="AM107" s="26"/>
    </row>
    <row r="108" spans="8:43">
      <c r="J108">
        <f>J106*J107</f>
        <v>3643100</v>
      </c>
      <c r="P108" t="s">
        <v>213</v>
      </c>
      <c r="AD108" s="26">
        <f>AD105-AD106-AD107</f>
        <v>329791800</v>
      </c>
      <c r="AE108" t="s">
        <v>508</v>
      </c>
    </row>
    <row r="109" spans="8:43">
      <c r="N109" s="52"/>
      <c r="O109" s="52" t="s">
        <v>367</v>
      </c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8:43">
      <c r="L110" s="52"/>
      <c r="M110" s="52"/>
      <c r="N110" s="52" t="s">
        <v>221</v>
      </c>
      <c r="O110" s="52" t="s">
        <v>343</v>
      </c>
      <c r="P110" s="52" t="s">
        <v>222</v>
      </c>
      <c r="Q110" s="52" t="s">
        <v>371</v>
      </c>
      <c r="R110" s="52" t="s">
        <v>368</v>
      </c>
      <c r="S110" s="52" t="s">
        <v>369</v>
      </c>
      <c r="T110" s="52" t="s">
        <v>370</v>
      </c>
      <c r="U110" s="52" t="s">
        <v>372</v>
      </c>
      <c r="V110" s="52"/>
      <c r="W110" s="52"/>
      <c r="X110" s="52"/>
      <c r="Y110" s="52"/>
      <c r="Z110" s="52"/>
      <c r="AA110" s="52"/>
      <c r="AB110" s="52"/>
      <c r="AC110" s="52"/>
      <c r="AD110" s="437">
        <f>AD106+AD107+AD108</f>
        <v>577094504</v>
      </c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</row>
    <row r="111" spans="8:43">
      <c r="L111" s="52"/>
      <c r="M111" s="52"/>
      <c r="N111" s="89" t="s">
        <v>15</v>
      </c>
      <c r="O111" s="89" t="s">
        <v>344</v>
      </c>
      <c r="P111" s="89" t="s">
        <v>227</v>
      </c>
      <c r="Q111" s="89" t="s">
        <v>375</v>
      </c>
      <c r="R111" s="89" t="s">
        <v>226</v>
      </c>
      <c r="S111" s="89" t="s">
        <v>373</v>
      </c>
      <c r="T111" s="89" t="s">
        <v>374</v>
      </c>
      <c r="U111" s="89" t="s">
        <v>376</v>
      </c>
      <c r="V111" s="89"/>
      <c r="W111" s="89"/>
      <c r="X111" s="183" t="s">
        <v>217</v>
      </c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</row>
    <row r="112" spans="8:43" ht="15.75">
      <c r="L112" s="52"/>
      <c r="M112" s="52"/>
      <c r="N112" s="188"/>
      <c r="O112" s="188"/>
      <c r="P112" s="188"/>
      <c r="Q112" s="187"/>
      <c r="R112" s="187"/>
      <c r="S112" s="187"/>
      <c r="T112" s="187"/>
      <c r="U112" s="187"/>
      <c r="V112" s="188"/>
      <c r="W112" s="187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</row>
    <row r="113" spans="11:24">
      <c r="K113">
        <f>K91</f>
        <v>1</v>
      </c>
      <c r="L113" t="str">
        <f t="shared" ref="L113:L122" si="38">L91</f>
        <v>Mar 2022</v>
      </c>
      <c r="N113" s="127">
        <v>196917.82</v>
      </c>
      <c r="O113" s="127">
        <v>25603.22</v>
      </c>
      <c r="P113" s="127">
        <v>41485.96</v>
      </c>
      <c r="Q113" s="127">
        <v>-54570.16</v>
      </c>
      <c r="R113" s="58"/>
      <c r="S113" s="58"/>
      <c r="T113" s="58"/>
      <c r="U113" s="58"/>
      <c r="V113" s="58"/>
      <c r="W113" s="58"/>
      <c r="X113" s="60">
        <f>SUM(N113:W113)</f>
        <v>209436.84</v>
      </c>
    </row>
    <row r="114" spans="11:24">
      <c r="L114" t="str">
        <f t="shared" si="38"/>
        <v>APR</v>
      </c>
      <c r="N114" s="127">
        <v>164451.6</v>
      </c>
      <c r="O114" s="127">
        <v>26924.400000000001</v>
      </c>
      <c r="P114" s="127">
        <v>49699.7</v>
      </c>
      <c r="Q114" s="127">
        <v>-55742.25</v>
      </c>
      <c r="R114" s="58"/>
      <c r="S114" s="58"/>
      <c r="T114" s="58"/>
      <c r="U114" s="58"/>
      <c r="V114" s="58"/>
      <c r="W114" s="58"/>
      <c r="X114" s="60">
        <f t="shared" ref="X114:X125" si="39">SUM(N114:W114)</f>
        <v>185333.45</v>
      </c>
    </row>
    <row r="115" spans="11:24">
      <c r="L115" t="str">
        <f t="shared" si="38"/>
        <v>MAY</v>
      </c>
      <c r="N115" s="127">
        <v>201465.86</v>
      </c>
      <c r="O115" s="127">
        <v>27790.32</v>
      </c>
      <c r="P115" s="127">
        <v>35146.74</v>
      </c>
      <c r="Q115" s="127">
        <v>-56236.36</v>
      </c>
      <c r="R115" s="58"/>
      <c r="S115" s="58"/>
      <c r="T115" s="58"/>
      <c r="U115" s="58"/>
      <c r="V115" s="58"/>
      <c r="W115" s="58"/>
      <c r="X115" s="60">
        <f t="shared" si="39"/>
        <v>208166.56</v>
      </c>
    </row>
    <row r="116" spans="11:24">
      <c r="L116" t="str">
        <f t="shared" si="38"/>
        <v>JUN</v>
      </c>
      <c r="N116" s="347">
        <v>66871.94</v>
      </c>
      <c r="O116" s="347">
        <v>26915.040000000001</v>
      </c>
      <c r="P116" s="347">
        <v>42485.37</v>
      </c>
      <c r="Q116" s="347">
        <v>-51534.64</v>
      </c>
      <c r="R116" s="58"/>
      <c r="S116" s="58"/>
      <c r="T116" s="58"/>
      <c r="U116" s="58"/>
      <c r="V116" s="58"/>
      <c r="W116" s="58"/>
      <c r="X116" s="60">
        <f t="shared" si="39"/>
        <v>84737.71</v>
      </c>
    </row>
    <row r="117" spans="11:24">
      <c r="L117" t="str">
        <f t="shared" si="38"/>
        <v>JUL</v>
      </c>
      <c r="N117" s="348">
        <v>395602.7</v>
      </c>
      <c r="O117" s="348">
        <v>48189.07</v>
      </c>
      <c r="P117" s="348">
        <v>71040.600000000006</v>
      </c>
      <c r="Q117" s="348">
        <v>-73900.98</v>
      </c>
      <c r="R117" s="58"/>
      <c r="S117" s="58"/>
      <c r="T117" s="58"/>
      <c r="U117" s="58"/>
      <c r="V117" s="58"/>
      <c r="W117" s="58"/>
      <c r="X117" s="60">
        <f t="shared" si="39"/>
        <v>440931.39</v>
      </c>
    </row>
    <row r="118" spans="11:24">
      <c r="L118" t="str">
        <f t="shared" si="38"/>
        <v>AUG</v>
      </c>
      <c r="N118" s="348">
        <v>404285.66</v>
      </c>
      <c r="O118" s="348">
        <v>45365.45</v>
      </c>
      <c r="P118" s="348">
        <v>72051.87</v>
      </c>
      <c r="Q118" s="348">
        <v>-81173</v>
      </c>
      <c r="R118" s="58"/>
      <c r="S118" s="58"/>
      <c r="T118" s="58"/>
      <c r="U118" s="58"/>
      <c r="V118" s="58"/>
      <c r="W118" s="58"/>
      <c r="X118" s="60">
        <f t="shared" si="39"/>
        <v>440529.98</v>
      </c>
    </row>
    <row r="119" spans="11:24">
      <c r="L119" t="str">
        <f t="shared" si="38"/>
        <v>SEP</v>
      </c>
      <c r="N119" s="348">
        <v>545055.36</v>
      </c>
      <c r="O119" s="348">
        <v>94653.440000000002</v>
      </c>
      <c r="P119" s="348">
        <v>49422.45</v>
      </c>
      <c r="Q119" s="348">
        <v>-71586.14</v>
      </c>
      <c r="R119" s="58"/>
      <c r="S119" s="58"/>
      <c r="T119" s="58"/>
      <c r="U119" s="58"/>
      <c r="V119" s="58"/>
      <c r="W119" s="58"/>
      <c r="X119" s="60">
        <f t="shared" si="39"/>
        <v>617545.11</v>
      </c>
    </row>
    <row r="120" spans="11:24">
      <c r="L120" t="str">
        <f t="shared" si="38"/>
        <v>OCT</v>
      </c>
      <c r="N120" s="348">
        <v>527311.02</v>
      </c>
      <c r="O120" s="348">
        <v>109921.9</v>
      </c>
      <c r="P120" s="348">
        <v>71015.92</v>
      </c>
      <c r="Q120" s="348">
        <v>-77775.19</v>
      </c>
      <c r="R120" s="58"/>
      <c r="S120" s="58"/>
      <c r="T120" s="58"/>
      <c r="U120" s="58"/>
      <c r="V120" s="58"/>
      <c r="W120" s="58"/>
      <c r="X120" s="60">
        <f t="shared" si="39"/>
        <v>630473.65000000014</v>
      </c>
    </row>
    <row r="121" spans="11:24">
      <c r="L121" t="str">
        <f t="shared" si="38"/>
        <v>NOV</v>
      </c>
      <c r="N121" s="117">
        <v>353819.1</v>
      </c>
      <c r="O121" s="117">
        <v>90622.86</v>
      </c>
      <c r="P121" s="117">
        <v>45923.5</v>
      </c>
      <c r="Q121" s="117">
        <v>-72921.75</v>
      </c>
      <c r="R121" s="58"/>
      <c r="S121" s="58"/>
      <c r="T121" s="58"/>
      <c r="U121" s="58"/>
      <c r="V121" s="58"/>
      <c r="W121" s="58"/>
      <c r="X121" s="60">
        <f t="shared" si="39"/>
        <v>417443.70999999996</v>
      </c>
    </row>
    <row r="122" spans="11:24">
      <c r="L122" t="str">
        <f t="shared" si="38"/>
        <v>DEC</v>
      </c>
      <c r="N122" s="117">
        <v>386992.73</v>
      </c>
      <c r="O122" s="117">
        <v>116285.22</v>
      </c>
      <c r="P122" s="117">
        <v>65664.19</v>
      </c>
      <c r="Q122" s="117">
        <v>-85611.53</v>
      </c>
      <c r="R122" s="58"/>
      <c r="S122" s="58"/>
      <c r="T122" s="58"/>
      <c r="U122" s="58"/>
      <c r="V122" s="58"/>
      <c r="W122" s="58"/>
      <c r="X122" s="60">
        <f t="shared" si="39"/>
        <v>483330.60999999987</v>
      </c>
    </row>
    <row r="123" spans="11:24">
      <c r="L123" s="169" t="s">
        <v>671</v>
      </c>
      <c r="N123" s="127">
        <v>305598.57</v>
      </c>
      <c r="O123" s="127">
        <v>126977.62</v>
      </c>
      <c r="P123" s="127">
        <v>171199.33</v>
      </c>
      <c r="Q123" s="127">
        <v>-63892.55</v>
      </c>
      <c r="R123" s="58"/>
      <c r="S123" s="58"/>
      <c r="T123" s="58"/>
      <c r="U123" s="58"/>
      <c r="V123" s="58"/>
      <c r="W123" s="58"/>
      <c r="X123" s="60">
        <f t="shared" si="39"/>
        <v>539882.97</v>
      </c>
    </row>
    <row r="124" spans="11:24">
      <c r="K124">
        <f>K102</f>
        <v>12</v>
      </c>
      <c r="L124" s="169" t="s">
        <v>672</v>
      </c>
      <c r="N124" s="127">
        <v>99915.93</v>
      </c>
      <c r="O124" s="127">
        <v>76786.77</v>
      </c>
      <c r="P124" s="127">
        <v>52121.42</v>
      </c>
      <c r="Q124" s="127">
        <v>-45758.85</v>
      </c>
      <c r="R124" s="58"/>
      <c r="S124" s="58"/>
      <c r="T124" s="58"/>
      <c r="U124" s="58"/>
      <c r="V124" s="58"/>
      <c r="W124" s="58"/>
      <c r="X124" s="60">
        <f t="shared" si="39"/>
        <v>183065.27</v>
      </c>
    </row>
    <row r="125" spans="11:24" ht="15.75">
      <c r="N125" s="186"/>
      <c r="O125" s="186"/>
      <c r="P125" s="186"/>
      <c r="Q125" s="185"/>
      <c r="R125" s="185"/>
      <c r="S125" s="186"/>
      <c r="T125" s="186"/>
      <c r="U125" s="186"/>
      <c r="V125" s="186"/>
      <c r="W125" s="186"/>
      <c r="X125" s="60">
        <f t="shared" si="39"/>
        <v>0</v>
      </c>
    </row>
    <row r="126" spans="11:24" ht="13.5" thickBot="1">
      <c r="L126" t="s">
        <v>108</v>
      </c>
      <c r="N126" s="120">
        <f>SUM(N113:N124)</f>
        <v>3648288.29</v>
      </c>
      <c r="O126" s="120">
        <f>SUM(O113:O124)</f>
        <v>816035.30999999994</v>
      </c>
      <c r="P126" s="120">
        <f t="shared" ref="P126:X126" si="40">SUM(P113:P124)</f>
        <v>767257.05</v>
      </c>
      <c r="Q126" s="120">
        <f t="shared" si="40"/>
        <v>-790703.4</v>
      </c>
      <c r="R126" s="189">
        <f t="shared" si="40"/>
        <v>0</v>
      </c>
      <c r="S126" s="189">
        <f t="shared" si="40"/>
        <v>0</v>
      </c>
      <c r="T126" s="189">
        <f t="shared" si="40"/>
        <v>0</v>
      </c>
      <c r="U126" s="189">
        <f t="shared" si="40"/>
        <v>0</v>
      </c>
      <c r="V126" s="189">
        <f t="shared" si="40"/>
        <v>0</v>
      </c>
      <c r="W126" s="189">
        <f t="shared" si="40"/>
        <v>0</v>
      </c>
      <c r="X126" s="120">
        <f t="shared" si="40"/>
        <v>4440877.25</v>
      </c>
    </row>
    <row r="127" spans="11:24" ht="16.5" thickTop="1"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</row>
    <row r="129" spans="8:27" ht="15.75">
      <c r="L129" s="121" t="s">
        <v>215</v>
      </c>
      <c r="M129" s="36"/>
      <c r="N129" s="36"/>
    </row>
    <row r="130" spans="8:27" ht="15">
      <c r="M130" s="4" t="s">
        <v>489</v>
      </c>
      <c r="T130" s="52" t="s">
        <v>9</v>
      </c>
    </row>
    <row r="131" spans="8:27">
      <c r="M131" s="52" t="s">
        <v>244</v>
      </c>
      <c r="N131" s="52" t="s">
        <v>255</v>
      </c>
      <c r="O131" s="52" t="s">
        <v>416</v>
      </c>
      <c r="P131" s="52" t="s">
        <v>245</v>
      </c>
      <c r="T131" s="52" t="s">
        <v>15</v>
      </c>
      <c r="U131" s="52" t="s">
        <v>245</v>
      </c>
    </row>
    <row r="132" spans="8:27">
      <c r="M132" s="52" t="s">
        <v>248</v>
      </c>
      <c r="N132" s="52" t="s">
        <v>224</v>
      </c>
      <c r="O132" s="52" t="s">
        <v>224</v>
      </c>
      <c r="P132" s="52" t="s">
        <v>224</v>
      </c>
      <c r="Q132" s="52" t="s">
        <v>11</v>
      </c>
      <c r="R132" s="52" t="s">
        <v>219</v>
      </c>
      <c r="S132" s="52" t="s">
        <v>220</v>
      </c>
      <c r="T132" s="52" t="s">
        <v>249</v>
      </c>
      <c r="U132" s="52" t="s">
        <v>250</v>
      </c>
      <c r="V132" s="52" t="s">
        <v>251</v>
      </c>
      <c r="W132" s="52" t="s">
        <v>8</v>
      </c>
      <c r="X132" s="52" t="s">
        <v>252</v>
      </c>
      <c r="Z132" s="52" t="s">
        <v>409</v>
      </c>
      <c r="AA132" s="52" t="s">
        <v>408</v>
      </c>
    </row>
    <row r="133" spans="8:27">
      <c r="L133" s="122" t="s">
        <v>134</v>
      </c>
      <c r="M133" s="122"/>
      <c r="N133" s="122" t="s">
        <v>134</v>
      </c>
      <c r="O133" s="122"/>
      <c r="P133" s="122" t="s">
        <v>134</v>
      </c>
      <c r="Q133" s="122" t="s">
        <v>134</v>
      </c>
      <c r="R133" s="122" t="s">
        <v>134</v>
      </c>
      <c r="S133" s="122" t="s">
        <v>134</v>
      </c>
      <c r="T133" s="122" t="s">
        <v>134</v>
      </c>
      <c r="U133" s="122" t="s">
        <v>134</v>
      </c>
      <c r="V133" s="122" t="s">
        <v>134</v>
      </c>
      <c r="W133" s="122" t="s">
        <v>134</v>
      </c>
      <c r="X133" s="122" t="s">
        <v>134</v>
      </c>
      <c r="AA133" s="52">
        <f>10.715*0.9</f>
        <v>9.6434999999999995</v>
      </c>
    </row>
    <row r="134" spans="8:27">
      <c r="R134" s="112"/>
      <c r="S134" s="112"/>
      <c r="T134" s="112"/>
      <c r="V134" s="112"/>
    </row>
    <row r="135" spans="8:27">
      <c r="K135">
        <f>K91</f>
        <v>1</v>
      </c>
      <c r="L135" t="s">
        <v>475</v>
      </c>
      <c r="M135">
        <v>40800</v>
      </c>
      <c r="N135" s="58">
        <v>34277</v>
      </c>
      <c r="O135" s="58">
        <v>40800</v>
      </c>
      <c r="P135" s="58"/>
      <c r="Q135" s="58">
        <v>17447281</v>
      </c>
      <c r="R135" s="112">
        <v>405801.69</v>
      </c>
      <c r="S135" s="112">
        <v>663869.04</v>
      </c>
      <c r="T135" s="35">
        <f>X157</f>
        <v>369784.48</v>
      </c>
      <c r="U135" s="112"/>
      <c r="V135" s="112">
        <f t="shared" ref="V135:V144" si="41">SUM(R135:U135)</f>
        <v>1439455.21</v>
      </c>
      <c r="W135" s="112">
        <v>1443379.46</v>
      </c>
      <c r="X135" s="112">
        <f t="shared" ref="X135:X146" si="42">W135-V135</f>
        <v>3924.25</v>
      </c>
      <c r="Z135">
        <v>-3253</v>
      </c>
      <c r="AA135" s="428">
        <f>(ROUND(Z135*AA$133,2))</f>
        <v>-31370.31</v>
      </c>
    </row>
    <row r="136" spans="8:27">
      <c r="L136" t="s">
        <v>476</v>
      </c>
      <c r="M136">
        <v>40800</v>
      </c>
      <c r="N136" s="58">
        <v>36496</v>
      </c>
      <c r="O136" s="58">
        <v>40800</v>
      </c>
      <c r="P136" s="58"/>
      <c r="Q136" s="58">
        <v>18615066</v>
      </c>
      <c r="R136" s="112">
        <v>437172</v>
      </c>
      <c r="S136" s="112">
        <v>708303.26</v>
      </c>
      <c r="T136" s="35">
        <f t="shared" ref="T136:T146" si="43">X158</f>
        <v>329874.68</v>
      </c>
      <c r="U136" s="112"/>
      <c r="V136" s="112">
        <f t="shared" si="41"/>
        <v>1475349.94</v>
      </c>
      <c r="W136" s="112">
        <v>1479468.04</v>
      </c>
      <c r="X136" s="112">
        <f t="shared" si="42"/>
        <v>4118.1000000000931</v>
      </c>
      <c r="Z136" s="46"/>
      <c r="AA136" s="112"/>
    </row>
    <row r="137" spans="8:27">
      <c r="L137" t="s">
        <v>477</v>
      </c>
      <c r="M137">
        <v>40800</v>
      </c>
      <c r="N137" s="58">
        <v>35927</v>
      </c>
      <c r="O137" s="58">
        <v>40800</v>
      </c>
      <c r="P137" s="58"/>
      <c r="Q137" s="58">
        <v>20474242</v>
      </c>
      <c r="R137" s="112">
        <v>437172</v>
      </c>
      <c r="S137" s="112">
        <v>779044.91</v>
      </c>
      <c r="T137" s="35">
        <f t="shared" si="43"/>
        <v>388435.64999999997</v>
      </c>
      <c r="U137" s="112"/>
      <c r="V137" s="112">
        <f t="shared" si="41"/>
        <v>1604652.56</v>
      </c>
      <c r="W137" s="112">
        <v>1609079.28</v>
      </c>
      <c r="X137" s="112">
        <f t="shared" si="42"/>
        <v>4426.7199999999721</v>
      </c>
      <c r="Z137" s="46"/>
      <c r="AA137" s="112"/>
    </row>
    <row r="138" spans="8:27">
      <c r="L138" t="s">
        <v>478</v>
      </c>
      <c r="M138">
        <v>40800</v>
      </c>
      <c r="N138" s="58">
        <v>38061</v>
      </c>
      <c r="O138" s="58">
        <v>40800</v>
      </c>
      <c r="P138" s="58"/>
      <c r="Q138" s="58">
        <v>19350024</v>
      </c>
      <c r="R138" s="112">
        <v>437172</v>
      </c>
      <c r="S138" s="112">
        <v>736268.41</v>
      </c>
      <c r="T138" s="35">
        <f t="shared" si="43"/>
        <v>161396.29000000004</v>
      </c>
      <c r="U138" s="112"/>
      <c r="V138" s="112">
        <f t="shared" si="41"/>
        <v>1334836.7000000002</v>
      </c>
      <c r="W138" s="112">
        <v>1339076.81</v>
      </c>
      <c r="X138" s="112">
        <f t="shared" si="42"/>
        <v>4240.1099999998696</v>
      </c>
      <c r="Z138" s="46"/>
      <c r="AA138" s="112"/>
    </row>
    <row r="139" spans="8:27">
      <c r="L139" t="s">
        <v>479</v>
      </c>
      <c r="M139">
        <v>40800</v>
      </c>
      <c r="N139" s="58">
        <v>32268</v>
      </c>
      <c r="O139" s="58">
        <v>40800</v>
      </c>
      <c r="P139" s="58"/>
      <c r="Q139" s="58">
        <v>20085180</v>
      </c>
      <c r="R139" s="112">
        <v>437172</v>
      </c>
      <c r="S139" s="112">
        <v>764241.1</v>
      </c>
      <c r="T139" s="35">
        <f t="shared" si="43"/>
        <v>460367.29999999993</v>
      </c>
      <c r="U139" s="112"/>
      <c r="V139" s="112">
        <f t="shared" si="41"/>
        <v>1661780.4</v>
      </c>
      <c r="W139" s="112">
        <v>1666142.54</v>
      </c>
      <c r="X139" s="112">
        <f t="shared" si="42"/>
        <v>4362.1400000001304</v>
      </c>
      <c r="Z139" s="46"/>
      <c r="AA139" s="112"/>
    </row>
    <row r="140" spans="8:27">
      <c r="L140" t="s">
        <v>480</v>
      </c>
      <c r="M140">
        <v>40800</v>
      </c>
      <c r="N140" s="58">
        <v>35677</v>
      </c>
      <c r="O140" s="58">
        <v>40800</v>
      </c>
      <c r="P140" s="58"/>
      <c r="Q140" s="58">
        <v>19410477</v>
      </c>
      <c r="R140" s="112">
        <v>437172</v>
      </c>
      <c r="S140" s="112">
        <v>738568.65</v>
      </c>
      <c r="T140" s="35">
        <f t="shared" si="43"/>
        <v>471780.31</v>
      </c>
      <c r="U140" s="112"/>
      <c r="V140" s="112">
        <f t="shared" si="41"/>
        <v>1647520.96</v>
      </c>
      <c r="W140" s="112">
        <v>1651771.1</v>
      </c>
      <c r="X140" s="112">
        <f t="shared" si="42"/>
        <v>4250.1400000001304</v>
      </c>
      <c r="Z140" s="46"/>
      <c r="AA140" s="112"/>
    </row>
    <row r="141" spans="8:27">
      <c r="L141" t="s">
        <v>481</v>
      </c>
      <c r="M141">
        <v>40800</v>
      </c>
      <c r="N141" s="58">
        <v>36131</v>
      </c>
      <c r="O141" s="58">
        <v>40800</v>
      </c>
      <c r="P141" s="58"/>
      <c r="Q141" s="58">
        <v>19384040</v>
      </c>
      <c r="R141" s="112">
        <v>437172</v>
      </c>
      <c r="S141" s="112">
        <v>737562.72</v>
      </c>
      <c r="T141" s="35">
        <f t="shared" si="43"/>
        <v>760434.92</v>
      </c>
      <c r="U141" s="112"/>
      <c r="V141" s="112">
        <f t="shared" si="41"/>
        <v>1935169.6400000001</v>
      </c>
      <c r="W141" s="112">
        <v>1939415.39</v>
      </c>
      <c r="X141" s="112">
        <f t="shared" si="42"/>
        <v>4245.7499999997672</v>
      </c>
      <c r="Z141" s="46"/>
      <c r="AA141" s="112"/>
    </row>
    <row r="142" spans="8:27">
      <c r="L142" t="s">
        <v>482</v>
      </c>
      <c r="M142">
        <v>40800</v>
      </c>
      <c r="N142" s="58">
        <v>35698</v>
      </c>
      <c r="O142" s="58">
        <v>40800</v>
      </c>
      <c r="P142" s="58"/>
      <c r="Q142" s="58">
        <v>20044538</v>
      </c>
      <c r="R142" s="112">
        <v>437172</v>
      </c>
      <c r="S142" s="112">
        <v>762694.67</v>
      </c>
      <c r="T142" s="35">
        <f t="shared" si="43"/>
        <v>693058.17</v>
      </c>
      <c r="U142" s="112"/>
      <c r="V142" s="112">
        <f t="shared" si="41"/>
        <v>1892924.8399999999</v>
      </c>
      <c r="W142" s="112">
        <v>1897280.23</v>
      </c>
      <c r="X142" s="112">
        <f t="shared" si="42"/>
        <v>4355.3900000001304</v>
      </c>
      <c r="Z142" s="46"/>
      <c r="AA142" s="112"/>
    </row>
    <row r="143" spans="8:27">
      <c r="L143" t="s">
        <v>483</v>
      </c>
      <c r="M143">
        <v>40800</v>
      </c>
      <c r="N143" s="58">
        <v>34397</v>
      </c>
      <c r="O143" s="58">
        <v>40800</v>
      </c>
      <c r="P143" s="58"/>
      <c r="Q143" s="58">
        <v>16434219</v>
      </c>
      <c r="R143" s="112">
        <v>437172</v>
      </c>
      <c r="S143" s="112">
        <v>625322.03</v>
      </c>
      <c r="T143" s="35">
        <f t="shared" si="43"/>
        <v>456570.82000000007</v>
      </c>
      <c r="U143" s="112"/>
      <c r="V143" s="112">
        <f t="shared" si="41"/>
        <v>1519064.85</v>
      </c>
      <c r="W143" s="112">
        <v>1522820.93</v>
      </c>
      <c r="X143" s="112">
        <f t="shared" si="42"/>
        <v>3756.0799999998417</v>
      </c>
      <c r="Z143" s="46"/>
      <c r="AA143" s="112"/>
    </row>
    <row r="144" spans="8:27">
      <c r="H144">
        <f>489600</f>
        <v>489600</v>
      </c>
      <c r="L144" t="s">
        <v>484</v>
      </c>
      <c r="M144">
        <v>40800</v>
      </c>
      <c r="N144" s="58">
        <v>35837</v>
      </c>
      <c r="O144" s="58">
        <v>40800</v>
      </c>
      <c r="P144" s="58"/>
      <c r="Q144" s="58">
        <v>20130390</v>
      </c>
      <c r="R144" s="112">
        <v>437172</v>
      </c>
      <c r="S144" s="112">
        <v>765961.34</v>
      </c>
      <c r="T144" s="35">
        <f t="shared" si="43"/>
        <v>505501.12</v>
      </c>
      <c r="U144" s="112"/>
      <c r="V144" s="112">
        <f t="shared" si="41"/>
        <v>1708634.46</v>
      </c>
      <c r="W144" s="112">
        <v>1713004.1</v>
      </c>
      <c r="X144" s="112">
        <f t="shared" si="42"/>
        <v>4369.6400000001304</v>
      </c>
      <c r="Z144" s="46"/>
      <c r="AA144" s="112"/>
    </row>
    <row r="145" spans="8:27">
      <c r="H145">
        <v>10.715</v>
      </c>
      <c r="M145">
        <v>40800</v>
      </c>
      <c r="N145" s="58">
        <v>36230</v>
      </c>
      <c r="O145" s="58">
        <v>40800</v>
      </c>
      <c r="P145" s="58"/>
      <c r="Q145" s="58">
        <v>19441439</v>
      </c>
      <c r="R145" s="112">
        <v>437172</v>
      </c>
      <c r="S145" s="112">
        <v>739746.75</v>
      </c>
      <c r="T145" s="35">
        <f t="shared" si="43"/>
        <v>507271.21</v>
      </c>
      <c r="U145" s="112"/>
      <c r="V145" s="112">
        <f>SUM(R145:U145)</f>
        <v>1684189.96</v>
      </c>
      <c r="W145" s="112">
        <v>1688445.24</v>
      </c>
      <c r="X145" s="112">
        <f t="shared" si="42"/>
        <v>4255.2800000000279</v>
      </c>
      <c r="Z145" s="46"/>
      <c r="AA145" s="112"/>
    </row>
    <row r="146" spans="8:27">
      <c r="H146">
        <f>H144*H145</f>
        <v>5246064</v>
      </c>
      <c r="I146">
        <v>-31370.31</v>
      </c>
      <c r="J146">
        <f>H146+I146</f>
        <v>5214693.6900000004</v>
      </c>
      <c r="K146">
        <f>K102</f>
        <v>12</v>
      </c>
      <c r="M146">
        <v>40800</v>
      </c>
      <c r="N146" s="58">
        <v>35118</v>
      </c>
      <c r="O146" s="58">
        <v>40800</v>
      </c>
      <c r="P146" s="58"/>
      <c r="Q146" s="58">
        <v>17469374</v>
      </c>
      <c r="R146" s="112">
        <v>437172</v>
      </c>
      <c r="S146" s="112">
        <v>664709.68000000005</v>
      </c>
      <c r="T146" s="35">
        <f t="shared" si="43"/>
        <v>246842.97999999998</v>
      </c>
      <c r="U146" s="112"/>
      <c r="V146" s="112">
        <f t="shared" ref="V146" si="44">SUM(R146:U146)</f>
        <v>1348724.6600000001</v>
      </c>
      <c r="W146" s="112">
        <v>1352652.58</v>
      </c>
      <c r="X146" s="112">
        <f t="shared" si="42"/>
        <v>3927.9199999999255</v>
      </c>
      <c r="Z146" s="46"/>
      <c r="AA146" s="112"/>
    </row>
    <row r="147" spans="8:27">
      <c r="N147" s="124" t="s">
        <v>134</v>
      </c>
      <c r="P147" s="124" t="s">
        <v>134</v>
      </c>
      <c r="Q147" s="124" t="s">
        <v>134</v>
      </c>
      <c r="R147" s="124" t="s">
        <v>134</v>
      </c>
      <c r="S147" s="124" t="s">
        <v>134</v>
      </c>
      <c r="T147" s="124" t="s">
        <v>134</v>
      </c>
      <c r="U147" s="124" t="s">
        <v>134</v>
      </c>
      <c r="V147" s="125" t="s">
        <v>134</v>
      </c>
      <c r="W147" s="125" t="s">
        <v>134</v>
      </c>
      <c r="X147" s="125" t="s">
        <v>134</v>
      </c>
    </row>
    <row r="148" spans="8:27">
      <c r="H148" s="58">
        <f>Q149</f>
        <v>228286270</v>
      </c>
      <c r="I148" s="28">
        <v>3.805E-2</v>
      </c>
      <c r="J148" s="30">
        <f>H148*I148</f>
        <v>8686292.5734999999</v>
      </c>
      <c r="R148" s="60"/>
      <c r="S148" s="60"/>
      <c r="T148" s="60"/>
      <c r="V148" s="112"/>
      <c r="W148" s="112"/>
      <c r="X148" s="112"/>
    </row>
    <row r="149" spans="8:27">
      <c r="K149" s="30"/>
      <c r="M149" s="58"/>
      <c r="N149" s="58">
        <f>SUM(N135:N146)</f>
        <v>426117</v>
      </c>
      <c r="O149" s="58">
        <f>SUM(O135:O146)</f>
        <v>489600</v>
      </c>
      <c r="P149" s="58">
        <v>0</v>
      </c>
      <c r="Q149" s="58">
        <f t="shared" ref="Q149:X149" si="45">SUM(Q135:Q146)</f>
        <v>228286270</v>
      </c>
      <c r="R149" s="60">
        <f t="shared" si="45"/>
        <v>5214693.6899999995</v>
      </c>
      <c r="S149" s="60">
        <f t="shared" si="45"/>
        <v>8686292.5600000005</v>
      </c>
      <c r="T149" s="60">
        <f t="shared" si="45"/>
        <v>5351317.93</v>
      </c>
      <c r="U149" s="58">
        <f t="shared" si="45"/>
        <v>0</v>
      </c>
      <c r="V149" s="60">
        <f t="shared" si="45"/>
        <v>19252304.18</v>
      </c>
      <c r="W149" s="60">
        <f t="shared" si="45"/>
        <v>19302535.700000003</v>
      </c>
      <c r="X149" s="60">
        <f t="shared" si="45"/>
        <v>50231.520000000019</v>
      </c>
      <c r="Z149" s="46">
        <f>SUM(Z135:Z147)</f>
        <v>-3253</v>
      </c>
      <c r="AA149" s="112">
        <f>SUM(AA135:AA147)</f>
        <v>-31370.31</v>
      </c>
    </row>
    <row r="150" spans="8:27">
      <c r="N150" s="124" t="s">
        <v>229</v>
      </c>
      <c r="P150" s="124" t="s">
        <v>229</v>
      </c>
      <c r="Q150" s="124" t="s">
        <v>229</v>
      </c>
      <c r="R150" s="125" t="s">
        <v>229</v>
      </c>
      <c r="S150" s="125" t="s">
        <v>229</v>
      </c>
      <c r="T150" s="125" t="s">
        <v>229</v>
      </c>
      <c r="U150" s="125" t="s">
        <v>229</v>
      </c>
      <c r="V150" s="125" t="s">
        <v>229</v>
      </c>
      <c r="W150" s="125" t="s">
        <v>229</v>
      </c>
      <c r="X150" s="125" t="s">
        <v>229</v>
      </c>
    </row>
    <row r="151" spans="8:27">
      <c r="N151" s="58"/>
      <c r="P151" s="58"/>
      <c r="Q151" s="115"/>
      <c r="R151" s="115"/>
      <c r="S151" s="115"/>
      <c r="U151" s="115"/>
      <c r="V151" s="115"/>
    </row>
    <row r="153" spans="8:27">
      <c r="N153" s="52"/>
      <c r="O153" s="52" t="s">
        <v>367</v>
      </c>
      <c r="P153" s="52"/>
      <c r="Q153" s="52"/>
      <c r="R153" s="52"/>
      <c r="S153" s="52"/>
      <c r="T153" s="52"/>
      <c r="U153" s="52"/>
      <c r="V153" s="52"/>
      <c r="W153" s="52"/>
      <c r="X153" s="52"/>
    </row>
    <row r="154" spans="8:27">
      <c r="L154" s="52"/>
      <c r="M154" s="52"/>
      <c r="N154" s="52" t="s">
        <v>221</v>
      </c>
      <c r="O154" s="52" t="s">
        <v>343</v>
      </c>
      <c r="P154" s="52" t="s">
        <v>222</v>
      </c>
      <c r="Q154" s="52" t="s">
        <v>371</v>
      </c>
      <c r="R154" s="52" t="s">
        <v>368</v>
      </c>
      <c r="S154" s="52" t="s">
        <v>369</v>
      </c>
      <c r="T154" s="52" t="s">
        <v>370</v>
      </c>
      <c r="U154" s="52" t="s">
        <v>372</v>
      </c>
      <c r="V154" s="52"/>
      <c r="W154" s="52"/>
      <c r="X154" s="52"/>
    </row>
    <row r="155" spans="8:27">
      <c r="L155" s="52"/>
      <c r="M155" s="52"/>
      <c r="N155" s="89" t="s">
        <v>15</v>
      </c>
      <c r="O155" s="89" t="s">
        <v>344</v>
      </c>
      <c r="P155" s="89" t="s">
        <v>227</v>
      </c>
      <c r="Q155" s="89" t="s">
        <v>375</v>
      </c>
      <c r="R155" s="89" t="s">
        <v>226</v>
      </c>
      <c r="S155" s="89" t="s">
        <v>373</v>
      </c>
      <c r="T155" s="89" t="s">
        <v>374</v>
      </c>
      <c r="U155" s="89" t="s">
        <v>376</v>
      </c>
      <c r="V155" s="89"/>
      <c r="W155" s="89"/>
      <c r="X155" s="183" t="s">
        <v>217</v>
      </c>
    </row>
    <row r="156" spans="8:27"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</row>
    <row r="157" spans="8:27" ht="15.75">
      <c r="K157">
        <f>K91</f>
        <v>1</v>
      </c>
      <c r="L157" s="169" t="s">
        <v>661</v>
      </c>
      <c r="N157" s="117">
        <v>334534.17</v>
      </c>
      <c r="O157" s="117">
        <v>43496.07</v>
      </c>
      <c r="P157" s="117">
        <v>77593.820000000007</v>
      </c>
      <c r="Q157" s="117">
        <v>-85839.58</v>
      </c>
      <c r="R157" s="185"/>
      <c r="S157" s="186"/>
      <c r="T157" s="202"/>
      <c r="U157" s="202"/>
      <c r="V157" s="186"/>
      <c r="W157" s="186"/>
      <c r="X157" s="35">
        <f>SUM(N157:Q157)</f>
        <v>369784.48</v>
      </c>
    </row>
    <row r="158" spans="8:27" ht="15.75">
      <c r="L158" t="s">
        <v>476</v>
      </c>
      <c r="N158" s="117">
        <v>283451.61</v>
      </c>
      <c r="O158" s="117">
        <v>46407.360000000001</v>
      </c>
      <c r="P158" s="117">
        <v>96094.01</v>
      </c>
      <c r="Q158" s="117">
        <v>-96078.3</v>
      </c>
      <c r="R158" s="185"/>
      <c r="S158" s="202"/>
      <c r="T158" s="202"/>
      <c r="U158" s="202"/>
      <c r="V158" s="202"/>
      <c r="W158" s="202"/>
      <c r="X158" s="35">
        <f t="shared" ref="X158:X168" si="46">SUM(N158:W158)</f>
        <v>329874.68</v>
      </c>
    </row>
    <row r="159" spans="8:27" ht="15.75">
      <c r="L159" t="s">
        <v>477</v>
      </c>
      <c r="N159" s="117">
        <v>370030.98</v>
      </c>
      <c r="O159" s="117">
        <v>51042.29</v>
      </c>
      <c r="P159" s="117">
        <v>70682.679999999993</v>
      </c>
      <c r="Q159" s="117">
        <v>-103320.3</v>
      </c>
      <c r="R159" s="185"/>
      <c r="S159" s="202"/>
      <c r="T159" s="202"/>
      <c r="U159" s="202"/>
      <c r="V159" s="202"/>
      <c r="W159" s="202"/>
      <c r="X159" s="35">
        <f t="shared" si="46"/>
        <v>388435.64999999997</v>
      </c>
    </row>
    <row r="160" spans="8:27" ht="15.75">
      <c r="L160" t="s">
        <v>478</v>
      </c>
      <c r="N160" s="348">
        <v>119854.05</v>
      </c>
      <c r="O160" s="348">
        <v>48239.61</v>
      </c>
      <c r="P160" s="348">
        <v>85667.8</v>
      </c>
      <c r="Q160" s="348">
        <v>-92365.17</v>
      </c>
      <c r="R160" s="185"/>
      <c r="S160" s="202"/>
      <c r="T160" s="202"/>
      <c r="U160" s="202"/>
      <c r="V160" s="202"/>
      <c r="W160" s="202"/>
      <c r="X160" s="35">
        <f t="shared" si="46"/>
        <v>161396.29000000004</v>
      </c>
    </row>
    <row r="161" spans="8:41" ht="15.75">
      <c r="L161" t="s">
        <v>479</v>
      </c>
      <c r="N161" s="348">
        <v>411063.29</v>
      </c>
      <c r="O161" s="348">
        <v>50072.35</v>
      </c>
      <c r="P161" s="348">
        <v>75987.520000000004</v>
      </c>
      <c r="Q161" s="348">
        <v>-76755.86</v>
      </c>
      <c r="R161" s="185"/>
      <c r="S161" s="186"/>
      <c r="T161" s="186"/>
      <c r="U161" s="186"/>
      <c r="V161" s="186"/>
      <c r="W161" s="186"/>
      <c r="X161" s="35">
        <f t="shared" si="46"/>
        <v>460367.29999999993</v>
      </c>
    </row>
    <row r="162" spans="8:41" ht="15.75">
      <c r="L162" t="s">
        <v>480</v>
      </c>
      <c r="N162" s="348">
        <v>431242.57</v>
      </c>
      <c r="O162" s="348">
        <v>48390.32</v>
      </c>
      <c r="P162" s="348">
        <v>78620.11</v>
      </c>
      <c r="Q162" s="348">
        <v>-86472.69</v>
      </c>
      <c r="R162" s="185"/>
      <c r="S162" s="186"/>
      <c r="T162" s="186"/>
      <c r="U162" s="186"/>
      <c r="V162" s="186"/>
      <c r="W162" s="186"/>
      <c r="X162" s="35">
        <f t="shared" si="46"/>
        <v>471780.31</v>
      </c>
    </row>
    <row r="163" spans="8:41" ht="15.75">
      <c r="L163" t="s">
        <v>481</v>
      </c>
      <c r="N163" s="348">
        <v>671850.83</v>
      </c>
      <c r="O163" s="348">
        <v>116672.54</v>
      </c>
      <c r="P163" s="348">
        <v>60150.67</v>
      </c>
      <c r="Q163" s="348">
        <v>-88239.12</v>
      </c>
      <c r="R163" s="186"/>
      <c r="S163" s="186"/>
      <c r="T163" s="186"/>
      <c r="U163" s="186"/>
      <c r="V163" s="186"/>
      <c r="W163" s="186"/>
      <c r="X163" s="35">
        <f t="shared" si="46"/>
        <v>760434.92</v>
      </c>
    </row>
    <row r="164" spans="8:41" ht="15.75">
      <c r="L164" t="s">
        <v>482</v>
      </c>
      <c r="N164" s="348">
        <v>578765.99</v>
      </c>
      <c r="O164" s="348">
        <v>120648.07</v>
      </c>
      <c r="P164" s="348">
        <v>79008.600000000006</v>
      </c>
      <c r="Q164" s="348">
        <v>-85364.49</v>
      </c>
      <c r="R164" s="186"/>
      <c r="S164" s="186"/>
      <c r="T164" s="186"/>
      <c r="U164" s="186"/>
      <c r="V164" s="186"/>
      <c r="W164" s="186"/>
      <c r="X164" s="35">
        <f t="shared" si="46"/>
        <v>693058.17</v>
      </c>
    </row>
    <row r="165" spans="8:41" ht="15.75">
      <c r="L165" t="s">
        <v>483</v>
      </c>
      <c r="N165" s="117">
        <v>386204.15</v>
      </c>
      <c r="O165" s="117">
        <v>98917.56</v>
      </c>
      <c r="P165" s="117">
        <v>51044.480000000003</v>
      </c>
      <c r="Q165" s="117">
        <v>-79595.37</v>
      </c>
      <c r="R165" s="186"/>
      <c r="S165" s="186"/>
      <c r="T165" s="186"/>
      <c r="U165" s="186"/>
      <c r="V165" s="186"/>
      <c r="W165" s="186"/>
      <c r="X165" s="35">
        <f t="shared" si="46"/>
        <v>456570.82000000007</v>
      </c>
    </row>
    <row r="166" spans="8:41" ht="15.75">
      <c r="L166" t="s">
        <v>484</v>
      </c>
      <c r="N166" s="117">
        <v>403231.84</v>
      </c>
      <c r="O166" s="117">
        <v>121164.82</v>
      </c>
      <c r="P166" s="117">
        <v>70308.45</v>
      </c>
      <c r="Q166" s="117">
        <v>-89203.99</v>
      </c>
      <c r="R166" s="186"/>
      <c r="S166" s="186"/>
      <c r="T166" s="186"/>
      <c r="U166" s="186"/>
      <c r="V166" s="186"/>
      <c r="W166" s="186"/>
      <c r="X166" s="35">
        <f t="shared" si="46"/>
        <v>505501.12</v>
      </c>
    </row>
    <row r="167" spans="8:41" ht="15.75">
      <c r="L167" s="429" t="s">
        <v>671</v>
      </c>
      <c r="N167" s="117">
        <v>281628.69</v>
      </c>
      <c r="O167" s="117">
        <v>117018.02</v>
      </c>
      <c r="P167" s="117">
        <v>167505.57999999999</v>
      </c>
      <c r="Q167" s="117">
        <v>-58881.08</v>
      </c>
      <c r="R167" s="186"/>
      <c r="S167" s="186"/>
      <c r="T167" s="186"/>
      <c r="U167" s="186"/>
      <c r="V167" s="186"/>
      <c r="W167" s="186"/>
      <c r="X167" s="35">
        <f t="shared" si="46"/>
        <v>507271.21</v>
      </c>
    </row>
    <row r="168" spans="8:41" ht="15.75">
      <c r="K168">
        <f>K102</f>
        <v>12</v>
      </c>
      <c r="L168" s="169" t="s">
        <v>672</v>
      </c>
      <c r="N168" s="117">
        <v>136820.14000000001</v>
      </c>
      <c r="O168" s="117">
        <v>105148.16</v>
      </c>
      <c r="P168" s="117">
        <v>67534.679999999993</v>
      </c>
      <c r="Q168" s="117">
        <v>-62660</v>
      </c>
      <c r="R168" s="186"/>
      <c r="S168" s="202"/>
      <c r="T168" s="202"/>
      <c r="U168" s="202"/>
      <c r="V168" s="202"/>
      <c r="W168" s="202"/>
      <c r="X168" s="35">
        <f t="shared" si="46"/>
        <v>246842.97999999998</v>
      </c>
    </row>
    <row r="169" spans="8:41">
      <c r="N169" s="117"/>
      <c r="O169" s="117"/>
      <c r="P169" s="117"/>
      <c r="Q169" s="117"/>
      <c r="R169" s="117"/>
      <c r="S169" s="117"/>
      <c r="T169" s="117"/>
      <c r="U169" s="117"/>
      <c r="X169" s="35"/>
    </row>
    <row r="170" spans="8:41" ht="13.5" thickBot="1">
      <c r="L170" t="s">
        <v>108</v>
      </c>
      <c r="N170" s="119">
        <f>SUM(N157:N168)</f>
        <v>4408678.3099999996</v>
      </c>
      <c r="O170" s="119">
        <f t="shared" ref="O170:X170" si="47">SUM(O157:O168)</f>
        <v>967217.17</v>
      </c>
      <c r="P170" s="119">
        <f t="shared" si="47"/>
        <v>980198.39999999991</v>
      </c>
      <c r="Q170" s="119">
        <f t="shared" si="47"/>
        <v>-1004775.9499999998</v>
      </c>
      <c r="R170" s="119">
        <f t="shared" si="47"/>
        <v>0</v>
      </c>
      <c r="S170" s="119">
        <f t="shared" si="47"/>
        <v>0</v>
      </c>
      <c r="T170" s="119">
        <f t="shared" si="47"/>
        <v>0</v>
      </c>
      <c r="U170" s="119">
        <f t="shared" si="47"/>
        <v>0</v>
      </c>
      <c r="V170" s="119">
        <f t="shared" si="47"/>
        <v>0</v>
      </c>
      <c r="W170" s="119">
        <f t="shared" si="47"/>
        <v>0</v>
      </c>
      <c r="X170" s="119">
        <f t="shared" si="47"/>
        <v>5351317.93</v>
      </c>
    </row>
    <row r="171" spans="8:41" ht="13.5" thickTop="1">
      <c r="AC171" s="52" t="s">
        <v>490</v>
      </c>
    </row>
    <row r="172" spans="8:41">
      <c r="Y172" s="52"/>
      <c r="Z172" s="52"/>
      <c r="AA172" s="52"/>
      <c r="AB172" s="52"/>
      <c r="AC172" s="52" t="s">
        <v>495</v>
      </c>
      <c r="AD172" s="52"/>
      <c r="AE172" s="52"/>
      <c r="AF172" s="52"/>
    </row>
    <row r="173" spans="8:41" ht="15.75">
      <c r="H173">
        <f>O179*10.715</f>
        <v>362895.62</v>
      </c>
      <c r="I173">
        <f>AL179</f>
        <v>-53200</v>
      </c>
      <c r="J173">
        <f>H173+I173</f>
        <v>309695.62</v>
      </c>
      <c r="K173" s="112">
        <f>J173-R179</f>
        <v>-150</v>
      </c>
      <c r="L173" s="121" t="s">
        <v>256</v>
      </c>
      <c r="M173" s="36"/>
      <c r="Q173" t="s">
        <v>257</v>
      </c>
      <c r="S173" s="155" t="s">
        <v>257</v>
      </c>
      <c r="Y173" s="52"/>
      <c r="Z173" s="52">
        <v>3.805E-2</v>
      </c>
      <c r="AA173" s="52" t="s">
        <v>496</v>
      </c>
      <c r="AB173" s="52"/>
      <c r="AC173" s="52" t="s">
        <v>216</v>
      </c>
      <c r="AD173" s="52"/>
      <c r="AE173" s="52"/>
      <c r="AF173" s="52"/>
    </row>
    <row r="174" spans="8:41" ht="15">
      <c r="M174" s="4" t="s">
        <v>489</v>
      </c>
      <c r="Q174" t="s">
        <v>258</v>
      </c>
      <c r="R174" s="155" t="s">
        <v>1103</v>
      </c>
      <c r="S174" s="155" t="s">
        <v>1105</v>
      </c>
      <c r="Y174" s="52"/>
      <c r="Z174" s="52"/>
      <c r="AA174" s="52" t="s">
        <v>499</v>
      </c>
      <c r="AB174" s="52" t="s">
        <v>497</v>
      </c>
      <c r="AC174" s="52" t="s">
        <v>140</v>
      </c>
      <c r="AD174" s="52" t="s">
        <v>500</v>
      </c>
      <c r="AE174" s="52" t="s">
        <v>501</v>
      </c>
      <c r="AF174" s="52"/>
    </row>
    <row r="175" spans="8:41">
      <c r="M175" s="52" t="s">
        <v>244</v>
      </c>
      <c r="N175" s="52" t="s">
        <v>255</v>
      </c>
      <c r="O175" s="52" t="s">
        <v>416</v>
      </c>
      <c r="P175" s="52" t="s">
        <v>245</v>
      </c>
      <c r="R175" s="52" t="s">
        <v>1104</v>
      </c>
      <c r="S175" s="52" t="s">
        <v>9</v>
      </c>
      <c r="T175" s="52" t="s">
        <v>15</v>
      </c>
      <c r="U175" s="52" t="s">
        <v>245</v>
      </c>
      <c r="Y175" s="52" t="s">
        <v>494</v>
      </c>
      <c r="Z175" s="52" t="s">
        <v>498</v>
      </c>
      <c r="AA175" s="343" t="s">
        <v>503</v>
      </c>
      <c r="AB175" s="52" t="s">
        <v>212</v>
      </c>
      <c r="AC175" t="s">
        <v>505</v>
      </c>
      <c r="AD175" t="s">
        <v>38</v>
      </c>
      <c r="AE175" t="s">
        <v>506</v>
      </c>
      <c r="AF175" s="52"/>
    </row>
    <row r="176" spans="8:41">
      <c r="M176" s="52" t="s">
        <v>248</v>
      </c>
      <c r="N176" s="52" t="s">
        <v>224</v>
      </c>
      <c r="O176" s="52" t="s">
        <v>224</v>
      </c>
      <c r="P176" s="52" t="s">
        <v>224</v>
      </c>
      <c r="Q176" s="52" t="s">
        <v>11</v>
      </c>
      <c r="R176" s="52" t="s">
        <v>219</v>
      </c>
      <c r="S176" s="52" t="s">
        <v>220</v>
      </c>
      <c r="T176" s="52" t="s">
        <v>249</v>
      </c>
      <c r="U176" s="52" t="s">
        <v>250</v>
      </c>
      <c r="V176" s="52" t="s">
        <v>251</v>
      </c>
      <c r="W176" s="52" t="s">
        <v>8</v>
      </c>
      <c r="X176" s="52" t="s">
        <v>252</v>
      </c>
      <c r="Y176" t="s">
        <v>140</v>
      </c>
      <c r="Z176" t="s">
        <v>502</v>
      </c>
      <c r="AA176" t="s">
        <v>212</v>
      </c>
      <c r="AB176" t="s">
        <v>504</v>
      </c>
      <c r="AC176" t="s">
        <v>507</v>
      </c>
      <c r="AD176">
        <v>1.66E-4</v>
      </c>
      <c r="AE176" t="s">
        <v>247</v>
      </c>
      <c r="AG176" t="s">
        <v>380</v>
      </c>
      <c r="AH176" t="s">
        <v>1094</v>
      </c>
      <c r="AI176" t="s">
        <v>1095</v>
      </c>
      <c r="AJ176" t="s">
        <v>1096</v>
      </c>
      <c r="AK176" t="s">
        <v>1097</v>
      </c>
      <c r="AL176" t="s">
        <v>1097</v>
      </c>
      <c r="AM176" t="s">
        <v>1098</v>
      </c>
      <c r="AN176" t="s">
        <v>217</v>
      </c>
      <c r="AO176" t="s">
        <v>379</v>
      </c>
    </row>
    <row r="177" spans="4:41">
      <c r="L177" s="122" t="s">
        <v>134</v>
      </c>
      <c r="M177" s="122"/>
      <c r="N177" s="122" t="s">
        <v>134</v>
      </c>
      <c r="O177" s="122"/>
      <c r="P177" s="122" t="s">
        <v>134</v>
      </c>
      <c r="Q177" s="122" t="s">
        <v>134</v>
      </c>
      <c r="R177" s="122" t="s">
        <v>134</v>
      </c>
      <c r="S177" s="122" t="s">
        <v>134</v>
      </c>
      <c r="T177" s="122" t="s">
        <v>134</v>
      </c>
      <c r="U177" s="122" t="s">
        <v>134</v>
      </c>
      <c r="V177" s="122" t="s">
        <v>134</v>
      </c>
      <c r="W177" s="122" t="s">
        <v>134</v>
      </c>
      <c r="X177" s="122" t="s">
        <v>134</v>
      </c>
      <c r="AG177" t="s">
        <v>1099</v>
      </c>
      <c r="AH177" t="s">
        <v>224</v>
      </c>
      <c r="AI177" t="s">
        <v>1100</v>
      </c>
      <c r="AJ177" t="s">
        <v>1101</v>
      </c>
      <c r="AK177" t="s">
        <v>224</v>
      </c>
      <c r="AL177" t="s">
        <v>1100</v>
      </c>
      <c r="AM177">
        <v>10.715</v>
      </c>
      <c r="AN177" t="s">
        <v>379</v>
      </c>
      <c r="AO177" t="s">
        <v>811</v>
      </c>
    </row>
    <row r="178" spans="4:41">
      <c r="R178" s="112"/>
      <c r="S178" s="112"/>
      <c r="T178" s="112"/>
      <c r="V178" s="112"/>
      <c r="AI178">
        <v>-3.8</v>
      </c>
      <c r="AJ178" t="s">
        <v>1102</v>
      </c>
      <c r="AL178">
        <v>-3.8</v>
      </c>
    </row>
    <row r="179" spans="4:41" ht="15.75">
      <c r="D179" s="58">
        <f>Q179</f>
        <v>13166656</v>
      </c>
      <c r="E179">
        <f>Y179</f>
        <v>345867</v>
      </c>
      <c r="F179" s="58">
        <f>D179-E179</f>
        <v>12820789</v>
      </c>
      <c r="G179">
        <v>3.805E-2</v>
      </c>
      <c r="H179">
        <f>F179*G179</f>
        <v>487831.02145</v>
      </c>
      <c r="I179">
        <f>AA179</f>
        <v>14908.47</v>
      </c>
      <c r="J179">
        <f>H179+I179</f>
        <v>502739.49144999997</v>
      </c>
      <c r="K179" s="112">
        <f>J179-S179</f>
        <v>1.449999981559813E-3</v>
      </c>
      <c r="L179" s="169" t="s">
        <v>661</v>
      </c>
      <c r="M179" s="200">
        <v>20000</v>
      </c>
      <c r="N179" s="200">
        <v>33868</v>
      </c>
      <c r="O179">
        <v>33868</v>
      </c>
      <c r="P179" s="58"/>
      <c r="Q179" s="200">
        <v>13166656</v>
      </c>
      <c r="R179" s="201">
        <v>309845.62</v>
      </c>
      <c r="S179" s="201">
        <v>502739.49</v>
      </c>
      <c r="T179" s="35">
        <v>274163.96999999997</v>
      </c>
      <c r="U179" s="112"/>
      <c r="V179" s="112">
        <v>1086749.08</v>
      </c>
      <c r="W179" s="201">
        <v>1091656.21</v>
      </c>
      <c r="X179" s="112">
        <v>4907.1299999998882</v>
      </c>
      <c r="Y179">
        <v>345867</v>
      </c>
      <c r="Z179">
        <v>12820789</v>
      </c>
      <c r="AA179">
        <v>14908.47</v>
      </c>
      <c r="AB179">
        <v>1.4499998651444912E-3</v>
      </c>
      <c r="AC179">
        <v>23368241</v>
      </c>
      <c r="AD179">
        <v>3879.13</v>
      </c>
      <c r="AE179">
        <v>1028</v>
      </c>
      <c r="AF179" s="60">
        <v>1.1186784831807017E-10</v>
      </c>
      <c r="AI179">
        <v>0</v>
      </c>
      <c r="AJ179">
        <v>150</v>
      </c>
      <c r="AK179">
        <v>14000</v>
      </c>
      <c r="AL179">
        <v>-53200</v>
      </c>
      <c r="AM179">
        <v>362895.62</v>
      </c>
      <c r="AN179">
        <v>362895.62</v>
      </c>
      <c r="AO179">
        <v>0</v>
      </c>
    </row>
    <row r="180" spans="4:41" ht="15.75">
      <c r="D180" s="58">
        <f t="shared" ref="D180:D190" si="48">Q180</f>
        <v>13005281</v>
      </c>
      <c r="E180">
        <f t="shared" ref="E180:E190" si="49">Y180</f>
        <v>291350</v>
      </c>
      <c r="F180" s="58">
        <f t="shared" ref="F180:F190" si="50">D180-E180</f>
        <v>12713931</v>
      </c>
      <c r="G180">
        <v>3.805E-2</v>
      </c>
      <c r="H180">
        <f t="shared" ref="H180:H190" si="51">F180*G180</f>
        <v>483765.07455000002</v>
      </c>
      <c r="I180">
        <f t="shared" ref="I180:I190" si="52">AA180</f>
        <v>21845.489999999998</v>
      </c>
      <c r="J180">
        <f t="shared" ref="J180:J190" si="53">H180+I180</f>
        <v>505610.56455000001</v>
      </c>
      <c r="K180" s="112">
        <f t="shared" ref="K180:K190" si="54">J180-S180</f>
        <v>4.5500000123865902E-3</v>
      </c>
      <c r="L180" t="s">
        <v>476</v>
      </c>
      <c r="M180" s="200">
        <v>20000</v>
      </c>
      <c r="N180" s="200">
        <v>33781</v>
      </c>
      <c r="O180">
        <v>33781</v>
      </c>
      <c r="P180" s="58"/>
      <c r="Q180" s="200">
        <v>13005281</v>
      </c>
      <c r="R180" s="201">
        <v>308913.40999999997</v>
      </c>
      <c r="S180" s="201">
        <v>505610.56</v>
      </c>
      <c r="T180" s="35">
        <v>232893.96</v>
      </c>
      <c r="U180" s="112"/>
      <c r="V180" s="112">
        <v>1047417.9299999999</v>
      </c>
      <c r="W180" s="201">
        <v>1052256.17</v>
      </c>
      <c r="X180" s="112">
        <v>4838.2399999999907</v>
      </c>
      <c r="Y180">
        <v>291350</v>
      </c>
      <c r="Z180">
        <v>12713931</v>
      </c>
      <c r="AA180">
        <v>21845.489999999998</v>
      </c>
      <c r="AB180">
        <v>4.5500000705942512E-3</v>
      </c>
      <c r="AC180">
        <v>22953265</v>
      </c>
      <c r="AD180">
        <v>3810.24</v>
      </c>
      <c r="AE180">
        <v>1028</v>
      </c>
      <c r="AF180" s="60">
        <v>9.0949470177292824E-12</v>
      </c>
      <c r="AI180">
        <v>0</v>
      </c>
      <c r="AJ180">
        <v>150</v>
      </c>
      <c r="AK180">
        <v>14000</v>
      </c>
      <c r="AL180">
        <v>-53200</v>
      </c>
      <c r="AM180">
        <v>361963.42</v>
      </c>
      <c r="AN180">
        <v>361963.42</v>
      </c>
      <c r="AO180">
        <v>1.0000000009313226E-2</v>
      </c>
    </row>
    <row r="181" spans="4:41" ht="15.75">
      <c r="D181" s="58">
        <f t="shared" si="48"/>
        <v>10269827</v>
      </c>
      <c r="E181">
        <f t="shared" si="49"/>
        <v>3402857</v>
      </c>
      <c r="F181" s="58">
        <f t="shared" si="50"/>
        <v>6866970</v>
      </c>
      <c r="G181">
        <v>3.805E-2</v>
      </c>
      <c r="H181">
        <f t="shared" si="51"/>
        <v>261288.20850000001</v>
      </c>
      <c r="I181">
        <f t="shared" si="52"/>
        <v>315584.07</v>
      </c>
      <c r="J181">
        <f t="shared" si="53"/>
        <v>576872.27850000001</v>
      </c>
      <c r="K181" s="112">
        <f t="shared" si="54"/>
        <v>-1.500000013038516E-3</v>
      </c>
      <c r="L181" t="s">
        <v>477</v>
      </c>
      <c r="M181" s="200">
        <v>20000</v>
      </c>
      <c r="N181" s="200">
        <v>33305</v>
      </c>
      <c r="O181">
        <v>33804</v>
      </c>
      <c r="P181" s="58"/>
      <c r="Q181" s="200">
        <v>10269827</v>
      </c>
      <c r="R181" s="201">
        <v>309159.86</v>
      </c>
      <c r="S181" s="201">
        <v>576872.28</v>
      </c>
      <c r="T181" s="35">
        <v>205345.21999999997</v>
      </c>
      <c r="U181" s="112"/>
      <c r="V181" s="112">
        <v>1091377.3599999999</v>
      </c>
      <c r="W181" s="201">
        <v>1095275.92</v>
      </c>
      <c r="X181" s="112">
        <v>3898.5600000000559</v>
      </c>
      <c r="Y181">
        <v>3402857</v>
      </c>
      <c r="Z181">
        <v>6866970</v>
      </c>
      <c r="AA181">
        <v>315584.07</v>
      </c>
      <c r="AB181">
        <v>-1.500000013038516E-3</v>
      </c>
      <c r="AC181">
        <v>17292554</v>
      </c>
      <c r="AD181">
        <v>2870.56</v>
      </c>
      <c r="AE181">
        <v>1028</v>
      </c>
      <c r="AF181" s="60">
        <v>-5.5933924159035087E-11</v>
      </c>
      <c r="AI181">
        <v>0</v>
      </c>
      <c r="AJ181">
        <v>150</v>
      </c>
      <c r="AK181">
        <v>14000</v>
      </c>
      <c r="AL181">
        <v>-53200</v>
      </c>
      <c r="AM181">
        <v>362209.86</v>
      </c>
      <c r="AN181">
        <v>362209.86</v>
      </c>
      <c r="AO181">
        <v>0</v>
      </c>
    </row>
    <row r="182" spans="4:41" ht="15.75">
      <c r="D182" s="58">
        <f t="shared" si="48"/>
        <v>13628250</v>
      </c>
      <c r="E182">
        <f t="shared" si="49"/>
        <v>849350</v>
      </c>
      <c r="F182" s="58">
        <f t="shared" si="50"/>
        <v>12778900</v>
      </c>
      <c r="G182">
        <v>3.805E-2</v>
      </c>
      <c r="H182">
        <f t="shared" si="51"/>
        <v>486237.14500000002</v>
      </c>
      <c r="I182">
        <f t="shared" si="52"/>
        <v>97241.25</v>
      </c>
      <c r="J182">
        <f t="shared" si="53"/>
        <v>583478.39500000002</v>
      </c>
      <c r="K182" s="112">
        <f t="shared" si="54"/>
        <v>-5.0000000046566129E-3</v>
      </c>
      <c r="L182" t="s">
        <v>478</v>
      </c>
      <c r="M182" s="200">
        <v>20000</v>
      </c>
      <c r="N182" s="200">
        <v>33846</v>
      </c>
      <c r="O182">
        <v>27085</v>
      </c>
      <c r="P182" s="58"/>
      <c r="Q182" s="200">
        <v>13628250</v>
      </c>
      <c r="R182" s="201">
        <v>237165.78</v>
      </c>
      <c r="S182" s="201">
        <v>583478.4</v>
      </c>
      <c r="T182" s="35">
        <v>113300.55000000002</v>
      </c>
      <c r="U182" s="112"/>
      <c r="V182" s="112">
        <v>933944.7300000001</v>
      </c>
      <c r="W182" s="201">
        <v>938767.52</v>
      </c>
      <c r="X182" s="112">
        <v>4822.7899999999208</v>
      </c>
      <c r="Y182">
        <v>849350</v>
      </c>
      <c r="Z182">
        <v>12778900</v>
      </c>
      <c r="AA182">
        <v>97241.25</v>
      </c>
      <c r="AB182">
        <v>-5.0000000046566129E-3</v>
      </c>
      <c r="AC182">
        <v>22860164</v>
      </c>
      <c r="AD182">
        <v>3794.79</v>
      </c>
      <c r="AE182">
        <v>1028</v>
      </c>
      <c r="AF182" s="60">
        <v>7.9126039054244757E-11</v>
      </c>
      <c r="AI182">
        <v>0</v>
      </c>
      <c r="AJ182">
        <v>150</v>
      </c>
      <c r="AK182">
        <v>14000</v>
      </c>
      <c r="AL182">
        <v>-53200</v>
      </c>
      <c r="AM182">
        <v>290215.78000000003</v>
      </c>
      <c r="AN182">
        <v>290215.78000000003</v>
      </c>
      <c r="AO182">
        <v>0</v>
      </c>
    </row>
    <row r="183" spans="4:41" ht="15.75">
      <c r="D183" s="58">
        <f t="shared" si="48"/>
        <v>15269678</v>
      </c>
      <c r="E183">
        <f t="shared" si="49"/>
        <v>1335365</v>
      </c>
      <c r="F183" s="58">
        <f t="shared" si="50"/>
        <v>13934313</v>
      </c>
      <c r="G183">
        <v>3.805E-2</v>
      </c>
      <c r="H183">
        <f t="shared" si="51"/>
        <v>530200.60965</v>
      </c>
      <c r="I183">
        <f t="shared" si="52"/>
        <v>-12812.900000000052</v>
      </c>
      <c r="J183">
        <f t="shared" si="53"/>
        <v>517387.70964999998</v>
      </c>
      <c r="K183" s="112">
        <f t="shared" si="54"/>
        <v>-3.5000004572793841E-4</v>
      </c>
      <c r="L183" t="s">
        <v>479</v>
      </c>
      <c r="M183" s="200">
        <v>20000</v>
      </c>
      <c r="N183" s="200">
        <v>33696</v>
      </c>
      <c r="O183">
        <v>40457</v>
      </c>
      <c r="P183" s="58"/>
      <c r="Q183" s="200">
        <v>15269678</v>
      </c>
      <c r="R183" s="201">
        <v>380446.76</v>
      </c>
      <c r="S183" s="201">
        <v>517387.71</v>
      </c>
      <c r="T183" s="35">
        <v>349277.97</v>
      </c>
      <c r="U183" s="112"/>
      <c r="V183" s="112">
        <v>1247112.44</v>
      </c>
      <c r="W183" s="201">
        <v>1252167.99</v>
      </c>
      <c r="X183" s="112">
        <v>5055.5500000000466</v>
      </c>
      <c r="Y183">
        <v>1335365</v>
      </c>
      <c r="Z183">
        <v>13934313</v>
      </c>
      <c r="AA183">
        <v>-12812.900000000052</v>
      </c>
      <c r="AB183">
        <v>-3.4999987110495567E-4</v>
      </c>
      <c r="AC183">
        <v>24262350</v>
      </c>
      <c r="AD183">
        <v>4027.55</v>
      </c>
      <c r="AE183">
        <v>1028</v>
      </c>
      <c r="AF183" s="60">
        <v>-4.638422979041934E-11</v>
      </c>
      <c r="AI183">
        <v>0</v>
      </c>
      <c r="AJ183">
        <v>150</v>
      </c>
      <c r="AK183">
        <v>14000</v>
      </c>
      <c r="AL183">
        <v>-53200</v>
      </c>
      <c r="AM183">
        <v>433496.76</v>
      </c>
      <c r="AN183">
        <v>433496.76</v>
      </c>
      <c r="AO183">
        <v>0</v>
      </c>
    </row>
    <row r="184" spans="4:41" ht="15.75">
      <c r="D184" s="58">
        <f t="shared" si="48"/>
        <v>12152250</v>
      </c>
      <c r="E184">
        <f t="shared" si="49"/>
        <v>1117765</v>
      </c>
      <c r="F184" s="58">
        <f t="shared" si="50"/>
        <v>11034485</v>
      </c>
      <c r="G184">
        <v>3.805E-2</v>
      </c>
      <c r="H184">
        <f t="shared" si="51"/>
        <v>419862.15425000002</v>
      </c>
      <c r="I184">
        <f t="shared" si="52"/>
        <v>110916.61</v>
      </c>
      <c r="J184">
        <f t="shared" si="53"/>
        <v>530778.76425000001</v>
      </c>
      <c r="K184" s="112">
        <f t="shared" si="54"/>
        <v>4.2499999981373549E-3</v>
      </c>
      <c r="L184" t="s">
        <v>480</v>
      </c>
      <c r="M184" s="200">
        <v>20000</v>
      </c>
      <c r="N184" s="200">
        <v>33773</v>
      </c>
      <c r="O184">
        <v>33773</v>
      </c>
      <c r="P184" s="58"/>
      <c r="Q184" s="200">
        <v>12152250</v>
      </c>
      <c r="R184" s="201">
        <v>308827.7</v>
      </c>
      <c r="S184" s="201">
        <v>530778.76</v>
      </c>
      <c r="T184" s="35">
        <v>299712.46999999997</v>
      </c>
      <c r="U184" s="112"/>
      <c r="V184" s="112">
        <v>1139318.93</v>
      </c>
      <c r="W184" s="201">
        <v>1143865.08</v>
      </c>
      <c r="X184" s="112">
        <v>4546.1500000001397</v>
      </c>
      <c r="Y184">
        <v>1117765</v>
      </c>
      <c r="Z184">
        <v>11034485</v>
      </c>
      <c r="AA184">
        <v>110916.61</v>
      </c>
      <c r="AB184">
        <v>4.2499999981373549E-3</v>
      </c>
      <c r="AC184">
        <v>21193703</v>
      </c>
      <c r="AD184">
        <v>3518.15</v>
      </c>
      <c r="AE184">
        <v>1028</v>
      </c>
      <c r="AF184" s="60">
        <v>-1.4006218407303095E-10</v>
      </c>
      <c r="AI184">
        <v>0</v>
      </c>
      <c r="AJ184">
        <v>150</v>
      </c>
      <c r="AK184">
        <v>14000</v>
      </c>
      <c r="AL184">
        <v>-53200</v>
      </c>
      <c r="AM184">
        <v>361877.7</v>
      </c>
      <c r="AN184">
        <v>361877.7</v>
      </c>
      <c r="AO184">
        <v>0</v>
      </c>
    </row>
    <row r="185" spans="4:41" ht="15.75">
      <c r="D185" s="58">
        <f t="shared" si="48"/>
        <v>11388000</v>
      </c>
      <c r="E185">
        <f t="shared" si="49"/>
        <v>697336</v>
      </c>
      <c r="F185" s="58">
        <f t="shared" si="50"/>
        <v>10690664</v>
      </c>
      <c r="G185">
        <v>3.805E-2</v>
      </c>
      <c r="H185">
        <f t="shared" si="51"/>
        <v>406779.76520000002</v>
      </c>
      <c r="I185">
        <f t="shared" si="52"/>
        <v>69804.77</v>
      </c>
      <c r="J185">
        <f t="shared" si="53"/>
        <v>476584.53520000004</v>
      </c>
      <c r="K185" s="112">
        <f t="shared" si="54"/>
        <v>-4.7999999369494617E-3</v>
      </c>
      <c r="L185" t="s">
        <v>481</v>
      </c>
      <c r="M185" s="200">
        <v>20000</v>
      </c>
      <c r="N185" s="200">
        <v>33430</v>
      </c>
      <c r="O185">
        <v>33430</v>
      </c>
      <c r="P185" s="58"/>
      <c r="Q185" s="200">
        <v>11388000</v>
      </c>
      <c r="R185" s="201">
        <v>305152.45</v>
      </c>
      <c r="S185" s="201">
        <v>476584.54</v>
      </c>
      <c r="T185" s="35">
        <v>449556.75000000006</v>
      </c>
      <c r="U185" s="112"/>
      <c r="V185" s="112">
        <v>1231293.74</v>
      </c>
      <c r="W185" s="201">
        <v>1235777.98</v>
      </c>
      <c r="X185" s="112">
        <v>4484.2399999999907</v>
      </c>
      <c r="Y185">
        <v>697336</v>
      </c>
      <c r="Z185">
        <v>10690664</v>
      </c>
      <c r="AA185">
        <v>69804.77</v>
      </c>
      <c r="AB185">
        <v>-4.7999999951571226E-3</v>
      </c>
      <c r="AC185">
        <v>20820703</v>
      </c>
      <c r="AD185">
        <v>3456.24</v>
      </c>
      <c r="AE185">
        <v>1028</v>
      </c>
      <c r="AF185" s="60">
        <v>9.0949470177292824E-12</v>
      </c>
      <c r="AI185">
        <v>0</v>
      </c>
      <c r="AJ185">
        <v>150</v>
      </c>
      <c r="AK185">
        <v>14000</v>
      </c>
      <c r="AL185">
        <v>-53200</v>
      </c>
      <c r="AM185">
        <v>358202.45</v>
      </c>
      <c r="AN185">
        <v>358202.45</v>
      </c>
      <c r="AO185">
        <v>0</v>
      </c>
    </row>
    <row r="186" spans="4:41" ht="15.75">
      <c r="D186" s="58">
        <f t="shared" si="48"/>
        <v>12728499</v>
      </c>
      <c r="E186">
        <f t="shared" si="49"/>
        <v>134644</v>
      </c>
      <c r="F186" s="58">
        <f t="shared" si="50"/>
        <v>12593855</v>
      </c>
      <c r="G186">
        <v>3.805E-2</v>
      </c>
      <c r="H186">
        <f t="shared" si="51"/>
        <v>479196.18274999998</v>
      </c>
      <c r="I186">
        <f t="shared" si="52"/>
        <v>8576.9500000000007</v>
      </c>
      <c r="J186">
        <f t="shared" si="53"/>
        <v>487773.13274999999</v>
      </c>
      <c r="K186" s="112">
        <f t="shared" si="54"/>
        <v>2.7499999850988388E-3</v>
      </c>
      <c r="L186" t="s">
        <v>482</v>
      </c>
      <c r="M186" s="200">
        <v>20000</v>
      </c>
      <c r="N186" s="200">
        <v>33174</v>
      </c>
      <c r="O186">
        <v>33174</v>
      </c>
      <c r="P186" s="58"/>
      <c r="Q186" s="200">
        <v>12728499</v>
      </c>
      <c r="R186" s="201">
        <v>302409.40999999997</v>
      </c>
      <c r="S186" s="201">
        <v>487773.13</v>
      </c>
      <c r="T186" s="35">
        <v>441848.23</v>
      </c>
      <c r="U186" s="112"/>
      <c r="V186" s="112">
        <v>1232030.77</v>
      </c>
      <c r="W186" s="201">
        <v>1236922.79</v>
      </c>
      <c r="X186" s="112">
        <v>4892.0200000000186</v>
      </c>
      <c r="Y186">
        <v>134644</v>
      </c>
      <c r="Z186">
        <v>12593855</v>
      </c>
      <c r="AA186">
        <v>8576.9500000000007</v>
      </c>
      <c r="AB186">
        <v>2.7499999850988388E-3</v>
      </c>
      <c r="AC186">
        <v>23277219</v>
      </c>
      <c r="AD186">
        <v>3864.02</v>
      </c>
      <c r="AE186">
        <v>1028</v>
      </c>
      <c r="AF186" s="60">
        <v>-1.8189894035458565E-11</v>
      </c>
      <c r="AI186">
        <v>0</v>
      </c>
      <c r="AJ186">
        <v>150</v>
      </c>
      <c r="AK186">
        <v>14000</v>
      </c>
      <c r="AL186">
        <v>-53200</v>
      </c>
      <c r="AM186">
        <v>355459.41</v>
      </c>
      <c r="AN186">
        <v>355459.41</v>
      </c>
      <c r="AO186">
        <v>0</v>
      </c>
    </row>
    <row r="187" spans="4:41" ht="15.75">
      <c r="D187" s="58">
        <f t="shared" si="48"/>
        <v>11826516</v>
      </c>
      <c r="E187">
        <f t="shared" si="49"/>
        <v>1009556</v>
      </c>
      <c r="F187" s="58">
        <f t="shared" si="50"/>
        <v>10816960</v>
      </c>
      <c r="G187">
        <v>3.805E-2</v>
      </c>
      <c r="H187">
        <f t="shared" si="51"/>
        <v>411585.32799999998</v>
      </c>
      <c r="I187">
        <f t="shared" si="52"/>
        <v>75389.840000000011</v>
      </c>
      <c r="J187">
        <f t="shared" si="53"/>
        <v>486975.16800000001</v>
      </c>
      <c r="K187" s="112">
        <f t="shared" si="54"/>
        <v>-1.9999999785795808E-3</v>
      </c>
      <c r="L187" t="s">
        <v>483</v>
      </c>
      <c r="M187" s="200">
        <v>20000</v>
      </c>
      <c r="N187" s="200">
        <v>33177</v>
      </c>
      <c r="O187">
        <v>33177</v>
      </c>
      <c r="P187" s="58"/>
      <c r="Q187" s="200">
        <v>11826516</v>
      </c>
      <c r="R187" s="201">
        <v>302441.55</v>
      </c>
      <c r="S187" s="201">
        <v>486975.17</v>
      </c>
      <c r="T187" s="35">
        <v>328792.13</v>
      </c>
      <c r="U187" s="112"/>
      <c r="V187" s="112">
        <v>1118208.8500000001</v>
      </c>
      <c r="W187" s="201">
        <v>1122780.2</v>
      </c>
      <c r="X187" s="112">
        <v>4571.3499999998603</v>
      </c>
      <c r="Y187">
        <v>1009556</v>
      </c>
      <c r="Z187">
        <v>10816960</v>
      </c>
      <c r="AA187">
        <v>75389.840000000011</v>
      </c>
      <c r="AB187">
        <v>-2.0000000949949026E-3</v>
      </c>
      <c r="AC187">
        <v>21345453</v>
      </c>
      <c r="AD187">
        <v>3543.35</v>
      </c>
      <c r="AE187">
        <v>1028</v>
      </c>
      <c r="AF187" s="60">
        <v>1.4006218407303095E-10</v>
      </c>
      <c r="AI187">
        <v>0</v>
      </c>
      <c r="AJ187">
        <v>150</v>
      </c>
      <c r="AK187">
        <v>14000</v>
      </c>
      <c r="AL187">
        <v>-53200</v>
      </c>
      <c r="AM187">
        <v>355491.56</v>
      </c>
      <c r="AN187">
        <v>355491.56</v>
      </c>
      <c r="AO187">
        <v>1.0000000009313226E-2</v>
      </c>
    </row>
    <row r="188" spans="4:41" ht="15.75">
      <c r="D188" s="58">
        <f t="shared" si="48"/>
        <v>11057188</v>
      </c>
      <c r="E188">
        <f t="shared" si="49"/>
        <v>65965</v>
      </c>
      <c r="F188" s="58">
        <f t="shared" si="50"/>
        <v>10991223</v>
      </c>
      <c r="G188">
        <v>3.805E-2</v>
      </c>
      <c r="H188">
        <f t="shared" si="51"/>
        <v>418216.03515000001</v>
      </c>
      <c r="I188">
        <f t="shared" si="52"/>
        <v>13138.210000000001</v>
      </c>
      <c r="J188">
        <f t="shared" si="53"/>
        <v>431354.24515000003</v>
      </c>
      <c r="K188" s="112">
        <f t="shared" si="54"/>
        <v>-4.8499999684281647E-3</v>
      </c>
      <c r="L188" t="s">
        <v>484</v>
      </c>
      <c r="M188" s="200">
        <v>20000</v>
      </c>
      <c r="N188" s="200">
        <v>33774</v>
      </c>
      <c r="O188">
        <v>33774</v>
      </c>
      <c r="P188" s="58"/>
      <c r="Q188" s="200">
        <v>11057188</v>
      </c>
      <c r="R188" s="201">
        <v>308838.40999999997</v>
      </c>
      <c r="S188" s="201">
        <v>431354.25</v>
      </c>
      <c r="T188" s="35">
        <v>280889.77999999997</v>
      </c>
      <c r="U188" s="112"/>
      <c r="V188" s="112">
        <v>1021082.44</v>
      </c>
      <c r="W188" s="201">
        <v>1025757.93</v>
      </c>
      <c r="X188" s="112">
        <v>4675.4900000001071</v>
      </c>
      <c r="Y188">
        <v>65965</v>
      </c>
      <c r="Z188">
        <v>10991223</v>
      </c>
      <c r="AA188">
        <v>13138.210000000001</v>
      </c>
      <c r="AB188">
        <v>-4.8500000266358256E-3</v>
      </c>
      <c r="AC188">
        <v>21972813</v>
      </c>
      <c r="AD188">
        <v>3647.49</v>
      </c>
      <c r="AE188">
        <v>1028</v>
      </c>
      <c r="AF188" s="60">
        <v>-1.0732037480920553E-10</v>
      </c>
      <c r="AI188">
        <v>0</v>
      </c>
      <c r="AJ188">
        <v>150</v>
      </c>
      <c r="AK188">
        <v>14000</v>
      </c>
      <c r="AL188">
        <v>-53200</v>
      </c>
      <c r="AM188">
        <v>361888.41</v>
      </c>
      <c r="AN188">
        <v>361888.41</v>
      </c>
      <c r="AO188">
        <v>0</v>
      </c>
    </row>
    <row r="189" spans="4:41" ht="14.25">
      <c r="D189" s="58">
        <f t="shared" si="48"/>
        <v>10877859</v>
      </c>
      <c r="E189">
        <f t="shared" si="49"/>
        <v>28708</v>
      </c>
      <c r="F189" s="58">
        <f t="shared" si="50"/>
        <v>10849151</v>
      </c>
      <c r="G189">
        <v>3.805E-2</v>
      </c>
      <c r="H189">
        <f t="shared" si="51"/>
        <v>412810.19555</v>
      </c>
      <c r="I189">
        <f t="shared" si="52"/>
        <v>1155.1599999999999</v>
      </c>
      <c r="J189">
        <f t="shared" si="53"/>
        <v>413965.35554999998</v>
      </c>
      <c r="K189" s="112">
        <f t="shared" si="54"/>
        <v>-4.4500000076368451E-3</v>
      </c>
      <c r="L189" s="169" t="s">
        <v>671</v>
      </c>
      <c r="M189" s="432">
        <v>20000</v>
      </c>
      <c r="N189" s="433">
        <v>33577</v>
      </c>
      <c r="O189" s="433">
        <v>33577</v>
      </c>
      <c r="P189" s="433"/>
      <c r="Q189" s="433">
        <v>10877859</v>
      </c>
      <c r="R189" s="434">
        <v>306727.55</v>
      </c>
      <c r="S189" s="434">
        <v>413965.36</v>
      </c>
      <c r="T189" s="435">
        <f t="shared" ref="T189:T190" si="55">SUM(N211:U211)</f>
        <v>290439.08</v>
      </c>
      <c r="U189" s="434"/>
      <c r="V189" s="434">
        <f t="shared" ref="V189:V190" si="56">SUM(R189:U189)</f>
        <v>1011131.99</v>
      </c>
      <c r="W189" s="434">
        <v>1015787.53</v>
      </c>
      <c r="X189" s="112">
        <f t="shared" ref="X189:X190" si="57">W189-V189</f>
        <v>4655.5400000000373</v>
      </c>
      <c r="Y189">
        <v>28708</v>
      </c>
      <c r="Z189">
        <v>10849151</v>
      </c>
      <c r="AA189">
        <v>1155.1599999999999</v>
      </c>
      <c r="AB189">
        <v>-4.4499998912215233E-3</v>
      </c>
      <c r="AC189">
        <v>21852625</v>
      </c>
      <c r="AD189">
        <v>3627.54</v>
      </c>
      <c r="AE189">
        <v>1028</v>
      </c>
      <c r="AF189" s="60">
        <v>-3.7289282772690058E-11</v>
      </c>
      <c r="AI189">
        <v>0</v>
      </c>
      <c r="AJ189">
        <v>150</v>
      </c>
      <c r="AK189">
        <v>14000</v>
      </c>
      <c r="AL189">
        <v>-53200</v>
      </c>
      <c r="AM189">
        <v>359777.56</v>
      </c>
      <c r="AN189">
        <v>359777.56</v>
      </c>
      <c r="AO189">
        <v>1.0000000009313226E-2</v>
      </c>
    </row>
    <row r="190" spans="4:41" ht="14.25">
      <c r="D190" s="58">
        <f t="shared" si="48"/>
        <v>10797125</v>
      </c>
      <c r="E190">
        <f t="shared" si="49"/>
        <v>117156</v>
      </c>
      <c r="F190" s="58">
        <f t="shared" si="50"/>
        <v>10679969</v>
      </c>
      <c r="G190">
        <v>3.805E-2</v>
      </c>
      <c r="H190">
        <f t="shared" si="51"/>
        <v>406372.82045</v>
      </c>
      <c r="I190">
        <f t="shared" si="52"/>
        <v>4470.57</v>
      </c>
      <c r="J190">
        <f t="shared" si="53"/>
        <v>410843.39045000001</v>
      </c>
      <c r="K190" s="112">
        <f t="shared" si="54"/>
        <v>4.4999999227002263E-4</v>
      </c>
      <c r="L190" s="169" t="s">
        <v>672</v>
      </c>
      <c r="M190" s="432">
        <v>20000</v>
      </c>
      <c r="N190" s="433">
        <v>33664</v>
      </c>
      <c r="O190" s="433">
        <v>33664</v>
      </c>
      <c r="P190" s="433"/>
      <c r="Q190" s="433">
        <v>10797125</v>
      </c>
      <c r="R190" s="434">
        <v>307659.76</v>
      </c>
      <c r="S190" s="434">
        <v>410843.39</v>
      </c>
      <c r="T190" s="435">
        <f t="shared" si="55"/>
        <v>154447.07</v>
      </c>
      <c r="U190" s="434"/>
      <c r="V190" s="434">
        <f t="shared" si="56"/>
        <v>872950.22</v>
      </c>
      <c r="W190" s="434">
        <v>877379.54</v>
      </c>
      <c r="X190" s="112">
        <f t="shared" si="57"/>
        <v>4429.3200000000652</v>
      </c>
      <c r="Y190">
        <v>117156</v>
      </c>
      <c r="Z190">
        <v>10679969</v>
      </c>
      <c r="AA190">
        <v>4470.57</v>
      </c>
      <c r="AB190">
        <v>4.5000005047768354E-4</v>
      </c>
      <c r="AC190">
        <v>20489906</v>
      </c>
      <c r="AD190">
        <v>3401.32</v>
      </c>
      <c r="AE190">
        <v>1028</v>
      </c>
      <c r="AF190" s="60">
        <v>-6.5483618527650833E-11</v>
      </c>
      <c r="AI190">
        <v>0</v>
      </c>
      <c r="AJ190">
        <v>150</v>
      </c>
      <c r="AK190">
        <v>14000</v>
      </c>
      <c r="AL190">
        <v>-53200</v>
      </c>
      <c r="AM190">
        <v>360709.76</v>
      </c>
      <c r="AN190">
        <v>360709.76</v>
      </c>
      <c r="AO190">
        <v>0</v>
      </c>
    </row>
    <row r="191" spans="4:41">
      <c r="N191" s="124"/>
      <c r="P191" s="124"/>
      <c r="Q191" s="124"/>
      <c r="R191" s="125"/>
      <c r="S191" s="125"/>
      <c r="T191" s="125"/>
      <c r="U191" s="122"/>
      <c r="V191" s="125"/>
      <c r="W191" s="125"/>
      <c r="X191" s="125"/>
      <c r="AF191" s="60"/>
    </row>
    <row r="192" spans="4:41">
      <c r="H192">
        <f>403564</f>
        <v>403564</v>
      </c>
      <c r="N192" s="58"/>
      <c r="P192" s="58"/>
      <c r="Q192" s="58"/>
      <c r="R192" s="112"/>
      <c r="S192" s="112"/>
      <c r="T192" s="112"/>
      <c r="V192" s="112"/>
      <c r="W192" s="112"/>
      <c r="X192" s="112"/>
      <c r="AF192" s="60"/>
    </row>
    <row r="193" spans="6:41">
      <c r="H193" s="155">
        <v>10.715</v>
      </c>
      <c r="M193" s="58">
        <f>SUM(M179:M190)</f>
        <v>240000</v>
      </c>
      <c r="N193" s="58">
        <f t="shared" ref="N193:X193" si="58">SUM(N179:N190)</f>
        <v>403065</v>
      </c>
      <c r="O193" s="58">
        <f t="shared" si="58"/>
        <v>403564</v>
      </c>
      <c r="P193" s="58">
        <f t="shared" si="58"/>
        <v>0</v>
      </c>
      <c r="Q193" s="46">
        <f t="shared" si="58"/>
        <v>146167129</v>
      </c>
      <c r="R193" s="60">
        <f t="shared" si="58"/>
        <v>3687588.26</v>
      </c>
      <c r="S193" s="60">
        <f t="shared" si="58"/>
        <v>5924363.04</v>
      </c>
      <c r="T193" s="60">
        <f t="shared" si="58"/>
        <v>3420667.1799999997</v>
      </c>
      <c r="U193" s="60">
        <f t="shared" si="58"/>
        <v>0</v>
      </c>
      <c r="V193" s="60">
        <f t="shared" si="58"/>
        <v>13032618.479999999</v>
      </c>
      <c r="W193" s="60">
        <f t="shared" si="58"/>
        <v>13088394.859999999</v>
      </c>
      <c r="X193" s="60">
        <f t="shared" si="58"/>
        <v>55776.380000000121</v>
      </c>
      <c r="Y193">
        <f>SUM(Y179:Y190)</f>
        <v>9395919</v>
      </c>
      <c r="Z193">
        <f t="shared" ref="Z193:AE193" si="59">SUM(Z179:Z190)</f>
        <v>136771210</v>
      </c>
      <c r="AA193">
        <f t="shared" si="59"/>
        <v>720218.48999999987</v>
      </c>
      <c r="AB193">
        <v>-4.2500001145526767E-3</v>
      </c>
      <c r="AC193">
        <f t="shared" si="59"/>
        <v>261688996</v>
      </c>
      <c r="AD193">
        <f t="shared" si="59"/>
        <v>43440.380000000005</v>
      </c>
      <c r="AE193">
        <f t="shared" si="59"/>
        <v>12336</v>
      </c>
      <c r="AF193" s="60">
        <v>5.0931703299283981E-11</v>
      </c>
      <c r="AG193">
        <f>SUM(AG179:AG190)</f>
        <v>0</v>
      </c>
      <c r="AH193">
        <f t="shared" ref="AH193:AO193" si="60">SUM(AH179:AH190)</f>
        <v>0</v>
      </c>
      <c r="AI193">
        <f t="shared" si="60"/>
        <v>0</v>
      </c>
      <c r="AJ193">
        <f t="shared" si="60"/>
        <v>1800</v>
      </c>
      <c r="AK193">
        <f t="shared" si="60"/>
        <v>168000</v>
      </c>
      <c r="AL193">
        <f t="shared" si="60"/>
        <v>-638400</v>
      </c>
      <c r="AM193">
        <f t="shared" si="60"/>
        <v>4324188.290000001</v>
      </c>
      <c r="AN193">
        <f t="shared" si="60"/>
        <v>4324188.290000001</v>
      </c>
      <c r="AO193">
        <f t="shared" si="60"/>
        <v>3.0000000027939677E-2</v>
      </c>
    </row>
    <row r="194" spans="6:41">
      <c r="H194">
        <f>H192*H193</f>
        <v>4324188.26</v>
      </c>
      <c r="I194">
        <v>-638400</v>
      </c>
      <c r="J194">
        <f>H194+I194</f>
        <v>3685788.26</v>
      </c>
      <c r="N194" s="124" t="s">
        <v>229</v>
      </c>
      <c r="P194" s="124" t="s">
        <v>229</v>
      </c>
      <c r="Q194" s="124" t="s">
        <v>229</v>
      </c>
      <c r="R194" s="125" t="s">
        <v>229</v>
      </c>
      <c r="S194" s="125" t="s">
        <v>229</v>
      </c>
      <c r="T194" s="125" t="s">
        <v>229</v>
      </c>
      <c r="U194" s="125" t="s">
        <v>229</v>
      </c>
      <c r="V194" s="125" t="s">
        <v>229</v>
      </c>
      <c r="W194" s="125" t="s">
        <v>229</v>
      </c>
      <c r="X194" s="125" t="s">
        <v>229</v>
      </c>
      <c r="AC194" s="26">
        <f>Z193</f>
        <v>136771210</v>
      </c>
      <c r="AD194" t="s">
        <v>509</v>
      </c>
    </row>
    <row r="195" spans="6:41">
      <c r="N195" s="58"/>
      <c r="P195" s="58"/>
      <c r="Q195" s="115"/>
      <c r="R195" s="115"/>
      <c r="S195" s="115"/>
      <c r="U195" s="115"/>
      <c r="V195" s="115"/>
      <c r="AC195" s="26">
        <f>Y193</f>
        <v>9395919</v>
      </c>
      <c r="AD195" s="112" t="s">
        <v>510</v>
      </c>
      <c r="AE195" s="112"/>
    </row>
    <row r="196" spans="6:41">
      <c r="F196" s="26">
        <f>Q193</f>
        <v>146167129</v>
      </c>
      <c r="G196">
        <f>Y193</f>
        <v>9395919</v>
      </c>
      <c r="H196" s="26">
        <f>F196-G196</f>
        <v>136771210</v>
      </c>
      <c r="I196">
        <v>3.805E-2</v>
      </c>
      <c r="J196" s="35">
        <f>H196*I196</f>
        <v>5204144.5405000001</v>
      </c>
      <c r="P196" s="58"/>
      <c r="AC196" s="26">
        <f>AC193-AC194-AC195</f>
        <v>115521867</v>
      </c>
      <c r="AD196" t="s">
        <v>508</v>
      </c>
    </row>
    <row r="197" spans="6:41">
      <c r="J197">
        <f>AA193</f>
        <v>720218.48999999987</v>
      </c>
      <c r="O197" t="s">
        <v>367</v>
      </c>
    </row>
    <row r="198" spans="6:41">
      <c r="J198" s="35">
        <f>J196+J197</f>
        <v>5924363.0305000003</v>
      </c>
      <c r="L198" s="52"/>
      <c r="M198" s="52"/>
      <c r="N198" s="52" t="s">
        <v>221</v>
      </c>
      <c r="O198" s="52" t="s">
        <v>343</v>
      </c>
      <c r="P198" s="52" t="s">
        <v>222</v>
      </c>
      <c r="Q198" s="52" t="s">
        <v>371</v>
      </c>
      <c r="R198" s="52" t="s">
        <v>368</v>
      </c>
      <c r="S198" s="52" t="s">
        <v>369</v>
      </c>
      <c r="T198" s="52" t="s">
        <v>370</v>
      </c>
      <c r="U198" s="52" t="s">
        <v>372</v>
      </c>
      <c r="V198" s="52"/>
      <c r="W198" s="52"/>
      <c r="X198" s="52"/>
    </row>
    <row r="199" spans="6:41">
      <c r="J199" s="35">
        <f>J198-S193</f>
        <v>-9.4999996945261955E-3</v>
      </c>
      <c r="L199" s="52"/>
      <c r="M199" s="52"/>
      <c r="N199" s="52" t="s">
        <v>15</v>
      </c>
      <c r="O199" s="52" t="s">
        <v>344</v>
      </c>
      <c r="P199" s="52" t="s">
        <v>227</v>
      </c>
      <c r="Q199" s="52" t="s">
        <v>375</v>
      </c>
      <c r="R199" s="52" t="s">
        <v>226</v>
      </c>
      <c r="S199" s="52" t="s">
        <v>373</v>
      </c>
      <c r="T199" s="52" t="s">
        <v>374</v>
      </c>
      <c r="U199" s="52" t="s">
        <v>376</v>
      </c>
      <c r="V199" s="52"/>
      <c r="W199" s="52"/>
      <c r="X199" s="52"/>
    </row>
    <row r="200" spans="6:41">
      <c r="L200" s="52"/>
      <c r="M200" s="52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183" t="s">
        <v>217</v>
      </c>
    </row>
    <row r="201" spans="6:41" ht="15.75">
      <c r="K201">
        <f>K91</f>
        <v>1</v>
      </c>
      <c r="L201" t="s">
        <v>475</v>
      </c>
      <c r="N201" s="202">
        <v>252457.46</v>
      </c>
      <c r="O201" s="202">
        <v>32824.47</v>
      </c>
      <c r="P201" s="202">
        <v>58843.43</v>
      </c>
      <c r="Q201" s="185">
        <v>-69961.39</v>
      </c>
      <c r="R201" s="185"/>
      <c r="S201" s="202"/>
      <c r="T201" s="202"/>
      <c r="U201" s="202"/>
      <c r="V201" s="202"/>
      <c r="W201" s="202"/>
      <c r="X201" s="35">
        <f>SUM(N201:W201)</f>
        <v>274163.96999999997</v>
      </c>
    </row>
    <row r="202" spans="6:41" ht="15.75">
      <c r="L202" t="s">
        <v>476</v>
      </c>
      <c r="N202" s="202">
        <v>198031.41</v>
      </c>
      <c r="O202" s="202">
        <v>32422.17</v>
      </c>
      <c r="P202" s="202">
        <v>68063.28</v>
      </c>
      <c r="Q202" s="185">
        <v>-65622.899999999994</v>
      </c>
      <c r="R202" s="185"/>
      <c r="S202" s="202"/>
      <c r="T202" s="202"/>
      <c r="U202" s="202"/>
      <c r="V202" s="202"/>
      <c r="W202" s="202"/>
      <c r="X202" s="35">
        <f t="shared" ref="X202:X211" si="61">SUM(N202:W202)</f>
        <v>232893.96</v>
      </c>
    </row>
    <row r="203" spans="6:41" ht="15.75">
      <c r="L203" t="s">
        <v>477</v>
      </c>
      <c r="N203" s="202">
        <v>185606.58</v>
      </c>
      <c r="O203" s="202">
        <v>25602.68</v>
      </c>
      <c r="P203" s="202">
        <v>47368.49</v>
      </c>
      <c r="Q203" s="185">
        <v>-53232.53</v>
      </c>
      <c r="R203" s="185"/>
      <c r="S203" s="202"/>
      <c r="T203" s="202"/>
      <c r="U203" s="202"/>
      <c r="V203" s="202"/>
      <c r="W203" s="202"/>
      <c r="X203" s="35">
        <f t="shared" si="61"/>
        <v>205345.21999999997</v>
      </c>
    </row>
    <row r="204" spans="6:41" ht="15.75">
      <c r="L204" t="s">
        <v>478</v>
      </c>
      <c r="N204" s="202">
        <v>84413.38</v>
      </c>
      <c r="O204" s="202">
        <v>33975.230000000003</v>
      </c>
      <c r="P204" s="202">
        <v>59964.84</v>
      </c>
      <c r="Q204" s="185">
        <v>-65052.9</v>
      </c>
      <c r="R204" s="185"/>
      <c r="S204" s="202"/>
      <c r="T204" s="202"/>
      <c r="U204" s="202"/>
      <c r="V204" s="202"/>
      <c r="W204" s="202"/>
      <c r="X204" s="35">
        <f t="shared" si="61"/>
        <v>113300.55000000002</v>
      </c>
    </row>
    <row r="205" spans="6:41" ht="15.75">
      <c r="L205" t="s">
        <v>479</v>
      </c>
      <c r="N205" s="186">
        <v>312509.23</v>
      </c>
      <c r="O205" s="186">
        <v>38067.31</v>
      </c>
      <c r="P205" s="186">
        <v>57059.17</v>
      </c>
      <c r="Q205" s="185">
        <v>-58357.74</v>
      </c>
      <c r="R205" s="185"/>
      <c r="S205" s="186"/>
      <c r="T205" s="186"/>
      <c r="U205" s="186"/>
      <c r="V205" s="186"/>
      <c r="W205" s="186"/>
      <c r="X205" s="35">
        <f t="shared" si="61"/>
        <v>349277.97</v>
      </c>
    </row>
    <row r="206" spans="6:41" ht="15.75">
      <c r="L206" t="s">
        <v>480</v>
      </c>
      <c r="N206" s="186">
        <v>269986.53999999998</v>
      </c>
      <c r="O206" s="186">
        <v>30295.56</v>
      </c>
      <c r="P206" s="186">
        <v>54137.73</v>
      </c>
      <c r="Q206" s="185">
        <v>-54707.360000000001</v>
      </c>
      <c r="R206" s="185"/>
      <c r="S206" s="186"/>
      <c r="T206" s="186"/>
      <c r="U206" s="186"/>
      <c r="V206" s="186"/>
      <c r="W206" s="186"/>
      <c r="X206" s="35">
        <f t="shared" si="61"/>
        <v>299712.46999999997</v>
      </c>
    </row>
    <row r="207" spans="6:41" ht="15.75">
      <c r="L207" t="s">
        <v>481</v>
      </c>
      <c r="N207" s="186">
        <v>394708.08</v>
      </c>
      <c r="O207" s="186">
        <v>68544.37</v>
      </c>
      <c r="P207" s="186">
        <v>38144.22</v>
      </c>
      <c r="Q207" s="186">
        <v>-51839.92</v>
      </c>
      <c r="R207" s="186"/>
      <c r="S207" s="186"/>
      <c r="T207" s="186"/>
      <c r="U207" s="185"/>
      <c r="V207" s="186"/>
      <c r="W207" s="186"/>
      <c r="X207" s="35">
        <f t="shared" si="61"/>
        <v>449556.75000000006</v>
      </c>
    </row>
    <row r="208" spans="6:41" ht="15.75">
      <c r="L208" s="155" t="s">
        <v>482</v>
      </c>
      <c r="N208" s="186">
        <v>367522.68</v>
      </c>
      <c r="O208" s="186">
        <v>76612.84</v>
      </c>
      <c r="P208" s="186">
        <v>51346.67</v>
      </c>
      <c r="Q208" s="186">
        <v>-53633.96</v>
      </c>
      <c r="R208" s="186"/>
      <c r="S208" s="186"/>
      <c r="T208" s="186"/>
      <c r="U208" s="185"/>
      <c r="V208" s="186"/>
      <c r="W208" s="186"/>
      <c r="X208" s="35">
        <f t="shared" si="61"/>
        <v>441848.23</v>
      </c>
    </row>
    <row r="209" spans="11:24" ht="15.75">
      <c r="L209" t="s">
        <v>483</v>
      </c>
      <c r="N209" s="186">
        <v>277923.13</v>
      </c>
      <c r="O209" s="186">
        <v>71183.8</v>
      </c>
      <c r="P209" s="186">
        <v>37551.54</v>
      </c>
      <c r="Q209" s="186">
        <v>-57866.34</v>
      </c>
      <c r="R209" s="186"/>
      <c r="S209" s="186"/>
      <c r="T209" s="186"/>
      <c r="U209" s="185"/>
      <c r="V209" s="186"/>
      <c r="W209" s="186"/>
      <c r="X209" s="35">
        <f t="shared" si="61"/>
        <v>328792.13</v>
      </c>
    </row>
    <row r="210" spans="11:24" ht="15.75">
      <c r="L210" t="s">
        <v>484</v>
      </c>
      <c r="N210" s="186">
        <v>221486.53</v>
      </c>
      <c r="O210" s="186">
        <v>66553.210000000006</v>
      </c>
      <c r="P210" s="186">
        <v>41847.86</v>
      </c>
      <c r="Q210" s="186">
        <v>-48997.82</v>
      </c>
      <c r="R210" s="186"/>
      <c r="S210" s="186"/>
      <c r="T210" s="186"/>
      <c r="U210" s="185"/>
      <c r="V210" s="186"/>
      <c r="W210" s="186"/>
      <c r="X210" s="35">
        <f t="shared" si="61"/>
        <v>280889.77999999997</v>
      </c>
    </row>
    <row r="211" spans="11:24" ht="15.75">
      <c r="L211" t="str">
        <f t="shared" ref="L211:L212" si="62">L189</f>
        <v>JAN 2023</v>
      </c>
      <c r="N211" s="215">
        <v>157576.67000000001</v>
      </c>
      <c r="O211" s="215">
        <v>65473.83</v>
      </c>
      <c r="P211" s="215">
        <v>100333.68</v>
      </c>
      <c r="Q211" s="215">
        <v>-32945.1</v>
      </c>
      <c r="R211" s="186"/>
      <c r="S211" s="186"/>
      <c r="T211" s="186"/>
      <c r="U211" s="186"/>
      <c r="V211" s="186"/>
      <c r="W211" s="186"/>
      <c r="X211" s="35">
        <f t="shared" si="61"/>
        <v>290439.08</v>
      </c>
    </row>
    <row r="212" spans="11:24" ht="15.75">
      <c r="K212">
        <f>K102</f>
        <v>12</v>
      </c>
      <c r="L212" t="str">
        <f t="shared" si="62"/>
        <v>FEB 2023</v>
      </c>
      <c r="N212" s="215">
        <v>84563.08</v>
      </c>
      <c r="O212" s="215">
        <v>64987.9</v>
      </c>
      <c r="P212" s="215">
        <v>43623.74</v>
      </c>
      <c r="Q212" s="215">
        <v>-38727.65</v>
      </c>
      <c r="R212" s="186"/>
      <c r="S212" s="202"/>
      <c r="T212" s="202"/>
      <c r="U212" s="202"/>
      <c r="V212" s="202"/>
      <c r="W212" s="202"/>
      <c r="X212" s="35">
        <f>SUM(N212:W212)</f>
        <v>154447.07</v>
      </c>
    </row>
    <row r="213" spans="11:24" ht="15">
      <c r="N213" s="430"/>
      <c r="O213" s="430"/>
      <c r="P213" s="430"/>
      <c r="Q213" s="430"/>
      <c r="R213" s="117"/>
      <c r="S213" s="117"/>
      <c r="T213" s="117"/>
      <c r="U213" s="117"/>
      <c r="X213" s="35"/>
    </row>
    <row r="214" spans="11:24" ht="15" thickBot="1">
      <c r="L214" t="s">
        <v>108</v>
      </c>
      <c r="N214" s="431">
        <v>259597.19</v>
      </c>
      <c r="O214" s="431">
        <v>547643.75</v>
      </c>
      <c r="P214" s="431">
        <v>1363256.3500000003</v>
      </c>
      <c r="Q214" s="431">
        <v>-1149473.68</v>
      </c>
      <c r="R214" s="119">
        <v>0</v>
      </c>
      <c r="S214" s="119">
        <v>0</v>
      </c>
      <c r="T214" s="119">
        <v>0</v>
      </c>
      <c r="U214" s="119">
        <v>0</v>
      </c>
      <c r="V214" s="119"/>
      <c r="W214" s="119"/>
      <c r="X214" s="119">
        <f>SUM(X201:X212)</f>
        <v>3420667.1799999997</v>
      </c>
    </row>
    <row r="215" spans="11:24" ht="13.5" thickTop="1"/>
  </sheetData>
  <mergeCells count="6">
    <mergeCell ref="H7:J7"/>
    <mergeCell ref="C7:E7"/>
    <mergeCell ref="F7:G7"/>
    <mergeCell ref="A1:J1"/>
    <mergeCell ref="A2:J2"/>
    <mergeCell ref="A3:J3"/>
  </mergeCells>
  <phoneticPr fontId="10" type="noConversion"/>
  <pageMargins left="0.25" right="0.25" top="0.75" bottom="0.75" header="0.3" footer="0.3"/>
  <pageSetup scale="66" orientation="landscape" r:id="rId1"/>
  <headerFooter alignWithMargins="0">
    <oddFooter>&amp;C&amp;12Exhibit 9, Page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39</vt:i4>
      </vt:variant>
    </vt:vector>
  </HeadingPairs>
  <TitlesOfParts>
    <vt:vector size="53" baseType="lpstr">
      <vt:lpstr>RevSum</vt:lpstr>
      <vt:lpstr>Res</vt:lpstr>
      <vt:lpstr>Comm1p</vt:lpstr>
      <vt:lpstr>Comm3p</vt:lpstr>
      <vt:lpstr>Comm1000</vt:lpstr>
      <vt:lpstr>lights</vt:lpstr>
      <vt:lpstr>unbilled</vt:lpstr>
      <vt:lpstr>dir A</vt:lpstr>
      <vt:lpstr>dir B</vt:lpstr>
      <vt:lpstr>dir C</vt:lpstr>
      <vt:lpstr>Miscrev</vt:lpstr>
      <vt:lpstr>rurpwrcs</vt:lpstr>
      <vt:lpstr>revpergl</vt:lpstr>
      <vt:lpstr>IS</vt:lpstr>
      <vt:lpstr>AAPR</vt:lpstr>
      <vt:lpstr>AAUG</vt:lpstr>
      <vt:lpstr>ADEC</vt:lpstr>
      <vt:lpstr>AFEB</vt:lpstr>
      <vt:lpstr>AJAN</vt:lpstr>
      <vt:lpstr>AJUL</vt:lpstr>
      <vt:lpstr>AJUN</vt:lpstr>
      <vt:lpstr>AMAR</vt:lpstr>
      <vt:lpstr>AMAY</vt:lpstr>
      <vt:lpstr>ANOV</vt:lpstr>
      <vt:lpstr>AOCT</vt:lpstr>
      <vt:lpstr>APR</vt:lpstr>
      <vt:lpstr>ASEP</vt:lpstr>
      <vt:lpstr>AUG</vt:lpstr>
      <vt:lpstr>DEC</vt:lpstr>
      <vt:lpstr>FEB</vt:lpstr>
      <vt:lpstr>JAN</vt:lpstr>
      <vt:lpstr>JUL</vt:lpstr>
      <vt:lpstr>JUN</vt:lpstr>
      <vt:lpstr>MAR</vt:lpstr>
      <vt:lpstr>MAY</vt:lpstr>
      <vt:lpstr>NOV</vt:lpstr>
      <vt:lpstr>OCT</vt:lpstr>
      <vt:lpstr>Comm1000!Print_Area</vt:lpstr>
      <vt:lpstr>Comm1p!Print_Area</vt:lpstr>
      <vt:lpstr>Comm3p!Print_Area</vt:lpstr>
      <vt:lpstr>'dir A'!Print_Area</vt:lpstr>
      <vt:lpstr>'dir B'!Print_Area</vt:lpstr>
      <vt:lpstr>'dir C'!Print_Area</vt:lpstr>
      <vt:lpstr>IS!Print_Area</vt:lpstr>
      <vt:lpstr>lights!Print_Area</vt:lpstr>
      <vt:lpstr>Miscrev!Print_Area</vt:lpstr>
      <vt:lpstr>Res!Print_Area</vt:lpstr>
      <vt:lpstr>revpergl!Print_Area</vt:lpstr>
      <vt:lpstr>RevSum!Print_Area</vt:lpstr>
      <vt:lpstr>rurpwrcs!Print_Area</vt:lpstr>
      <vt:lpstr>unbilled!Print_Area</vt:lpstr>
      <vt:lpstr>lights!Print_Titles</vt:lpstr>
      <vt:lpstr>SEP</vt:lpstr>
    </vt:vector>
  </TitlesOfParts>
  <Company>Kenergy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Taul</dc:creator>
  <cp:lastModifiedBy>Steve Thompson</cp:lastModifiedBy>
  <cp:lastPrinted>2023-11-12T16:16:45Z</cp:lastPrinted>
  <dcterms:created xsi:type="dcterms:W3CDTF">2008-02-21T15:59:21Z</dcterms:created>
  <dcterms:modified xsi:type="dcterms:W3CDTF">2023-11-12T16:17:45Z</dcterms:modified>
</cp:coreProperties>
</file>