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vis\Rate Applications\2023 rate application\Work Papers - Travis\PSC 2nd Data Request Workpapers\"/>
    </mc:Choice>
  </mc:AlternateContent>
  <xr:revisionPtr revIDLastSave="0" documentId="13_ncr:1_{E526B655-F634-4399-B125-27D9413D198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alth etc." sheetId="1" r:id="rId1"/>
    <sheet name="Pension" sheetId="2" r:id="rId2"/>
    <sheet name="tax wkcp plpd" sheetId="3" r:id="rId3"/>
  </sheets>
  <definedNames>
    <definedName name="_xlnm.Print_Area" localSheetId="0">'health etc.'!$A$1:$N$45</definedName>
    <definedName name="_xlnm.Print_Area" localSheetId="1">Pension!$A$1:$J$38</definedName>
  </definedNames>
  <calcPr calcId="191029"/>
</workbook>
</file>

<file path=xl/calcChain.xml><?xml version="1.0" encoding="utf-8"?>
<calcChain xmlns="http://schemas.openxmlformats.org/spreadsheetml/2006/main">
  <c r="N44" i="1" l="1"/>
  <c r="N32" i="1"/>
  <c r="J28" i="2" l="1"/>
  <c r="J27" i="2"/>
  <c r="J26" i="2"/>
  <c r="F58" i="3" l="1"/>
  <c r="G44" i="3"/>
  <c r="G42" i="3"/>
  <c r="G40" i="3"/>
  <c r="G36" i="3"/>
  <c r="H22" i="3"/>
  <c r="G21" i="3"/>
  <c r="F19" i="3"/>
  <c r="D16" i="3"/>
  <c r="C11" i="3"/>
  <c r="J19" i="2"/>
  <c r="J14" i="2"/>
  <c r="J10" i="2"/>
  <c r="N43" i="1"/>
  <c r="N35" i="1"/>
  <c r="N37" i="1" s="1"/>
  <c r="E25" i="1"/>
  <c r="N45" i="1" l="1"/>
  <c r="G11" i="1"/>
  <c r="G12" i="1"/>
  <c r="G13" i="1"/>
  <c r="G10" i="1"/>
  <c r="C14" i="3" l="1"/>
  <c r="E14" i="3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L17" i="1"/>
  <c r="E16" i="1"/>
  <c r="I16" i="1" s="1"/>
  <c r="N16" i="1" s="1"/>
  <c r="E15" i="1"/>
  <c r="I15" i="1" s="1"/>
  <c r="N15" i="1" s="1"/>
  <c r="E14" i="1"/>
  <c r="I14" i="1" s="1"/>
  <c r="N14" i="1" s="1"/>
  <c r="J29" i="2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I11" i="1" l="1"/>
  <c r="N11" i="1" s="1"/>
  <c r="I12" i="1"/>
  <c r="N12" i="1" s="1"/>
  <c r="I13" i="1"/>
  <c r="N13" i="1" s="1"/>
  <c r="I10" i="1"/>
  <c r="N10" i="1" s="1"/>
  <c r="G22" i="3"/>
  <c r="F22" i="3"/>
  <c r="D33" i="3"/>
  <c r="E33" i="3"/>
  <c r="F33" i="3"/>
  <c r="I25" i="1"/>
  <c r="N25" i="1" s="1"/>
  <c r="I24" i="1"/>
  <c r="N24" i="1" s="1"/>
  <c r="F54" i="3"/>
  <c r="C31" i="3"/>
  <c r="N17" i="1" l="1"/>
  <c r="J32" i="2"/>
  <c r="G33" i="3"/>
  <c r="G34" i="3" s="1"/>
  <c r="N26" i="1"/>
  <c r="E22" i="3"/>
  <c r="C16" i="3"/>
  <c r="G35" i="3" l="1"/>
  <c r="D22" i="3"/>
  <c r="G37" i="3" l="1"/>
  <c r="G38" i="3" s="1"/>
  <c r="G39" i="3" s="1"/>
  <c r="G41" i="3" l="1"/>
  <c r="G43" i="3" l="1"/>
  <c r="G45" i="3" l="1"/>
  <c r="G47" i="3" s="1"/>
</calcChain>
</file>

<file path=xl/sharedStrings.xml><?xml version="1.0" encoding="utf-8"?>
<sst xmlns="http://schemas.openxmlformats.org/spreadsheetml/2006/main" count="141" uniqueCount="100">
  <si>
    <t>KENERGY CORP.</t>
  </si>
  <si>
    <t>OVERHEADS RELATED TO WAGE ADJUSTMENTS</t>
  </si>
  <si>
    <t>Employee Only</t>
  </si>
  <si>
    <t>Employee + Spouse</t>
  </si>
  <si>
    <t>Employee &amp; Child</t>
  </si>
  <si>
    <t>Employee &amp; Family</t>
  </si>
  <si>
    <t>=</t>
  </si>
  <si>
    <t>Base Rate</t>
  </si>
  <si>
    <t>Monthly</t>
  </si>
  <si>
    <t>Employee</t>
  </si>
  <si>
    <t>Contribution</t>
  </si>
  <si>
    <t xml:space="preserve">Monthly </t>
  </si>
  <si>
    <t>Company</t>
  </si>
  <si>
    <t>Cost</t>
  </si>
  <si>
    <t>Annual</t>
  </si>
  <si>
    <t>Under $50,000</t>
  </si>
  <si>
    <t>Over $50,000</t>
  </si>
  <si>
    <t>Proforma Wages</t>
  </si>
  <si>
    <t>Plus:  Life Insurance Over $50,000 Income</t>
  </si>
  <si>
    <t>Less:  Section 125 Medical</t>
  </si>
  <si>
    <t xml:space="preserve">      Wages Subject to Medicare</t>
  </si>
  <si>
    <t xml:space="preserve">      Wages Subject to FICA</t>
  </si>
  <si>
    <t>FICA</t>
  </si>
  <si>
    <t>Medicare</t>
  </si>
  <si>
    <t>Fed. Unempl.</t>
  </si>
  <si>
    <t>State Unempl.</t>
  </si>
  <si>
    <t>Taxes</t>
  </si>
  <si>
    <t>Payroll</t>
  </si>
  <si>
    <t xml:space="preserve">Rate - </t>
  </si>
  <si>
    <t>N/A</t>
  </si>
  <si>
    <t>Total</t>
  </si>
  <si>
    <t>Proforma Regular Wages</t>
  </si>
  <si>
    <t>Part-Time Wages</t>
  </si>
  <si>
    <t>Overtime Reduced One-Third</t>
  </si>
  <si>
    <t>Total Subject to Rates</t>
  </si>
  <si>
    <t>Outside</t>
  </si>
  <si>
    <t>Rate</t>
  </si>
  <si>
    <t xml:space="preserve">Inside </t>
  </si>
  <si>
    <t>Retention Program Refund</t>
  </si>
  <si>
    <t>Proforma Workers Compensation</t>
  </si>
  <si>
    <t>Property Loss/Damage</t>
  </si>
  <si>
    <t>Umbrella</t>
  </si>
  <si>
    <t>Less</t>
  </si>
  <si>
    <t>Health</t>
  </si>
  <si>
    <t>Dental</t>
  </si>
  <si>
    <t>Life Insurance</t>
  </si>
  <si>
    <t>Disability</t>
  </si>
  <si>
    <t>Pension</t>
  </si>
  <si>
    <t>Payroll Taxes</t>
  </si>
  <si>
    <t>Sales</t>
  </si>
  <si>
    <t>Total Proforma Pension</t>
  </si>
  <si>
    <t>Plus:  Personal Vehicle Usage</t>
  </si>
  <si>
    <t>Increased Limits Factor 0.8%</t>
  </si>
  <si>
    <t>Drug Free Discount 5%</t>
  </si>
  <si>
    <r>
      <t xml:space="preserve">A. </t>
    </r>
    <r>
      <rPr>
        <b/>
        <u/>
        <sz val="12"/>
        <rFont val="Arial"/>
        <family val="2"/>
      </rPr>
      <t>Defined Benefit &amp; Contribution Plan (former HUEC employees hired before 7/1/99)</t>
    </r>
  </si>
  <si>
    <r>
      <t xml:space="preserve">B. </t>
    </r>
    <r>
      <rPr>
        <b/>
        <u/>
        <sz val="12"/>
        <rFont val="Arial"/>
        <family val="2"/>
      </rPr>
      <t>Defined Benefit &amp; Contribution Plan (former GREC employees hired before 1/1/87)</t>
    </r>
  </si>
  <si>
    <r>
      <t xml:space="preserve">C. </t>
    </r>
    <r>
      <rPr>
        <b/>
        <u/>
        <sz val="12"/>
        <rFont val="Arial"/>
        <family val="2"/>
      </rPr>
      <t>Defined Benefit &amp; Contribution Plan (former GREC employees hired after 1/1/87</t>
    </r>
  </si>
  <si>
    <r>
      <t xml:space="preserve">    </t>
    </r>
    <r>
      <rPr>
        <b/>
        <u/>
        <sz val="12"/>
        <rFont val="Arial"/>
        <family val="2"/>
      </rPr>
      <t>plus all Kenergy employees beginning 7/1/99)</t>
    </r>
  </si>
  <si>
    <r>
      <t xml:space="preserve">D. </t>
    </r>
    <r>
      <rPr>
        <b/>
        <u/>
        <sz val="12"/>
        <rFont val="Arial"/>
        <family val="2"/>
      </rPr>
      <t>Annual Pension Prepayment Writeoff</t>
    </r>
  </si>
  <si>
    <t>Buyout Employee</t>
  </si>
  <si>
    <t>Buyout Child/Spouse</t>
  </si>
  <si>
    <t>Buyout Family</t>
  </si>
  <si>
    <t>Plus:  Vehicle Allowance</t>
  </si>
  <si>
    <t>Employee Assistance Program</t>
  </si>
  <si>
    <t>Property Loss/Damage &amp; Excess Liability Insurance</t>
  </si>
  <si>
    <t>Workers Compensation</t>
  </si>
  <si>
    <t xml:space="preserve"> Limit - </t>
  </si>
  <si>
    <r>
      <t>E. A</t>
    </r>
    <r>
      <rPr>
        <b/>
        <u/>
        <sz val="12"/>
        <rFont val="Arial"/>
        <family val="2"/>
      </rPr>
      <t>nnual 401(k) Administration Fees</t>
    </r>
  </si>
  <si>
    <t># Employees</t>
  </si>
  <si>
    <t>Dependent</t>
  </si>
  <si>
    <t>Less 20%</t>
  </si>
  <si>
    <t>128 employees times $50,000 = $6,400,000 x .000248 x 12 months</t>
  </si>
  <si>
    <t>Proforma regular wages = $10,941,677 x 3 - $6,400,000 x .000248 x 12 mos. =</t>
  </si>
  <si>
    <t>Less coverage reduction for two employees who reached age 70</t>
  </si>
  <si>
    <t>Plus amount for spouse &amp; children</t>
  </si>
  <si>
    <t>Proforma regular wages = $10,941,677 x .000706 x 12 months</t>
  </si>
  <si>
    <t>Less $270,000 salary cap for one employee</t>
  </si>
  <si>
    <r>
      <t xml:space="preserve">Proforma regular wages of the 10 </t>
    </r>
    <r>
      <rPr>
        <vertAlign val="superscript"/>
        <sz val="12"/>
        <rFont val="Arial"/>
        <family val="2"/>
      </rPr>
      <t>1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 xml:space="preserve">participants </t>
    </r>
  </si>
  <si>
    <r>
      <t xml:space="preserve">at $1,090,792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times 27.14%</t>
    </r>
  </si>
  <si>
    <r>
      <t>Proforma regular wages of the 9</t>
    </r>
    <r>
      <rPr>
        <vertAlign val="superscript"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 participants</t>
    </r>
  </si>
  <si>
    <r>
      <t>at $906,279</t>
    </r>
    <r>
      <rPr>
        <vertAlign val="superscript"/>
        <sz val="12"/>
        <rFont val="Arial"/>
        <family val="2"/>
      </rPr>
      <t xml:space="preserve"> 1</t>
    </r>
    <r>
      <rPr>
        <sz val="12"/>
        <rFont val="Times New Roman"/>
        <family val="1"/>
      </rPr>
      <t xml:space="preserve">  </t>
    </r>
    <r>
      <rPr>
        <sz val="12"/>
        <rFont val="Arial"/>
        <family val="2"/>
      </rPr>
      <t>times 27.14%</t>
    </r>
  </si>
  <si>
    <r>
      <t>Proforma wages of the 109</t>
    </r>
    <r>
      <rPr>
        <vertAlign val="superscript"/>
        <sz val="12"/>
        <rFont val="Arial"/>
        <family val="2"/>
      </rPr>
      <t xml:space="preserve"> 1 </t>
    </r>
    <r>
      <rPr>
        <sz val="12"/>
        <rFont val="Arial"/>
        <family val="2"/>
      </rPr>
      <t>participants</t>
    </r>
  </si>
  <si>
    <r>
      <t>at $8,944,605</t>
    </r>
    <r>
      <rPr>
        <vertAlign val="superscript"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 times 23.32%</t>
    </r>
  </si>
  <si>
    <t>(1)  = $10,941,677 proforma regular wages</t>
  </si>
  <si>
    <t xml:space="preserve">       = 128 full time employees </t>
  </si>
  <si>
    <t>Less:  Wages Over $160,200</t>
  </si>
  <si>
    <t xml:space="preserve">128 Employees x $7,000 plus part-time of </t>
  </si>
  <si>
    <t xml:space="preserve">      = $896,000</t>
  </si>
  <si>
    <t>128 employees x $11,100 plus part-time of</t>
  </si>
  <si>
    <t xml:space="preserve">     = $1,420,800</t>
  </si>
  <si>
    <t>Premium Discount 4.651%</t>
  </si>
  <si>
    <t>Terrorism Risk Factor 0.636%</t>
  </si>
  <si>
    <t>KY Special Fund Assessment - 6.94%</t>
  </si>
  <si>
    <t>Per Invoice for Period 4/1/23 to 4/1/24:</t>
  </si>
  <si>
    <t>128 employees times 1.98 per employee per month</t>
  </si>
  <si>
    <t>Plan assets of $9,124,155.38 times 0.001193</t>
  </si>
  <si>
    <t>Plan assets of $3,579,147.83 times 0.001193</t>
  </si>
  <si>
    <t>Plan assets of $17,709,006.20 times 0.001193</t>
  </si>
  <si>
    <t>Experience Modification 1.01</t>
  </si>
  <si>
    <t>2023-00276 RATE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</si>
</sst>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#,##0.00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vertAlign val="superscript"/>
      <sz val="12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42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/>
    <xf numFmtId="0" fontId="3" fillId="0" borderId="0" xfId="0" applyFont="1"/>
    <xf numFmtId="164" fontId="0" fillId="0" borderId="0" xfId="1" applyNumberFormat="1" applyFont="1" applyBorder="1"/>
    <xf numFmtId="43" fontId="0" fillId="0" borderId="0" xfId="1" applyFont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2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2" fontId="4" fillId="0" borderId="0" xfId="0" applyNumberFormat="1" applyFont="1"/>
    <xf numFmtId="42" fontId="4" fillId="0" borderId="0" xfId="0" quotePrefix="1" applyNumberFormat="1" applyFont="1" applyAlignment="1">
      <alignment horizontal="center"/>
    </xf>
    <xf numFmtId="42" fontId="4" fillId="0" borderId="2" xfId="0" applyNumberFormat="1" applyFont="1" applyBorder="1" applyAlignment="1">
      <alignment horizontal="center"/>
    </xf>
    <xf numFmtId="4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3" fontId="4" fillId="0" borderId="0" xfId="0" applyNumberFormat="1" applyFont="1"/>
    <xf numFmtId="43" fontId="4" fillId="0" borderId="0" xfId="1" applyFont="1" applyBorder="1"/>
    <xf numFmtId="41" fontId="4" fillId="0" borderId="0" xfId="0" applyNumberFormat="1" applyFont="1"/>
    <xf numFmtId="0" fontId="4" fillId="0" borderId="0" xfId="0" quotePrefix="1" applyFont="1" applyAlignment="1">
      <alignment horizontal="center"/>
    </xf>
    <xf numFmtId="0" fontId="4" fillId="0" borderId="0" xfId="0" quotePrefix="1" applyFont="1"/>
    <xf numFmtId="43" fontId="4" fillId="0" borderId="0" xfId="0" applyNumberFormat="1" applyFont="1" applyAlignment="1">
      <alignment horizontal="right"/>
    </xf>
    <xf numFmtId="42" fontId="4" fillId="0" borderId="0" xfId="0" quotePrefix="1" applyNumberFormat="1" applyFont="1"/>
    <xf numFmtId="0" fontId="4" fillId="0" borderId="2" xfId="0" applyFont="1" applyBorder="1"/>
    <xf numFmtId="42" fontId="4" fillId="0" borderId="2" xfId="0" applyNumberFormat="1" applyFont="1" applyBorder="1"/>
    <xf numFmtId="42" fontId="4" fillId="0" borderId="3" xfId="0" applyNumberFormat="1" applyFont="1" applyBorder="1"/>
    <xf numFmtId="41" fontId="4" fillId="0" borderId="0" xfId="0" quotePrefix="1" applyNumberFormat="1" applyFont="1" applyAlignment="1">
      <alignment horizontal="center"/>
    </xf>
    <xf numFmtId="42" fontId="4" fillId="0" borderId="4" xfId="0" applyNumberFormat="1" applyFont="1" applyBorder="1"/>
    <xf numFmtId="42" fontId="4" fillId="0" borderId="1" xfId="0" applyNumberFormat="1" applyFont="1" applyBorder="1"/>
    <xf numFmtId="42" fontId="4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left"/>
    </xf>
    <xf numFmtId="44" fontId="4" fillId="0" borderId="0" xfId="0" applyNumberFormat="1" applyFont="1"/>
    <xf numFmtId="41" fontId="4" fillId="0" borderId="2" xfId="0" applyNumberFormat="1" applyFont="1" applyBorder="1"/>
    <xf numFmtId="0" fontId="4" fillId="0" borderId="0" xfId="0" quotePrefix="1" applyFont="1" applyAlignment="1">
      <alignment horizontal="right"/>
    </xf>
    <xf numFmtId="9" fontId="4" fillId="0" borderId="0" xfId="0" applyNumberFormat="1" applyFont="1"/>
    <xf numFmtId="3" fontId="4" fillId="0" borderId="0" xfId="0" applyNumberFormat="1" applyFont="1" applyAlignment="1">
      <alignment horizontal="right"/>
    </xf>
    <xf numFmtId="42" fontId="4" fillId="0" borderId="0" xfId="0" applyNumberFormat="1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centerContinuous"/>
    </xf>
    <xf numFmtId="164" fontId="4" fillId="0" borderId="0" xfId="1" applyNumberFormat="1" applyFont="1" applyBorder="1" applyAlignment="1"/>
    <xf numFmtId="10" fontId="4" fillId="0" borderId="0" xfId="0" applyNumberFormat="1" applyFont="1"/>
    <xf numFmtId="164" fontId="4" fillId="0" borderId="0" xfId="1" applyNumberFormat="1" applyFont="1" applyBorder="1"/>
    <xf numFmtId="42" fontId="4" fillId="0" borderId="5" xfId="0" applyNumberFormat="1" applyFont="1" applyBorder="1"/>
    <xf numFmtId="164" fontId="4" fillId="0" borderId="0" xfId="1" applyNumberFormat="1" applyFont="1" applyBorder="1" applyAlignment="1">
      <alignment horizontal="center"/>
    </xf>
    <xf numFmtId="43" fontId="4" fillId="0" borderId="0" xfId="0" quotePrefix="1" applyNumberFormat="1" applyFont="1" applyAlignment="1">
      <alignment horizontal="center"/>
    </xf>
    <xf numFmtId="164" fontId="4" fillId="0" borderId="0" xfId="1" applyNumberFormat="1" applyFont="1" applyBorder="1" applyAlignment="1">
      <alignment horizontal="right"/>
    </xf>
    <xf numFmtId="9" fontId="4" fillId="0" borderId="0" xfId="0" applyNumberFormat="1" applyFont="1" applyAlignment="1">
      <alignment horizontal="center"/>
    </xf>
    <xf numFmtId="43" fontId="4" fillId="0" borderId="0" xfId="0" quotePrefix="1" applyNumberFormat="1" applyFont="1"/>
    <xf numFmtId="164" fontId="4" fillId="0" borderId="0" xfId="1" applyNumberFormat="1" applyFont="1"/>
    <xf numFmtId="0" fontId="7" fillId="0" borderId="0" xfId="0" applyFont="1"/>
    <xf numFmtId="42" fontId="3" fillId="0" borderId="3" xfId="0" applyNumberFormat="1" applyFont="1" applyBorder="1"/>
    <xf numFmtId="42" fontId="4" fillId="0" borderId="0" xfId="0" applyNumberFormat="1" applyFont="1" applyAlignment="1">
      <alignment horizontal="centerContinuous"/>
    </xf>
    <xf numFmtId="9" fontId="4" fillId="0" borderId="0" xfId="0" applyNumberFormat="1" applyFont="1" applyAlignment="1">
      <alignment horizontal="centerContinuous"/>
    </xf>
    <xf numFmtId="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4" fillId="0" borderId="2" xfId="1" applyNumberFormat="1" applyFont="1" applyBorder="1"/>
    <xf numFmtId="0" fontId="4" fillId="0" borderId="0" xfId="0" quotePrefix="1" applyFont="1" applyAlignment="1">
      <alignment horizontal="left"/>
    </xf>
    <xf numFmtId="43" fontId="4" fillId="0" borderId="0" xfId="1" applyFont="1"/>
    <xf numFmtId="0" fontId="10" fillId="0" borderId="0" xfId="0" quotePrefix="1" applyFont="1" applyAlignment="1">
      <alignment horizontal="left"/>
    </xf>
    <xf numFmtId="41" fontId="1" fillId="0" borderId="0" xfId="0" applyNumberFormat="1" applyFont="1"/>
    <xf numFmtId="42" fontId="10" fillId="0" borderId="0" xfId="0" quotePrefix="1" applyNumberFormat="1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8"/>
  <sheetViews>
    <sheetView tabSelected="1" zoomScaleNormal="100" workbookViewId="0">
      <selection activeCell="A5" sqref="A5:K5"/>
    </sheetView>
  </sheetViews>
  <sheetFormatPr defaultRowHeight="12.75" x14ac:dyDescent="0.2"/>
  <cols>
    <col min="1" max="1" width="4.7109375" customWidth="1"/>
    <col min="2" max="2" width="2.7109375" customWidth="1"/>
    <col min="3" max="3" width="22.7109375" customWidth="1"/>
    <col min="4" max="4" width="2" customWidth="1"/>
    <col min="5" max="5" width="13.28515625" customWidth="1"/>
    <col min="6" max="6" width="2.28515625" customWidth="1"/>
    <col min="7" max="7" width="13.5703125" bestFit="1" customWidth="1"/>
    <col min="8" max="8" width="2.7109375" customWidth="1"/>
    <col min="9" max="9" width="13.7109375" bestFit="1" customWidth="1"/>
    <col min="10" max="10" width="10" hidden="1" customWidth="1"/>
    <col min="11" max="11" width="16" hidden="1" customWidth="1"/>
    <col min="12" max="12" width="22.5703125" customWidth="1"/>
    <col min="13" max="13" width="18" customWidth="1"/>
    <col min="14" max="14" width="16" bestFit="1" customWidth="1"/>
    <col min="18" max="25" width="9.140625" style="8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99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5.75" x14ac:dyDescent="0.2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5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" x14ac:dyDescent="0.2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11"/>
      <c r="M5" s="11"/>
      <c r="N5" s="11"/>
    </row>
    <row r="6" spans="1:14" ht="15.75" x14ac:dyDescent="0.25">
      <c r="A6" s="12">
        <v>1</v>
      </c>
      <c r="B6" s="12"/>
      <c r="C6" s="6" t="s">
        <v>43</v>
      </c>
      <c r="D6" s="11"/>
      <c r="E6" s="13"/>
      <c r="F6" s="10"/>
      <c r="G6" s="14"/>
      <c r="H6" s="14"/>
      <c r="I6" s="13"/>
      <c r="J6" s="11"/>
      <c r="K6" s="15"/>
      <c r="L6" s="11"/>
      <c r="M6" s="11"/>
      <c r="N6" s="11"/>
    </row>
    <row r="7" spans="1:14" ht="15.75" x14ac:dyDescent="0.25">
      <c r="A7" s="12">
        <f>A6+1</f>
        <v>2</v>
      </c>
      <c r="B7" s="12"/>
      <c r="C7" s="6"/>
      <c r="D7" s="11"/>
      <c r="E7" s="16"/>
      <c r="F7" s="10"/>
      <c r="G7" s="14" t="s">
        <v>70</v>
      </c>
      <c r="H7" s="14"/>
      <c r="I7" s="13" t="s">
        <v>11</v>
      </c>
      <c r="J7" s="11"/>
      <c r="K7" s="15"/>
      <c r="L7" s="11"/>
      <c r="M7" s="11"/>
      <c r="N7" s="11"/>
    </row>
    <row r="8" spans="1:14" ht="15.75" x14ac:dyDescent="0.25">
      <c r="A8" s="12">
        <f t="shared" ref="A8:A45" si="0">A7+1</f>
        <v>3</v>
      </c>
      <c r="B8" s="12"/>
      <c r="C8" s="6"/>
      <c r="D8" s="11"/>
      <c r="E8" s="13" t="s">
        <v>7</v>
      </c>
      <c r="F8" s="10"/>
      <c r="G8" s="14" t="s">
        <v>9</v>
      </c>
      <c r="H8" s="14"/>
      <c r="I8" s="13" t="s">
        <v>12</v>
      </c>
      <c r="J8" s="11"/>
      <c r="K8" s="15"/>
      <c r="M8" s="11"/>
      <c r="N8" s="10" t="s">
        <v>14</v>
      </c>
    </row>
    <row r="9" spans="1:14" ht="15.75" x14ac:dyDescent="0.25">
      <c r="A9" s="12">
        <f t="shared" si="0"/>
        <v>4</v>
      </c>
      <c r="B9" s="12"/>
      <c r="C9" s="6"/>
      <c r="D9" s="11"/>
      <c r="E9" s="17" t="s">
        <v>8</v>
      </c>
      <c r="F9" s="10"/>
      <c r="G9" s="18" t="s">
        <v>10</v>
      </c>
      <c r="H9" s="14"/>
      <c r="I9" s="17" t="s">
        <v>13</v>
      </c>
      <c r="J9" s="11"/>
      <c r="K9" s="15"/>
      <c r="L9" s="19" t="s">
        <v>68</v>
      </c>
      <c r="M9" s="11"/>
      <c r="N9" s="19" t="s">
        <v>13</v>
      </c>
    </row>
    <row r="10" spans="1:14" ht="15" x14ac:dyDescent="0.2">
      <c r="A10" s="12">
        <f t="shared" si="0"/>
        <v>5</v>
      </c>
      <c r="B10" s="12"/>
      <c r="C10" s="11" t="s">
        <v>2</v>
      </c>
      <c r="D10" s="11"/>
      <c r="E10" s="20">
        <v>613.74</v>
      </c>
      <c r="F10" s="11"/>
      <c r="G10" s="21">
        <f>+ROUND(E10*20%,2)</f>
        <v>122.75</v>
      </c>
      <c r="H10" s="22"/>
      <c r="I10" s="20">
        <f>+E10-G10</f>
        <v>490.99</v>
      </c>
      <c r="J10" s="11"/>
      <c r="K10" s="15"/>
      <c r="L10" s="10">
        <v>22</v>
      </c>
      <c r="M10" s="23" t="s">
        <v>6</v>
      </c>
      <c r="N10" s="15">
        <f>+I10*L10*12</f>
        <v>129621.36000000002</v>
      </c>
    </row>
    <row r="11" spans="1:14" ht="15" x14ac:dyDescent="0.2">
      <c r="A11" s="12">
        <f t="shared" si="0"/>
        <v>6</v>
      </c>
      <c r="B11" s="12"/>
      <c r="C11" s="11" t="s">
        <v>3</v>
      </c>
      <c r="D11" s="24"/>
      <c r="E11" s="20">
        <v>1451.51</v>
      </c>
      <c r="F11" s="15"/>
      <c r="G11" s="21">
        <f t="shared" ref="G11:G13" si="1">+ROUND(E11*20%,2)</f>
        <v>290.3</v>
      </c>
      <c r="H11" s="22"/>
      <c r="I11" s="20">
        <f>+E11-G11</f>
        <v>1161.21</v>
      </c>
      <c r="J11" s="11"/>
      <c r="K11" s="15"/>
      <c r="L11" s="10">
        <v>26</v>
      </c>
      <c r="M11" s="23" t="s">
        <v>6</v>
      </c>
      <c r="N11" s="15">
        <f>+I11*L11*12</f>
        <v>362297.52</v>
      </c>
    </row>
    <row r="12" spans="1:14" ht="15" x14ac:dyDescent="0.2">
      <c r="A12" s="12">
        <f t="shared" si="0"/>
        <v>7</v>
      </c>
      <c r="B12" s="12"/>
      <c r="C12" s="11" t="s">
        <v>4</v>
      </c>
      <c r="D12" s="11"/>
      <c r="E12" s="25">
        <v>1269.8900000000001</v>
      </c>
      <c r="F12" s="26"/>
      <c r="G12" s="21">
        <f t="shared" si="1"/>
        <v>253.98</v>
      </c>
      <c r="H12" s="22"/>
      <c r="I12" s="20">
        <f>+E12-G12</f>
        <v>1015.9100000000001</v>
      </c>
      <c r="J12" s="11"/>
      <c r="K12" s="15"/>
      <c r="L12" s="10">
        <v>11</v>
      </c>
      <c r="M12" s="23" t="s">
        <v>6</v>
      </c>
      <c r="N12" s="15">
        <f>+I12*L12*12</f>
        <v>134100.12</v>
      </c>
    </row>
    <row r="13" spans="1:14" ht="15" x14ac:dyDescent="0.2">
      <c r="A13" s="12">
        <f t="shared" si="0"/>
        <v>8</v>
      </c>
      <c r="B13" s="12"/>
      <c r="C13" s="11" t="s">
        <v>5</v>
      </c>
      <c r="D13" s="11"/>
      <c r="E13" s="20">
        <v>1957.06</v>
      </c>
      <c r="F13" s="15"/>
      <c r="G13" s="21">
        <f t="shared" si="1"/>
        <v>391.41</v>
      </c>
      <c r="H13" s="22"/>
      <c r="I13" s="20">
        <f>+E13-G13</f>
        <v>1565.6499999999999</v>
      </c>
      <c r="J13" s="23"/>
      <c r="K13" s="15"/>
      <c r="L13" s="10">
        <v>55</v>
      </c>
      <c r="M13" s="23" t="s">
        <v>6</v>
      </c>
      <c r="N13" s="15">
        <f>+I13*L13*12</f>
        <v>1033328.9999999998</v>
      </c>
    </row>
    <row r="14" spans="1:14" ht="15" x14ac:dyDescent="0.2">
      <c r="A14" s="12">
        <f t="shared" si="0"/>
        <v>9</v>
      </c>
      <c r="B14" s="12"/>
      <c r="C14" s="11" t="s">
        <v>59</v>
      </c>
      <c r="D14" s="11"/>
      <c r="E14" s="20">
        <f>1000/12</f>
        <v>83.333333333333329</v>
      </c>
      <c r="F14" s="15"/>
      <c r="G14" s="21"/>
      <c r="H14" s="22"/>
      <c r="I14" s="20">
        <f t="shared" ref="I14:I16" si="2">+E14-G14</f>
        <v>83.333333333333329</v>
      </c>
      <c r="J14" s="23"/>
      <c r="K14" s="15"/>
      <c r="L14" s="10">
        <v>7</v>
      </c>
      <c r="M14" s="23" t="s">
        <v>6</v>
      </c>
      <c r="N14" s="15">
        <f>+I14*L14*12</f>
        <v>6999.9999999999991</v>
      </c>
    </row>
    <row r="15" spans="1:14" ht="15" x14ac:dyDescent="0.2">
      <c r="A15" s="12">
        <f t="shared" si="0"/>
        <v>10</v>
      </c>
      <c r="B15" s="12"/>
      <c r="C15" s="11" t="s">
        <v>60</v>
      </c>
      <c r="D15" s="11"/>
      <c r="E15" s="20">
        <f>2000/12</f>
        <v>166.66666666666666</v>
      </c>
      <c r="F15" s="15"/>
      <c r="G15" s="21"/>
      <c r="H15" s="22"/>
      <c r="I15" s="20">
        <f t="shared" si="2"/>
        <v>166.66666666666666</v>
      </c>
      <c r="J15" s="23"/>
      <c r="K15" s="15"/>
      <c r="L15" s="10">
        <v>4</v>
      </c>
      <c r="M15" s="23" t="s">
        <v>6</v>
      </c>
      <c r="N15" s="15">
        <f t="shared" ref="N15:N16" si="3">+I15*L15*12</f>
        <v>8000</v>
      </c>
    </row>
    <row r="16" spans="1:14" ht="15" x14ac:dyDescent="0.2">
      <c r="A16" s="12">
        <f t="shared" si="0"/>
        <v>11</v>
      </c>
      <c r="B16" s="12"/>
      <c r="C16" s="11" t="s">
        <v>61</v>
      </c>
      <c r="D16" s="11"/>
      <c r="E16" s="20">
        <f>4000/12</f>
        <v>333.33333333333331</v>
      </c>
      <c r="F16" s="15"/>
      <c r="G16" s="21"/>
      <c r="H16" s="22"/>
      <c r="I16" s="20">
        <f t="shared" si="2"/>
        <v>333.33333333333331</v>
      </c>
      <c r="J16" s="23"/>
      <c r="K16" s="15"/>
      <c r="L16" s="19">
        <v>3</v>
      </c>
      <c r="M16" s="23" t="s">
        <v>6</v>
      </c>
      <c r="N16" s="28">
        <f t="shared" si="3"/>
        <v>12000</v>
      </c>
    </row>
    <row r="17" spans="1:14" ht="15" x14ac:dyDescent="0.2">
      <c r="A17" s="12">
        <f t="shared" si="0"/>
        <v>12</v>
      </c>
      <c r="B17" s="12"/>
      <c r="C17" s="11"/>
      <c r="D17" s="11"/>
      <c r="E17" s="20"/>
      <c r="F17" s="15"/>
      <c r="G17" s="21"/>
      <c r="H17" s="22"/>
      <c r="I17" s="20"/>
      <c r="J17" s="23"/>
      <c r="K17" s="15"/>
      <c r="L17" s="10">
        <f>SUM(L10:L16)</f>
        <v>128</v>
      </c>
      <c r="M17" s="23"/>
      <c r="N17" s="15">
        <f>SUM(N10:N16)</f>
        <v>1686347.9999999998</v>
      </c>
    </row>
    <row r="18" spans="1:14" ht="15" x14ac:dyDescent="0.2">
      <c r="A18" s="12">
        <f t="shared" si="0"/>
        <v>13</v>
      </c>
      <c r="B18" s="12"/>
      <c r="C18" s="11"/>
      <c r="D18" s="11"/>
      <c r="E18" s="20"/>
      <c r="F18" s="15"/>
      <c r="G18" s="21"/>
      <c r="H18" s="22"/>
      <c r="I18" s="20"/>
      <c r="J18" s="23"/>
      <c r="K18" s="15"/>
      <c r="L18" s="11"/>
      <c r="M18" s="23"/>
      <c r="N18" s="15"/>
    </row>
    <row r="19" spans="1:14" ht="15" x14ac:dyDescent="0.2">
      <c r="A19" s="12">
        <f t="shared" si="0"/>
        <v>14</v>
      </c>
      <c r="B19" s="12"/>
      <c r="C19" s="11"/>
      <c r="D19" s="24"/>
      <c r="E19" s="15"/>
      <c r="F19" s="15"/>
      <c r="G19" s="15"/>
      <c r="H19" s="15"/>
      <c r="I19" s="15"/>
      <c r="J19" s="11"/>
      <c r="K19" s="15"/>
      <c r="L19" s="11"/>
      <c r="M19" s="12"/>
      <c r="N19" s="15"/>
    </row>
    <row r="20" spans="1:14" ht="15.75" x14ac:dyDescent="0.25">
      <c r="A20" s="12">
        <f t="shared" si="0"/>
        <v>15</v>
      </c>
      <c r="B20" s="12"/>
      <c r="C20" s="6" t="s">
        <v>44</v>
      </c>
      <c r="D20" s="11"/>
      <c r="E20" s="15"/>
      <c r="F20" s="15"/>
      <c r="G20" s="30"/>
      <c r="H20" s="22"/>
      <c r="I20" s="22"/>
      <c r="J20" s="23"/>
      <c r="K20" s="15"/>
      <c r="L20" s="11"/>
      <c r="M20" s="11"/>
      <c r="N20" s="11"/>
    </row>
    <row r="21" spans="1:14" ht="15.75" x14ac:dyDescent="0.25">
      <c r="A21" s="12">
        <f t="shared" si="0"/>
        <v>16</v>
      </c>
      <c r="B21" s="12"/>
      <c r="C21" s="6"/>
      <c r="D21" s="11"/>
      <c r="E21" s="16"/>
      <c r="F21" s="15"/>
      <c r="G21" s="14" t="s">
        <v>42</v>
      </c>
      <c r="H21" s="22"/>
      <c r="I21" s="14" t="s">
        <v>8</v>
      </c>
      <c r="J21" s="23"/>
      <c r="K21" s="15"/>
      <c r="L21" s="11"/>
      <c r="M21" s="11"/>
      <c r="N21" s="11"/>
    </row>
    <row r="22" spans="1:14" ht="15" x14ac:dyDescent="0.2">
      <c r="A22" s="12">
        <f t="shared" si="0"/>
        <v>17</v>
      </c>
      <c r="B22" s="12"/>
      <c r="C22" s="11"/>
      <c r="D22" s="11"/>
      <c r="E22" s="13" t="s">
        <v>7</v>
      </c>
      <c r="F22" s="15"/>
      <c r="G22" s="14" t="s">
        <v>9</v>
      </c>
      <c r="H22" s="22"/>
      <c r="I22" s="13" t="s">
        <v>12</v>
      </c>
      <c r="J22" s="11"/>
      <c r="K22" s="15"/>
      <c r="L22" s="11"/>
      <c r="M22" s="11"/>
      <c r="N22" s="10" t="s">
        <v>14</v>
      </c>
    </row>
    <row r="23" spans="1:14" ht="15" x14ac:dyDescent="0.2">
      <c r="A23" s="12">
        <f t="shared" si="0"/>
        <v>18</v>
      </c>
      <c r="B23" s="12"/>
      <c r="C23" s="11"/>
      <c r="D23" s="11"/>
      <c r="E23" s="17" t="s">
        <v>8</v>
      </c>
      <c r="F23" s="15"/>
      <c r="G23" s="18" t="s">
        <v>10</v>
      </c>
      <c r="H23" s="22"/>
      <c r="I23" s="17" t="s">
        <v>13</v>
      </c>
      <c r="J23" s="11"/>
      <c r="K23" s="15"/>
      <c r="L23" s="19" t="s">
        <v>68</v>
      </c>
      <c r="M23" s="11"/>
      <c r="N23" s="19" t="s">
        <v>13</v>
      </c>
    </row>
    <row r="24" spans="1:14" ht="15" x14ac:dyDescent="0.2">
      <c r="A24" s="12">
        <f t="shared" si="0"/>
        <v>19</v>
      </c>
      <c r="B24" s="12"/>
      <c r="C24" s="11" t="s">
        <v>9</v>
      </c>
      <c r="D24" s="11"/>
      <c r="E24" s="20">
        <v>35.53</v>
      </c>
      <c r="F24" s="15"/>
      <c r="G24" s="20">
        <v>0</v>
      </c>
      <c r="H24" s="22"/>
      <c r="I24" s="20">
        <f>+E24-G24</f>
        <v>35.53</v>
      </c>
      <c r="J24" s="11"/>
      <c r="K24" s="15"/>
      <c r="L24" s="10">
        <v>126</v>
      </c>
      <c r="M24" s="23" t="s">
        <v>6</v>
      </c>
      <c r="N24" s="31">
        <f>+I24*L24*12</f>
        <v>53721.36</v>
      </c>
    </row>
    <row r="25" spans="1:14" ht="15" x14ac:dyDescent="0.2">
      <c r="A25" s="12">
        <f t="shared" si="0"/>
        <v>20</v>
      </c>
      <c r="B25" s="12"/>
      <c r="C25" s="11" t="s">
        <v>69</v>
      </c>
      <c r="D25" s="11"/>
      <c r="E25" s="20">
        <f>117.11-35.53</f>
        <v>81.58</v>
      </c>
      <c r="F25" s="15"/>
      <c r="G25" s="20">
        <v>40.799999999999997</v>
      </c>
      <c r="H25" s="22"/>
      <c r="I25" s="20">
        <f>+E25-G25</f>
        <v>40.78</v>
      </c>
      <c r="J25" s="11"/>
      <c r="K25" s="15"/>
      <c r="L25" s="10">
        <v>95</v>
      </c>
      <c r="M25" s="23" t="s">
        <v>6</v>
      </c>
      <c r="N25" s="28">
        <f>+I25*L25*12</f>
        <v>46489.2</v>
      </c>
    </row>
    <row r="26" spans="1:14" ht="15.75" thickBot="1" x14ac:dyDescent="0.25">
      <c r="A26" s="12">
        <f t="shared" si="0"/>
        <v>21</v>
      </c>
      <c r="B26" s="12"/>
      <c r="C26" s="11"/>
      <c r="D26" s="11"/>
      <c r="E26" s="15"/>
      <c r="F26" s="15"/>
      <c r="G26" s="15"/>
      <c r="H26" s="15"/>
      <c r="I26" s="13"/>
      <c r="J26" s="15"/>
      <c r="K26" s="15"/>
      <c r="L26" s="15"/>
      <c r="M26" s="11"/>
      <c r="N26" s="32">
        <f>SUM(N24:N25)</f>
        <v>100210.56</v>
      </c>
    </row>
    <row r="27" spans="1:14" ht="15.75" thickTop="1" x14ac:dyDescent="0.2">
      <c r="A27" s="12">
        <f t="shared" si="0"/>
        <v>22</v>
      </c>
      <c r="B27" s="12"/>
      <c r="C27" s="11"/>
      <c r="D27" s="23"/>
      <c r="E27" s="15"/>
      <c r="F27" s="15"/>
      <c r="G27" s="15"/>
      <c r="H27" s="15"/>
      <c r="I27" s="15"/>
      <c r="J27" s="11"/>
      <c r="K27" s="15"/>
      <c r="L27" s="11"/>
      <c r="M27" s="11"/>
      <c r="N27" s="11"/>
    </row>
    <row r="28" spans="1:14" ht="15" x14ac:dyDescent="0.2">
      <c r="A28" s="12">
        <f t="shared" si="0"/>
        <v>23</v>
      </c>
      <c r="B28" s="12"/>
      <c r="C28" s="11"/>
      <c r="D28" s="11"/>
      <c r="E28" s="33"/>
      <c r="F28" s="15"/>
      <c r="G28" s="15"/>
      <c r="H28" s="15"/>
      <c r="I28" s="15"/>
      <c r="J28" s="11"/>
      <c r="K28" s="15"/>
      <c r="L28" s="11"/>
      <c r="M28" s="11"/>
      <c r="N28" s="11"/>
    </row>
    <row r="29" spans="1:14" ht="15" x14ac:dyDescent="0.2">
      <c r="A29" s="12">
        <f t="shared" si="0"/>
        <v>24</v>
      </c>
      <c r="B29" s="12"/>
      <c r="C29" s="11"/>
      <c r="D29" s="11"/>
      <c r="E29" s="33"/>
      <c r="F29" s="15"/>
      <c r="G29" s="15"/>
      <c r="H29" s="15"/>
      <c r="I29" s="15"/>
      <c r="J29" s="11"/>
      <c r="K29" s="15"/>
      <c r="L29" s="11"/>
      <c r="M29" s="11"/>
      <c r="N29" s="11"/>
    </row>
    <row r="30" spans="1:14" ht="15" x14ac:dyDescent="0.2">
      <c r="A30" s="12">
        <f t="shared" si="0"/>
        <v>25</v>
      </c>
      <c r="B30" s="12"/>
      <c r="C30" s="34"/>
      <c r="D30" s="11"/>
      <c r="E30" s="33"/>
      <c r="F30" s="15"/>
      <c r="G30" s="15"/>
      <c r="H30" s="15"/>
      <c r="I30" s="15"/>
      <c r="J30" s="11"/>
      <c r="K30" s="15"/>
      <c r="L30" s="11"/>
      <c r="M30" s="11"/>
      <c r="N30" s="11"/>
    </row>
    <row r="31" spans="1:14" ht="15.75" x14ac:dyDescent="0.25">
      <c r="A31" s="12">
        <f t="shared" si="0"/>
        <v>26</v>
      </c>
      <c r="B31" s="12"/>
      <c r="C31" s="6" t="s">
        <v>45</v>
      </c>
      <c r="D31" s="11"/>
      <c r="E31" s="15"/>
      <c r="F31" s="15"/>
      <c r="G31" s="15"/>
      <c r="H31" s="15"/>
      <c r="I31" s="16"/>
      <c r="J31" s="11"/>
      <c r="K31" s="15"/>
      <c r="L31" s="11"/>
      <c r="M31" s="11"/>
      <c r="N31" s="11"/>
    </row>
    <row r="32" spans="1:14" ht="15.75" thickBot="1" x14ac:dyDescent="0.25">
      <c r="A32" s="12">
        <f t="shared" si="0"/>
        <v>27</v>
      </c>
      <c r="B32" s="12"/>
      <c r="C32" s="35" t="s">
        <v>15</v>
      </c>
      <c r="D32" s="11"/>
      <c r="E32" s="15" t="s">
        <v>71</v>
      </c>
      <c r="F32" s="15"/>
      <c r="G32" s="15"/>
      <c r="H32" s="15"/>
      <c r="I32" s="15"/>
      <c r="J32" s="11"/>
      <c r="K32" s="36"/>
      <c r="L32" s="11"/>
      <c r="M32" s="23" t="s">
        <v>6</v>
      </c>
      <c r="N32" s="32">
        <f>128*50000*0.000248*12</f>
        <v>19046.400000000001</v>
      </c>
    </row>
    <row r="33" spans="1:14" ht="15.75" thickTop="1" x14ac:dyDescent="0.2">
      <c r="A33" s="12">
        <f t="shared" si="0"/>
        <v>28</v>
      </c>
      <c r="B33" s="12"/>
      <c r="C33" s="35"/>
      <c r="D33" s="11"/>
      <c r="E33" s="15"/>
      <c r="F33" s="15"/>
      <c r="G33" s="15"/>
      <c r="H33" s="15"/>
      <c r="I33" s="15"/>
      <c r="J33" s="11"/>
      <c r="K33" s="36"/>
      <c r="L33" s="11"/>
      <c r="M33" s="23"/>
      <c r="N33" s="15"/>
    </row>
    <row r="34" spans="1:14" ht="15" x14ac:dyDescent="0.2">
      <c r="A34" s="12">
        <f t="shared" si="0"/>
        <v>29</v>
      </c>
      <c r="B34" s="12"/>
      <c r="C34" s="35" t="s">
        <v>16</v>
      </c>
      <c r="D34" s="11"/>
      <c r="E34" s="11" t="s">
        <v>72</v>
      </c>
      <c r="F34" s="11"/>
      <c r="G34" s="11"/>
      <c r="H34" s="11"/>
      <c r="I34" s="11"/>
      <c r="J34" s="11"/>
      <c r="K34" s="11"/>
      <c r="L34" s="11"/>
      <c r="M34" s="11"/>
      <c r="N34" s="15">
        <v>78640.89</v>
      </c>
    </row>
    <row r="35" spans="1:14" ht="15" x14ac:dyDescent="0.2">
      <c r="A35" s="12">
        <f t="shared" si="0"/>
        <v>30</v>
      </c>
      <c r="B35" s="12"/>
      <c r="C35" s="11"/>
      <c r="D35" s="11"/>
      <c r="E35" s="11" t="s">
        <v>73</v>
      </c>
      <c r="N35" s="15">
        <f>-81.85*12</f>
        <v>-982.19999999999993</v>
      </c>
    </row>
    <row r="36" spans="1:14" ht="15" x14ac:dyDescent="0.2">
      <c r="A36" s="12">
        <f t="shared" si="0"/>
        <v>31</v>
      </c>
      <c r="B36" s="12"/>
      <c r="C36" s="11"/>
      <c r="D36" s="24"/>
      <c r="E36" s="11" t="s">
        <v>74</v>
      </c>
      <c r="F36" s="11"/>
      <c r="G36" s="11"/>
      <c r="H36" s="11"/>
      <c r="I36" s="11"/>
      <c r="J36" s="11"/>
      <c r="K36" s="11"/>
      <c r="L36" s="11"/>
      <c r="M36" s="11"/>
      <c r="N36" s="15">
        <v>3889</v>
      </c>
    </row>
    <row r="37" spans="1:14" ht="15.75" thickBot="1" x14ac:dyDescent="0.25">
      <c r="A37" s="12">
        <f t="shared" si="0"/>
        <v>32</v>
      </c>
      <c r="B37" s="12"/>
      <c r="C37" s="11"/>
      <c r="D37" s="11"/>
      <c r="E37" s="38"/>
      <c r="F37" s="11"/>
      <c r="G37" s="15"/>
      <c r="H37" s="15"/>
      <c r="I37" s="11"/>
      <c r="J37" s="11"/>
      <c r="K37" s="11"/>
      <c r="L37" s="11"/>
      <c r="M37" s="11"/>
      <c r="N37" s="29">
        <f>SUM(N34:N36)</f>
        <v>81547.69</v>
      </c>
    </row>
    <row r="38" spans="1:14" ht="15.75" thickTop="1" x14ac:dyDescent="0.2">
      <c r="A38" s="12">
        <f t="shared" si="0"/>
        <v>33</v>
      </c>
      <c r="B38" s="12"/>
      <c r="C38" s="11"/>
      <c r="D38" s="24"/>
      <c r="E38" s="38"/>
      <c r="F38" s="12"/>
      <c r="G38" s="39"/>
      <c r="H38" s="39"/>
      <c r="I38" s="11"/>
      <c r="J38" s="11"/>
      <c r="K38" s="11"/>
      <c r="L38" s="11"/>
      <c r="M38" s="11"/>
      <c r="N38" s="11"/>
    </row>
    <row r="39" spans="1:14" ht="15" x14ac:dyDescent="0.2">
      <c r="A39" s="12">
        <f t="shared" si="0"/>
        <v>34</v>
      </c>
      <c r="B39" s="12"/>
      <c r="C39" s="11"/>
      <c r="D39" s="11"/>
      <c r="E39" s="40"/>
      <c r="F39" s="11"/>
      <c r="G39" s="15"/>
      <c r="H39" s="15"/>
      <c r="I39" s="11"/>
      <c r="J39" s="11"/>
      <c r="K39" s="11"/>
      <c r="L39" s="11"/>
      <c r="M39" s="11"/>
      <c r="N39" s="11"/>
    </row>
    <row r="40" spans="1:14" ht="15" x14ac:dyDescent="0.2">
      <c r="A40" s="12">
        <f t="shared" si="0"/>
        <v>35</v>
      </c>
      <c r="B40" s="12"/>
      <c r="C40" s="11"/>
      <c r="D40" s="11"/>
      <c r="E40" s="40"/>
      <c r="F40" s="11"/>
      <c r="G40" s="15"/>
      <c r="H40" s="15"/>
      <c r="I40" s="11"/>
      <c r="J40" s="11"/>
      <c r="K40" s="11"/>
      <c r="L40" s="11"/>
      <c r="M40" s="11"/>
      <c r="N40" s="11"/>
    </row>
    <row r="41" spans="1:14" ht="15" x14ac:dyDescent="0.2">
      <c r="A41" s="12">
        <f t="shared" si="0"/>
        <v>36</v>
      </c>
      <c r="B41" s="12"/>
      <c r="C41" s="11"/>
      <c r="D41" s="11"/>
      <c r="E41" s="40"/>
      <c r="F41" s="11"/>
      <c r="G41" s="15"/>
      <c r="H41" s="15"/>
      <c r="I41" s="11"/>
      <c r="J41" s="11"/>
      <c r="K41" s="11"/>
      <c r="L41" s="11"/>
      <c r="M41" s="11"/>
      <c r="N41" s="11"/>
    </row>
    <row r="42" spans="1:14" ht="15.75" x14ac:dyDescent="0.25">
      <c r="A42" s="12">
        <f t="shared" si="0"/>
        <v>37</v>
      </c>
      <c r="B42" s="12"/>
      <c r="C42" s="6" t="s">
        <v>46</v>
      </c>
      <c r="D42" s="24"/>
      <c r="E42" s="38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5" x14ac:dyDescent="0.2">
      <c r="A43" s="12">
        <f t="shared" si="0"/>
        <v>38</v>
      </c>
      <c r="B43" s="12"/>
      <c r="C43" s="41" t="s">
        <v>75</v>
      </c>
      <c r="D43" s="11"/>
      <c r="E43" s="11"/>
      <c r="F43" s="12"/>
      <c r="G43" s="39"/>
      <c r="H43" s="39"/>
      <c r="I43" s="11"/>
      <c r="J43" s="11"/>
      <c r="K43" s="11"/>
      <c r="L43" s="11"/>
      <c r="M43" s="23" t="s">
        <v>6</v>
      </c>
      <c r="N43" s="15">
        <f>10941677*0.000706*12</f>
        <v>92697.887543999997</v>
      </c>
    </row>
    <row r="44" spans="1:14" ht="15" x14ac:dyDescent="0.2">
      <c r="A44" s="12">
        <f t="shared" si="0"/>
        <v>39</v>
      </c>
      <c r="B44" s="12"/>
      <c r="C44" s="63" t="s">
        <v>76</v>
      </c>
      <c r="D44" s="11"/>
      <c r="E44" s="11"/>
      <c r="F44" s="11"/>
      <c r="G44" s="15"/>
      <c r="H44" s="15"/>
      <c r="I44" s="11"/>
      <c r="J44" s="11"/>
      <c r="K44" s="11"/>
      <c r="L44" s="11"/>
      <c r="M44" s="23" t="s">
        <v>6</v>
      </c>
      <c r="N44" s="28">
        <f>-3.53*12</f>
        <v>-42.36</v>
      </c>
    </row>
    <row r="45" spans="1:14" ht="15.75" thickBot="1" x14ac:dyDescent="0.25">
      <c r="A45" s="12">
        <f t="shared" si="0"/>
        <v>40</v>
      </c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32">
        <f>SUM(N43:N44)</f>
        <v>92655.527543999997</v>
      </c>
    </row>
    <row r="46" spans="1:14" ht="13.5" thickTop="1" x14ac:dyDescent="0.2">
      <c r="A46" s="2"/>
      <c r="B46" s="2"/>
    </row>
    <row r="47" spans="1:14" x14ac:dyDescent="0.2">
      <c r="A47" s="2"/>
      <c r="B47" s="2"/>
    </row>
    <row r="48" spans="1:14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2"/>
      <c r="B51" s="2"/>
    </row>
    <row r="52" spans="1:2" x14ac:dyDescent="0.2">
      <c r="A52" s="2"/>
      <c r="B52" s="2"/>
    </row>
    <row r="53" spans="1:2" x14ac:dyDescent="0.2">
      <c r="A53" s="2"/>
    </row>
    <row r="54" spans="1:2" x14ac:dyDescent="0.2">
      <c r="A54" s="2"/>
    </row>
    <row r="55" spans="1:2" x14ac:dyDescent="0.2">
      <c r="A55" s="2"/>
    </row>
    <row r="56" spans="1:2" x14ac:dyDescent="0.2">
      <c r="A56" s="2"/>
    </row>
    <row r="57" spans="1:2" x14ac:dyDescent="0.2">
      <c r="A57" s="2"/>
    </row>
    <row r="58" spans="1:2" x14ac:dyDescent="0.2">
      <c r="A58" s="2"/>
    </row>
  </sheetData>
  <mergeCells count="4">
    <mergeCell ref="A1:N1"/>
    <mergeCell ref="A2:N2"/>
    <mergeCell ref="A3:N3"/>
    <mergeCell ref="A5:K5"/>
  </mergeCells>
  <phoneticPr fontId="2" type="noConversion"/>
  <pageMargins left="0.32" right="0.38" top="0.92" bottom="0.74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9"/>
  <sheetViews>
    <sheetView zoomScaleNormal="100" workbookViewId="0">
      <selection activeCell="A5" sqref="A5:I5"/>
    </sheetView>
  </sheetViews>
  <sheetFormatPr defaultRowHeight="12.75" x14ac:dyDescent="0.2"/>
  <cols>
    <col min="1" max="1" width="4.7109375" customWidth="1"/>
    <col min="2" max="2" width="2.5703125" customWidth="1"/>
    <col min="4" max="4" width="40.42578125" bestFit="1" customWidth="1"/>
    <col min="5" max="5" width="12.85546875" bestFit="1" customWidth="1"/>
    <col min="6" max="6" width="4" customWidth="1"/>
    <col min="8" max="8" width="4.42578125" customWidth="1"/>
    <col min="9" max="9" width="4" customWidth="1"/>
    <col min="10" max="10" width="15.5703125" bestFit="1" customWidth="1"/>
    <col min="11" max="11" width="5.5703125" customWidth="1"/>
    <col min="12" max="12" width="12.42578125" bestFit="1" customWidth="1"/>
    <col min="16" max="16" width="14" bestFit="1" customWidth="1"/>
    <col min="18" max="18" width="10.28515625" bestFit="1" customWidth="1"/>
  </cols>
  <sheetData>
    <row r="1" spans="1:12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"/>
      <c r="L1" s="6"/>
    </row>
    <row r="2" spans="1:12" ht="15.75" x14ac:dyDescent="0.25">
      <c r="A2" s="68" t="s">
        <v>99</v>
      </c>
      <c r="B2" s="68"/>
      <c r="C2" s="68"/>
      <c r="D2" s="68"/>
      <c r="E2" s="68"/>
      <c r="F2" s="68"/>
      <c r="G2" s="68"/>
      <c r="H2" s="68"/>
      <c r="I2" s="68"/>
      <c r="J2" s="68"/>
      <c r="K2" s="6"/>
      <c r="L2" s="6"/>
    </row>
    <row r="3" spans="1:12" ht="15.75" x14ac:dyDescent="0.2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"/>
      <c r="L3" s="6"/>
    </row>
    <row r="4" spans="1:12" ht="15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4"/>
      <c r="L4" s="4"/>
    </row>
    <row r="5" spans="1:12" ht="15" x14ac:dyDescent="0.2">
      <c r="A5" s="69"/>
      <c r="B5" s="69"/>
      <c r="C5" s="69"/>
      <c r="D5" s="69"/>
      <c r="E5" s="69"/>
      <c r="F5" s="69"/>
      <c r="G5" s="69"/>
      <c r="H5" s="69"/>
      <c r="I5" s="69"/>
      <c r="J5" s="11"/>
    </row>
    <row r="6" spans="1:12" ht="15.75" x14ac:dyDescent="0.25">
      <c r="A6" s="12">
        <v>1</v>
      </c>
      <c r="B6" s="12"/>
      <c r="C6" s="6" t="s">
        <v>47</v>
      </c>
      <c r="D6" s="11"/>
      <c r="E6" s="13"/>
      <c r="F6" s="10"/>
      <c r="G6" s="14"/>
      <c r="H6" s="14"/>
      <c r="I6" s="13"/>
      <c r="J6" s="11"/>
    </row>
    <row r="7" spans="1:12" ht="15.75" x14ac:dyDescent="0.25">
      <c r="A7" s="12">
        <f>A6+1</f>
        <v>2</v>
      </c>
      <c r="B7" s="12"/>
      <c r="C7" s="6"/>
      <c r="D7" s="11"/>
      <c r="E7" s="13"/>
      <c r="F7" s="10"/>
      <c r="G7" s="14"/>
      <c r="H7" s="14"/>
      <c r="I7" s="13"/>
      <c r="J7" s="11"/>
    </row>
    <row r="8" spans="1:12" ht="15.75" x14ac:dyDescent="0.25">
      <c r="A8" s="12">
        <f t="shared" ref="A8:A36" si="0">A7+1</f>
        <v>3</v>
      </c>
      <c r="B8" s="12"/>
      <c r="C8" s="6" t="s">
        <v>54</v>
      </c>
      <c r="D8" s="11"/>
      <c r="E8" s="20"/>
      <c r="F8" s="15"/>
      <c r="G8" s="11"/>
      <c r="H8" s="22"/>
      <c r="I8" s="20"/>
      <c r="J8" s="11"/>
      <c r="K8" s="1"/>
      <c r="L8" s="5"/>
    </row>
    <row r="9" spans="1:12" ht="18.75" x14ac:dyDescent="0.25">
      <c r="A9" s="12">
        <f t="shared" si="0"/>
        <v>4</v>
      </c>
      <c r="B9" s="12"/>
      <c r="C9" s="11"/>
      <c r="D9" s="11" t="s">
        <v>77</v>
      </c>
      <c r="E9" s="15"/>
      <c r="F9" s="15"/>
      <c r="G9" s="22"/>
      <c r="H9" s="22"/>
      <c r="I9" s="15"/>
      <c r="J9" s="11"/>
      <c r="L9" s="3"/>
    </row>
    <row r="10" spans="1:12" ht="18" x14ac:dyDescent="0.2">
      <c r="A10" s="12">
        <f t="shared" si="0"/>
        <v>5</v>
      </c>
      <c r="B10" s="12"/>
      <c r="C10" s="11"/>
      <c r="D10" s="11" t="s">
        <v>78</v>
      </c>
      <c r="E10" s="44"/>
      <c r="F10" s="15"/>
      <c r="G10" s="45"/>
      <c r="H10" s="15"/>
      <c r="I10" s="16" t="s">
        <v>6</v>
      </c>
      <c r="J10" s="15">
        <f>ROUND(1090792*0.2714,0)</f>
        <v>296041</v>
      </c>
      <c r="L10" s="7"/>
    </row>
    <row r="11" spans="1:12" ht="15" x14ac:dyDescent="0.2">
      <c r="A11" s="12">
        <f t="shared" si="0"/>
        <v>6</v>
      </c>
      <c r="B11" s="12"/>
      <c r="C11" s="11"/>
      <c r="D11" s="24"/>
      <c r="E11" s="46"/>
      <c r="F11" s="15"/>
      <c r="G11" s="15"/>
      <c r="H11" s="15"/>
      <c r="I11" s="15"/>
      <c r="J11" s="15"/>
    </row>
    <row r="12" spans="1:12" ht="15.75" x14ac:dyDescent="0.25">
      <c r="A12" s="12">
        <f t="shared" si="0"/>
        <v>7</v>
      </c>
      <c r="B12" s="12"/>
      <c r="C12" s="6" t="s">
        <v>55</v>
      </c>
      <c r="D12" s="11"/>
      <c r="E12" s="48"/>
      <c r="F12" s="10"/>
      <c r="G12" s="14"/>
      <c r="H12" s="14"/>
      <c r="I12" s="13"/>
      <c r="J12" s="11"/>
      <c r="L12" s="4"/>
    </row>
    <row r="13" spans="1:12" ht="18.75" x14ac:dyDescent="0.25">
      <c r="A13" s="12">
        <f t="shared" si="0"/>
        <v>8</v>
      </c>
      <c r="B13" s="12"/>
      <c r="C13" s="6"/>
      <c r="D13" s="11" t="s">
        <v>79</v>
      </c>
      <c r="E13" s="48"/>
      <c r="F13" s="10"/>
      <c r="G13" s="14"/>
      <c r="H13" s="14"/>
      <c r="I13" s="13"/>
      <c r="J13" s="10"/>
      <c r="L13" s="4"/>
    </row>
    <row r="14" spans="1:12" ht="18.75" x14ac:dyDescent="0.25">
      <c r="A14" s="12">
        <f t="shared" si="0"/>
        <v>9</v>
      </c>
      <c r="B14" s="12"/>
      <c r="C14" s="11"/>
      <c r="D14" s="11" t="s">
        <v>80</v>
      </c>
      <c r="E14" s="46"/>
      <c r="F14" s="11"/>
      <c r="G14" s="45"/>
      <c r="H14" s="22"/>
      <c r="I14" s="49" t="s">
        <v>6</v>
      </c>
      <c r="J14" s="15">
        <f>ROUND(906279*0.2714,0)</f>
        <v>245964</v>
      </c>
      <c r="K14" s="1"/>
      <c r="L14" s="7"/>
    </row>
    <row r="15" spans="1:12" ht="15" x14ac:dyDescent="0.2">
      <c r="A15" s="12">
        <f t="shared" si="0"/>
        <v>10</v>
      </c>
      <c r="B15" s="12"/>
      <c r="C15" s="11"/>
      <c r="D15" s="11"/>
      <c r="E15" s="50"/>
      <c r="F15" s="26"/>
      <c r="G15" s="11"/>
      <c r="H15" s="22"/>
      <c r="I15" s="20"/>
      <c r="J15" s="11"/>
      <c r="K15" s="1"/>
      <c r="L15" s="5"/>
    </row>
    <row r="16" spans="1:12" ht="15.75" x14ac:dyDescent="0.25">
      <c r="A16" s="12">
        <f t="shared" si="0"/>
        <v>11</v>
      </c>
      <c r="B16" s="12"/>
      <c r="C16" s="6" t="s">
        <v>56</v>
      </c>
      <c r="D16" s="24"/>
      <c r="E16" s="46"/>
      <c r="F16" s="15"/>
      <c r="G16" s="15"/>
      <c r="H16" s="15"/>
      <c r="I16" s="15"/>
      <c r="J16" s="11"/>
    </row>
    <row r="17" spans="1:18" ht="15.75" x14ac:dyDescent="0.25">
      <c r="A17" s="12">
        <f t="shared" si="0"/>
        <v>12</v>
      </c>
      <c r="B17" s="12"/>
      <c r="C17" s="6" t="s">
        <v>57</v>
      </c>
      <c r="D17" s="24"/>
      <c r="E17" s="46"/>
      <c r="F17" s="15"/>
      <c r="G17" s="15"/>
      <c r="H17" s="15"/>
      <c r="I17" s="15"/>
      <c r="J17" s="11"/>
    </row>
    <row r="18" spans="1:18" ht="18" x14ac:dyDescent="0.2">
      <c r="A18" s="12">
        <f t="shared" si="0"/>
        <v>13</v>
      </c>
      <c r="B18" s="12"/>
      <c r="C18" s="11"/>
      <c r="D18" s="11" t="s">
        <v>81</v>
      </c>
      <c r="E18" s="46"/>
      <c r="F18" s="15"/>
      <c r="G18" s="22"/>
      <c r="H18" s="22"/>
      <c r="I18" s="22"/>
      <c r="J18" s="11"/>
    </row>
    <row r="19" spans="1:18" ht="18.75" x14ac:dyDescent="0.25">
      <c r="A19" s="12">
        <f t="shared" si="0"/>
        <v>14</v>
      </c>
      <c r="B19" s="12"/>
      <c r="C19" s="11"/>
      <c r="D19" s="11" t="s">
        <v>82</v>
      </c>
      <c r="E19" s="48"/>
      <c r="F19" s="15"/>
      <c r="G19" s="51"/>
      <c r="H19" s="6"/>
      <c r="I19" s="16" t="s">
        <v>6</v>
      </c>
      <c r="J19" s="15">
        <f>ROUND(8944605*0.2332,0)</f>
        <v>2085882</v>
      </c>
      <c r="L19" s="7"/>
    </row>
    <row r="20" spans="1:18" ht="15" x14ac:dyDescent="0.2">
      <c r="A20" s="12">
        <f t="shared" si="0"/>
        <v>15</v>
      </c>
      <c r="B20" s="12"/>
      <c r="C20" s="11"/>
      <c r="D20" s="11"/>
      <c r="E20" s="46"/>
      <c r="F20" s="15"/>
      <c r="G20" s="20"/>
      <c r="H20" s="22"/>
      <c r="I20" s="20"/>
      <c r="J20" s="11"/>
      <c r="K20" s="1"/>
      <c r="L20" s="5"/>
    </row>
    <row r="21" spans="1:18" ht="15" x14ac:dyDescent="0.2">
      <c r="A21" s="12">
        <f t="shared" si="0"/>
        <v>16</v>
      </c>
      <c r="B21" s="12"/>
      <c r="C21" s="11"/>
      <c r="D21" s="11"/>
      <c r="E21" s="20"/>
      <c r="F21" s="15"/>
      <c r="G21" s="20"/>
      <c r="H21" s="22"/>
      <c r="I21" s="20"/>
      <c r="J21" s="11"/>
      <c r="K21" s="1"/>
      <c r="L21" s="5"/>
    </row>
    <row r="22" spans="1:18" ht="15.75" x14ac:dyDescent="0.25">
      <c r="A22" s="12">
        <f t="shared" si="0"/>
        <v>17</v>
      </c>
      <c r="B22" s="12"/>
      <c r="C22" s="6" t="s">
        <v>58</v>
      </c>
      <c r="D22" s="11"/>
      <c r="E22" s="20"/>
      <c r="F22" s="15"/>
      <c r="G22" s="20"/>
      <c r="H22" s="22"/>
      <c r="I22" s="20"/>
      <c r="J22" s="47">
        <v>0</v>
      </c>
      <c r="K22" s="1"/>
      <c r="L22" s="5"/>
    </row>
    <row r="23" spans="1:18" ht="15" x14ac:dyDescent="0.2">
      <c r="A23" s="12">
        <f t="shared" si="0"/>
        <v>18</v>
      </c>
      <c r="B23" s="12"/>
      <c r="C23" s="11"/>
      <c r="D23" s="11"/>
      <c r="E23" s="20"/>
      <c r="F23" s="15"/>
      <c r="G23" s="20"/>
      <c r="H23" s="22"/>
      <c r="I23" s="20"/>
      <c r="J23" s="11"/>
      <c r="K23" s="1"/>
      <c r="L23" s="5"/>
    </row>
    <row r="24" spans="1:18" ht="15" x14ac:dyDescent="0.2">
      <c r="A24" s="12">
        <f t="shared" si="0"/>
        <v>19</v>
      </c>
      <c r="B24" s="12"/>
      <c r="C24" s="11"/>
      <c r="D24" s="11"/>
      <c r="E24" s="20"/>
      <c r="F24" s="15"/>
      <c r="G24" s="20"/>
      <c r="H24" s="22"/>
      <c r="I24" s="20"/>
      <c r="J24" s="11"/>
      <c r="K24" s="1"/>
      <c r="L24" s="5"/>
      <c r="R24" s="8"/>
    </row>
    <row r="25" spans="1:18" ht="15.75" x14ac:dyDescent="0.25">
      <c r="A25" s="12">
        <f t="shared" si="0"/>
        <v>20</v>
      </c>
      <c r="B25" s="12"/>
      <c r="C25" s="6" t="s">
        <v>67</v>
      </c>
      <c r="D25" s="11"/>
      <c r="E25" s="20"/>
      <c r="F25" s="15"/>
      <c r="G25" s="20"/>
      <c r="H25" s="22"/>
      <c r="I25" s="20"/>
      <c r="J25" s="11"/>
      <c r="K25" s="1"/>
      <c r="L25" s="5"/>
      <c r="R25" s="8"/>
    </row>
    <row r="26" spans="1:18" ht="15" x14ac:dyDescent="0.2">
      <c r="A26" s="12">
        <f t="shared" si="0"/>
        <v>21</v>
      </c>
      <c r="B26" s="12"/>
      <c r="C26" s="11"/>
      <c r="D26" s="11" t="s">
        <v>95</v>
      </c>
      <c r="E26" s="20"/>
      <c r="F26" s="15"/>
      <c r="G26" s="20"/>
      <c r="H26" s="22"/>
      <c r="I26" s="52" t="s">
        <v>6</v>
      </c>
      <c r="J26" s="53">
        <f>ROUND(9124155.38*0.001193,0)</f>
        <v>10885</v>
      </c>
      <c r="K26" s="1"/>
      <c r="L26" s="5"/>
      <c r="P26" s="8"/>
      <c r="R26" s="8"/>
    </row>
    <row r="27" spans="1:18" ht="15" x14ac:dyDescent="0.2">
      <c r="A27" s="12">
        <f t="shared" si="0"/>
        <v>22</v>
      </c>
      <c r="B27" s="12"/>
      <c r="C27" s="11"/>
      <c r="D27" s="11" t="s">
        <v>96</v>
      </c>
      <c r="E27" s="20"/>
      <c r="F27" s="15"/>
      <c r="G27" s="20"/>
      <c r="H27" s="22"/>
      <c r="I27" s="52" t="s">
        <v>6</v>
      </c>
      <c r="J27" s="53">
        <f>ROUND(3579147.83*0.001193,0)</f>
        <v>4270</v>
      </c>
      <c r="K27" s="1"/>
      <c r="L27" s="5"/>
      <c r="P27" s="8"/>
      <c r="R27" s="8"/>
    </row>
    <row r="28" spans="1:18" ht="15" x14ac:dyDescent="0.2">
      <c r="A28" s="12">
        <f t="shared" si="0"/>
        <v>23</v>
      </c>
      <c r="B28" s="12"/>
      <c r="C28" s="11"/>
      <c r="D28" s="11" t="s">
        <v>97</v>
      </c>
      <c r="E28" s="20"/>
      <c r="F28" s="15"/>
      <c r="G28" s="20"/>
      <c r="H28" s="22"/>
      <c r="I28" s="52" t="s">
        <v>6</v>
      </c>
      <c r="J28" s="53">
        <f>ROUND(17709006.2*0.001193,0)</f>
        <v>21127</v>
      </c>
      <c r="K28" s="1"/>
      <c r="L28" s="5"/>
      <c r="M28" s="64"/>
      <c r="P28" s="8"/>
      <c r="R28" s="8"/>
    </row>
    <row r="29" spans="1:18" ht="15" x14ac:dyDescent="0.2">
      <c r="A29" s="12">
        <f t="shared" si="0"/>
        <v>24</v>
      </c>
      <c r="B29" s="12"/>
      <c r="C29" s="11"/>
      <c r="D29" s="11"/>
      <c r="E29" s="20"/>
      <c r="F29" s="15"/>
      <c r="G29" s="20"/>
      <c r="H29" s="22"/>
      <c r="I29" s="20"/>
      <c r="J29" s="47">
        <f>SUM(J26:J28)</f>
        <v>36282</v>
      </c>
      <c r="L29" s="5"/>
      <c r="M29" s="66"/>
      <c r="R29" s="8"/>
    </row>
    <row r="30" spans="1:18" ht="15" x14ac:dyDescent="0.2">
      <c r="A30" s="12">
        <f t="shared" si="0"/>
        <v>25</v>
      </c>
      <c r="B30" s="12"/>
      <c r="C30" s="11"/>
      <c r="D30" s="11"/>
      <c r="E30" s="20"/>
      <c r="F30" s="15"/>
      <c r="G30" s="20"/>
      <c r="H30" s="22"/>
      <c r="I30" s="20"/>
      <c r="J30" s="11"/>
      <c r="L30" s="65"/>
      <c r="M30" s="67"/>
      <c r="R30" s="8"/>
    </row>
    <row r="31" spans="1:18" ht="15" x14ac:dyDescent="0.2">
      <c r="A31" s="12">
        <f t="shared" si="0"/>
        <v>26</v>
      </c>
      <c r="B31" s="12"/>
      <c r="C31" s="11"/>
      <c r="D31" s="11"/>
      <c r="E31" s="20"/>
      <c r="F31" s="15"/>
      <c r="G31" s="20"/>
      <c r="H31" s="22"/>
      <c r="I31" s="20"/>
      <c r="J31" s="11"/>
      <c r="K31" s="1"/>
      <c r="L31" s="5"/>
      <c r="R31" s="8"/>
    </row>
    <row r="32" spans="1:18" ht="16.5" thickBot="1" x14ac:dyDescent="0.3">
      <c r="A32" s="12">
        <f t="shared" si="0"/>
        <v>27</v>
      </c>
      <c r="B32" s="12"/>
      <c r="C32" s="54" t="s">
        <v>50</v>
      </c>
      <c r="D32" s="11"/>
      <c r="E32" s="15"/>
      <c r="F32" s="15"/>
      <c r="G32" s="15"/>
      <c r="H32" s="15"/>
      <c r="I32" s="15"/>
      <c r="J32" s="55">
        <f>J10+J14+J19+J22+J29</f>
        <v>2664169</v>
      </c>
      <c r="L32" s="3"/>
      <c r="R32" s="8"/>
    </row>
    <row r="33" spans="1:18" ht="15.75" thickTop="1" x14ac:dyDescent="0.2">
      <c r="A33" s="12">
        <f t="shared" si="0"/>
        <v>28</v>
      </c>
      <c r="B33" s="12"/>
      <c r="C33" s="11"/>
      <c r="D33" s="23"/>
      <c r="E33" s="15"/>
      <c r="F33" s="15"/>
      <c r="G33" s="15"/>
      <c r="H33" s="15"/>
      <c r="I33" s="15"/>
      <c r="J33" s="11"/>
      <c r="R33" s="8"/>
    </row>
    <row r="34" spans="1:18" ht="15" x14ac:dyDescent="0.2">
      <c r="A34" s="12">
        <f t="shared" si="0"/>
        <v>29</v>
      </c>
      <c r="B34" s="12"/>
      <c r="C34" s="11"/>
      <c r="D34" s="11"/>
      <c r="E34" s="33"/>
      <c r="F34" s="15"/>
      <c r="G34" s="15"/>
      <c r="H34" s="15"/>
      <c r="I34" s="15"/>
      <c r="J34" s="11"/>
    </row>
    <row r="35" spans="1:18" ht="15" x14ac:dyDescent="0.2">
      <c r="A35" s="12">
        <f t="shared" si="0"/>
        <v>30</v>
      </c>
      <c r="B35" s="12"/>
      <c r="C35" s="11" t="s">
        <v>83</v>
      </c>
      <c r="D35" s="11"/>
      <c r="E35" s="15"/>
      <c r="F35" s="15"/>
      <c r="G35" s="15"/>
      <c r="H35" s="15"/>
      <c r="I35" s="15"/>
      <c r="J35" s="11"/>
    </row>
    <row r="36" spans="1:18" ht="15" x14ac:dyDescent="0.2">
      <c r="A36" s="12">
        <f t="shared" si="0"/>
        <v>31</v>
      </c>
      <c r="B36" s="12"/>
      <c r="C36" s="11" t="s">
        <v>84</v>
      </c>
      <c r="D36" s="11"/>
      <c r="E36" s="15"/>
      <c r="F36" s="15"/>
      <c r="G36" s="15"/>
      <c r="H36" s="15"/>
      <c r="I36" s="15"/>
      <c r="J36" s="11"/>
      <c r="K36" s="1"/>
      <c r="L36" s="3"/>
    </row>
    <row r="37" spans="1:18" x14ac:dyDescent="0.2">
      <c r="A37" s="2"/>
      <c r="B37" s="2"/>
      <c r="G37" s="3"/>
      <c r="H37" s="3"/>
    </row>
    <row r="38" spans="1:18" x14ac:dyDescent="0.2">
      <c r="A38" s="2"/>
      <c r="B38" s="2"/>
    </row>
    <row r="39" spans="1:18" x14ac:dyDescent="0.2">
      <c r="A39" s="2"/>
      <c r="B39" s="2"/>
    </row>
    <row r="40" spans="1:18" x14ac:dyDescent="0.2">
      <c r="A40" s="2"/>
      <c r="B40" s="2"/>
    </row>
    <row r="41" spans="1:18" x14ac:dyDescent="0.2">
      <c r="A41" s="2"/>
      <c r="B41" s="2"/>
    </row>
    <row r="42" spans="1:18" x14ac:dyDescent="0.2">
      <c r="A42" s="2"/>
      <c r="B42" s="2"/>
    </row>
    <row r="43" spans="1:18" x14ac:dyDescent="0.2">
      <c r="A43" s="2"/>
      <c r="B43" s="2"/>
    </row>
    <row r="44" spans="1:18" x14ac:dyDescent="0.2">
      <c r="A44" s="2"/>
      <c r="B44" s="2"/>
    </row>
    <row r="45" spans="1:18" x14ac:dyDescent="0.2">
      <c r="A45" s="2"/>
      <c r="B45" s="2"/>
    </row>
    <row r="46" spans="1:18" x14ac:dyDescent="0.2">
      <c r="A46" s="2"/>
      <c r="B46" s="2"/>
    </row>
    <row r="47" spans="1:18" x14ac:dyDescent="0.2">
      <c r="A47" s="2"/>
      <c r="B47" s="2"/>
    </row>
    <row r="48" spans="1:18" x14ac:dyDescent="0.2">
      <c r="A48" s="2"/>
      <c r="B48" s="2"/>
    </row>
    <row r="49" spans="1:2" x14ac:dyDescent="0.2">
      <c r="A49" s="2"/>
      <c r="B49" s="2"/>
    </row>
  </sheetData>
  <mergeCells count="4">
    <mergeCell ref="A1:J1"/>
    <mergeCell ref="A2:J2"/>
    <mergeCell ref="A3:J3"/>
    <mergeCell ref="A5:I5"/>
  </mergeCells>
  <phoneticPr fontId="2" type="noConversion"/>
  <pageMargins left="0.43" right="0.36" top="0.71" bottom="1" header="0.5" footer="0.5"/>
  <pageSetup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6"/>
  <sheetViews>
    <sheetView zoomScaleNormal="100" workbookViewId="0">
      <selection activeCell="C4" sqref="C4"/>
    </sheetView>
  </sheetViews>
  <sheetFormatPr defaultRowHeight="12.75" x14ac:dyDescent="0.2"/>
  <cols>
    <col min="1" max="1" width="5.42578125" customWidth="1"/>
    <col min="2" max="2" width="36.85546875" bestFit="1" customWidth="1"/>
    <col min="3" max="3" width="18" customWidth="1"/>
    <col min="4" max="4" width="15.140625" customWidth="1"/>
    <col min="5" max="5" width="14.28515625" customWidth="1"/>
    <col min="6" max="6" width="14.140625" customWidth="1"/>
    <col min="7" max="7" width="14.85546875" customWidth="1"/>
    <col min="8" max="8" width="12.28515625" bestFit="1" customWidth="1"/>
    <col min="9" max="9" width="9.7109375" bestFit="1" customWidth="1"/>
    <col min="10" max="10" width="3.140625" customWidth="1"/>
  </cols>
  <sheetData>
    <row r="1" spans="1:13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"/>
      <c r="K1" s="6"/>
      <c r="L1" s="6"/>
      <c r="M1" s="6"/>
    </row>
    <row r="2" spans="1:13" ht="15.75" x14ac:dyDescent="0.25">
      <c r="A2" s="68" t="s">
        <v>99</v>
      </c>
      <c r="B2" s="68"/>
      <c r="C2" s="68"/>
      <c r="D2" s="68"/>
      <c r="E2" s="68"/>
      <c r="F2" s="68"/>
      <c r="G2" s="68"/>
      <c r="H2" s="68"/>
      <c r="I2" s="68"/>
      <c r="J2" s="6"/>
      <c r="K2" s="6"/>
      <c r="L2" s="6"/>
      <c r="M2" s="6"/>
    </row>
    <row r="3" spans="1:13" ht="15.75" x14ac:dyDescent="0.2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"/>
      <c r="K3" s="6"/>
      <c r="L3" s="6"/>
      <c r="M3" s="6"/>
    </row>
    <row r="4" spans="1:13" ht="15" x14ac:dyDescent="0.2">
      <c r="A4" s="11"/>
      <c r="B4" s="11"/>
      <c r="C4" s="11"/>
      <c r="D4" s="11"/>
      <c r="E4" s="11"/>
      <c r="F4" s="11"/>
      <c r="G4" s="11"/>
      <c r="H4" s="11"/>
      <c r="I4" s="11"/>
    </row>
    <row r="5" spans="1:13" ht="15.75" x14ac:dyDescent="0.25">
      <c r="A5" s="10">
        <v>1</v>
      </c>
      <c r="B5" s="6" t="s">
        <v>48</v>
      </c>
      <c r="C5" s="11"/>
      <c r="D5" s="11"/>
      <c r="E5" s="11"/>
      <c r="F5" s="11"/>
      <c r="G5" s="11"/>
      <c r="H5" s="11"/>
      <c r="I5" s="11"/>
    </row>
    <row r="6" spans="1:13" ht="15.75" x14ac:dyDescent="0.25">
      <c r="A6" s="10">
        <v>2</v>
      </c>
      <c r="B6" s="6"/>
      <c r="C6" s="10" t="s">
        <v>66</v>
      </c>
      <c r="D6" s="13">
        <v>160200</v>
      </c>
      <c r="E6" s="10" t="s">
        <v>29</v>
      </c>
      <c r="F6" s="58">
        <v>7000</v>
      </c>
      <c r="G6" s="58">
        <v>11100</v>
      </c>
      <c r="H6" s="10" t="s">
        <v>30</v>
      </c>
      <c r="I6" s="11"/>
    </row>
    <row r="7" spans="1:13" ht="15" x14ac:dyDescent="0.2">
      <c r="A7" s="10">
        <v>3</v>
      </c>
      <c r="B7" s="11"/>
      <c r="C7" s="10" t="s">
        <v>28</v>
      </c>
      <c r="D7" s="59">
        <v>6.2E-2</v>
      </c>
      <c r="E7" s="60">
        <v>1.4500000000000001E-2</v>
      </c>
      <c r="F7" s="59">
        <v>6.0000000000000001E-3</v>
      </c>
      <c r="G7" s="60">
        <v>3.0000000000000001E-3</v>
      </c>
      <c r="H7" s="10" t="s">
        <v>27</v>
      </c>
      <c r="I7" s="11"/>
    </row>
    <row r="8" spans="1:13" ht="15" x14ac:dyDescent="0.2">
      <c r="A8" s="10">
        <v>4</v>
      </c>
      <c r="B8" s="11"/>
      <c r="C8" s="11"/>
      <c r="D8" s="19" t="s">
        <v>22</v>
      </c>
      <c r="E8" s="19" t="s">
        <v>23</v>
      </c>
      <c r="F8" s="19" t="s">
        <v>24</v>
      </c>
      <c r="G8" s="19" t="s">
        <v>25</v>
      </c>
      <c r="H8" s="19" t="s">
        <v>26</v>
      </c>
      <c r="I8" s="11"/>
    </row>
    <row r="9" spans="1:13" ht="15" x14ac:dyDescent="0.2">
      <c r="A9" s="10">
        <v>5</v>
      </c>
      <c r="B9" s="11" t="s">
        <v>17</v>
      </c>
      <c r="C9" s="15">
        <v>12543508.98</v>
      </c>
      <c r="D9" s="15"/>
      <c r="E9" s="15"/>
      <c r="F9" s="15"/>
      <c r="G9" s="15"/>
      <c r="H9" s="15"/>
      <c r="I9" s="15"/>
    </row>
    <row r="10" spans="1:13" ht="15" x14ac:dyDescent="0.2">
      <c r="A10" s="10">
        <v>6</v>
      </c>
      <c r="B10" s="11" t="s">
        <v>18</v>
      </c>
      <c r="C10" s="15">
        <v>101832</v>
      </c>
      <c r="D10" s="15"/>
      <c r="E10" s="15"/>
      <c r="F10" s="15"/>
      <c r="G10" s="15"/>
      <c r="H10" s="15"/>
      <c r="I10" s="15"/>
    </row>
    <row r="11" spans="1:13" ht="15" x14ac:dyDescent="0.2">
      <c r="A11" s="10">
        <v>7</v>
      </c>
      <c r="B11" s="11" t="s">
        <v>19</v>
      </c>
      <c r="C11" s="15">
        <f>-90456-461357</f>
        <v>-551813</v>
      </c>
      <c r="D11" s="15"/>
      <c r="E11" s="15"/>
      <c r="F11" s="15"/>
      <c r="G11" s="15"/>
      <c r="H11" s="15"/>
      <c r="I11" s="15"/>
    </row>
    <row r="12" spans="1:13" ht="15" x14ac:dyDescent="0.2">
      <c r="A12" s="10">
        <v>8</v>
      </c>
      <c r="B12" s="11" t="s">
        <v>51</v>
      </c>
      <c r="C12" s="15">
        <v>34946</v>
      </c>
      <c r="D12" s="15"/>
      <c r="E12" s="15"/>
      <c r="F12" s="15"/>
      <c r="G12" s="15"/>
      <c r="H12" s="15"/>
      <c r="I12" s="15"/>
    </row>
    <row r="13" spans="1:13" ht="15" x14ac:dyDescent="0.2">
      <c r="A13" s="10">
        <v>8</v>
      </c>
      <c r="B13" s="11" t="s">
        <v>62</v>
      </c>
      <c r="C13" s="28">
        <v>61200</v>
      </c>
      <c r="D13" s="15"/>
      <c r="E13" s="15"/>
      <c r="F13" s="15"/>
      <c r="G13" s="15"/>
      <c r="H13" s="15"/>
      <c r="I13" s="15"/>
    </row>
    <row r="14" spans="1:13" ht="15" x14ac:dyDescent="0.2">
      <c r="A14" s="10">
        <v>8</v>
      </c>
      <c r="B14" s="11" t="s">
        <v>20</v>
      </c>
      <c r="C14" s="15">
        <f>SUM(C9:C13)</f>
        <v>12189673.98</v>
      </c>
      <c r="D14" s="15"/>
      <c r="E14" s="15">
        <f>ROUND(C14*E7,0)</f>
        <v>176750</v>
      </c>
      <c r="F14" s="15"/>
      <c r="G14" s="15"/>
      <c r="H14" s="15"/>
      <c r="I14" s="11"/>
    </row>
    <row r="15" spans="1:13" ht="15" x14ac:dyDescent="0.2">
      <c r="A15" s="10">
        <v>8</v>
      </c>
      <c r="B15" s="11" t="s">
        <v>85</v>
      </c>
      <c r="C15" s="28">
        <v>-277598</v>
      </c>
      <c r="D15" s="15"/>
      <c r="E15" s="15"/>
      <c r="F15" s="15"/>
      <c r="G15" s="15"/>
      <c r="H15" s="15"/>
      <c r="I15" s="11"/>
    </row>
    <row r="16" spans="1:13" ht="15" x14ac:dyDescent="0.2">
      <c r="A16" s="10">
        <v>11</v>
      </c>
      <c r="B16" s="11" t="s">
        <v>21</v>
      </c>
      <c r="C16" s="15">
        <f>SUM(C14:C15)</f>
        <v>11912075.98</v>
      </c>
      <c r="D16" s="15">
        <f>ROUND(C16*D7,0)</f>
        <v>738549</v>
      </c>
      <c r="E16" s="15"/>
      <c r="F16" s="15"/>
      <c r="G16" s="15"/>
      <c r="H16" s="15"/>
      <c r="I16" s="11"/>
    </row>
    <row r="17" spans="1:9" ht="15" x14ac:dyDescent="0.2">
      <c r="A17" s="10">
        <v>12</v>
      </c>
      <c r="B17" s="11"/>
      <c r="C17" s="15"/>
      <c r="D17" s="15"/>
      <c r="E17" s="15"/>
      <c r="F17" s="15"/>
      <c r="G17" s="15"/>
      <c r="H17" s="15"/>
      <c r="I17" s="11"/>
    </row>
    <row r="18" spans="1:9" ht="15" x14ac:dyDescent="0.2">
      <c r="A18" s="10">
        <v>13</v>
      </c>
      <c r="B18" s="11" t="s">
        <v>86</v>
      </c>
      <c r="C18" s="15"/>
      <c r="D18" s="15"/>
      <c r="E18" s="15"/>
      <c r="F18" s="15"/>
      <c r="G18" s="15"/>
      <c r="H18" s="15"/>
      <c r="I18" s="11"/>
    </row>
    <row r="19" spans="1:9" ht="15" x14ac:dyDescent="0.2">
      <c r="A19" s="10">
        <v>14</v>
      </c>
      <c r="B19" s="11" t="s">
        <v>87</v>
      </c>
      <c r="C19" s="15"/>
      <c r="D19" s="15"/>
      <c r="E19" s="15"/>
      <c r="F19" s="15">
        <f>ROUND(896000*F7,0)</f>
        <v>5376</v>
      </c>
      <c r="G19" s="15"/>
      <c r="H19" s="15"/>
      <c r="I19" s="11"/>
    </row>
    <row r="20" spans="1:9" ht="15" x14ac:dyDescent="0.2">
      <c r="A20" s="10">
        <v>15</v>
      </c>
      <c r="B20" s="11" t="s">
        <v>88</v>
      </c>
      <c r="C20" s="15"/>
      <c r="D20" s="15"/>
      <c r="E20" s="15"/>
      <c r="F20" s="15"/>
      <c r="G20" s="15"/>
      <c r="H20" s="15"/>
      <c r="I20" s="11"/>
    </row>
    <row r="21" spans="1:9" ht="15" x14ac:dyDescent="0.2">
      <c r="A21" s="10">
        <v>16</v>
      </c>
      <c r="B21" s="11" t="s">
        <v>89</v>
      </c>
      <c r="C21" s="15"/>
      <c r="D21" s="28"/>
      <c r="E21" s="28"/>
      <c r="F21" s="28"/>
      <c r="G21" s="28">
        <f>ROUND(1420800*G7,0)</f>
        <v>4262</v>
      </c>
      <c r="H21" s="28"/>
      <c r="I21" s="11"/>
    </row>
    <row r="22" spans="1:9" ht="15.75" thickBot="1" x14ac:dyDescent="0.25">
      <c r="A22" s="10">
        <v>17</v>
      </c>
      <c r="B22" s="11"/>
      <c r="C22" s="15"/>
      <c r="D22" s="29">
        <f>SUM(D9:D21)</f>
        <v>738549</v>
      </c>
      <c r="E22" s="29">
        <f>SUM(E9:E21)</f>
        <v>176750</v>
      </c>
      <c r="F22" s="29">
        <f>SUM(F9:F21)</f>
        <v>5376</v>
      </c>
      <c r="G22" s="29">
        <f>SUM(G9:G21)</f>
        <v>4262</v>
      </c>
      <c r="H22" s="29">
        <f>SUM(D22:G22)</f>
        <v>924937</v>
      </c>
      <c r="I22" s="11"/>
    </row>
    <row r="23" spans="1:9" ht="15.75" thickTop="1" x14ac:dyDescent="0.2">
      <c r="A23" s="10">
        <v>18</v>
      </c>
      <c r="B23" s="11"/>
      <c r="C23" s="11"/>
      <c r="D23" s="11"/>
      <c r="E23" s="11"/>
      <c r="F23" s="11"/>
      <c r="G23" s="11"/>
      <c r="H23" s="11"/>
      <c r="I23" s="11"/>
    </row>
    <row r="24" spans="1:9" ht="15" x14ac:dyDescent="0.2">
      <c r="A24" s="10">
        <v>19</v>
      </c>
      <c r="B24" s="11"/>
      <c r="C24" s="11"/>
      <c r="D24" s="11"/>
      <c r="E24" s="11"/>
      <c r="F24" s="11"/>
      <c r="G24" s="11"/>
      <c r="H24" s="11"/>
      <c r="I24" s="11"/>
    </row>
    <row r="25" spans="1:9" ht="15.75" x14ac:dyDescent="0.25">
      <c r="A25" s="10">
        <v>20</v>
      </c>
      <c r="B25" s="6" t="s">
        <v>65</v>
      </c>
      <c r="C25" s="11"/>
      <c r="D25" s="11"/>
      <c r="E25" s="11"/>
      <c r="F25" s="11"/>
      <c r="G25" s="11"/>
      <c r="H25" s="11"/>
      <c r="I25" s="11"/>
    </row>
    <row r="26" spans="1:9" ht="15" x14ac:dyDescent="0.2">
      <c r="A26" s="10">
        <v>21</v>
      </c>
      <c r="B26" s="11"/>
      <c r="C26" s="11"/>
      <c r="D26" s="10" t="s">
        <v>37</v>
      </c>
      <c r="E26" s="10" t="s">
        <v>49</v>
      </c>
      <c r="F26" s="10" t="s">
        <v>35</v>
      </c>
      <c r="G26" s="11"/>
      <c r="H26" s="11"/>
      <c r="I26" s="11"/>
    </row>
    <row r="27" spans="1:9" ht="15" x14ac:dyDescent="0.2">
      <c r="A27" s="10">
        <v>22</v>
      </c>
      <c r="B27" s="11"/>
      <c r="C27" s="11"/>
      <c r="D27" s="19" t="s">
        <v>36</v>
      </c>
      <c r="E27" s="19" t="s">
        <v>36</v>
      </c>
      <c r="F27" s="19" t="s">
        <v>36</v>
      </c>
      <c r="G27" s="19" t="s">
        <v>30</v>
      </c>
      <c r="H27" s="11"/>
      <c r="I27" s="11"/>
    </row>
    <row r="28" spans="1:9" ht="15" x14ac:dyDescent="0.2">
      <c r="A28" s="10">
        <v>23</v>
      </c>
      <c r="B28" s="11" t="s">
        <v>31</v>
      </c>
      <c r="C28" s="15">
        <v>10941677</v>
      </c>
      <c r="D28" s="11"/>
      <c r="E28" s="11"/>
      <c r="F28" s="11"/>
      <c r="G28" s="11"/>
      <c r="H28" s="11"/>
      <c r="I28" s="11"/>
    </row>
    <row r="29" spans="1:9" ht="15" x14ac:dyDescent="0.2">
      <c r="A29" s="10">
        <v>24</v>
      </c>
      <c r="B29" s="11" t="s">
        <v>32</v>
      </c>
      <c r="C29" s="22">
        <v>0</v>
      </c>
      <c r="D29" s="11"/>
      <c r="E29" s="11"/>
      <c r="F29" s="11"/>
      <c r="G29" s="11"/>
      <c r="H29" s="11"/>
      <c r="I29" s="11"/>
    </row>
    <row r="30" spans="1:9" ht="15" x14ac:dyDescent="0.2">
      <c r="A30" s="10">
        <v>25</v>
      </c>
      <c r="B30" s="11" t="s">
        <v>33</v>
      </c>
      <c r="C30" s="37">
        <v>954637</v>
      </c>
      <c r="D30" s="11"/>
      <c r="E30" s="11"/>
      <c r="F30" s="11"/>
      <c r="G30" s="11"/>
      <c r="H30" s="11"/>
      <c r="I30" s="11"/>
    </row>
    <row r="31" spans="1:9" ht="15" x14ac:dyDescent="0.2">
      <c r="A31" s="10">
        <v>26</v>
      </c>
      <c r="B31" s="11" t="s">
        <v>34</v>
      </c>
      <c r="C31" s="15">
        <f>SUM(C28:C30)</f>
        <v>11896314</v>
      </c>
      <c r="D31" s="22">
        <v>3580843</v>
      </c>
      <c r="E31" s="22">
        <v>0</v>
      </c>
      <c r="F31" s="22">
        <v>8315471</v>
      </c>
      <c r="G31" s="11"/>
      <c r="H31" s="11"/>
      <c r="I31" s="11"/>
    </row>
    <row r="32" spans="1:9" ht="15" x14ac:dyDescent="0.2">
      <c r="A32" s="10">
        <v>27</v>
      </c>
      <c r="B32" s="11"/>
      <c r="C32" s="11"/>
      <c r="D32" s="27">
        <v>8.9999999999999998E-4</v>
      </c>
      <c r="E32" s="27">
        <v>2E-3</v>
      </c>
      <c r="F32" s="27">
        <v>1.7600000000000001E-2</v>
      </c>
      <c r="G32" s="11"/>
      <c r="H32" s="11"/>
      <c r="I32" s="11"/>
    </row>
    <row r="33" spans="1:9" ht="15" x14ac:dyDescent="0.2">
      <c r="A33" s="10">
        <v>28</v>
      </c>
      <c r="B33" s="11"/>
      <c r="C33" s="11"/>
      <c r="D33" s="22">
        <f>+D31*D32</f>
        <v>3222.7586999999999</v>
      </c>
      <c r="E33" s="22">
        <f>+E31*E32</f>
        <v>0</v>
      </c>
      <c r="F33" s="22">
        <f>+F31*F32</f>
        <v>146352.28960000002</v>
      </c>
      <c r="G33" s="15">
        <f>SUM(D33:F33)</f>
        <v>149575.04830000002</v>
      </c>
      <c r="H33" s="11"/>
      <c r="I33" s="11"/>
    </row>
    <row r="34" spans="1:9" ht="15" x14ac:dyDescent="0.2">
      <c r="A34" s="10">
        <v>29</v>
      </c>
      <c r="B34" s="11"/>
      <c r="C34" s="11"/>
      <c r="D34" s="11" t="s">
        <v>52</v>
      </c>
      <c r="E34" s="11"/>
      <c r="F34" s="11"/>
      <c r="G34" s="37">
        <f>+G33*0.8%</f>
        <v>1196.6003864000002</v>
      </c>
      <c r="H34" s="11"/>
      <c r="I34" s="11"/>
    </row>
    <row r="35" spans="1:9" ht="15" x14ac:dyDescent="0.2">
      <c r="A35" s="10">
        <v>30</v>
      </c>
      <c r="B35" s="11"/>
      <c r="C35" s="11"/>
      <c r="D35" s="11"/>
      <c r="E35" s="11"/>
      <c r="F35" s="11"/>
      <c r="G35" s="22">
        <f>SUM(G33:G34)</f>
        <v>150771.64868640003</v>
      </c>
      <c r="H35" s="11"/>
      <c r="I35" s="11"/>
    </row>
    <row r="36" spans="1:9" ht="15" x14ac:dyDescent="0.2">
      <c r="A36" s="10">
        <v>31</v>
      </c>
      <c r="B36" s="11"/>
      <c r="C36" s="11"/>
      <c r="D36" s="11" t="s">
        <v>98</v>
      </c>
      <c r="E36" s="11"/>
      <c r="F36" s="11"/>
      <c r="G36" s="61">
        <f>G35*0.01</f>
        <v>1507.7164868640004</v>
      </c>
      <c r="H36" s="11"/>
      <c r="I36" s="11"/>
    </row>
    <row r="37" spans="1:9" ht="15" x14ac:dyDescent="0.2">
      <c r="A37" s="10">
        <v>32</v>
      </c>
      <c r="B37" s="11"/>
      <c r="C37" s="11"/>
      <c r="D37" s="11"/>
      <c r="E37" s="11"/>
      <c r="F37" s="11"/>
      <c r="G37" s="22">
        <f>SUM(G35:G36)</f>
        <v>152279.36517326403</v>
      </c>
      <c r="H37" s="11"/>
      <c r="I37" s="11"/>
    </row>
    <row r="38" spans="1:9" ht="15" x14ac:dyDescent="0.2">
      <c r="A38" s="10">
        <v>33</v>
      </c>
      <c r="B38" s="11"/>
      <c r="C38" s="11"/>
      <c r="D38" s="11" t="s">
        <v>53</v>
      </c>
      <c r="E38" s="11"/>
      <c r="F38" s="11"/>
      <c r="G38" s="61">
        <f>-G37*5%</f>
        <v>-7613.9682586632016</v>
      </c>
      <c r="H38" s="11"/>
      <c r="I38" s="11"/>
    </row>
    <row r="39" spans="1:9" ht="15" x14ac:dyDescent="0.2">
      <c r="A39" s="10">
        <v>34</v>
      </c>
      <c r="B39" s="11"/>
      <c r="C39" s="11"/>
      <c r="D39" s="11"/>
      <c r="E39" s="11"/>
      <c r="F39" s="11"/>
      <c r="G39" s="22">
        <f>SUM(G37:G38)</f>
        <v>144665.39691460083</v>
      </c>
      <c r="H39" s="11"/>
      <c r="I39" s="11"/>
    </row>
    <row r="40" spans="1:9" ht="15" x14ac:dyDescent="0.2">
      <c r="A40" s="10">
        <v>35</v>
      </c>
      <c r="B40" s="11"/>
      <c r="C40" s="11"/>
      <c r="D40" s="11" t="s">
        <v>90</v>
      </c>
      <c r="E40" s="11"/>
      <c r="F40" s="11"/>
      <c r="G40" s="37">
        <f>G39*-0.04651</f>
        <v>-6728.3876104980855</v>
      </c>
      <c r="H40" s="11"/>
      <c r="I40" s="11"/>
    </row>
    <row r="41" spans="1:9" ht="15" x14ac:dyDescent="0.2">
      <c r="A41" s="10">
        <v>36</v>
      </c>
      <c r="B41" s="11"/>
      <c r="C41" s="11"/>
      <c r="D41" s="11"/>
      <c r="E41" s="11"/>
      <c r="F41" s="11"/>
      <c r="G41" s="22">
        <f>SUM(G39:G40)</f>
        <v>137937.00930410274</v>
      </c>
      <c r="H41" s="11"/>
      <c r="I41" s="11"/>
    </row>
    <row r="42" spans="1:9" ht="15" x14ac:dyDescent="0.2">
      <c r="A42" s="10">
        <v>37</v>
      </c>
      <c r="B42" s="11"/>
      <c r="C42" s="11"/>
      <c r="D42" s="11" t="s">
        <v>91</v>
      </c>
      <c r="E42" s="11"/>
      <c r="F42" s="11"/>
      <c r="G42" s="37">
        <f>G41*0.00636</f>
        <v>877.27937917409349</v>
      </c>
      <c r="H42" s="11"/>
      <c r="I42" s="11"/>
    </row>
    <row r="43" spans="1:9" ht="15" x14ac:dyDescent="0.2">
      <c r="A43" s="10">
        <v>38</v>
      </c>
      <c r="B43" s="11"/>
      <c r="C43" s="11"/>
      <c r="D43" s="11"/>
      <c r="E43" s="11"/>
      <c r="F43" s="11"/>
      <c r="G43" s="22">
        <f>SUM(G41:G42)</f>
        <v>138814.28868327683</v>
      </c>
      <c r="H43" s="11"/>
      <c r="I43" s="11"/>
    </row>
    <row r="44" spans="1:9" ht="15" x14ac:dyDescent="0.2">
      <c r="A44" s="10">
        <v>39</v>
      </c>
      <c r="B44" s="11"/>
      <c r="C44" s="11"/>
      <c r="D44" s="11" t="s">
        <v>92</v>
      </c>
      <c r="E44" s="11"/>
      <c r="F44" s="11"/>
      <c r="G44" s="37">
        <f>+G43*6.94%</f>
        <v>9633.7116346194125</v>
      </c>
      <c r="H44" s="11"/>
      <c r="I44" s="11"/>
    </row>
    <row r="45" spans="1:9" ht="15" x14ac:dyDescent="0.2">
      <c r="A45" s="10">
        <v>40</v>
      </c>
      <c r="B45" s="11"/>
      <c r="C45" s="11"/>
      <c r="D45" s="11"/>
      <c r="E45" s="11"/>
      <c r="F45" s="11"/>
      <c r="G45" s="22">
        <f>SUM(G43:G44)</f>
        <v>148448.00031789625</v>
      </c>
      <c r="H45" s="11"/>
      <c r="I45" s="11"/>
    </row>
    <row r="46" spans="1:9" ht="15" x14ac:dyDescent="0.2">
      <c r="A46" s="10">
        <v>41</v>
      </c>
      <c r="B46" s="11"/>
      <c r="C46" s="11"/>
      <c r="D46" s="11" t="s">
        <v>38</v>
      </c>
      <c r="E46" s="11"/>
      <c r="F46" s="11"/>
      <c r="G46" s="37">
        <v>0</v>
      </c>
      <c r="H46" s="62"/>
      <c r="I46" s="11"/>
    </row>
    <row r="47" spans="1:9" ht="15.75" thickBot="1" x14ac:dyDescent="0.25">
      <c r="A47" s="10">
        <v>42</v>
      </c>
      <c r="B47" s="11"/>
      <c r="C47" s="11"/>
      <c r="D47" s="11" t="s">
        <v>39</v>
      </c>
      <c r="E47" s="11"/>
      <c r="F47" s="11"/>
      <c r="G47" s="32">
        <f>SUM(G45:G46)</f>
        <v>148448.00031789625</v>
      </c>
      <c r="H47" s="11"/>
      <c r="I47" s="11"/>
    </row>
    <row r="48" spans="1:9" ht="15.75" thickTop="1" x14ac:dyDescent="0.2">
      <c r="A48" s="10">
        <v>43</v>
      </c>
      <c r="B48" s="11"/>
      <c r="C48" s="11"/>
      <c r="D48" s="11"/>
      <c r="E48" s="11"/>
      <c r="F48" s="11"/>
      <c r="G48" s="11"/>
      <c r="H48" s="11"/>
      <c r="I48" s="11"/>
    </row>
    <row r="49" spans="1:9" ht="15.75" x14ac:dyDescent="0.25">
      <c r="A49" s="10">
        <v>44</v>
      </c>
      <c r="B49" s="6" t="s">
        <v>64</v>
      </c>
      <c r="C49" s="11"/>
      <c r="D49" s="11"/>
      <c r="E49" s="11"/>
      <c r="F49" s="11"/>
      <c r="G49" s="11"/>
      <c r="H49" s="11"/>
      <c r="I49" s="11"/>
    </row>
    <row r="50" spans="1:9" ht="15" x14ac:dyDescent="0.2">
      <c r="A50" s="10">
        <v>45</v>
      </c>
      <c r="B50" s="11"/>
      <c r="C50" s="11"/>
      <c r="D50" s="11"/>
      <c r="E50" s="11"/>
      <c r="F50" s="11"/>
      <c r="G50" s="11"/>
      <c r="H50" s="11"/>
      <c r="I50" s="11"/>
    </row>
    <row r="51" spans="1:9" ht="15" x14ac:dyDescent="0.2">
      <c r="A51" s="10">
        <v>46</v>
      </c>
      <c r="B51" s="11" t="s">
        <v>93</v>
      </c>
      <c r="C51" s="11"/>
      <c r="D51" s="11"/>
      <c r="E51" s="11"/>
      <c r="F51" s="11"/>
      <c r="G51" s="11"/>
      <c r="H51" s="11"/>
      <c r="I51" s="11"/>
    </row>
    <row r="52" spans="1:9" ht="15" x14ac:dyDescent="0.2">
      <c r="A52" s="10">
        <v>47</v>
      </c>
      <c r="B52" s="11"/>
      <c r="C52" s="11" t="s">
        <v>40</v>
      </c>
      <c r="D52" s="11"/>
      <c r="E52" s="23" t="s">
        <v>6</v>
      </c>
      <c r="F52" s="15">
        <v>194543</v>
      </c>
      <c r="G52" s="11"/>
      <c r="H52" s="11"/>
      <c r="I52" s="11"/>
    </row>
    <row r="53" spans="1:9" ht="15" x14ac:dyDescent="0.2">
      <c r="A53" s="10">
        <v>48</v>
      </c>
      <c r="B53" s="11"/>
      <c r="C53" s="11" t="s">
        <v>41</v>
      </c>
      <c r="D53" s="11"/>
      <c r="E53" s="23" t="s">
        <v>6</v>
      </c>
      <c r="F53" s="37">
        <v>71254</v>
      </c>
      <c r="G53" s="11"/>
      <c r="H53" s="11"/>
      <c r="I53" s="11"/>
    </row>
    <row r="54" spans="1:9" ht="15.75" thickBot="1" x14ac:dyDescent="0.25">
      <c r="A54" s="10">
        <v>49</v>
      </c>
      <c r="B54" s="11"/>
      <c r="C54" s="11"/>
      <c r="D54" s="11"/>
      <c r="E54" s="11"/>
      <c r="F54" s="29">
        <f>SUM(F52:F53)</f>
        <v>265797</v>
      </c>
      <c r="G54" s="11"/>
      <c r="H54" s="11"/>
      <c r="I54" s="11"/>
    </row>
    <row r="55" spans="1:9" ht="15.75" thickTop="1" x14ac:dyDescent="0.2">
      <c r="A55" s="10">
        <v>50</v>
      </c>
      <c r="B55" s="11"/>
      <c r="C55" s="11"/>
      <c r="D55" s="11"/>
      <c r="E55" s="11"/>
      <c r="F55" s="11"/>
      <c r="G55" s="11"/>
      <c r="H55" s="11"/>
      <c r="I55" s="11"/>
    </row>
    <row r="56" spans="1:9" ht="15.75" x14ac:dyDescent="0.25">
      <c r="A56" s="10">
        <v>51</v>
      </c>
      <c r="B56" s="6" t="s">
        <v>63</v>
      </c>
      <c r="C56" s="11"/>
      <c r="D56" s="11"/>
      <c r="E56" s="11"/>
      <c r="F56" s="11"/>
      <c r="G56" s="11"/>
      <c r="H56" s="11"/>
      <c r="I56" s="11"/>
    </row>
    <row r="57" spans="1:9" ht="15" x14ac:dyDescent="0.2">
      <c r="A57" s="10">
        <v>52</v>
      </c>
      <c r="B57" s="11"/>
      <c r="C57" s="11"/>
      <c r="D57" s="11"/>
      <c r="E57" s="11"/>
      <c r="F57" s="11"/>
      <c r="G57" s="11"/>
      <c r="H57" s="11"/>
      <c r="I57" s="11"/>
    </row>
    <row r="58" spans="1:9" ht="15.75" thickBot="1" x14ac:dyDescent="0.25">
      <c r="A58" s="10">
        <v>53</v>
      </c>
      <c r="B58" s="11" t="s">
        <v>94</v>
      </c>
      <c r="C58" s="11"/>
      <c r="D58" s="11"/>
      <c r="E58" s="23" t="s">
        <v>6</v>
      </c>
      <c r="F58" s="32">
        <f>128*5.94*4</f>
        <v>3041.28</v>
      </c>
      <c r="G58" s="11"/>
      <c r="H58" s="11"/>
      <c r="I58" s="11"/>
    </row>
    <row r="59" spans="1:9" ht="15.75" thickTop="1" x14ac:dyDescent="0.2">
      <c r="A59" s="10">
        <v>54</v>
      </c>
      <c r="B59" s="11"/>
      <c r="C59" s="11"/>
      <c r="D59" s="11"/>
      <c r="E59" s="11"/>
      <c r="F59" s="11"/>
      <c r="G59" s="11"/>
      <c r="H59" s="11"/>
      <c r="I59" s="11"/>
    </row>
    <row r="60" spans="1:9" ht="15" x14ac:dyDescent="0.2">
      <c r="A60" s="10"/>
      <c r="B60" s="42"/>
      <c r="C60" s="11"/>
      <c r="D60" s="11"/>
      <c r="E60" s="11"/>
      <c r="F60" s="11"/>
      <c r="G60" s="11"/>
      <c r="H60" s="11"/>
      <c r="I60" s="11"/>
    </row>
    <row r="61" spans="1:9" ht="15" x14ac:dyDescent="0.2">
      <c r="A61" s="10"/>
      <c r="B61" s="42"/>
      <c r="C61" s="11"/>
      <c r="D61" s="11"/>
      <c r="E61" s="11"/>
      <c r="F61" s="11"/>
      <c r="G61" s="11"/>
      <c r="H61" s="11"/>
      <c r="I61" s="11"/>
    </row>
    <row r="62" spans="1:9" ht="15" x14ac:dyDescent="0.2">
      <c r="A62" s="10"/>
      <c r="B62" s="42"/>
      <c r="C62" s="11"/>
      <c r="D62" s="11"/>
      <c r="E62" s="11"/>
      <c r="F62" s="11"/>
      <c r="G62" s="11"/>
      <c r="H62" s="11"/>
      <c r="I62" s="11"/>
    </row>
    <row r="63" spans="1:9" ht="15" x14ac:dyDescent="0.2">
      <c r="A63" s="10"/>
      <c r="B63" s="42"/>
      <c r="C63" s="11"/>
      <c r="D63" s="11"/>
      <c r="E63" s="11"/>
      <c r="F63" s="11"/>
      <c r="G63" s="11"/>
      <c r="H63" s="11"/>
      <c r="I63" s="11"/>
    </row>
    <row r="64" spans="1:9" ht="15" x14ac:dyDescent="0.2">
      <c r="A64" s="11"/>
      <c r="B64" s="11"/>
      <c r="C64" s="11"/>
      <c r="D64" s="11"/>
      <c r="E64" s="11"/>
      <c r="F64" s="11"/>
      <c r="G64" s="11"/>
      <c r="H64" s="11"/>
      <c r="I64" s="11"/>
    </row>
    <row r="65" spans="1:10" ht="15" x14ac:dyDescent="0.2">
      <c r="A65" s="11"/>
      <c r="B65" s="11"/>
      <c r="C65" s="11"/>
      <c r="D65" s="11"/>
      <c r="E65" s="11"/>
      <c r="F65" s="11"/>
      <c r="G65" s="11"/>
      <c r="H65" s="11"/>
      <c r="I65" s="11"/>
    </row>
    <row r="66" spans="1:10" ht="15" x14ac:dyDescent="0.2">
      <c r="A66" s="43"/>
      <c r="B66" s="43"/>
      <c r="C66" s="43"/>
      <c r="D66" s="43"/>
      <c r="E66" s="56"/>
      <c r="F66" s="43"/>
      <c r="G66" s="57"/>
      <c r="H66" s="57"/>
      <c r="I66" s="43"/>
      <c r="J66" s="9"/>
    </row>
  </sheetData>
  <mergeCells count="3">
    <mergeCell ref="A1:I1"/>
    <mergeCell ref="A2:I2"/>
    <mergeCell ref="A3:I3"/>
  </mergeCells>
  <phoneticPr fontId="2" type="noConversion"/>
  <pageMargins left="0.55000000000000004" right="0.25" top="1.02" bottom="0.79" header="0.5" footer="0.5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health etc.</vt:lpstr>
      <vt:lpstr>Pension</vt:lpstr>
      <vt:lpstr>tax wkcp plpd</vt:lpstr>
      <vt:lpstr>'health etc.'!Print_Area</vt:lpstr>
      <vt:lpstr>Pension!Print_Area</vt:lpstr>
    </vt:vector>
  </TitlesOfParts>
  <Company>Kenergy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Benita Martin</dc:creator>
  <cp:lastModifiedBy>Travis Siewert</cp:lastModifiedBy>
  <cp:lastPrinted>2023-05-05T17:33:40Z</cp:lastPrinted>
  <dcterms:created xsi:type="dcterms:W3CDTF">2008-02-22T20:36:56Z</dcterms:created>
  <dcterms:modified xsi:type="dcterms:W3CDTF">2023-10-30T20:32:58Z</dcterms:modified>
</cp:coreProperties>
</file>