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Kenergy/Rate Case 2023-00276/COS ^0 Rates/"/>
    </mc:Choice>
  </mc:AlternateContent>
  <xr:revisionPtr revIDLastSave="223" documentId="8_{BB552D75-A2BE-4187-A701-50776D4B39CC}" xr6:coauthVersionLast="47" xr6:coauthVersionMax="47" xr10:uidLastSave="{E474719E-67FE-410A-9649-2837A94EE13B}"/>
  <bookViews>
    <workbookView xWindow="-108" yWindow="-108" windowWidth="23256" windowHeight="12456" tabRatio="701" xr2:uid="{00000000-000D-0000-FFFF-FFFF00000000}"/>
  </bookViews>
  <sheets>
    <sheet name="RevReq" sheetId="35" r:id="rId1"/>
    <sheet name="Adj List" sheetId="48" r:id="rId2"/>
    <sheet name="Adj BS" sheetId="50" r:id="rId3"/>
    <sheet name="Adj IS" sheetId="36" r:id="rId4"/>
    <sheet name="1.01 FAC" sheetId="6" r:id="rId5"/>
    <sheet name="1.02 ES" sheetId="17" r:id="rId6"/>
    <sheet name="1.03 MRSM" sheetId="56" r:id="rId7"/>
    <sheet name="1.04 NFPPA" sheetId="55" r:id="rId8"/>
    <sheet name="1.05 RC" sheetId="28" r:id="rId9"/>
    <sheet name="1.06 CUST" sheetId="33" r:id="rId10"/>
    <sheet name="1.07 Depr-Dist" sheetId="75" r:id="rId11"/>
    <sheet name="1.07 Depr-Gen" sheetId="76" r:id="rId12"/>
    <sheet name="1.08 Disallowed" sheetId="77" r:id="rId13"/>
    <sheet name="1.09 Broadband" sheetId="74" r:id="rId14"/>
    <sheet name="1.10 Int LTD" sheetId="79" r:id="rId15"/>
    <sheet name="1.11 Int-Other" sheetId="80" r:id="rId16"/>
    <sheet name="1.12 NonOperMarg-Int" sheetId="78" r:id="rId17"/>
    <sheet name="1.13 Labor" sheetId="81" r:id="rId18"/>
    <sheet name="1.14 LaborOH" sheetId="82" r:id="rId19"/>
    <sheet name="1.15 Misc Rev" sheetId="85" r:id="rId20"/>
    <sheet name="1.16 NonRecur" sheetId="83" r:id="rId21"/>
    <sheet name="1.17 PSCtax" sheetId="87" r:id="rId22"/>
  </sheets>
  <definedNames>
    <definedName name="_xlnm.Print_Area" localSheetId="4">'1.01 FAC'!$A$1:$H$35</definedName>
    <definedName name="_xlnm.Print_Area" localSheetId="5">'1.02 ES'!$A$1:$H$35</definedName>
    <definedName name="_xlnm.Print_Area" localSheetId="6">'1.03 MRSM'!$A$1:$H$35</definedName>
    <definedName name="_xlnm.Print_Area" localSheetId="7">'1.04 NFPPA'!$A$1:$H$35</definedName>
    <definedName name="_xlnm.Print_Area" localSheetId="8">'1.05 RC'!$A$1:$E$28</definedName>
    <definedName name="_xlnm.Print_Area" localSheetId="9">'1.06 CUST'!$A$1:$I$59</definedName>
    <definedName name="_xlnm.Print_Area" localSheetId="10">'1.07 Depr-Dist'!$A$1:$J$42</definedName>
    <definedName name="_xlnm.Print_Area" localSheetId="11">'1.07 Depr-Gen'!$A$1:$J$129</definedName>
    <definedName name="_xlnm.Print_Area" localSheetId="12">'1.08 Disallowed'!$A$1:$S$57</definedName>
    <definedName name="_xlnm.Print_Area" localSheetId="13">'1.09 Broadband'!$A$1:$G$34</definedName>
    <definedName name="_xlnm.Print_Area" localSheetId="14">'1.10 Int LTD'!$A$1:$I$56</definedName>
    <definedName name="_xlnm.Print_Area" localSheetId="15">'1.11 Int-Other'!$A$1:$F$22</definedName>
    <definedName name="_xlnm.Print_Area" localSheetId="16">'1.12 NonOperMarg-Int'!$A$1:$I$44</definedName>
    <definedName name="_xlnm.Print_Area" localSheetId="17">'1.13 Labor'!$A$1:$L$55</definedName>
    <definedName name="_xlnm.Print_Area" localSheetId="18">'1.14 LaborOH'!$A$1:$J$40</definedName>
    <definedName name="_xlnm.Print_Area" localSheetId="19">'1.15 Misc Rev'!$A$1:$R$68</definedName>
    <definedName name="_xlnm.Print_Area" localSheetId="20">'1.16 NonRecur'!$A$1:$G$17</definedName>
    <definedName name="_xlnm.Print_Area" localSheetId="21">'1.17 PSCtax'!$A$1:$L$66</definedName>
    <definedName name="_xlnm.Print_Area" localSheetId="2">'Adj BS'!$A$1:$F$65</definedName>
    <definedName name="_xlnm.Print_Area" localSheetId="3">'Adj IS'!$A$1:$U$47</definedName>
    <definedName name="_xlnm.Print_Area" localSheetId="1">'Adj List'!$A$1:$G$27</definedName>
    <definedName name="_xlnm.Print_Area" localSheetId="0">RevReq!$A$1:$K$54</definedName>
    <definedName name="_xlnm.Print_Titles" localSheetId="9">'1.06 CUST'!$1:$11</definedName>
    <definedName name="_xlnm.Print_Titles" localSheetId="11">'1.07 Depr-Gen'!$1:$9</definedName>
    <definedName name="_xlnm.Print_Titles" localSheetId="14">'1.10 Int LTD'!$7:$11</definedName>
    <definedName name="_xlnm.Print_Titles" localSheetId="15">'1.11 Int-Other'!$7:$12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82" l="1"/>
  <c r="A4" i="82"/>
  <c r="A3" i="82"/>
  <c r="A6" i="87" l="1"/>
  <c r="A4" i="87"/>
  <c r="A3" i="87"/>
  <c r="R65" i="85"/>
  <c r="R64" i="85"/>
  <c r="R63" i="85"/>
  <c r="R61" i="85"/>
  <c r="R60" i="85"/>
  <c r="R57" i="85"/>
  <c r="R56" i="85"/>
  <c r="R55" i="85"/>
  <c r="R54" i="85"/>
  <c r="R53" i="85"/>
  <c r="R52" i="85"/>
  <c r="R51" i="85"/>
  <c r="R50" i="85"/>
  <c r="R49" i="85"/>
  <c r="R48" i="85"/>
  <c r="R47" i="85"/>
  <c r="R46" i="85"/>
  <c r="R45" i="85"/>
  <c r="R44" i="85"/>
  <c r="R43" i="85"/>
  <c r="R42" i="85"/>
  <c r="R41" i="85"/>
  <c r="R40" i="85"/>
  <c r="R38" i="85"/>
  <c r="R37" i="85"/>
  <c r="R35" i="85"/>
  <c r="R34" i="85"/>
  <c r="R32" i="85"/>
  <c r="R31" i="85"/>
  <c r="R29" i="85"/>
  <c r="R28" i="85"/>
  <c r="R27" i="85"/>
  <c r="R26" i="85"/>
  <c r="R25" i="85"/>
  <c r="R24" i="85"/>
  <c r="R23" i="85"/>
  <c r="R22" i="85"/>
  <c r="R21" i="85"/>
  <c r="R20" i="85"/>
  <c r="R19" i="85"/>
  <c r="R18" i="85"/>
  <c r="R17" i="85"/>
  <c r="R15" i="85"/>
  <c r="R14" i="85"/>
  <c r="R13" i="85"/>
  <c r="R12" i="85"/>
  <c r="A6" i="85"/>
  <c r="A4" i="85"/>
  <c r="A3" i="85"/>
  <c r="A6" i="81"/>
  <c r="A4" i="81"/>
  <c r="A3" i="81"/>
  <c r="A60" i="50"/>
  <c r="A61" i="50"/>
  <c r="A62" i="50" s="1"/>
  <c r="A63" i="50" s="1"/>
  <c r="A64" i="50" s="1"/>
  <c r="A65" i="50" s="1"/>
  <c r="F13" i="35" l="1"/>
  <c r="F8" i="35"/>
  <c r="E10" i="48" l="1"/>
  <c r="E9" i="48"/>
  <c r="E8" i="48"/>
  <c r="D10" i="48"/>
  <c r="D9" i="48"/>
  <c r="D8" i="48"/>
  <c r="E7" i="48"/>
  <c r="D7" i="48"/>
  <c r="H19" i="35" l="1"/>
  <c r="H25" i="35" l="1"/>
  <c r="H24" i="35"/>
  <c r="H14" i="35"/>
  <c r="H20" i="35" s="1"/>
  <c r="J42" i="75"/>
  <c r="H36" i="35"/>
  <c r="H35" i="35"/>
  <c r="H34" i="35"/>
  <c r="H33" i="35"/>
  <c r="H32" i="35"/>
  <c r="H26" i="35"/>
  <c r="H22" i="35"/>
  <c r="H18" i="35"/>
  <c r="H17" i="35"/>
  <c r="H16" i="35"/>
  <c r="H15" i="35"/>
  <c r="H13" i="35"/>
  <c r="H9" i="35"/>
  <c r="H8" i="35"/>
  <c r="G15" i="48"/>
  <c r="G16" i="48"/>
  <c r="G17" i="48"/>
  <c r="G18" i="48"/>
  <c r="G21" i="48"/>
  <c r="G24" i="48"/>
  <c r="G25" i="48"/>
  <c r="E15" i="48" l="1"/>
  <c r="C34" i="74"/>
  <c r="C33" i="74"/>
  <c r="C32" i="74"/>
  <c r="S12" i="77"/>
  <c r="S13" i="77"/>
  <c r="S14" i="77"/>
  <c r="S15" i="77"/>
  <c r="S16" i="77"/>
  <c r="S17" i="77"/>
  <c r="S18" i="77"/>
  <c r="S19" i="77"/>
  <c r="S20" i="77"/>
  <c r="S21" i="77"/>
  <c r="S22" i="77"/>
  <c r="S23" i="77"/>
  <c r="S24" i="77"/>
  <c r="S25" i="77"/>
  <c r="S26" i="77"/>
  <c r="S27" i="77"/>
  <c r="S28" i="77"/>
  <c r="S29" i="77"/>
  <c r="S30" i="77"/>
  <c r="S31" i="77"/>
  <c r="S32" i="77"/>
  <c r="S33" i="77"/>
  <c r="S34" i="77"/>
  <c r="S35" i="77"/>
  <c r="S36" i="77"/>
  <c r="S11" i="77"/>
  <c r="S6" i="36" l="1"/>
  <c r="S4" i="36"/>
  <c r="H9" i="36"/>
  <c r="F9" i="35"/>
  <c r="F32" i="35"/>
  <c r="F25" i="35"/>
  <c r="F24" i="35"/>
  <c r="E17" i="48" l="1"/>
  <c r="A6" i="78"/>
  <c r="A4" i="78"/>
  <c r="A3" i="78"/>
  <c r="A6" i="80"/>
  <c r="A4" i="80"/>
  <c r="A3" i="80"/>
  <c r="E16" i="48"/>
  <c r="A6" i="79"/>
  <c r="A4" i="79"/>
  <c r="A3" i="79"/>
  <c r="E36" i="87"/>
  <c r="E39" i="87" s="1"/>
  <c r="H24" i="87" s="1"/>
  <c r="F29" i="87"/>
  <c r="J22" i="87" s="1"/>
  <c r="J18" i="87"/>
  <c r="J19" i="87" s="1"/>
  <c r="J20" i="87" s="1"/>
  <c r="H18" i="87"/>
  <c r="A12" i="87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A28" i="87" s="1"/>
  <c r="A29" i="87" s="1"/>
  <c r="A30" i="87" s="1"/>
  <c r="A31" i="87" s="1"/>
  <c r="A32" i="87" s="1"/>
  <c r="A33" i="87" s="1"/>
  <c r="A34" i="87" s="1"/>
  <c r="A35" i="87" s="1"/>
  <c r="A36" i="87" s="1"/>
  <c r="A37" i="87" s="1"/>
  <c r="A38" i="87" s="1"/>
  <c r="A39" i="87" s="1"/>
  <c r="H22" i="87" l="1"/>
  <c r="J21" i="87"/>
  <c r="J23" i="87" s="1"/>
  <c r="J25" i="87" s="1"/>
  <c r="J39" i="87" s="1"/>
  <c r="J35" i="87" s="1"/>
  <c r="I42" i="87" s="1"/>
  <c r="H19" i="87"/>
  <c r="H20" i="87" s="1"/>
  <c r="H21" i="87" s="1"/>
  <c r="H23" i="87" s="1"/>
  <c r="H25" i="87" s="1"/>
  <c r="G38" i="87" l="1"/>
  <c r="H38" i="87" s="1"/>
  <c r="I44" i="87" s="1"/>
  <c r="G37" i="87"/>
  <c r="H37" i="87" s="1"/>
  <c r="I43" i="87" s="1"/>
  <c r="H23" i="35" s="1"/>
  <c r="H28" i="35" s="1"/>
  <c r="G36" i="87"/>
  <c r="H36" i="87" s="1"/>
  <c r="G35" i="87"/>
  <c r="F39" i="87"/>
  <c r="H35" i="87" l="1"/>
  <c r="I41" i="87" s="1"/>
  <c r="I45" i="87" s="1"/>
  <c r="E23" i="48" s="1"/>
  <c r="G39" i="87"/>
  <c r="H39" i="87" s="1"/>
  <c r="G23" i="48" l="1"/>
  <c r="S27" i="36"/>
  <c r="F23" i="35"/>
  <c r="A43" i="77"/>
  <c r="A40" i="77"/>
  <c r="A41" i="77" s="1"/>
  <c r="A42" i="77" s="1"/>
  <c r="E14" i="83"/>
  <c r="E22" i="48" s="1"/>
  <c r="G22" i="48" s="1"/>
  <c r="A6" i="83"/>
  <c r="A4" i="83"/>
  <c r="A3" i="83"/>
  <c r="A6" i="77"/>
  <c r="A4" i="77"/>
  <c r="A3" i="77"/>
  <c r="A6" i="76"/>
  <c r="A4" i="76"/>
  <c r="A3" i="76"/>
  <c r="A6" i="75"/>
  <c r="A4" i="75"/>
  <c r="A3" i="75"/>
  <c r="G18" i="74"/>
  <c r="B6" i="74"/>
  <c r="B4" i="74"/>
  <c r="B3" i="74"/>
  <c r="D12" i="48"/>
  <c r="E11" i="48"/>
  <c r="Z145" i="85" l="1"/>
  <c r="Y144" i="85"/>
  <c r="AA144" i="85" s="1"/>
  <c r="Y143" i="85"/>
  <c r="AA143" i="85" s="1"/>
  <c r="AH142" i="85"/>
  <c r="Z142" i="85"/>
  <c r="AG141" i="85"/>
  <c r="AI141" i="85" s="1"/>
  <c r="Y141" i="85"/>
  <c r="AA141" i="85" s="1"/>
  <c r="AG140" i="85"/>
  <c r="AI140" i="85" s="1"/>
  <c r="AI142" i="85" s="1"/>
  <c r="AJ142" i="85" s="1"/>
  <c r="G53" i="85" s="1"/>
  <c r="Y140" i="85"/>
  <c r="AA140" i="85" s="1"/>
  <c r="AH139" i="85"/>
  <c r="Z139" i="85"/>
  <c r="AG138" i="85"/>
  <c r="AI138" i="85" s="1"/>
  <c r="Y138" i="85"/>
  <c r="AA138" i="85" s="1"/>
  <c r="AG137" i="85"/>
  <c r="AI137" i="85" s="1"/>
  <c r="AI139" i="85" s="1"/>
  <c r="AJ139" i="85" s="1"/>
  <c r="G55" i="85" s="1"/>
  <c r="Y137" i="85"/>
  <c r="AA137" i="85" s="1"/>
  <c r="AA139" i="85" s="1"/>
  <c r="AH136" i="85"/>
  <c r="Z136" i="85"/>
  <c r="AG135" i="85"/>
  <c r="AI135" i="85" s="1"/>
  <c r="Y135" i="85"/>
  <c r="AA135" i="85" s="1"/>
  <c r="AG134" i="85"/>
  <c r="AI134" i="85" s="1"/>
  <c r="Y134" i="85"/>
  <c r="AA134" i="85" s="1"/>
  <c r="AH133" i="85"/>
  <c r="Z133" i="85"/>
  <c r="AI132" i="85"/>
  <c r="AG132" i="85"/>
  <c r="AA132" i="85"/>
  <c r="AG131" i="85"/>
  <c r="AI131" i="85" s="1"/>
  <c r="AA131" i="85"/>
  <c r="AA133" i="85" s="1"/>
  <c r="AK130" i="85"/>
  <c r="AI128" i="85"/>
  <c r="AH127" i="85"/>
  <c r="AI127" i="85" s="1"/>
  <c r="AF127" i="85"/>
  <c r="AI123" i="85"/>
  <c r="AE123" i="85"/>
  <c r="AI121" i="85"/>
  <c r="AE121" i="85"/>
  <c r="AA121" i="85"/>
  <c r="AH120" i="85"/>
  <c r="AI120" i="85" s="1"/>
  <c r="AF120" i="85"/>
  <c r="AD120" i="85"/>
  <c r="AE120" i="85" s="1"/>
  <c r="AB120" i="85"/>
  <c r="AH116" i="85"/>
  <c r="AI116" i="85" s="1"/>
  <c r="AF116" i="85"/>
  <c r="AD116" i="85"/>
  <c r="AE116" i="85" s="1"/>
  <c r="AB116" i="85"/>
  <c r="AH112" i="85"/>
  <c r="AI112" i="85" s="1"/>
  <c r="AF112" i="85"/>
  <c r="AD112" i="85"/>
  <c r="AE112" i="85" s="1"/>
  <c r="AB112" i="85"/>
  <c r="AJ102" i="85"/>
  <c r="AH102" i="85"/>
  <c r="AJ100" i="85"/>
  <c r="AH100" i="85"/>
  <c r="AI100" i="85" s="1"/>
  <c r="AD100" i="85"/>
  <c r="Z100" i="85"/>
  <c r="AF99" i="85"/>
  <c r="AJ98" i="85"/>
  <c r="AH98" i="85"/>
  <c r="AD98" i="85"/>
  <c r="Z98" i="85"/>
  <c r="AJ97" i="85"/>
  <c r="AH97" i="85"/>
  <c r="AD97" i="85"/>
  <c r="Z97" i="85"/>
  <c r="AJ95" i="85"/>
  <c r="AH95" i="85"/>
  <c r="AD95" i="85"/>
  <c r="AE95" i="85" s="1"/>
  <c r="J51" i="85" s="1"/>
  <c r="Z95" i="85"/>
  <c r="AJ93" i="85"/>
  <c r="AH93" i="85"/>
  <c r="AI93" i="85" s="1"/>
  <c r="J53" i="85" s="1"/>
  <c r="AD93" i="85"/>
  <c r="Z93" i="85"/>
  <c r="AA93" i="85" s="1"/>
  <c r="AF92" i="85"/>
  <c r="AB92" i="85"/>
  <c r="AJ91" i="85"/>
  <c r="AH91" i="85"/>
  <c r="AD91" i="85"/>
  <c r="Z91" i="85"/>
  <c r="AJ90" i="85"/>
  <c r="AH90" i="85"/>
  <c r="AD90" i="85"/>
  <c r="Z90" i="85"/>
  <c r="AJ89" i="85"/>
  <c r="AH89" i="85"/>
  <c r="AD89" i="85"/>
  <c r="Z89" i="85"/>
  <c r="AF88" i="85"/>
  <c r="AB88" i="85"/>
  <c r="AJ87" i="85"/>
  <c r="AH87" i="85"/>
  <c r="AD87" i="85"/>
  <c r="Z87" i="85"/>
  <c r="AJ86" i="85"/>
  <c r="AH86" i="85"/>
  <c r="AD86" i="85"/>
  <c r="Z86" i="85"/>
  <c r="AJ85" i="85"/>
  <c r="AH85" i="85"/>
  <c r="AD85" i="85"/>
  <c r="Z85" i="85"/>
  <c r="AF84" i="85"/>
  <c r="AB84" i="85"/>
  <c r="AJ83" i="85"/>
  <c r="AH83" i="85"/>
  <c r="AD83" i="85"/>
  <c r="Z83" i="85"/>
  <c r="AJ82" i="85"/>
  <c r="AH82" i="85"/>
  <c r="AD82" i="85"/>
  <c r="Z82" i="85"/>
  <c r="AJ81" i="85"/>
  <c r="AH81" i="85"/>
  <c r="AD81" i="85"/>
  <c r="Z81" i="85"/>
  <c r="AJ80" i="85"/>
  <c r="AH80" i="85"/>
  <c r="AD80" i="85"/>
  <c r="Z80" i="85"/>
  <c r="AB76" i="85"/>
  <c r="AL72" i="85"/>
  <c r="AH72" i="85"/>
  <c r="AL71" i="85"/>
  <c r="AH71" i="85"/>
  <c r="T65" i="85"/>
  <c r="J65" i="85" s="1"/>
  <c r="L65" i="85" s="1"/>
  <c r="N65" i="85" s="1"/>
  <c r="P65" i="85" s="1"/>
  <c r="P64" i="85"/>
  <c r="P63" i="85"/>
  <c r="N61" i="85"/>
  <c r="L61" i="85"/>
  <c r="J61" i="85"/>
  <c r="P60" i="85"/>
  <c r="T56" i="85"/>
  <c r="M56" i="85"/>
  <c r="L55" i="85"/>
  <c r="F55" i="85"/>
  <c r="N55" i="85" s="1"/>
  <c r="E53" i="85"/>
  <c r="L53" i="85" s="1"/>
  <c r="L50" i="85"/>
  <c r="F50" i="85"/>
  <c r="N50" i="85" s="1"/>
  <c r="M47" i="85"/>
  <c r="M57" i="85" s="1"/>
  <c r="J43" i="85"/>
  <c r="P43" i="85" s="1"/>
  <c r="E43" i="85"/>
  <c r="F43" i="85" s="1"/>
  <c r="J42" i="85"/>
  <c r="P42" i="85" s="1"/>
  <c r="E42" i="85"/>
  <c r="F42" i="85" s="1"/>
  <c r="H41" i="85"/>
  <c r="L41" i="85" s="1"/>
  <c r="F41" i="85"/>
  <c r="N41" i="85" s="1"/>
  <c r="H40" i="85"/>
  <c r="L40" i="85" s="1"/>
  <c r="F40" i="85"/>
  <c r="N40" i="85" s="1"/>
  <c r="T38" i="85"/>
  <c r="J37" i="85" s="1"/>
  <c r="T35" i="85"/>
  <c r="O35" i="85"/>
  <c r="M35" i="85"/>
  <c r="F33" i="85"/>
  <c r="E33" i="85"/>
  <c r="N32" i="85"/>
  <c r="L32" i="85"/>
  <c r="J32" i="85"/>
  <c r="AI31" i="85"/>
  <c r="U31" i="85"/>
  <c r="D31" i="85" s="1"/>
  <c r="J31" i="85" s="1"/>
  <c r="T31" i="85"/>
  <c r="S31" i="85" s="1"/>
  <c r="N31" i="85"/>
  <c r="L31" i="85"/>
  <c r="AG30" i="85"/>
  <c r="Y30" i="85"/>
  <c r="U30" i="85" s="1"/>
  <c r="D30" i="85" s="1"/>
  <c r="J30" i="85" s="1"/>
  <c r="T30" i="85"/>
  <c r="S30" i="85" s="1"/>
  <c r="N30" i="85"/>
  <c r="L30" i="85"/>
  <c r="U29" i="85"/>
  <c r="D29" i="85" s="1"/>
  <c r="J29" i="85" s="1"/>
  <c r="T29" i="85"/>
  <c r="S29" i="85" s="1"/>
  <c r="N29" i="85"/>
  <c r="L29" i="85"/>
  <c r="T28" i="85"/>
  <c r="S28" i="85" s="1"/>
  <c r="N28" i="85"/>
  <c r="L28" i="85"/>
  <c r="D28" i="85"/>
  <c r="J28" i="85" s="1"/>
  <c r="AS27" i="85"/>
  <c r="AQ27" i="85"/>
  <c r="AM27" i="85"/>
  <c r="AK27" i="85"/>
  <c r="AE27" i="85"/>
  <c r="AA27" i="85"/>
  <c r="Y27" i="85"/>
  <c r="W27" i="85"/>
  <c r="T27" i="85"/>
  <c r="S27" i="85"/>
  <c r="N27" i="85"/>
  <c r="L27" i="85"/>
  <c r="U26" i="85"/>
  <c r="T26" i="85"/>
  <c r="N26" i="85"/>
  <c r="P26" i="85" s="1"/>
  <c r="L26" i="85"/>
  <c r="U25" i="85"/>
  <c r="T25" i="85"/>
  <c r="L25" i="85"/>
  <c r="N25" i="85" s="1"/>
  <c r="P25" i="85" s="1"/>
  <c r="AS24" i="85"/>
  <c r="AQ24" i="85"/>
  <c r="AO24" i="85"/>
  <c r="AM24" i="85"/>
  <c r="AK24" i="85"/>
  <c r="AI24" i="85"/>
  <c r="AG24" i="85"/>
  <c r="AE24" i="85"/>
  <c r="AC24" i="85"/>
  <c r="AA24" i="85"/>
  <c r="Y24" i="85"/>
  <c r="W24" i="85"/>
  <c r="T24" i="85"/>
  <c r="N24" i="85"/>
  <c r="L24" i="85"/>
  <c r="AR23" i="85"/>
  <c r="AS23" i="85" s="1"/>
  <c r="AP23" i="85"/>
  <c r="AQ23" i="85" s="1"/>
  <c r="AN23" i="85"/>
  <c r="AL23" i="85"/>
  <c r="AM23" i="85" s="1"/>
  <c r="AJ23" i="85"/>
  <c r="AK23" i="85" s="1"/>
  <c r="AH23" i="85"/>
  <c r="AI23" i="85" s="1"/>
  <c r="AF23" i="85"/>
  <c r="AD23" i="85"/>
  <c r="AE23" i="85" s="1"/>
  <c r="AB23" i="85"/>
  <c r="AC23" i="85" s="1"/>
  <c r="Z23" i="85"/>
  <c r="AA23" i="85" s="1"/>
  <c r="X23" i="85"/>
  <c r="V23" i="85"/>
  <c r="W23" i="85" s="1"/>
  <c r="N23" i="85"/>
  <c r="L23" i="85"/>
  <c r="AS22" i="85"/>
  <c r="AQ22" i="85"/>
  <c r="AO22" i="85"/>
  <c r="AM22" i="85"/>
  <c r="AJ22" i="85"/>
  <c r="AK22" i="85" s="1"/>
  <c r="AI22" i="85"/>
  <c r="AG22" i="85"/>
  <c r="AE22" i="85"/>
  <c r="AC22" i="85"/>
  <c r="AA22" i="85"/>
  <c r="Y22" i="85"/>
  <c r="W22" i="85"/>
  <c r="T22" i="85"/>
  <c r="N22" i="85"/>
  <c r="L22" i="85"/>
  <c r="AR21" i="85"/>
  <c r="T21" i="85" s="1"/>
  <c r="AO21" i="85"/>
  <c r="AM21" i="85"/>
  <c r="AK21" i="85"/>
  <c r="AI21" i="85"/>
  <c r="AG21" i="85"/>
  <c r="AE21" i="85"/>
  <c r="Y21" i="85"/>
  <c r="W21" i="85"/>
  <c r="N21" i="85"/>
  <c r="L21" i="85"/>
  <c r="AR20" i="85"/>
  <c r="AS20" i="85" s="1"/>
  <c r="AP20" i="85"/>
  <c r="AQ20" i="85" s="1"/>
  <c r="AN20" i="85"/>
  <c r="AO20" i="85" s="1"/>
  <c r="AL20" i="85"/>
  <c r="AM20" i="85" s="1"/>
  <c r="AJ20" i="85"/>
  <c r="AK20" i="85" s="1"/>
  <c r="AH20" i="85"/>
  <c r="AI20" i="85" s="1"/>
  <c r="AF20" i="85"/>
  <c r="AG20" i="85" s="1"/>
  <c r="AD20" i="85"/>
  <c r="AE20" i="85" s="1"/>
  <c r="AB20" i="85"/>
  <c r="AC20" i="85" s="1"/>
  <c r="Z20" i="85"/>
  <c r="AA20" i="85" s="1"/>
  <c r="Y20" i="85"/>
  <c r="V20" i="85"/>
  <c r="W20" i="85" s="1"/>
  <c r="N20" i="85"/>
  <c r="L20" i="85"/>
  <c r="AR19" i="85"/>
  <c r="AS19" i="85" s="1"/>
  <c r="AP19" i="85"/>
  <c r="AP33" i="85" s="1"/>
  <c r="AP67" i="85" s="1"/>
  <c r="AN19" i="85"/>
  <c r="AO19" i="85" s="1"/>
  <c r="AL19" i="85"/>
  <c r="AJ19" i="85"/>
  <c r="AH19" i="85"/>
  <c r="AF19" i="85"/>
  <c r="AG19" i="85" s="1"/>
  <c r="AD19" i="85"/>
  <c r="AB19" i="85"/>
  <c r="AC19" i="85" s="1"/>
  <c r="AA19" i="85"/>
  <c r="Y19" i="85"/>
  <c r="V19" i="85"/>
  <c r="V33" i="85" s="1"/>
  <c r="N19" i="85"/>
  <c r="L19" i="85"/>
  <c r="AC18" i="85"/>
  <c r="Y18" i="85"/>
  <c r="W18" i="85"/>
  <c r="T18" i="85"/>
  <c r="N18" i="85"/>
  <c r="L18" i="85"/>
  <c r="AS17" i="85"/>
  <c r="AQ17" i="85"/>
  <c r="AO17" i="85"/>
  <c r="AM17" i="85"/>
  <c r="AG17" i="85"/>
  <c r="AE17" i="85"/>
  <c r="AB17" i="85"/>
  <c r="T17" i="85" s="1"/>
  <c r="AA17" i="85"/>
  <c r="Y17" i="85"/>
  <c r="W17" i="85"/>
  <c r="N17" i="85"/>
  <c r="L17" i="85"/>
  <c r="P14" i="85"/>
  <c r="P13" i="85"/>
  <c r="A13" i="85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42" i="85" s="1"/>
  <c r="A43" i="85" s="1"/>
  <c r="A44" i="85" s="1"/>
  <c r="A45" i="85" s="1"/>
  <c r="A46" i="85" s="1"/>
  <c r="A47" i="85" s="1"/>
  <c r="A48" i="85" s="1"/>
  <c r="A49" i="85" s="1"/>
  <c r="A50" i="85" s="1"/>
  <c r="A51" i="85" s="1"/>
  <c r="A52" i="85" s="1"/>
  <c r="A53" i="85" s="1"/>
  <c r="A54" i="85" s="1"/>
  <c r="A55" i="85" s="1"/>
  <c r="A56" i="85" s="1"/>
  <c r="A57" i="85" s="1"/>
  <c r="A58" i="85" s="1"/>
  <c r="A59" i="85" s="1"/>
  <c r="A60" i="85" s="1"/>
  <c r="A61" i="85" s="1"/>
  <c r="A62" i="85" s="1"/>
  <c r="A63" i="85" s="1"/>
  <c r="A64" i="85" s="1"/>
  <c r="A65" i="85" s="1"/>
  <c r="A66" i="85" s="1"/>
  <c r="A67" i="85" s="1"/>
  <c r="A68" i="85" s="1"/>
  <c r="A69" i="85" s="1"/>
  <c r="A70" i="85" s="1"/>
  <c r="T12" i="85"/>
  <c r="J12" i="85" s="1"/>
  <c r="J15" i="85" s="1"/>
  <c r="U18" i="85" l="1"/>
  <c r="D18" i="85" s="1"/>
  <c r="J18" i="85" s="1"/>
  <c r="P31" i="85"/>
  <c r="AJ104" i="85"/>
  <c r="AD88" i="85"/>
  <c r="AE88" i="85" s="1"/>
  <c r="J45" i="85" s="1"/>
  <c r="AD84" i="85"/>
  <c r="AE84" i="85" s="1"/>
  <c r="J40" i="85" s="1"/>
  <c r="AK86" i="85"/>
  <c r="N44" i="85"/>
  <c r="AC17" i="85"/>
  <c r="AK85" i="85"/>
  <c r="AK100" i="85"/>
  <c r="AB139" i="85"/>
  <c r="G49" i="85" s="1"/>
  <c r="P28" i="85"/>
  <c r="AK95" i="85"/>
  <c r="AK98" i="85"/>
  <c r="Z33" i="85"/>
  <c r="Z67" i="85" s="1"/>
  <c r="AA136" i="85"/>
  <c r="AB136" i="85" s="1"/>
  <c r="G45" i="85" s="1"/>
  <c r="AR33" i="85"/>
  <c r="AR67" i="85" s="1"/>
  <c r="AA145" i="85"/>
  <c r="AB145" i="85" s="1"/>
  <c r="G51" i="85" s="1"/>
  <c r="D51" i="85" s="1"/>
  <c r="E51" i="85" s="1"/>
  <c r="AF33" i="85"/>
  <c r="AF67" i="85" s="1"/>
  <c r="AS21" i="85"/>
  <c r="U21" i="85" s="1"/>
  <c r="D21" i="85" s="1"/>
  <c r="J21" i="85" s="1"/>
  <c r="P21" i="85" s="1"/>
  <c r="AK80" i="85"/>
  <c r="AK82" i="85"/>
  <c r="AK91" i="85"/>
  <c r="L37" i="85"/>
  <c r="J38" i="85"/>
  <c r="P18" i="85"/>
  <c r="L44" i="85"/>
  <c r="AK89" i="85"/>
  <c r="N33" i="85"/>
  <c r="U24" i="85"/>
  <c r="D24" i="85" s="1"/>
  <c r="J24" i="85" s="1"/>
  <c r="P24" i="85" s="1"/>
  <c r="AB133" i="85"/>
  <c r="G48" i="85" s="1"/>
  <c r="P29" i="85"/>
  <c r="AK81" i="85"/>
  <c r="T23" i="85"/>
  <c r="S23" i="85" s="1"/>
  <c r="AK83" i="85"/>
  <c r="AD92" i="85"/>
  <c r="AE92" i="85" s="1"/>
  <c r="J49" i="85" s="1"/>
  <c r="L12" i="85"/>
  <c r="L15" i="85" s="1"/>
  <c r="AN33" i="85"/>
  <c r="AN67" i="85" s="1"/>
  <c r="U17" i="85"/>
  <c r="U27" i="85"/>
  <c r="D27" i="85" s="1"/>
  <c r="J27" i="85" s="1"/>
  <c r="P27" i="85" s="1"/>
  <c r="P61" i="85"/>
  <c r="L33" i="85"/>
  <c r="P32" i="85"/>
  <c r="J55" i="85"/>
  <c r="P55" i="85" s="1"/>
  <c r="AM71" i="85"/>
  <c r="AQ19" i="85"/>
  <c r="P30" i="85"/>
  <c r="R30" i="85" s="1"/>
  <c r="AH99" i="85"/>
  <c r="AI99" i="85" s="1"/>
  <c r="AM72" i="85"/>
  <c r="AK97" i="85"/>
  <c r="S17" i="85"/>
  <c r="J48" i="85"/>
  <c r="D48" i="85" s="1"/>
  <c r="E48" i="85" s="1"/>
  <c r="D53" i="85"/>
  <c r="U20" i="85"/>
  <c r="D20" i="85" s="1"/>
  <c r="J20" i="85" s="1"/>
  <c r="P20" i="85"/>
  <c r="V67" i="85"/>
  <c r="AB33" i="85"/>
  <c r="AB67" i="85" s="1"/>
  <c r="Y23" i="85"/>
  <c r="AG23" i="85"/>
  <c r="AO23" i="85"/>
  <c r="AK93" i="85"/>
  <c r="AE93" i="85"/>
  <c r="J50" i="85" s="1"/>
  <c r="AK102" i="85"/>
  <c r="AI102" i="85"/>
  <c r="AK87" i="85"/>
  <c r="AL33" i="85"/>
  <c r="AL67" i="85" s="1"/>
  <c r="AM19" i="85"/>
  <c r="AE19" i="85"/>
  <c r="AD33" i="85"/>
  <c r="AD67" i="85" s="1"/>
  <c r="N37" i="85"/>
  <c r="L38" i="85"/>
  <c r="AI133" i="85"/>
  <c r="AJ133" i="85" s="1"/>
  <c r="G54" i="85" s="1"/>
  <c r="AI136" i="85"/>
  <c r="AJ136" i="85" s="1"/>
  <c r="G52" i="85" s="1"/>
  <c r="T20" i="85"/>
  <c r="AA142" i="85"/>
  <c r="AB142" i="85" s="1"/>
  <c r="G50" i="85" s="1"/>
  <c r="AH33" i="85"/>
  <c r="AH67" i="85" s="1"/>
  <c r="T19" i="85"/>
  <c r="AI19" i="85"/>
  <c r="U22" i="85"/>
  <c r="D22" i="85" s="1"/>
  <c r="J22" i="85" s="1"/>
  <c r="P22" i="85" s="1"/>
  <c r="X33" i="85"/>
  <c r="X67" i="85" s="1"/>
  <c r="AH88" i="85"/>
  <c r="AI88" i="85" s="1"/>
  <c r="J46" i="85" s="1"/>
  <c r="AK90" i="85"/>
  <c r="D17" i="85"/>
  <c r="AJ33" i="85"/>
  <c r="AJ67" i="85" s="1"/>
  <c r="AK19" i="85"/>
  <c r="F53" i="85"/>
  <c r="N53" i="85" s="1"/>
  <c r="P53" i="85" s="1"/>
  <c r="AH84" i="85"/>
  <c r="AI84" i="85" s="1"/>
  <c r="J41" i="85" s="1"/>
  <c r="D41" i="85" s="1"/>
  <c r="AI95" i="85"/>
  <c r="J54" i="85" s="1"/>
  <c r="AH92" i="85"/>
  <c r="AI92" i="85" s="1"/>
  <c r="W19" i="85"/>
  <c r="P40" i="85" l="1"/>
  <c r="D40" i="85"/>
  <c r="D49" i="85"/>
  <c r="E49" i="85" s="1"/>
  <c r="L51" i="85"/>
  <c r="F51" i="85"/>
  <c r="N51" i="85" s="1"/>
  <c r="P51" i="85" s="1"/>
  <c r="AK104" i="85"/>
  <c r="AK105" i="85" s="1"/>
  <c r="D55" i="85"/>
  <c r="N12" i="85"/>
  <c r="N15" i="85" s="1"/>
  <c r="G46" i="85"/>
  <c r="D46" i="85" s="1"/>
  <c r="E46" i="85" s="1"/>
  <c r="J52" i="85"/>
  <c r="J56" i="85" s="1"/>
  <c r="AM73" i="85"/>
  <c r="AM75" i="85" s="1"/>
  <c r="L34" i="85" s="1"/>
  <c r="D45" i="85"/>
  <c r="E45" i="85" s="1"/>
  <c r="F45" i="85" s="1"/>
  <c r="N45" i="85" s="1"/>
  <c r="U23" i="85"/>
  <c r="D23" i="85" s="1"/>
  <c r="J23" i="85" s="1"/>
  <c r="P23" i="85" s="1"/>
  <c r="T33" i="85"/>
  <c r="D50" i="85"/>
  <c r="T67" i="85"/>
  <c r="P50" i="85"/>
  <c r="S20" i="85"/>
  <c r="S33" i="85" s="1"/>
  <c r="J44" i="85"/>
  <c r="P37" i="85"/>
  <c r="N38" i="85"/>
  <c r="L45" i="85"/>
  <c r="J17" i="85"/>
  <c r="J47" i="85"/>
  <c r="D54" i="85"/>
  <c r="E54" i="85" s="1"/>
  <c r="L49" i="85"/>
  <c r="F49" i="85"/>
  <c r="N49" i="85" s="1"/>
  <c r="P49" i="85" s="1"/>
  <c r="P41" i="85"/>
  <c r="U19" i="85"/>
  <c r="F48" i="85"/>
  <c r="N48" i="85" s="1"/>
  <c r="L48" i="85"/>
  <c r="P12" i="85" l="1"/>
  <c r="L46" i="85"/>
  <c r="F46" i="85"/>
  <c r="N46" i="85" s="1"/>
  <c r="P46" i="85" s="1"/>
  <c r="AM76" i="85"/>
  <c r="J34" i="85" s="1"/>
  <c r="J35" i="85" s="1"/>
  <c r="L47" i="85"/>
  <c r="J57" i="85"/>
  <c r="D52" i="85"/>
  <c r="E52" i="85" s="1"/>
  <c r="D19" i="85"/>
  <c r="U33" i="85"/>
  <c r="P44" i="85"/>
  <c r="P48" i="85"/>
  <c r="P17" i="85"/>
  <c r="N34" i="85"/>
  <c r="L35" i="85"/>
  <c r="L54" i="85"/>
  <c r="F54" i="85"/>
  <c r="N54" i="85" s="1"/>
  <c r="P54" i="85" s="1"/>
  <c r="P45" i="85"/>
  <c r="P15" i="85"/>
  <c r="P38" i="85"/>
  <c r="N47" i="85" l="1"/>
  <c r="P47" i="85"/>
  <c r="L52" i="85"/>
  <c r="L56" i="85" s="1"/>
  <c r="L57" i="85" s="1"/>
  <c r="F52" i="85"/>
  <c r="N52" i="85" s="1"/>
  <c r="P52" i="85" s="1"/>
  <c r="P56" i="85" s="1"/>
  <c r="L68" i="85"/>
  <c r="P34" i="85"/>
  <c r="N35" i="85"/>
  <c r="J19" i="85"/>
  <c r="D33" i="85"/>
  <c r="P57" i="85" l="1"/>
  <c r="N56" i="85"/>
  <c r="N57" i="85" s="1"/>
  <c r="P35" i="85"/>
  <c r="P19" i="85"/>
  <c r="J33" i="85"/>
  <c r="J68" i="85" s="1"/>
  <c r="N68" i="85"/>
  <c r="P33" i="85" l="1"/>
  <c r="R33" i="85" s="1"/>
  <c r="P68" i="85" l="1"/>
  <c r="R68" i="85" s="1"/>
  <c r="J40" i="82" l="1"/>
  <c r="B30" i="82"/>
  <c r="B27" i="82"/>
  <c r="B26" i="82"/>
  <c r="D31" i="82"/>
  <c r="C26" i="82" s="1"/>
  <c r="B25" i="82"/>
  <c r="G20" i="82"/>
  <c r="G19" i="82"/>
  <c r="G16" i="82"/>
  <c r="G15" i="82"/>
  <c r="G13" i="82"/>
  <c r="G12" i="82"/>
  <c r="A12" i="82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D21" i="82"/>
  <c r="L47" i="81"/>
  <c r="D39" i="81"/>
  <c r="B30" i="81"/>
  <c r="K29" i="81"/>
  <c r="K26" i="81"/>
  <c r="K25" i="81"/>
  <c r="K24" i="81"/>
  <c r="E23" i="81"/>
  <c r="E27" i="81" s="1"/>
  <c r="E30" i="81" s="1"/>
  <c r="K22" i="81"/>
  <c r="J21" i="81"/>
  <c r="K21" i="81" s="1"/>
  <c r="K20" i="81"/>
  <c r="O18" i="81"/>
  <c r="F18" i="81"/>
  <c r="J18" i="81" s="1"/>
  <c r="K18" i="81" s="1"/>
  <c r="D18" i="81"/>
  <c r="F15" i="81"/>
  <c r="O15" i="81" s="1"/>
  <c r="D15" i="81"/>
  <c r="O12" i="81"/>
  <c r="N12" i="81"/>
  <c r="N15" i="81" s="1"/>
  <c r="D12" i="81"/>
  <c r="A11" i="8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A29" i="81" s="1"/>
  <c r="A30" i="81" s="1"/>
  <c r="A31" i="81" s="1"/>
  <c r="A32" i="81" s="1"/>
  <c r="A33" i="81" s="1"/>
  <c r="A34" i="81" s="1"/>
  <c r="A35" i="81" s="1"/>
  <c r="A36" i="81" s="1"/>
  <c r="A37" i="81" s="1"/>
  <c r="A38" i="81" s="1"/>
  <c r="A39" i="81" s="1"/>
  <c r="A40" i="81" s="1"/>
  <c r="A41" i="81" s="1"/>
  <c r="A42" i="81" s="1"/>
  <c r="A43" i="81" s="1"/>
  <c r="A44" i="81" s="1"/>
  <c r="A45" i="81" s="1"/>
  <c r="A46" i="81" s="1"/>
  <c r="A47" i="81" s="1"/>
  <c r="A48" i="81" s="1"/>
  <c r="A49" i="81" s="1"/>
  <c r="A50" i="81" s="1"/>
  <c r="A51" i="81" s="1"/>
  <c r="A52" i="81" s="1"/>
  <c r="A53" i="81" s="1"/>
  <c r="A54" i="81" s="1"/>
  <c r="A55" i="81" s="1"/>
  <c r="K23" i="81" l="1"/>
  <c r="F30" i="81"/>
  <c r="C27" i="82"/>
  <c r="C28" i="82"/>
  <c r="C29" i="82"/>
  <c r="C30" i="82"/>
  <c r="E38" i="81"/>
  <c r="E33" i="81"/>
  <c r="E36" i="81"/>
  <c r="E34" i="81"/>
  <c r="E37" i="81"/>
  <c r="P15" i="81"/>
  <c r="P12" i="81"/>
  <c r="J15" i="81"/>
  <c r="K15" i="81" s="1"/>
  <c r="G18" i="82"/>
  <c r="G17" i="82"/>
  <c r="N18" i="81"/>
  <c r="P18" i="81" s="1"/>
  <c r="Q18" i="81" s="1"/>
  <c r="E21" i="82"/>
  <c r="G26" i="82" s="1"/>
  <c r="G11" i="82"/>
  <c r="G14" i="82"/>
  <c r="J12" i="81"/>
  <c r="C25" i="82"/>
  <c r="G21" i="82" l="1"/>
  <c r="Q12" i="81"/>
  <c r="C31" i="82"/>
  <c r="Q15" i="81"/>
  <c r="G30" i="82"/>
  <c r="G29" i="82"/>
  <c r="E35" i="81"/>
  <c r="E39" i="81" s="1"/>
  <c r="G28" i="82"/>
  <c r="K12" i="81"/>
  <c r="J30" i="81"/>
  <c r="G27" i="82"/>
  <c r="E20" i="48" l="1"/>
  <c r="G20" i="48" s="1"/>
  <c r="E31" i="82"/>
  <c r="G25" i="82"/>
  <c r="G31" i="82" s="1"/>
  <c r="G37" i="82"/>
  <c r="G34" i="82"/>
  <c r="G39" i="82"/>
  <c r="G36" i="82"/>
  <c r="G38" i="82"/>
  <c r="G35" i="82"/>
  <c r="Q20" i="81"/>
  <c r="J33" i="81"/>
  <c r="J36" i="81"/>
  <c r="K36" i="81" s="1"/>
  <c r="J38" i="81"/>
  <c r="K38" i="81" s="1"/>
  <c r="J34" i="81"/>
  <c r="K34" i="81" s="1"/>
  <c r="K30" i="81"/>
  <c r="J37" i="81"/>
  <c r="K37" i="81" s="1"/>
  <c r="J35" i="81"/>
  <c r="K35" i="81" s="1"/>
  <c r="E19" i="48" l="1"/>
  <c r="G19" i="48" s="1"/>
  <c r="G40" i="82"/>
  <c r="J46" i="81"/>
  <c r="J43" i="81"/>
  <c r="J44" i="81"/>
  <c r="J45" i="81"/>
  <c r="J42" i="81"/>
  <c r="J47" i="81" s="1"/>
  <c r="J39" i="81"/>
  <c r="K33" i="81"/>
  <c r="K39" i="81" s="1"/>
  <c r="E22" i="80" l="1"/>
  <c r="B22" i="80"/>
  <c r="D19" i="80"/>
  <c r="F19" i="80" s="1"/>
  <c r="A14" i="80"/>
  <c r="A15" i="80" s="1"/>
  <c r="A16" i="80" s="1"/>
  <c r="A17" i="80" s="1"/>
  <c r="A18" i="80" s="1"/>
  <c r="A19" i="80" s="1"/>
  <c r="A20" i="80" s="1"/>
  <c r="A21" i="80" s="1"/>
  <c r="A22" i="80" s="1"/>
  <c r="D13" i="80"/>
  <c r="D22" i="80" l="1"/>
  <c r="F13" i="80"/>
  <c r="F22" i="80" s="1"/>
  <c r="H56" i="79"/>
  <c r="G47" i="79"/>
  <c r="I47" i="79" s="1"/>
  <c r="C45" i="79"/>
  <c r="G44" i="79"/>
  <c r="G43" i="79"/>
  <c r="G42" i="79"/>
  <c r="G41" i="79"/>
  <c r="G40" i="79"/>
  <c r="G39" i="79"/>
  <c r="G38" i="79"/>
  <c r="C36" i="79"/>
  <c r="G35" i="79"/>
  <c r="G34" i="79"/>
  <c r="G33" i="79"/>
  <c r="G32" i="79"/>
  <c r="G31" i="79"/>
  <c r="G30" i="79"/>
  <c r="G29" i="79"/>
  <c r="G28" i="79"/>
  <c r="G27" i="79"/>
  <c r="G26" i="79"/>
  <c r="G25" i="79"/>
  <c r="G24" i="79"/>
  <c r="G36" i="79" s="1"/>
  <c r="I36" i="79" s="1"/>
  <c r="G23" i="79"/>
  <c r="H21" i="79"/>
  <c r="H50" i="79" s="1"/>
  <c r="C21" i="79"/>
  <c r="C52" i="79" s="1"/>
  <c r="G20" i="79"/>
  <c r="G19" i="79"/>
  <c r="G18" i="79"/>
  <c r="G17" i="79"/>
  <c r="G16" i="79"/>
  <c r="G15" i="79"/>
  <c r="G14" i="79"/>
  <c r="G13" i="79"/>
  <c r="A13" i="79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G12" i="79"/>
  <c r="G21" i="79" l="1"/>
  <c r="G45" i="79"/>
  <c r="I45" i="79" s="1"/>
  <c r="G50" i="79"/>
  <c r="I50" i="79" s="1"/>
  <c r="I56" i="79" s="1"/>
  <c r="I21" i="79"/>
  <c r="E38" i="78" l="1"/>
  <c r="E37" i="78"/>
  <c r="E36" i="78"/>
  <c r="E35" i="78"/>
  <c r="E34" i="78"/>
  <c r="E33" i="78"/>
  <c r="E32" i="78"/>
  <c r="E31" i="78"/>
  <c r="E44" i="78" s="1"/>
  <c r="E30" i="78"/>
  <c r="E25" i="78"/>
  <c r="G14" i="78" s="1"/>
  <c r="E15" i="78"/>
  <c r="G15" i="78" s="1"/>
  <c r="I15" i="78" s="1"/>
  <c r="E14" i="78"/>
  <c r="E16" i="78" s="1"/>
  <c r="G13" i="78"/>
  <c r="I13" i="78" s="1"/>
  <c r="I12" i="78"/>
  <c r="A11" i="78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G16" i="78" l="1"/>
  <c r="I14" i="78"/>
  <c r="I16" i="78" s="1"/>
  <c r="F18" i="48" s="1"/>
  <c r="M39" i="77" l="1"/>
  <c r="M43" i="77" s="1"/>
  <c r="H39" i="77"/>
  <c r="H43" i="77" s="1"/>
  <c r="E39" i="77"/>
  <c r="E43" i="77" s="1"/>
  <c r="C34" i="77"/>
  <c r="C33" i="77"/>
  <c r="C32" i="77"/>
  <c r="R39" i="77"/>
  <c r="R43" i="77" s="1"/>
  <c r="L39" i="77"/>
  <c r="L43" i="77" s="1"/>
  <c r="C52" i="77" s="1"/>
  <c r="F18" i="35" s="1"/>
  <c r="C25" i="77"/>
  <c r="C23" i="77"/>
  <c r="C21" i="77"/>
  <c r="C20" i="77"/>
  <c r="C19" i="77"/>
  <c r="C17" i="77"/>
  <c r="C15" i="77"/>
  <c r="C14" i="77"/>
  <c r="C13" i="77"/>
  <c r="A12" i="77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O39" i="77"/>
  <c r="O43" i="77" s="1"/>
  <c r="Q39" i="77" l="1"/>
  <c r="Q43" i="77" s="1"/>
  <c r="C16" i="77"/>
  <c r="C22" i="77"/>
  <c r="C26" i="77"/>
  <c r="P39" i="77"/>
  <c r="P43" i="77" s="1"/>
  <c r="C18" i="77"/>
  <c r="C24" i="77"/>
  <c r="C27" i="77"/>
  <c r="C30" i="77"/>
  <c r="C35" i="77"/>
  <c r="N39" i="77"/>
  <c r="N43" i="77" s="1"/>
  <c r="C53" i="77" s="1"/>
  <c r="I39" i="77"/>
  <c r="I43" i="77" s="1"/>
  <c r="C49" i="77" s="1"/>
  <c r="F39" i="77"/>
  <c r="C29" i="77"/>
  <c r="C12" i="77"/>
  <c r="C31" i="77"/>
  <c r="K39" i="77"/>
  <c r="K43" i="77" s="1"/>
  <c r="C51" i="77" s="1"/>
  <c r="G39" i="77"/>
  <c r="G43" i="77" s="1"/>
  <c r="C48" i="77" s="1"/>
  <c r="J39" i="77"/>
  <c r="J43" i="77" s="1"/>
  <c r="C50" i="77" s="1"/>
  <c r="D39" i="77"/>
  <c r="D43" i="77" s="1"/>
  <c r="C28" i="77"/>
  <c r="C11" i="77"/>
  <c r="S39" i="77" l="1"/>
  <c r="S43" i="77" s="1"/>
  <c r="E14" i="48" s="1"/>
  <c r="G14" i="48" s="1"/>
  <c r="F43" i="77"/>
  <c r="C54" i="77" s="1"/>
  <c r="F26" i="35" s="1"/>
  <c r="C56" i="77"/>
  <c r="C57" i="77" s="1"/>
  <c r="C36" i="77"/>
  <c r="C39" i="77" s="1"/>
  <c r="C43" i="77" s="1"/>
  <c r="D125" i="76" l="1"/>
  <c r="E123" i="76" s="1"/>
  <c r="D113" i="76"/>
  <c r="D110" i="76"/>
  <c r="D109" i="76"/>
  <c r="E100" i="76"/>
  <c r="D100" i="76"/>
  <c r="G99" i="76"/>
  <c r="H99" i="76" s="1"/>
  <c r="G98" i="76"/>
  <c r="H98" i="76" s="1"/>
  <c r="G97" i="76"/>
  <c r="G100" i="76" s="1"/>
  <c r="H92" i="76"/>
  <c r="J92" i="76" s="1"/>
  <c r="G92" i="76"/>
  <c r="E91" i="76"/>
  <c r="D91" i="76"/>
  <c r="G90" i="76"/>
  <c r="H90" i="76" s="1"/>
  <c r="G89" i="76"/>
  <c r="H89" i="76" s="1"/>
  <c r="E88" i="76"/>
  <c r="D88" i="76"/>
  <c r="G87" i="76"/>
  <c r="H87" i="76" s="1"/>
  <c r="G86" i="76"/>
  <c r="H86" i="76" s="1"/>
  <c r="G85" i="76"/>
  <c r="G84" i="76"/>
  <c r="H84" i="76" s="1"/>
  <c r="H83" i="76"/>
  <c r="G83" i="76"/>
  <c r="E82" i="76"/>
  <c r="D82" i="76"/>
  <c r="G81" i="76"/>
  <c r="H81" i="76" s="1"/>
  <c r="G80" i="76"/>
  <c r="H80" i="76" s="1"/>
  <c r="G79" i="76"/>
  <c r="H79" i="76" s="1"/>
  <c r="H78" i="76"/>
  <c r="G78" i="76"/>
  <c r="G77" i="76"/>
  <c r="H77" i="76" s="1"/>
  <c r="G76" i="76"/>
  <c r="G71" i="76"/>
  <c r="H71" i="76" s="1"/>
  <c r="J71" i="76" s="1"/>
  <c r="E70" i="76"/>
  <c r="D70" i="76"/>
  <c r="G69" i="76"/>
  <c r="H69" i="76" s="1"/>
  <c r="G68" i="76"/>
  <c r="H68" i="76" s="1"/>
  <c r="G67" i="76"/>
  <c r="H67" i="76" s="1"/>
  <c r="J67" i="76" s="1"/>
  <c r="E66" i="76"/>
  <c r="D66" i="76"/>
  <c r="G65" i="76"/>
  <c r="H65" i="76" s="1"/>
  <c r="G64" i="76"/>
  <c r="H64" i="76" s="1"/>
  <c r="G63" i="76"/>
  <c r="G62" i="76"/>
  <c r="H62" i="76" s="1"/>
  <c r="G61" i="76"/>
  <c r="H61" i="76" s="1"/>
  <c r="G60" i="76"/>
  <c r="H60" i="76" s="1"/>
  <c r="G59" i="76"/>
  <c r="H59" i="76" s="1"/>
  <c r="G58" i="76"/>
  <c r="H58" i="76" s="1"/>
  <c r="G57" i="76"/>
  <c r="H57" i="76" s="1"/>
  <c r="G56" i="76"/>
  <c r="H56" i="76" s="1"/>
  <c r="J56" i="76" s="1"/>
  <c r="E55" i="76"/>
  <c r="D55" i="76"/>
  <c r="G54" i="76"/>
  <c r="H54" i="76" s="1"/>
  <c r="G53" i="76"/>
  <c r="H53" i="76" s="1"/>
  <c r="G52" i="76"/>
  <c r="H52" i="76" s="1"/>
  <c r="G51" i="76"/>
  <c r="G50" i="76"/>
  <c r="H50" i="76" s="1"/>
  <c r="G49" i="76"/>
  <c r="H49" i="76" s="1"/>
  <c r="E48" i="76"/>
  <c r="D48" i="76"/>
  <c r="G47" i="76"/>
  <c r="H47" i="76" s="1"/>
  <c r="G46" i="76"/>
  <c r="H46" i="76" s="1"/>
  <c r="G45" i="76"/>
  <c r="H45" i="76" s="1"/>
  <c r="G44" i="76"/>
  <c r="H44" i="76" s="1"/>
  <c r="G43" i="76"/>
  <c r="H43" i="76" s="1"/>
  <c r="G42" i="76"/>
  <c r="H42" i="76" s="1"/>
  <c r="J42" i="76" s="1"/>
  <c r="E41" i="76"/>
  <c r="D41" i="76"/>
  <c r="G40" i="76"/>
  <c r="H40" i="76" s="1"/>
  <c r="H39" i="76"/>
  <c r="G39" i="76"/>
  <c r="G38" i="76"/>
  <c r="E37" i="76"/>
  <c r="D37" i="76"/>
  <c r="G36" i="76"/>
  <c r="H36" i="76" s="1"/>
  <c r="G35" i="76"/>
  <c r="H35" i="76" s="1"/>
  <c r="G34" i="76"/>
  <c r="H34" i="76" s="1"/>
  <c r="G33" i="76"/>
  <c r="H33" i="76" s="1"/>
  <c r="E32" i="76"/>
  <c r="D32" i="76"/>
  <c r="G31" i="76"/>
  <c r="H31" i="76" s="1"/>
  <c r="G30" i="76"/>
  <c r="H30" i="76" s="1"/>
  <c r="G29" i="76"/>
  <c r="H29" i="76" s="1"/>
  <c r="G28" i="76"/>
  <c r="E27" i="76"/>
  <c r="D27" i="76"/>
  <c r="G26" i="76"/>
  <c r="H26" i="76" s="1"/>
  <c r="G25" i="76"/>
  <c r="H25" i="76" s="1"/>
  <c r="G24" i="76"/>
  <c r="G27" i="76" s="1"/>
  <c r="E23" i="76"/>
  <c r="D23" i="76"/>
  <c r="G22" i="76"/>
  <c r="H22" i="76" s="1"/>
  <c r="G21" i="76"/>
  <c r="H21" i="76" s="1"/>
  <c r="G20" i="76"/>
  <c r="H20" i="76" s="1"/>
  <c r="G19" i="76"/>
  <c r="H19" i="76" s="1"/>
  <c r="G18" i="76"/>
  <c r="H18" i="76" s="1"/>
  <c r="G17" i="76"/>
  <c r="H17" i="76" s="1"/>
  <c r="G16" i="76"/>
  <c r="H16" i="76" s="1"/>
  <c r="G15" i="76"/>
  <c r="H15" i="76" s="1"/>
  <c r="G14" i="76"/>
  <c r="H14" i="76" s="1"/>
  <c r="G13" i="76"/>
  <c r="H13" i="76" s="1"/>
  <c r="G12" i="76"/>
  <c r="A11" i="76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A45" i="76" s="1"/>
  <c r="A46" i="76" s="1"/>
  <c r="A47" i="76" s="1"/>
  <c r="A48" i="76" s="1"/>
  <c r="A49" i="76" s="1"/>
  <c r="A50" i="76" s="1"/>
  <c r="A51" i="76" s="1"/>
  <c r="A52" i="76" s="1"/>
  <c r="A53" i="76" s="1"/>
  <c r="A54" i="76" s="1"/>
  <c r="A55" i="76" s="1"/>
  <c r="A56" i="76" s="1"/>
  <c r="A57" i="76" s="1"/>
  <c r="A58" i="76" s="1"/>
  <c r="A59" i="76" s="1"/>
  <c r="A60" i="76" s="1"/>
  <c r="A61" i="76" s="1"/>
  <c r="A62" i="76" s="1"/>
  <c r="A63" i="76" s="1"/>
  <c r="A64" i="76" s="1"/>
  <c r="A65" i="76" s="1"/>
  <c r="A66" i="76" s="1"/>
  <c r="A67" i="76" s="1"/>
  <c r="A68" i="76" s="1"/>
  <c r="A69" i="76" s="1"/>
  <c r="A70" i="76" s="1"/>
  <c r="A71" i="76" s="1"/>
  <c r="A72" i="76" s="1"/>
  <c r="A73" i="76" s="1"/>
  <c r="A74" i="76" s="1"/>
  <c r="A75" i="76" s="1"/>
  <c r="A76" i="76" s="1"/>
  <c r="A77" i="76" s="1"/>
  <c r="A78" i="76" s="1"/>
  <c r="A79" i="76" s="1"/>
  <c r="A80" i="76" s="1"/>
  <c r="A81" i="76" s="1"/>
  <c r="A82" i="76" s="1"/>
  <c r="A83" i="76" s="1"/>
  <c r="A84" i="76" s="1"/>
  <c r="A85" i="76" s="1"/>
  <c r="A86" i="76" s="1"/>
  <c r="A87" i="76" s="1"/>
  <c r="A88" i="76" s="1"/>
  <c r="A89" i="76" s="1"/>
  <c r="A90" i="76" s="1"/>
  <c r="A91" i="76" s="1"/>
  <c r="A92" i="76" s="1"/>
  <c r="A93" i="76" s="1"/>
  <c r="A94" i="76" s="1"/>
  <c r="A95" i="76" s="1"/>
  <c r="A96" i="76" s="1"/>
  <c r="A97" i="76" s="1"/>
  <c r="A98" i="76" s="1"/>
  <c r="A99" i="76" s="1"/>
  <c r="A100" i="76" s="1"/>
  <c r="A101" i="76" s="1"/>
  <c r="A102" i="76" s="1"/>
  <c r="A103" i="76" s="1"/>
  <c r="A104" i="76" s="1"/>
  <c r="A105" i="76" s="1"/>
  <c r="A106" i="76" s="1"/>
  <c r="A107" i="76" s="1"/>
  <c r="A108" i="76" s="1"/>
  <c r="A109" i="76" s="1"/>
  <c r="A110" i="76" s="1"/>
  <c r="A111" i="76" s="1"/>
  <c r="A112" i="76" s="1"/>
  <c r="A113" i="76" s="1"/>
  <c r="A114" i="76" s="1"/>
  <c r="A115" i="76" s="1"/>
  <c r="A116" i="76" s="1"/>
  <c r="A117" i="76" s="1"/>
  <c r="A118" i="76" s="1"/>
  <c r="A119" i="76" s="1"/>
  <c r="A120" i="76" s="1"/>
  <c r="A121" i="76" s="1"/>
  <c r="A122" i="76" s="1"/>
  <c r="A123" i="76" s="1"/>
  <c r="A124" i="76" s="1"/>
  <c r="A125" i="76" s="1"/>
  <c r="A126" i="76" s="1"/>
  <c r="A127" i="76" s="1"/>
  <c r="A128" i="76" s="1"/>
  <c r="A129" i="76" s="1"/>
  <c r="G88" i="76" l="1"/>
  <c r="G66" i="76"/>
  <c r="D73" i="76"/>
  <c r="D94" i="76"/>
  <c r="E73" i="76"/>
  <c r="G32" i="76"/>
  <c r="D114" i="76"/>
  <c r="D118" i="76" s="1"/>
  <c r="E112" i="76" s="1"/>
  <c r="G23" i="76"/>
  <c r="J59" i="76"/>
  <c r="I94" i="76"/>
  <c r="J49" i="76"/>
  <c r="F106" i="76" s="1"/>
  <c r="J58" i="76"/>
  <c r="I73" i="76"/>
  <c r="G41" i="76"/>
  <c r="G55" i="76"/>
  <c r="E94" i="76"/>
  <c r="E102" i="76" s="1"/>
  <c r="E122" i="76"/>
  <c r="E125" i="76" s="1"/>
  <c r="H38" i="76"/>
  <c r="H41" i="76" s="1"/>
  <c r="J41" i="76" s="1"/>
  <c r="G82" i="76"/>
  <c r="H48" i="76"/>
  <c r="J48" i="76" s="1"/>
  <c r="J57" i="76"/>
  <c r="D102" i="76"/>
  <c r="H91" i="76"/>
  <c r="J91" i="76" s="1"/>
  <c r="E110" i="76"/>
  <c r="H37" i="76"/>
  <c r="J37" i="76" s="1"/>
  <c r="H70" i="76"/>
  <c r="J70" i="76" s="1"/>
  <c r="E113" i="76"/>
  <c r="E115" i="76"/>
  <c r="G91" i="76"/>
  <c r="G94" i="76" s="1"/>
  <c r="H63" i="76"/>
  <c r="H66" i="76" s="1"/>
  <c r="J66" i="76" s="1"/>
  <c r="H85" i="76"/>
  <c r="H88" i="76" s="1"/>
  <c r="H12" i="76"/>
  <c r="H23" i="76" s="1"/>
  <c r="H24" i="76"/>
  <c r="H27" i="76" s="1"/>
  <c r="J27" i="76" s="1"/>
  <c r="H28" i="76"/>
  <c r="H32" i="76" s="1"/>
  <c r="J32" i="76" s="1"/>
  <c r="G37" i="76"/>
  <c r="H51" i="76"/>
  <c r="H55" i="76" s="1"/>
  <c r="J55" i="76" s="1"/>
  <c r="H76" i="76"/>
  <c r="H82" i="76" s="1"/>
  <c r="J82" i="76" s="1"/>
  <c r="G48" i="76"/>
  <c r="G70" i="76"/>
  <c r="H97" i="76"/>
  <c r="H100" i="76" s="1"/>
  <c r="I102" i="76" l="1"/>
  <c r="E109" i="76"/>
  <c r="E111" i="76"/>
  <c r="E116" i="76"/>
  <c r="G73" i="76"/>
  <c r="G102" i="76" s="1"/>
  <c r="J88" i="76"/>
  <c r="J94" i="76" s="1"/>
  <c r="F118" i="76" s="1"/>
  <c r="H94" i="76"/>
  <c r="J100" i="76"/>
  <c r="J23" i="76"/>
  <c r="J73" i="76" s="1"/>
  <c r="F105" i="76" s="1"/>
  <c r="F22" i="35" s="1"/>
  <c r="H73" i="76"/>
  <c r="H102" i="76" s="1"/>
  <c r="E114" i="76"/>
  <c r="E118" i="76" s="1"/>
  <c r="F112" i="76" l="1"/>
  <c r="F17" i="35" s="1"/>
  <c r="F116" i="76"/>
  <c r="F109" i="76"/>
  <c r="F14" i="35" s="1"/>
  <c r="F113" i="76"/>
  <c r="F19" i="35" s="1"/>
  <c r="F111" i="76"/>
  <c r="F16" i="35" s="1"/>
  <c r="F115" i="76"/>
  <c r="F34" i="35" s="1"/>
  <c r="F110" i="76"/>
  <c r="F127" i="76"/>
  <c r="J102" i="76"/>
  <c r="F125" i="76"/>
  <c r="F114" i="76" l="1"/>
  <c r="F123" i="76"/>
  <c r="F129" i="76" s="1"/>
  <c r="F122" i="76"/>
  <c r="F15" i="35" s="1"/>
  <c r="F128" i="76" l="1"/>
  <c r="E13" i="48" s="1"/>
  <c r="G13" i="48" s="1"/>
  <c r="W89" i="75"/>
  <c r="X89" i="75" s="1"/>
  <c r="X87" i="75"/>
  <c r="W86" i="75"/>
  <c r="W88" i="75" s="1"/>
  <c r="W90" i="75" s="1"/>
  <c r="V86" i="75"/>
  <c r="X85" i="75"/>
  <c r="X84" i="75"/>
  <c r="X83" i="75"/>
  <c r="X82" i="75"/>
  <c r="M73" i="75"/>
  <c r="L73" i="75"/>
  <c r="K73" i="75"/>
  <c r="D30" i="75"/>
  <c r="H28" i="75"/>
  <c r="F28" i="75"/>
  <c r="H27" i="75"/>
  <c r="F27" i="75"/>
  <c r="H26" i="75"/>
  <c r="F26" i="75"/>
  <c r="H25" i="75"/>
  <c r="F25" i="75"/>
  <c r="H24" i="75"/>
  <c r="F24" i="75"/>
  <c r="H23" i="75"/>
  <c r="F23" i="75"/>
  <c r="H22" i="75"/>
  <c r="F22" i="75"/>
  <c r="H21" i="75"/>
  <c r="F21" i="75"/>
  <c r="H20" i="75"/>
  <c r="F20" i="75"/>
  <c r="H19" i="75"/>
  <c r="F19" i="75"/>
  <c r="H18" i="75"/>
  <c r="F18" i="75"/>
  <c r="H17" i="75"/>
  <c r="F17" i="75"/>
  <c r="H16" i="75"/>
  <c r="F16" i="75"/>
  <c r="H15" i="75"/>
  <c r="F15" i="75"/>
  <c r="H14" i="75"/>
  <c r="F14" i="75"/>
  <c r="H13" i="75"/>
  <c r="F13" i="75"/>
  <c r="A13" i="75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N73" i="75" l="1"/>
  <c r="N72" i="75" s="1"/>
  <c r="O72" i="75" s="1"/>
  <c r="P72" i="75" s="1"/>
  <c r="F30" i="75"/>
  <c r="F34" i="75" s="1"/>
  <c r="J34" i="75" s="1"/>
  <c r="X86" i="75"/>
  <c r="H34" i="75"/>
  <c r="V88" i="75"/>
  <c r="V90" i="75" s="1"/>
  <c r="X90" i="75"/>
  <c r="X88" i="75"/>
  <c r="I39" i="75"/>
  <c r="I40" i="75" s="1"/>
  <c r="D38" i="75"/>
  <c r="D41" i="75" s="1"/>
  <c r="J40" i="75" l="1"/>
  <c r="G15" i="74"/>
  <c r="G14" i="74"/>
  <c r="G13" i="74"/>
  <c r="G12" i="74"/>
  <c r="G11" i="74"/>
  <c r="F16" i="74"/>
  <c r="F20" i="74" s="1"/>
  <c r="E16" i="74"/>
  <c r="E20" i="74" s="1"/>
  <c r="D16" i="74"/>
  <c r="D20" i="74" s="1"/>
  <c r="G10" i="74"/>
  <c r="C30" i="74" l="1"/>
  <c r="G16" i="74"/>
  <c r="G20" i="74" s="1"/>
  <c r="C16" i="74"/>
  <c r="C20" i="74" l="1"/>
  <c r="C25" i="74" l="1"/>
  <c r="C19" i="35" l="1"/>
  <c r="C14" i="35"/>
  <c r="C16" i="17" l="1"/>
  <c r="C17" i="17" s="1"/>
  <c r="C18" i="17" s="1"/>
  <c r="C19" i="17" s="1"/>
  <c r="C20" i="17" s="1"/>
  <c r="C21" i="17" s="1"/>
  <c r="C22" i="17" s="1"/>
  <c r="C23" i="17" s="1"/>
  <c r="C24" i="17" s="1"/>
  <c r="C16" i="55"/>
  <c r="C17" i="55" s="1"/>
  <c r="C18" i="55" s="1"/>
  <c r="C19" i="55" s="1"/>
  <c r="C20" i="55" s="1"/>
  <c r="C21" i="55" s="1"/>
  <c r="C22" i="55" s="1"/>
  <c r="C23" i="55" s="1"/>
  <c r="C24" i="55" s="1"/>
  <c r="C16" i="56"/>
  <c r="C17" i="56" s="1"/>
  <c r="C18" i="56" s="1"/>
  <c r="C19" i="56" s="1"/>
  <c r="C20" i="56" s="1"/>
  <c r="C21" i="56" s="1"/>
  <c r="C22" i="56" s="1"/>
  <c r="C23" i="56" s="1"/>
  <c r="C24" i="56" s="1"/>
  <c r="G45" i="35" l="1"/>
  <c r="G40" i="35"/>
  <c r="J40" i="35" s="1"/>
  <c r="C46" i="35"/>
  <c r="J45" i="35" l="1"/>
  <c r="R6" i="36" l="1"/>
  <c r="R4" i="36"/>
  <c r="R27" i="36" l="1"/>
  <c r="Q6" i="36" l="1"/>
  <c r="Q4" i="36"/>
  <c r="M35" i="36"/>
  <c r="P23" i="36"/>
  <c r="P6" i="36"/>
  <c r="P4" i="36"/>
  <c r="Q11" i="36" l="1"/>
  <c r="I31" i="35" l="1"/>
  <c r="I21" i="35"/>
  <c r="G36" i="35"/>
  <c r="G35" i="35"/>
  <c r="G34" i="35"/>
  <c r="G33" i="35"/>
  <c r="G26" i="35"/>
  <c r="G25" i="35"/>
  <c r="G23" i="35"/>
  <c r="G18" i="35"/>
  <c r="G17" i="35"/>
  <c r="G16" i="35"/>
  <c r="G14" i="35"/>
  <c r="G9" i="35"/>
  <c r="F26" i="55" l="1"/>
  <c r="A14" i="55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13" i="55"/>
  <c r="A14" i="56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13" i="56"/>
  <c r="F26" i="56"/>
  <c r="F26" i="17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13" i="17"/>
  <c r="F26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13" i="6"/>
  <c r="G15" i="35" l="1"/>
  <c r="G19" i="35"/>
  <c r="G24" i="35"/>
  <c r="G46" i="35" l="1"/>
  <c r="G26" i="48" l="1"/>
  <c r="A13" i="28" l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12" i="28"/>
  <c r="E36" i="35" l="1"/>
  <c r="I36" i="35" s="1"/>
  <c r="K36" i="35" s="1"/>
  <c r="E35" i="35"/>
  <c r="I35" i="35" s="1"/>
  <c r="K35" i="35" s="1"/>
  <c r="E34" i="35"/>
  <c r="I34" i="35" s="1"/>
  <c r="K34" i="35" s="1"/>
  <c r="E33" i="35"/>
  <c r="I33" i="35" s="1"/>
  <c r="K33" i="35" s="1"/>
  <c r="E32" i="35"/>
  <c r="E23" i="35"/>
  <c r="E24" i="35"/>
  <c r="E25" i="35"/>
  <c r="E26" i="35"/>
  <c r="I26" i="35" s="1"/>
  <c r="K26" i="35" s="1"/>
  <c r="E22" i="35"/>
  <c r="E15" i="35"/>
  <c r="I15" i="35" s="1"/>
  <c r="K15" i="35" s="1"/>
  <c r="E16" i="35"/>
  <c r="I16" i="35" s="1"/>
  <c r="K16" i="35" s="1"/>
  <c r="E17" i="35"/>
  <c r="I17" i="35" s="1"/>
  <c r="K17" i="35" s="1"/>
  <c r="E18" i="35"/>
  <c r="I18" i="35" s="1"/>
  <c r="K18" i="35" s="1"/>
  <c r="E19" i="35"/>
  <c r="E14" i="35"/>
  <c r="E13" i="35"/>
  <c r="E9" i="35"/>
  <c r="I9" i="35" s="1"/>
  <c r="K9" i="35" s="1"/>
  <c r="E8" i="35"/>
  <c r="C20" i="35"/>
  <c r="C28" i="35" s="1"/>
  <c r="C10" i="35"/>
  <c r="D20" i="35"/>
  <c r="D28" i="35" s="1"/>
  <c r="D10" i="35"/>
  <c r="D30" i="35" l="1"/>
  <c r="H10" i="35"/>
  <c r="H30" i="35" s="1"/>
  <c r="I14" i="35"/>
  <c r="K14" i="35" s="1"/>
  <c r="I23" i="35"/>
  <c r="K23" i="35" s="1"/>
  <c r="I25" i="35"/>
  <c r="K25" i="35" s="1"/>
  <c r="I24" i="35"/>
  <c r="K24" i="35" s="1"/>
  <c r="I19" i="35"/>
  <c r="K19" i="35" s="1"/>
  <c r="I8" i="35"/>
  <c r="C47" i="35"/>
  <c r="C30" i="35"/>
  <c r="D38" i="35" l="1"/>
  <c r="C41" i="35"/>
  <c r="C38" i="35"/>
  <c r="E10" i="35"/>
  <c r="C43" i="35" l="1"/>
  <c r="C42" i="35"/>
  <c r="C48" i="35"/>
  <c r="O6" i="36"/>
  <c r="N6" i="36"/>
  <c r="O4" i="36"/>
  <c r="N4" i="36"/>
  <c r="M4" i="36"/>
  <c r="L4" i="36"/>
  <c r="K4" i="36"/>
  <c r="J4" i="36"/>
  <c r="I4" i="36"/>
  <c r="H4" i="36"/>
  <c r="G4" i="36"/>
  <c r="F4" i="36"/>
  <c r="E4" i="36"/>
  <c r="D4" i="36"/>
  <c r="C6" i="36"/>
  <c r="C4" i="36"/>
  <c r="C49" i="35" l="1"/>
  <c r="L23" i="36"/>
  <c r="M23" i="36" l="1"/>
  <c r="N23" i="36" l="1"/>
  <c r="H26" i="56"/>
  <c r="F28" i="56"/>
  <c r="F32" i="56" s="1"/>
  <c r="A5" i="56"/>
  <c r="A4" i="56"/>
  <c r="H26" i="55"/>
  <c r="H28" i="55" s="1"/>
  <c r="H32" i="55" s="1"/>
  <c r="F28" i="55"/>
  <c r="F32" i="55" s="1"/>
  <c r="A5" i="55"/>
  <c r="A4" i="55"/>
  <c r="G55" i="33" l="1"/>
  <c r="F17" i="36"/>
  <c r="F10" i="36"/>
  <c r="H28" i="56"/>
  <c r="H32" i="56" s="1"/>
  <c r="J32" i="56" s="1"/>
  <c r="E10" i="36"/>
  <c r="O23" i="36"/>
  <c r="E17" i="36" l="1"/>
  <c r="F60" i="50" l="1"/>
  <c r="F19" i="50"/>
  <c r="F17" i="50"/>
  <c r="E21" i="50"/>
  <c r="D21" i="50"/>
  <c r="F14" i="50"/>
  <c r="E12" i="50"/>
  <c r="M6" i="36" l="1"/>
  <c r="L6" i="36"/>
  <c r="K6" i="36"/>
  <c r="J6" i="36"/>
  <c r="I6" i="36"/>
  <c r="H6" i="36"/>
  <c r="G6" i="36"/>
  <c r="F6" i="36"/>
  <c r="E6" i="36"/>
  <c r="D6" i="36"/>
  <c r="U18" i="36"/>
  <c r="U19" i="36"/>
  <c r="U20" i="36"/>
  <c r="U21" i="36"/>
  <c r="U22" i="36"/>
  <c r="K23" i="36" l="1"/>
  <c r="J14" i="35" l="1"/>
  <c r="J15" i="35"/>
  <c r="J16" i="35"/>
  <c r="J17" i="35"/>
  <c r="J18" i="35"/>
  <c r="J23" i="35"/>
  <c r="J25" i="35"/>
  <c r="J26" i="35"/>
  <c r="J33" i="35"/>
  <c r="J34" i="35"/>
  <c r="J36" i="35"/>
  <c r="G22" i="35" l="1"/>
  <c r="I22" i="35"/>
  <c r="K22" i="35" s="1"/>
  <c r="J24" i="35"/>
  <c r="J46" i="35" s="1"/>
  <c r="J9" i="35" l="1"/>
  <c r="B1" i="36"/>
  <c r="A1" i="50"/>
  <c r="A5" i="33"/>
  <c r="A4" i="33"/>
  <c r="A4" i="28"/>
  <c r="A3" i="28"/>
  <c r="A5" i="17"/>
  <c r="A4" i="17"/>
  <c r="A5" i="6"/>
  <c r="A4" i="6"/>
  <c r="C16" i="6" l="1"/>
  <c r="C17" i="6" s="1"/>
  <c r="C18" i="6" s="1"/>
  <c r="C19" i="6" s="1"/>
  <c r="C20" i="6" s="1"/>
  <c r="C21" i="6" s="1"/>
  <c r="C22" i="6" s="1"/>
  <c r="C23" i="6" s="1"/>
  <c r="C24" i="6" s="1"/>
  <c r="A1" i="48"/>
  <c r="E20" i="35" l="1"/>
  <c r="E28" i="35" s="1"/>
  <c r="E30" i="35" l="1"/>
  <c r="F64" i="50"/>
  <c r="F63" i="50"/>
  <c r="F59" i="50"/>
  <c r="F58" i="50"/>
  <c r="F57" i="50"/>
  <c r="F55" i="50"/>
  <c r="F52" i="50"/>
  <c r="F51" i="50"/>
  <c r="F50" i="50"/>
  <c r="F49" i="50"/>
  <c r="F46" i="50"/>
  <c r="F45" i="50"/>
  <c r="F44" i="50"/>
  <c r="F42" i="50"/>
  <c r="F41" i="50"/>
  <c r="F36" i="50"/>
  <c r="F35" i="50"/>
  <c r="F32" i="50"/>
  <c r="F31" i="50"/>
  <c r="F30" i="50"/>
  <c r="F29" i="50"/>
  <c r="F28" i="50"/>
  <c r="F27" i="50"/>
  <c r="F26" i="50"/>
  <c r="F25" i="50"/>
  <c r="F24" i="50"/>
  <c r="F23" i="50"/>
  <c r="F20" i="50"/>
  <c r="F18" i="50"/>
  <c r="F16" i="50"/>
  <c r="F15" i="50"/>
  <c r="F11" i="50"/>
  <c r="F9" i="50"/>
  <c r="F8" i="50"/>
  <c r="E61" i="50"/>
  <c r="E53" i="50"/>
  <c r="E47" i="50"/>
  <c r="E33" i="50"/>
  <c r="E38" i="50" s="1"/>
  <c r="D61" i="50"/>
  <c r="D53" i="50"/>
  <c r="D47" i="50"/>
  <c r="D33" i="50"/>
  <c r="E65" i="50" l="1"/>
  <c r="F21" i="50"/>
  <c r="D65" i="50"/>
  <c r="F61" i="50"/>
  <c r="F53" i="50"/>
  <c r="F47" i="50"/>
  <c r="F33" i="50"/>
  <c r="D10" i="50"/>
  <c r="D12" i="50" s="1"/>
  <c r="D38" i="50" l="1"/>
  <c r="F10" i="50"/>
  <c r="F65" i="50"/>
  <c r="F12" i="50" l="1"/>
  <c r="F38" i="50" s="1"/>
  <c r="A8" i="50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4" i="50" s="1"/>
  <c r="A45" i="50" s="1"/>
  <c r="A46" i="50" s="1"/>
  <c r="A47" i="50" s="1"/>
  <c r="A48" i="50" s="1"/>
  <c r="A49" i="50" s="1"/>
  <c r="A50" i="50" s="1"/>
  <c r="A51" i="50" s="1"/>
  <c r="A52" i="50" s="1"/>
  <c r="D6" i="50"/>
  <c r="E6" i="50" s="1"/>
  <c r="A53" i="50" l="1"/>
  <c r="A54" i="50" s="1"/>
  <c r="A55" i="50" s="1"/>
  <c r="A56" i="50" s="1"/>
  <c r="A57" i="50" s="1"/>
  <c r="A58" i="50" s="1"/>
  <c r="A59" i="50" s="1"/>
  <c r="D5" i="48"/>
  <c r="E5" i="48" s="1"/>
  <c r="F5" i="48" s="1"/>
  <c r="G5" i="48" s="1"/>
  <c r="U39" i="36" l="1"/>
  <c r="U37" i="36"/>
  <c r="U35" i="36"/>
  <c r="U30" i="36"/>
  <c r="U29" i="36"/>
  <c r="T44" i="36" l="1"/>
  <c r="T40" i="36"/>
  <c r="T24" i="36"/>
  <c r="T31" i="36" s="1"/>
  <c r="T45" i="36" l="1"/>
  <c r="T47" i="36" s="1"/>
  <c r="T33" i="36"/>
  <c r="T42" i="36" s="1"/>
  <c r="T48" i="36" l="1"/>
  <c r="A8" i="35" l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U27" i="36" l="1"/>
  <c r="I26" i="36" l="1"/>
  <c r="U26" i="36" s="1"/>
  <c r="J22" i="35"/>
  <c r="U28" i="36"/>
  <c r="E15" i="28" l="1"/>
  <c r="R40" i="36" l="1"/>
  <c r="S40" i="36"/>
  <c r="Q40" i="36"/>
  <c r="P40" i="36"/>
  <c r="N40" i="36"/>
  <c r="M40" i="36"/>
  <c r="M46" i="36" s="1"/>
  <c r="L40" i="36"/>
  <c r="L46" i="36" s="1"/>
  <c r="K40" i="36"/>
  <c r="K46" i="36" s="1"/>
  <c r="J40" i="36"/>
  <c r="J46" i="36" s="1"/>
  <c r="I40" i="36"/>
  <c r="I46" i="36" s="1"/>
  <c r="H40" i="36"/>
  <c r="H46" i="36" s="1"/>
  <c r="F40" i="36"/>
  <c r="F46" i="36" s="1"/>
  <c r="E40" i="36"/>
  <c r="E46" i="36" s="1"/>
  <c r="D40" i="36"/>
  <c r="D46" i="36" s="1"/>
  <c r="C40" i="36"/>
  <c r="C46" i="36" s="1"/>
  <c r="P24" i="36"/>
  <c r="P31" i="36" s="1"/>
  <c r="O24" i="36"/>
  <c r="O31" i="36" s="1"/>
  <c r="L24" i="36"/>
  <c r="L31" i="36" s="1"/>
  <c r="L45" i="36" s="1"/>
  <c r="K24" i="36"/>
  <c r="K31" i="36" s="1"/>
  <c r="K45" i="36" s="1"/>
  <c r="P12" i="36"/>
  <c r="O12" i="36"/>
  <c r="N12" i="36"/>
  <c r="M12" i="36"/>
  <c r="L12" i="36"/>
  <c r="K12" i="36"/>
  <c r="J12" i="36"/>
  <c r="I12" i="36"/>
  <c r="G12" i="36"/>
  <c r="E12" i="36"/>
  <c r="A8" i="36"/>
  <c r="A9" i="36" s="1"/>
  <c r="A10" i="36" s="1"/>
  <c r="A11" i="36" s="1"/>
  <c r="A12" i="36" s="1"/>
  <c r="A13" i="36" s="1"/>
  <c r="A14" i="36" s="1"/>
  <c r="G44" i="36" l="1"/>
  <c r="K44" i="36"/>
  <c r="K47" i="36" s="1"/>
  <c r="L44" i="36"/>
  <c r="L47" i="36" s="1"/>
  <c r="E44" i="36"/>
  <c r="I44" i="36"/>
  <c r="M44" i="36"/>
  <c r="P45" i="36"/>
  <c r="O44" i="36"/>
  <c r="J44" i="36"/>
  <c r="N44" i="36"/>
  <c r="P44" i="36"/>
  <c r="L33" i="36"/>
  <c r="L42" i="36" s="1"/>
  <c r="P33" i="36"/>
  <c r="P42" i="36" s="1"/>
  <c r="A15" i="36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K33" i="36"/>
  <c r="K42" i="36" s="1"/>
  <c r="O33" i="36"/>
  <c r="L48" i="36" l="1"/>
  <c r="P47" i="36"/>
  <c r="P48" i="36" s="1"/>
  <c r="K48" i="36"/>
  <c r="A34" i="36"/>
  <c r="A35" i="36" s="1"/>
  <c r="A37" i="36" s="1"/>
  <c r="A38" i="36" s="1"/>
  <c r="A39" i="36" s="1"/>
  <c r="A40" i="36" s="1"/>
  <c r="A41" i="36" s="1"/>
  <c r="A42" i="36" s="1"/>
  <c r="I44" i="33" l="1"/>
  <c r="G35" i="33"/>
  <c r="H35" i="33"/>
  <c r="F35" i="33"/>
  <c r="E38" i="35" l="1"/>
  <c r="G25" i="33" l="1"/>
  <c r="G27" i="33" s="1"/>
  <c r="H25" i="33"/>
  <c r="H27" i="33" s="1"/>
  <c r="F25" i="33"/>
  <c r="F27" i="33" s="1"/>
  <c r="F30" i="33" l="1"/>
  <c r="F31" i="33" s="1"/>
  <c r="H30" i="33"/>
  <c r="H31" i="33" s="1"/>
  <c r="G30" i="33"/>
  <c r="G31" i="33" s="1"/>
  <c r="H36" i="33" l="1"/>
  <c r="G36" i="33"/>
  <c r="I31" i="33"/>
  <c r="F36" i="33"/>
  <c r="E17" i="28"/>
  <c r="E19" i="28" s="1"/>
  <c r="E23" i="28" s="1"/>
  <c r="E25" i="28" s="1"/>
  <c r="G23" i="36" l="1"/>
  <c r="G24" i="36" s="1"/>
  <c r="G31" i="36" s="1"/>
  <c r="G9" i="48"/>
  <c r="M24" i="36"/>
  <c r="M31" i="36" s="1"/>
  <c r="I36" i="33"/>
  <c r="G45" i="36" l="1"/>
  <c r="G33" i="36"/>
  <c r="F46" i="33"/>
  <c r="F48" i="33" s="1"/>
  <c r="M45" i="36"/>
  <c r="M47" i="36" s="1"/>
  <c r="E24" i="36"/>
  <c r="E31" i="36" s="1"/>
  <c r="F27" i="48"/>
  <c r="S24" i="36"/>
  <c r="S31" i="36" s="1"/>
  <c r="N24" i="36"/>
  <c r="N31" i="36" s="1"/>
  <c r="M33" i="36"/>
  <c r="M42" i="36" s="1"/>
  <c r="I24" i="36"/>
  <c r="G32" i="35" l="1"/>
  <c r="J32" i="35" s="1"/>
  <c r="I32" i="35"/>
  <c r="K32" i="35" s="1"/>
  <c r="G10" i="48"/>
  <c r="U15" i="36"/>
  <c r="F24" i="36"/>
  <c r="F31" i="36" s="1"/>
  <c r="F45" i="36" s="1"/>
  <c r="J23" i="36"/>
  <c r="J19" i="35"/>
  <c r="G11" i="48"/>
  <c r="E45" i="36"/>
  <c r="E47" i="36" s="1"/>
  <c r="E33" i="36"/>
  <c r="E42" i="36" s="1"/>
  <c r="S45" i="36"/>
  <c r="I31" i="36"/>
  <c r="I45" i="36" s="1"/>
  <c r="I47" i="36" s="1"/>
  <c r="S12" i="36"/>
  <c r="N45" i="36"/>
  <c r="N47" i="36" s="1"/>
  <c r="N33" i="36"/>
  <c r="N42" i="36" s="1"/>
  <c r="M48" i="36"/>
  <c r="O40" i="36"/>
  <c r="O45" i="36" s="1"/>
  <c r="U9" i="36" l="1"/>
  <c r="F12" i="36"/>
  <c r="G40" i="36"/>
  <c r="U40" i="36" s="1"/>
  <c r="U38" i="36"/>
  <c r="E48" i="36"/>
  <c r="J35" i="35"/>
  <c r="F33" i="48"/>
  <c r="J24" i="36"/>
  <c r="J31" i="36" s="1"/>
  <c r="U23" i="36"/>
  <c r="I33" i="36"/>
  <c r="S44" i="36"/>
  <c r="S47" i="36" s="1"/>
  <c r="S33" i="36"/>
  <c r="S42" i="36" s="1"/>
  <c r="N48" i="36"/>
  <c r="O42" i="36"/>
  <c r="O47" i="36"/>
  <c r="H12" i="36" l="1"/>
  <c r="U11" i="36"/>
  <c r="F44" i="36"/>
  <c r="F47" i="36" s="1"/>
  <c r="F33" i="36"/>
  <c r="F42" i="36" s="1"/>
  <c r="F36" i="48"/>
  <c r="J45" i="36"/>
  <c r="J47" i="36" s="1"/>
  <c r="J33" i="36"/>
  <c r="J42" i="36" s="1"/>
  <c r="G46" i="36"/>
  <c r="G42" i="36"/>
  <c r="W40" i="36"/>
  <c r="I42" i="36"/>
  <c r="S48" i="36"/>
  <c r="O48" i="36"/>
  <c r="H44" i="36" l="1"/>
  <c r="F48" i="36"/>
  <c r="F37" i="48"/>
  <c r="J48" i="36"/>
  <c r="U46" i="36"/>
  <c r="W46" i="36" s="1"/>
  <c r="G47" i="36"/>
  <c r="G48" i="36" s="1"/>
  <c r="F34" i="48"/>
  <c r="I48" i="36"/>
  <c r="H26" i="17" l="1"/>
  <c r="G54" i="33" s="1"/>
  <c r="F28" i="17"/>
  <c r="F32" i="17" s="1"/>
  <c r="H26" i="6"/>
  <c r="G53" i="33" s="1"/>
  <c r="F28" i="6"/>
  <c r="F32" i="6" s="1"/>
  <c r="H28" i="17" l="1"/>
  <c r="H32" i="17" s="1"/>
  <c r="H28" i="6"/>
  <c r="H32" i="6" s="1"/>
  <c r="C17" i="36" s="1"/>
  <c r="C24" i="36" s="1"/>
  <c r="C31" i="36" s="1"/>
  <c r="R12" i="36"/>
  <c r="D10" i="36"/>
  <c r="D12" i="36" s="1"/>
  <c r="D44" i="36" s="1"/>
  <c r="C10" i="36"/>
  <c r="C12" i="36" s="1"/>
  <c r="C44" i="36" s="1"/>
  <c r="R24" i="36"/>
  <c r="R31" i="36" s="1"/>
  <c r="R44" i="36"/>
  <c r="Q24" i="36"/>
  <c r="Q12" i="36"/>
  <c r="G56" i="33" l="1"/>
  <c r="F39" i="33" s="1"/>
  <c r="F40" i="33" s="1"/>
  <c r="G7" i="48"/>
  <c r="D27" i="48"/>
  <c r="R33" i="36"/>
  <c r="R42" i="36" s="1"/>
  <c r="U10" i="36"/>
  <c r="C45" i="36"/>
  <c r="C47" i="36" s="1"/>
  <c r="C33" i="36"/>
  <c r="C42" i="36" s="1"/>
  <c r="D17" i="36"/>
  <c r="R45" i="36"/>
  <c r="R47" i="36" s="1"/>
  <c r="G8" i="48"/>
  <c r="Q31" i="36"/>
  <c r="Q33" i="36" s="1"/>
  <c r="U12" i="36"/>
  <c r="Q44" i="36"/>
  <c r="R48" i="36" l="1"/>
  <c r="G8" i="35"/>
  <c r="G39" i="33"/>
  <c r="G40" i="33" s="1"/>
  <c r="F10" i="35"/>
  <c r="C48" i="36"/>
  <c r="D36" i="48"/>
  <c r="D24" i="36"/>
  <c r="U17" i="36"/>
  <c r="U44" i="36"/>
  <c r="Q42" i="36"/>
  <c r="Q45" i="36"/>
  <c r="D33" i="48" l="1"/>
  <c r="D34" i="48" s="1"/>
  <c r="H39" i="33"/>
  <c r="H40" i="33" s="1"/>
  <c r="I10" i="35"/>
  <c r="I40" i="33"/>
  <c r="G46" i="33" s="1"/>
  <c r="I46" i="33" s="1"/>
  <c r="I48" i="33" s="1"/>
  <c r="D37" i="48"/>
  <c r="W44" i="36"/>
  <c r="D31" i="36"/>
  <c r="W12" i="36"/>
  <c r="G10" i="35"/>
  <c r="Q47" i="36"/>
  <c r="G48" i="33" l="1"/>
  <c r="E12" i="48" s="1"/>
  <c r="E27" i="48" s="1"/>
  <c r="D45" i="36"/>
  <c r="D33" i="36"/>
  <c r="Q48" i="36"/>
  <c r="G12" i="48" l="1"/>
  <c r="G27" i="48" s="1"/>
  <c r="H16" i="36"/>
  <c r="G13" i="35"/>
  <c r="J13" i="35" s="1"/>
  <c r="J20" i="35" s="1"/>
  <c r="J28" i="35" s="1"/>
  <c r="E31" i="48"/>
  <c r="H24" i="36"/>
  <c r="U16" i="36"/>
  <c r="D42" i="36"/>
  <c r="D47" i="36"/>
  <c r="I13" i="35" l="1"/>
  <c r="K13" i="35" s="1"/>
  <c r="K20" i="35" s="1"/>
  <c r="K28" i="35" s="1"/>
  <c r="F20" i="35"/>
  <c r="F28" i="35" s="1"/>
  <c r="F30" i="35" s="1"/>
  <c r="J47" i="35"/>
  <c r="I20" i="35"/>
  <c r="I28" i="35" s="1"/>
  <c r="G20" i="35"/>
  <c r="G28" i="35" s="1"/>
  <c r="H31" i="36"/>
  <c r="U24" i="36"/>
  <c r="D48" i="36"/>
  <c r="G30" i="35" l="1"/>
  <c r="I30" i="35"/>
  <c r="E33" i="48"/>
  <c r="E34" i="48" s="1"/>
  <c r="G47" i="35"/>
  <c r="F38" i="35"/>
  <c r="H45" i="36"/>
  <c r="H33" i="36"/>
  <c r="U31" i="36"/>
  <c r="H38" i="35" l="1"/>
  <c r="G33" i="48"/>
  <c r="G34" i="48" s="1"/>
  <c r="G38" i="35"/>
  <c r="G41" i="35"/>
  <c r="I38" i="35"/>
  <c r="W31" i="36"/>
  <c r="E36" i="48"/>
  <c r="E37" i="48" s="1"/>
  <c r="H42" i="36"/>
  <c r="U42" i="36" s="1"/>
  <c r="U33" i="36"/>
  <c r="H47" i="36"/>
  <c r="U45" i="36"/>
  <c r="W45" i="36" s="1"/>
  <c r="G42" i="35" l="1"/>
  <c r="G43" i="35"/>
  <c r="G48" i="35"/>
  <c r="G36" i="48"/>
  <c r="G37" i="48" s="1"/>
  <c r="W42" i="36"/>
  <c r="H48" i="36"/>
  <c r="U47" i="36"/>
  <c r="G49" i="35" l="1"/>
  <c r="G52" i="35"/>
  <c r="K8" i="35"/>
  <c r="J8" i="35"/>
  <c r="U48" i="36"/>
  <c r="W47" i="36"/>
  <c r="K10" i="35" l="1"/>
  <c r="K30" i="35" s="1"/>
  <c r="J10" i="35"/>
  <c r="J30" i="35" l="1"/>
  <c r="J38" i="35" s="1"/>
  <c r="J41" i="35" l="1"/>
  <c r="K38" i="35"/>
  <c r="J51" i="35"/>
  <c r="J42" i="35"/>
  <c r="J49" i="35" s="1"/>
  <c r="J43" i="35"/>
  <c r="J48" i="35"/>
  <c r="J54" i="35" l="1"/>
  <c r="J52" i="35"/>
  <c r="K51" i="35"/>
  <c r="K52" i="35" l="1"/>
</calcChain>
</file>

<file path=xl/sharedStrings.xml><?xml version="1.0" encoding="utf-8"?>
<sst xmlns="http://schemas.openxmlformats.org/spreadsheetml/2006/main" count="1214" uniqueCount="698">
  <si>
    <t>Line</t>
  </si>
  <si>
    <t>Description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</si>
  <si>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</si>
  <si>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</si>
  <si>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</si>
  <si>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</si>
  <si>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</si>
  <si>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</si>
  <si>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</si>
  <si>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</si>
  <si>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</si>
  <si>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</si>
  <si>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</si>
  <si>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</si>
  <si>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</si>
  <si>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Adjustment</t>
  </si>
  <si>
    <t>Year</t>
  </si>
  <si>
    <t>Month</t>
  </si>
  <si>
    <t>(1)</t>
  </si>
  <si>
    <t>(3)</t>
  </si>
  <si>
    <t>(2)</t>
  </si>
  <si>
    <t>#</t>
  </si>
  <si>
    <t>Subtotal</t>
  </si>
  <si>
    <t>Revenue</t>
  </si>
  <si>
    <t>Expense</t>
  </si>
  <si>
    <t>(4)</t>
  </si>
  <si>
    <t>Reference Schedule:  1.02</t>
  </si>
  <si>
    <t>Reference Schedule:  1.01</t>
  </si>
  <si>
    <t>Reference Schedule:  1.08</t>
  </si>
  <si>
    <t>Depreciation</t>
  </si>
  <si>
    <t>Rate Case Expenses</t>
  </si>
  <si>
    <t>G&amp;T Capital Credits</t>
  </si>
  <si>
    <t xml:space="preserve">Revenue </t>
  </si>
  <si>
    <t>Total Cost of Electric Service</t>
  </si>
  <si>
    <t>Non-Operating Margins - Interest</t>
  </si>
  <si>
    <t>Non-Operating Margins - Other</t>
  </si>
  <si>
    <t>Test Year Amount</t>
  </si>
  <si>
    <t>Pro Forma Year Amount</t>
  </si>
  <si>
    <t>This adjustment removes the FAC revenues and expenses from the test period.</t>
  </si>
  <si>
    <t>This adjustment removes the Envionmental Surcharge revenues and expenses from the test period.</t>
  </si>
  <si>
    <t>Item</t>
  </si>
  <si>
    <t>Total Amount</t>
  </si>
  <si>
    <t>Amortization Period (Years)</t>
  </si>
  <si>
    <t>Total</t>
  </si>
  <si>
    <t>Annual Amortization Amount</t>
  </si>
  <si>
    <t>This adjustment estimates the rate case costs amortized over a 3 year period, consistent with standard Commission practice.</t>
  </si>
  <si>
    <t>Year-End Customers</t>
  </si>
  <si>
    <t>(5)</t>
  </si>
  <si>
    <t>(6)</t>
  </si>
  <si>
    <t>(7)</t>
  </si>
  <si>
    <t>(8)</t>
  </si>
  <si>
    <t>Average</t>
  </si>
  <si>
    <t>Total kWh</t>
  </si>
  <si>
    <t>Average kWh</t>
  </si>
  <si>
    <t>Year-End kWh Adjustment</t>
  </si>
  <si>
    <t>Current Base Rate Revenue</t>
  </si>
  <si>
    <t>Average Revenue per kWh</t>
  </si>
  <si>
    <t>Year End Revenue Adj</t>
  </si>
  <si>
    <t>Revenue Adjustment</t>
  </si>
  <si>
    <t>Expense Adjustment</t>
  </si>
  <si>
    <t>Year End Expense Adj</t>
  </si>
  <si>
    <t>Total Purchased Power Expense</t>
  </si>
  <si>
    <t>Less Environmental Surcharge</t>
  </si>
  <si>
    <t>Less Fuel Adjustment Clause</t>
  </si>
  <si>
    <t>Adjusted Purchased Power Expense</t>
  </si>
  <si>
    <t>Total Purchased Power kWh</t>
  </si>
  <si>
    <t>End of Period Increase over Avg</t>
  </si>
  <si>
    <t>For Expense Adjustment:</t>
  </si>
  <si>
    <t>Avg Adj Purchase Exp per kWh</t>
  </si>
  <si>
    <t>Net Rev</t>
  </si>
  <si>
    <t>Interest on LTD</t>
  </si>
  <si>
    <t>TIER</t>
  </si>
  <si>
    <t>Operating Revenues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</si>
  <si>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</si>
  <si>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</si>
  <si>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</si>
  <si>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</si>
  <si>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</si>
  <si>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</si>
  <si>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</si>
  <si>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</si>
  <si>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</si>
  <si>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</si>
  <si>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</si>
  <si>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- Other</t>
  </si>
  <si>
    <t>Other Deductions</t>
  </si>
  <si>
    <t>Utility Operating Margins</t>
  </si>
  <si>
    <t>Other Capital Credits</t>
  </si>
  <si>
    <t>Net Margins</t>
  </si>
  <si>
    <t>TIER excluding GTCC</t>
  </si>
  <si>
    <t>OTIER</t>
  </si>
  <si>
    <t>Rate</t>
  </si>
  <si>
    <t>Operating Revenues:</t>
  </si>
  <si>
    <t>Services</t>
  </si>
  <si>
    <t>Total Revenues</t>
  </si>
  <si>
    <t xml:space="preserve">        Base Rates</t>
  </si>
  <si>
    <t xml:space="preserve">    Total Operating Expenses</t>
  </si>
  <si>
    <t>Total Non-Operating Margins</t>
  </si>
  <si>
    <t>Interest on Long Term Debt</t>
  </si>
  <si>
    <t>Interest Expense - Other</t>
  </si>
  <si>
    <t>Base Rates</t>
  </si>
  <si>
    <t>Other Electric Revenue</t>
  </si>
  <si>
    <t>Distribution - Operations</t>
  </si>
  <si>
    <t>Distribution - Maintenance</t>
  </si>
  <si>
    <t>Consumer Accounts</t>
  </si>
  <si>
    <t>Sales</t>
  </si>
  <si>
    <t>Administrative and General</t>
  </si>
  <si>
    <t>Actual Test Yr</t>
  </si>
  <si>
    <t>Pro Forma Test Yr</t>
  </si>
  <si>
    <t>Expense Adj</t>
  </si>
  <si>
    <t>Revenue Adj</t>
  </si>
  <si>
    <t>Net Adj</t>
  </si>
  <si>
    <t>Check</t>
  </si>
  <si>
    <t>Reference Schedule:  1.05</t>
  </si>
  <si>
    <t>Reference Schedule:  1.04</t>
  </si>
  <si>
    <t>Reference Schedule:  1.03</t>
  </si>
  <si>
    <t>Reference Schedule:  1.09</t>
  </si>
  <si>
    <t>Environmental Surcharge</t>
  </si>
  <si>
    <t xml:space="preserve">Fuel Adjustment Clause </t>
  </si>
  <si>
    <t>Administrative &amp; General</t>
  </si>
  <si>
    <t>580-589</t>
  </si>
  <si>
    <t>Operations</t>
  </si>
  <si>
    <t>590-598</t>
  </si>
  <si>
    <t>Maintenance</t>
  </si>
  <si>
    <t>901-905</t>
  </si>
  <si>
    <t>920-935</t>
  </si>
  <si>
    <t>Alloc</t>
  </si>
  <si>
    <t>Labor $</t>
  </si>
  <si>
    <t>Acct #</t>
  </si>
  <si>
    <t>Total Operating Revenue</t>
  </si>
  <si>
    <t>Total Sales of Electric Energy</t>
  </si>
  <si>
    <t>Cash Receipts from Lenders</t>
  </si>
  <si>
    <t>Pro Forma Amount</t>
  </si>
  <si>
    <t>Variance</t>
  </si>
  <si>
    <t>Summary of Pro Forma Adjustments</t>
  </si>
  <si>
    <t>Fuel Adjustment Clause</t>
  </si>
  <si>
    <t>Non-Operating Income</t>
  </si>
  <si>
    <t>Net Margin</t>
  </si>
  <si>
    <t>This adjustment adjusts the test year expenses and revenues to reflect the number of customers at the end of the test year.</t>
  </si>
  <si>
    <t>Reference Schedule</t>
  </si>
  <si>
    <t>Summary of Adjustments to Test Year Statement of Operations</t>
  </si>
  <si>
    <t>Summary of Adjustments to Test Year Balance Sheet</t>
  </si>
  <si>
    <t>Assets and Other Debits</t>
  </si>
  <si>
    <t>Total Utility Plant in Service</t>
  </si>
  <si>
    <t>Construction Work in Progress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</si>
  <si>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</si>
  <si>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</si>
  <si>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</si>
  <si>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</si>
  <si>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</si>
  <si>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</si>
  <si>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</si>
  <si>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</si>
  <si>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</si>
  <si>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</si>
  <si>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</si>
  <si>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Other (Net)</t>
  </si>
  <si>
    <t>Accts Receivable - Sales Energy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</si>
  <si>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</si>
  <si>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</si>
  <si>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</si>
  <si>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</si>
  <si>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</si>
  <si>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</si>
  <si>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</si>
  <si>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</si>
  <si>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</si>
  <si>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</si>
  <si>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</si>
  <si>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</si>
  <si>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</si>
  <si>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</si>
  <si>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</si>
  <si>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</si>
  <si>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</si>
  <si>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</si>
  <si>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</si>
  <si>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</si>
  <si>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</si>
  <si>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</si>
  <si>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</si>
  <si>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</si>
  <si>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</si>
  <si>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</si>
  <si>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Pro Forma Adjs</t>
  </si>
  <si>
    <t>Statement of Operations &amp; Revenue Requirement</t>
  </si>
  <si>
    <t>Income(Loss) from Equity Investments</t>
  </si>
  <si>
    <t>29a</t>
  </si>
  <si>
    <t>Income(Loss) from Equity Invstmts</t>
  </si>
  <si>
    <t>Increase</t>
  </si>
  <si>
    <t xml:space="preserve">Test Period </t>
  </si>
  <si>
    <t>Depreciation Expense Normalization</t>
  </si>
  <si>
    <t>Year-End Customer Normalization</t>
  </si>
  <si>
    <t>Balance Sheet Accounts</t>
  </si>
  <si>
    <t>907-912</t>
  </si>
  <si>
    <t>Capital</t>
  </si>
  <si>
    <t>Pro Forma Adjustments</t>
  </si>
  <si>
    <t>Checks</t>
  </si>
  <si>
    <t>Sum from Rev Req page</t>
  </si>
  <si>
    <t>Sum from Adj IS page</t>
  </si>
  <si>
    <t>Var from Adj List</t>
  </si>
  <si>
    <t>Non Oper Adj</t>
  </si>
  <si>
    <t xml:space="preserve">Reference Schedule &gt;     </t>
  </si>
  <si>
    <t xml:space="preserve">Item  &gt;     </t>
  </si>
  <si>
    <t>Increase $</t>
  </si>
  <si>
    <t>Increase %</t>
  </si>
  <si>
    <t>Investment in Subsidiary Companies</t>
  </si>
  <si>
    <t>Investment in Economic Development Projects</t>
  </si>
  <si>
    <t>Special Funds</t>
  </si>
  <si>
    <t>Reference Schedule:  1.06</t>
  </si>
  <si>
    <t>Reference Schedule:  1.07</t>
  </si>
  <si>
    <t>Member Rate Stability Mechanism</t>
  </si>
  <si>
    <t>Non-Smelter Non-FAC PPA</t>
  </si>
  <si>
    <t>Member Revenue Stability Mechanism</t>
  </si>
  <si>
    <t>Less MRSM &amp; NFPPA</t>
  </si>
  <si>
    <t xml:space="preserve">   Total Utility Plant</t>
  </si>
  <si>
    <t>Rate Riders</t>
  </si>
  <si>
    <t xml:space="preserve">        Rate Riders</t>
  </si>
  <si>
    <t>Operating Margins - Prior Year</t>
  </si>
  <si>
    <t>subtotal</t>
  </si>
  <si>
    <t>This adjustment removes the MRSM revenues and expenses from the test period.</t>
  </si>
  <si>
    <t>This adjustment removes the Non-Smelter Non-FAC PPA revenues and expenses from the test period.</t>
  </si>
  <si>
    <t>KENERGY CORP.</t>
  </si>
  <si>
    <t>Direct Served</t>
  </si>
  <si>
    <t>Legal</t>
  </si>
  <si>
    <t>Consulting - COSS - Catalyst Consulting LLC</t>
  </si>
  <si>
    <t>Land and Land Rights</t>
  </si>
  <si>
    <t xml:space="preserve">Station </t>
  </si>
  <si>
    <t>Supervisory Control</t>
  </si>
  <si>
    <t>Microwave Equipment</t>
  </si>
  <si>
    <t>Microwave Towers</t>
  </si>
  <si>
    <t>Fiber Installed in Substations</t>
  </si>
  <si>
    <t>Owensboro Fiber Loop</t>
  </si>
  <si>
    <t>Underground Conduit</t>
  </si>
  <si>
    <t>Underground Conductor and Devices</t>
  </si>
  <si>
    <t>AMI Meters</t>
  </si>
  <si>
    <t>Other Meter Equipment</t>
  </si>
  <si>
    <t>Installation on Customer's Premises</t>
  </si>
  <si>
    <t>Street Lighting</t>
  </si>
  <si>
    <t>General plant</t>
  </si>
  <si>
    <t>Subtotal General Plant</t>
  </si>
  <si>
    <t>Transportation charged to clearing</t>
  </si>
  <si>
    <t>Subtotal Transportation charged to clearing</t>
  </si>
  <si>
    <t>Stores charged to clearing</t>
  </si>
  <si>
    <t>Allocation of stores clearing to O&amp;M</t>
  </si>
  <si>
    <t>(9)</t>
  </si>
  <si>
    <t>Residential</t>
  </si>
  <si>
    <t>Commercial Single Phase</t>
  </si>
  <si>
    <t>Commercial Three Phase (&lt; 1000 kW)</t>
  </si>
  <si>
    <t>Lender</t>
  </si>
  <si>
    <t>Interest</t>
  </si>
  <si>
    <t>RET-13-1</t>
  </si>
  <si>
    <t>RUS</t>
  </si>
  <si>
    <t>RET-13-2</t>
  </si>
  <si>
    <t>RET-13-3</t>
  </si>
  <si>
    <t>RET-14-1</t>
  </si>
  <si>
    <t>RET-16-1</t>
  </si>
  <si>
    <t>RET-16-2</t>
  </si>
  <si>
    <t>RET-16-3</t>
  </si>
  <si>
    <t>RET-16-4</t>
  </si>
  <si>
    <t>RET-16-5</t>
  </si>
  <si>
    <t>Total RUS</t>
  </si>
  <si>
    <t>FFB</t>
  </si>
  <si>
    <t>FFB-2-3</t>
  </si>
  <si>
    <t>FFB-2-4</t>
  </si>
  <si>
    <t>FFB-2-5</t>
  </si>
  <si>
    <t>FFB-3-1</t>
  </si>
  <si>
    <t>FFB-3-2</t>
  </si>
  <si>
    <t>FFB-4-1</t>
  </si>
  <si>
    <t>FFB-4-2</t>
  </si>
  <si>
    <t>FFB-4-3</t>
  </si>
  <si>
    <t>FFB-5-1</t>
  </si>
  <si>
    <t>FFB-5-2</t>
  </si>
  <si>
    <t>FFB-5-3</t>
  </si>
  <si>
    <t>Total FFB</t>
  </si>
  <si>
    <t>CoBank</t>
  </si>
  <si>
    <t>Total Cobank</t>
  </si>
  <si>
    <t>Total CFC</t>
  </si>
  <si>
    <t>Principal due within one year</t>
  </si>
  <si>
    <t>Total Long-Term Debt (Line 41 - Form 7)</t>
  </si>
  <si>
    <t>Beginning Unbilled</t>
  </si>
  <si>
    <t>Ending Unbilled</t>
  </si>
  <si>
    <t>(a)</t>
  </si>
  <si>
    <t>(b)</t>
  </si>
  <si>
    <t>(c)</t>
  </si>
  <si>
    <t>(d)</t>
  </si>
  <si>
    <t>TEST YEAR</t>
  </si>
  <si>
    <t>PROFORMA</t>
  </si>
  <si>
    <t>ADJUSTMENT</t>
  </si>
  <si>
    <t>RUS Cushion of Credit</t>
  </si>
  <si>
    <t>CFC CTC's</t>
  </si>
  <si>
    <t>Overnight &amp; 30 Day Investments</t>
  </si>
  <si>
    <t>Other</t>
  </si>
  <si>
    <t>=</t>
  </si>
  <si>
    <t xml:space="preserve">             Proforma Income</t>
  </si>
  <si>
    <t>Non-Direct Served</t>
  </si>
  <si>
    <t>Pro Forma Non-Direct Served</t>
  </si>
  <si>
    <t>Proposed Total Rates</t>
  </si>
  <si>
    <t>Pro Forma Total Test Yr</t>
  </si>
  <si>
    <t>Actual Total Test Year</t>
  </si>
  <si>
    <t>Proposed Non-Direct Served Rates</t>
  </si>
  <si>
    <t>Disallowed Expenses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</si>
  <si>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</si>
  <si>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</si>
  <si>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</si>
  <si>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</si>
  <si>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</si>
  <si>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</si>
  <si>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</si>
  <si>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</si>
  <si>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</si>
  <si>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</si>
  <si>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</si>
  <si>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</si>
  <si>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Cost</t>
  </si>
  <si>
    <t>Promotional Advertising</t>
  </si>
  <si>
    <t>Annual Meeting - Scholarships awarded</t>
  </si>
  <si>
    <t>Community Events sponsorship and other support</t>
  </si>
  <si>
    <t>Member appreciation day costs</t>
  </si>
  <si>
    <t>Member survey costs</t>
  </si>
  <si>
    <t>Director fees while attending other meetings</t>
  </si>
  <si>
    <t>Director's monthly retainer</t>
  </si>
  <si>
    <t>Directors- Non delegate/alternate costs</t>
  </si>
  <si>
    <t>Chairman extra meeting fee</t>
  </si>
  <si>
    <t>Industrial and Commercial Golf Outing</t>
  </si>
  <si>
    <t>Retirement gifts and event costs employees</t>
  </si>
  <si>
    <t xml:space="preserve">Supplies for employee break room </t>
  </si>
  <si>
    <t>Recognition and award for employees</t>
  </si>
  <si>
    <t>Bereavement items for employee families</t>
  </si>
  <si>
    <t xml:space="preserve">Employee service awards </t>
  </si>
  <si>
    <t>Special employee events</t>
  </si>
  <si>
    <t xml:space="preserve">Charitable donations </t>
  </si>
  <si>
    <t>Civic and Political activities</t>
  </si>
  <si>
    <t>Life insurance premiums over $50,000 and spouse</t>
  </si>
  <si>
    <t>FICA on Life insurance premiums above</t>
  </si>
  <si>
    <t>(q)</t>
  </si>
  <si>
    <t>PSC Assessment</t>
  </si>
  <si>
    <t>Labor Expenses</t>
  </si>
  <si>
    <t>Labor Overhead Expenses</t>
  </si>
  <si>
    <t>Regular Wages Paid:</t>
  </si>
  <si>
    <t>Full Time:</t>
  </si>
  <si>
    <t>(Col. e / Col. b)</t>
  </si>
  <si>
    <t>(col. f * col. i)</t>
  </si>
  <si>
    <t>(col. j - col. e)</t>
  </si>
  <si>
    <t>hours times</t>
  </si>
  <si>
    <t>Overtime Wages:</t>
  </si>
  <si>
    <t>Double Time Wages:</t>
  </si>
  <si>
    <t>Accrued sick leave</t>
  </si>
  <si>
    <t>Christmas Bonus</t>
  </si>
  <si>
    <t>Vacation over maximum</t>
  </si>
  <si>
    <t>Retroactive Pay Adjustment</t>
  </si>
  <si>
    <t>Payroll adjustments</t>
  </si>
  <si>
    <t>(10)</t>
  </si>
  <si>
    <t>Total wages paid per Payroll/Labor report</t>
  </si>
  <si>
    <t xml:space="preserve">Net effect of accruals </t>
  </si>
  <si>
    <t>Total Wages - accrual basis</t>
  </si>
  <si>
    <t>Total Wages - Proforma</t>
  </si>
  <si>
    <t>(Col. d % times proforma)</t>
  </si>
  <si>
    <t>Capitalized</t>
  </si>
  <si>
    <t>Accounts Receivable</t>
  </si>
  <si>
    <t>Non-Operating</t>
  </si>
  <si>
    <t>Electric-Expensed</t>
  </si>
  <si>
    <t>Cust. Acct.</t>
  </si>
  <si>
    <t>Cust. Info.</t>
  </si>
  <si>
    <t>(4)  Accruals removed from test year per rate-making policy of using 2,080 hrs. per employee</t>
  </si>
  <si>
    <t>(5)  Annual bonus based on reaching safety, performance, financial, and customer service goals.</t>
  </si>
  <si>
    <t>(6)  Remove employee Christmas bonuses for rate making</t>
  </si>
  <si>
    <t>(8)  Payment for vacation hours carried-over above the maximum allowable - removed for rate-making purposes</t>
  </si>
  <si>
    <t>Test Year</t>
  </si>
  <si>
    <t>Proforma</t>
  </si>
  <si>
    <t>Change</t>
  </si>
  <si>
    <t>Health Insurance</t>
  </si>
  <si>
    <t>Dental Insurance</t>
  </si>
  <si>
    <t>Life Insurance under $50,000</t>
  </si>
  <si>
    <t>Life Insurance over $50,000 plus spouse</t>
  </si>
  <si>
    <t>Disability Insurance</t>
  </si>
  <si>
    <t>Pension</t>
  </si>
  <si>
    <t>Payroll Taxes</t>
  </si>
  <si>
    <t>Worker's Compensation Insurance</t>
  </si>
  <si>
    <t>Property Loss/Damage and Excess Liability Ins.</t>
  </si>
  <si>
    <t>Employee Assistance Program</t>
  </si>
  <si>
    <t>Cust. Accts.</t>
  </si>
  <si>
    <t>Miscellaneous Revenues</t>
  </si>
  <si>
    <t>Account</t>
  </si>
  <si>
    <t>Normalized</t>
  </si>
  <si>
    <t>Charges</t>
  </si>
  <si>
    <t>No.</t>
  </si>
  <si>
    <t>Forfeited Discounts</t>
  </si>
  <si>
    <t>Forfeited Discounts - Class B</t>
  </si>
  <si>
    <t>Forfeited Discounts - Class C</t>
  </si>
  <si>
    <t>Subtotal - Forfeited Discounts</t>
  </si>
  <si>
    <t>Special Charges:</t>
  </si>
  <si>
    <t>Remote Turn on Service Charge</t>
  </si>
  <si>
    <t xml:space="preserve">Reconnect Charge - Regular  </t>
  </si>
  <si>
    <t>Remote Reconnect Charge</t>
  </si>
  <si>
    <t xml:space="preserve">Reconnect Charge - After hours </t>
  </si>
  <si>
    <t xml:space="preserve">Terminate Service Charge </t>
  </si>
  <si>
    <t xml:space="preserve">Remote Terminate Service Charge </t>
  </si>
  <si>
    <t>MISC Service Revenue-Class C</t>
  </si>
  <si>
    <t xml:space="preserve">Meter Reading Charge </t>
  </si>
  <si>
    <t xml:space="preserve">Meter Test Charge </t>
  </si>
  <si>
    <t>Revenue - Returned check charge</t>
  </si>
  <si>
    <t xml:space="preserve"> </t>
  </si>
  <si>
    <t>Revenue-  Unnecessary trip by servicetech reg</t>
  </si>
  <si>
    <t>Revenue-  Unnecessary trip by servicetech after</t>
  </si>
  <si>
    <t>Revenue- S/C To CHG S/L Bulb To LED</t>
  </si>
  <si>
    <t>Subtotal - Special Charges</t>
  </si>
  <si>
    <t>Revenue from AT&amp;T:</t>
  </si>
  <si>
    <t>Revenue Tower Leases::</t>
  </si>
  <si>
    <t>Revenue from Various Companies</t>
  </si>
  <si>
    <t>Subtotal  - Tower Leases</t>
  </si>
  <si>
    <t>Cablevision and Other Attachment Fees:</t>
  </si>
  <si>
    <t>Cable Attachment Fees - 2 Party Pole</t>
  </si>
  <si>
    <t>Cable Attachment Fees - 3 Party Pole</t>
  </si>
  <si>
    <t>Cable Attachment Fees - 2 Party Anchor</t>
  </si>
  <si>
    <t>Cable Attachment Fees - 3 Party Anchor</t>
  </si>
  <si>
    <t>Subtotal - Cable Attachment Fees</t>
  </si>
  <si>
    <t>Phone Attachment Fees - 2 Party Pole</t>
  </si>
  <si>
    <t>Phone Attachment Fees - 3 Party Pole</t>
  </si>
  <si>
    <t>Subtotal - Phone Attachment Fees</t>
  </si>
  <si>
    <t>Fiber Attachment Fees - 1 Party Pole</t>
  </si>
  <si>
    <t>Fiber Attachment Fees - 2 Party Pole</t>
  </si>
  <si>
    <t>Fiber Attachment Fees - 3 Party Pole</t>
  </si>
  <si>
    <t>Subtotal - Fiber Attachment Fees:</t>
  </si>
  <si>
    <t>Total Cablevision and Other Attachament Fees:</t>
  </si>
  <si>
    <t>Fiber Optic Attachment Fees:</t>
  </si>
  <si>
    <t>Revenue from Fiber Optic attachments</t>
  </si>
  <si>
    <t>Subtotal - Fiber Optic Attachment Fees</t>
  </si>
  <si>
    <t>Revenue- Rental from Personal Property</t>
  </si>
  <si>
    <t>Revenue- Sturgis Sub-Lease</t>
  </si>
  <si>
    <t>Sales Tax Compensation Fees</t>
  </si>
  <si>
    <t xml:space="preserve">Total </t>
  </si>
  <si>
    <t>Exp less Rev</t>
  </si>
  <si>
    <t xml:space="preserve"> Revenues:</t>
  </si>
  <si>
    <t xml:space="preserve"> Power costs:</t>
  </si>
  <si>
    <t>Less 1/2 power costs</t>
  </si>
  <si>
    <t>Times proforma tax rate</t>
  </si>
  <si>
    <t>assessable revenue</t>
  </si>
  <si>
    <t>proforma tax rate</t>
  </si>
  <si>
    <t xml:space="preserve">Normalized </t>
  </si>
  <si>
    <t>Assessable</t>
  </si>
  <si>
    <t>Assessment</t>
  </si>
  <si>
    <t>Revenues</t>
  </si>
  <si>
    <t>nondedicated</t>
  </si>
  <si>
    <t>class A</t>
  </si>
  <si>
    <t>class B</t>
  </si>
  <si>
    <t>class C</t>
  </si>
  <si>
    <t>Rounding Diff:</t>
  </si>
  <si>
    <t>Target TIER</t>
  </si>
  <si>
    <t>Margins at Target TIER</t>
  </si>
  <si>
    <t>Revenue Requirement at Target TIER</t>
  </si>
  <si>
    <t>Revenue Deficiency at Target TIER</t>
  </si>
  <si>
    <t>Variance from Target TIER</t>
  </si>
  <si>
    <t>Remove Broadband</t>
  </si>
  <si>
    <t>reserved</t>
  </si>
  <si>
    <t>Remove Broadband Expenses from Test Period</t>
  </si>
  <si>
    <t>Remove Labor Adjustment Allocated to Non-Operating Fiber</t>
  </si>
  <si>
    <t>Remove Overhead Adjustment Allocated to Non-Operating Fiber</t>
  </si>
  <si>
    <t>Remove Labor Adjustment Allocated to Operating Fiber</t>
  </si>
  <si>
    <t>Remove Overhead Adjustment Allocated to Operating Fiber</t>
  </si>
  <si>
    <t xml:space="preserve">Remove Depreciation General Plant adjustment </t>
  </si>
  <si>
    <t>Current</t>
  </si>
  <si>
    <t>Proposed</t>
  </si>
  <si>
    <t xml:space="preserve">Impact </t>
  </si>
  <si>
    <t>Balance</t>
  </si>
  <si>
    <t xml:space="preserve">of </t>
  </si>
  <si>
    <t>Number</t>
  </si>
  <si>
    <t>Current rates</t>
  </si>
  <si>
    <t>rates</t>
  </si>
  <si>
    <t>change</t>
  </si>
  <si>
    <t>n/a</t>
  </si>
  <si>
    <t>Poles, Tower's, and Fixtures</t>
  </si>
  <si>
    <t>Overhead Conductor's and Devices</t>
  </si>
  <si>
    <t>Line Transformer's</t>
  </si>
  <si>
    <t>Total - Distribution Plant</t>
  </si>
  <si>
    <t xml:space="preserve">Test year </t>
  </si>
  <si>
    <t>Adjustment - year end plant @ current rates</t>
  </si>
  <si>
    <t>new rates</t>
  </si>
  <si>
    <t>Class C Direct Serve Assets</t>
  </si>
  <si>
    <t>General plant accounts</t>
  </si>
  <si>
    <t>Total Distribution Plant</t>
  </si>
  <si>
    <t>account 302 franchises</t>
  </si>
  <si>
    <t>Portion of Adjustment Related to Class C</t>
  </si>
  <si>
    <t>Total utility plant per line 1 form 7</t>
  </si>
  <si>
    <t>DEPRECIATION EXP-GENERAL PLANT</t>
  </si>
  <si>
    <t>DEPRE-DIST PLANT-CLASS C</t>
  </si>
  <si>
    <t>DEPRECIATION EXP-DISTRIBUTION PLANT</t>
  </si>
  <si>
    <t>AMORTIZATION LIMITED TERM ELEC PLT</t>
  </si>
  <si>
    <t>distribution plant proforma adj.</t>
  </si>
  <si>
    <t>amortization AMI loss on old meters</t>
  </si>
  <si>
    <t>Test Yr</t>
  </si>
  <si>
    <t>Fully Depr</t>
  </si>
  <si>
    <t>Pro Forma</t>
  </si>
  <si>
    <t>Ending Bal</t>
  </si>
  <si>
    <t>Items</t>
  </si>
  <si>
    <t>bal to depr</t>
  </si>
  <si>
    <t>Adj</t>
  </si>
  <si>
    <t>LAND</t>
  </si>
  <si>
    <t>STRUCTURES &amp; IMPROVEMENTS</t>
  </si>
  <si>
    <t>STRUCTURES &amp; IMPROVEMENTS-MARION</t>
  </si>
  <si>
    <t>OFFICE FURNITURE &amp; FIXTURES</t>
  </si>
  <si>
    <t>COMPUTER AND RELATED EQUIPMENT</t>
  </si>
  <si>
    <t>COMPUTER SOFTWARE</t>
  </si>
  <si>
    <t>FIBER OPTIC EQUIPMENT</t>
  </si>
  <si>
    <t>TOOLS &amp; WORKING EQUIPMENT</t>
  </si>
  <si>
    <t>ROW TOOLS &amp; WORKING EQUIP</t>
  </si>
  <si>
    <t>LABORATORY EQUIPMENT</t>
  </si>
  <si>
    <t>LABORTORY EQUIPMENT-MICROWAVE SYS</t>
  </si>
  <si>
    <t>FIBER OPTIC TEST EQUIPMENT</t>
  </si>
  <si>
    <t>POWER OPERATED EQUIPMENT</t>
  </si>
  <si>
    <t>RIGHT-OF-WAY EQUIPMENT</t>
  </si>
  <si>
    <t>COMMUNICATION EQUIPMENT</t>
  </si>
  <si>
    <t>FIBER OPTIC SONET</t>
  </si>
  <si>
    <t>MISCELLANEOUS EQUIPMENT</t>
  </si>
  <si>
    <t>GIS EQUIPMENT</t>
  </si>
  <si>
    <t xml:space="preserve">TRANSPORTATION </t>
  </si>
  <si>
    <t>SHOP &amp; GARAGE EQUIPMENT</t>
  </si>
  <si>
    <t>TRACK VEHICLES</t>
  </si>
  <si>
    <t>STORES EQUIPMENT</t>
  </si>
  <si>
    <t>Adjustment Summary</t>
  </si>
  <si>
    <t>Allocation of transportation clearing to O&amp;M</t>
  </si>
  <si>
    <t>Member Service</t>
  </si>
  <si>
    <t>Fiber</t>
  </si>
  <si>
    <t>Total Adjustment</t>
  </si>
  <si>
    <t>Income Statement Total</t>
  </si>
  <si>
    <t>Balance Sheet Total</t>
  </si>
  <si>
    <t>(r)</t>
  </si>
  <si>
    <t>Row</t>
  </si>
  <si>
    <t>Dues and other promotional costs</t>
  </si>
  <si>
    <t>Youth Tours(Washington D.C. and Franffort)</t>
  </si>
  <si>
    <t>Member newsletter printing costs  46%</t>
  </si>
  <si>
    <t>Website maintenance  5%</t>
  </si>
  <si>
    <t>CEO Search Expenses  Directors</t>
  </si>
  <si>
    <t>Penalties</t>
  </si>
  <si>
    <t>(1)  Overnight &amp; 30-Day Investments:</t>
  </si>
  <si>
    <t>Average Cash Balance</t>
  </si>
  <si>
    <t>During Test Period</t>
  </si>
  <si>
    <t>Interest Rate</t>
  </si>
  <si>
    <t>Date</t>
  </si>
  <si>
    <t>Cash Balance</t>
  </si>
  <si>
    <t>Beginning Balance</t>
  </si>
  <si>
    <t>Average Test Year Cash Balance</t>
  </si>
  <si>
    <t xml:space="preserve">Note </t>
  </si>
  <si>
    <t>O/S Principal</t>
  </si>
  <si>
    <t>Test Yr.</t>
  </si>
  <si>
    <t>at 02/28/2023</t>
  </si>
  <si>
    <t>FFB-5-4</t>
  </si>
  <si>
    <t>FFB-6-1</t>
  </si>
  <si>
    <t>t1</t>
  </si>
  <si>
    <t>t6</t>
  </si>
  <si>
    <t>t7</t>
  </si>
  <si>
    <t>t8</t>
  </si>
  <si>
    <t>t10</t>
  </si>
  <si>
    <t>t20</t>
  </si>
  <si>
    <t>t21</t>
  </si>
  <si>
    <t>Consumer</t>
  </si>
  <si>
    <t>Deposits</t>
  </si>
  <si>
    <t>Portion of Adjustment Related to Class C Direct Serve</t>
  </si>
  <si>
    <t>Portion of Adjustment Related to Rural Class</t>
  </si>
  <si>
    <t>Line No.</t>
  </si>
  <si>
    <t>Rate Case</t>
  </si>
  <si>
    <t>Wage Rate</t>
  </si>
  <si>
    <t>Employees</t>
  </si>
  <si>
    <t>131 Headcount</t>
  </si>
  <si>
    <t>Wages</t>
  </si>
  <si>
    <t>Savings for reducing headcount (131-128)</t>
  </si>
  <si>
    <t>Employee Incentive Plan</t>
  </si>
  <si>
    <t>CEO Bonus &amp; Deferred Comp.</t>
  </si>
  <si>
    <t>Non-Operating Fiber</t>
  </si>
  <si>
    <t>Fiber-Expensed</t>
  </si>
  <si>
    <t>To Adjustment Recap - Page 4 and 5 line 13</t>
  </si>
  <si>
    <t>(1)  128 Full Time employees times 2,080 hrs = 266,240 hrs.</t>
  </si>
  <si>
    <t>(2)  The overtime rate of $54.28 represents test year overtime hours of each employee times</t>
  </si>
  <si>
    <t xml:space="preserve">      their respective hourly rate times 1.50. The overtime dollars of $1,357,487 were divided by </t>
  </si>
  <si>
    <t xml:space="preserve">      25,007 overtime hours to arrive at $54.28.</t>
  </si>
  <si>
    <t>(3)  The double time rate of $72.99 represents test year double time hours of each employee times</t>
  </si>
  <si>
    <t xml:space="preserve">      their respective hourly rate times 2. The double time dollars of $128,955 were divided by </t>
  </si>
  <si>
    <t xml:space="preserve">      1,767 double time hours to arrive at $72.99.</t>
  </si>
  <si>
    <t>(7)  CEO bonus / deferred compensation reduced going forward</t>
  </si>
  <si>
    <t>(9)  Retroactive pay changes removed from test period per rate-making policy of using 2,080 hrs.</t>
  </si>
  <si>
    <t>(10)  Payroll adjustments removed from test period per rate-making policy of using 2,080 hrs.</t>
  </si>
  <si>
    <t>To Adj. Recap - Page 4 &amp; 5 line 14</t>
  </si>
  <si>
    <t>CEO search expenses</t>
  </si>
  <si>
    <t>Amount</t>
  </si>
  <si>
    <t>total</t>
  </si>
  <si>
    <t>feb</t>
  </si>
  <si>
    <t>jan</t>
  </si>
  <si>
    <t>dec</t>
  </si>
  <si>
    <t>nov</t>
  </si>
  <si>
    <t>oct</t>
  </si>
  <si>
    <t>sept</t>
  </si>
  <si>
    <t>aug</t>
  </si>
  <si>
    <t>jul</t>
  </si>
  <si>
    <t>june</t>
  </si>
  <si>
    <t>may</t>
  </si>
  <si>
    <t>april</t>
  </si>
  <si>
    <t>mar</t>
  </si>
  <si>
    <t xml:space="preserve">Line </t>
  </si>
  <si>
    <t>Percent</t>
  </si>
  <si>
    <t>g/l</t>
  </si>
  <si>
    <t xml:space="preserve">Turn on Service Charge(seasonal) </t>
  </si>
  <si>
    <t>No. of billings</t>
  </si>
  <si>
    <t>on 12/31/2021</t>
  </si>
  <si>
    <t>on 12/31/2022</t>
  </si>
  <si>
    <t>Kenergy on</t>
  </si>
  <si>
    <t>AT&amp; T on</t>
  </si>
  <si>
    <t>AT&amp;T</t>
  </si>
  <si>
    <t>Kenergy</t>
  </si>
  <si>
    <t>Net due</t>
  </si>
  <si>
    <t>35ft and shorter</t>
  </si>
  <si>
    <t>40 ft.and taller</t>
  </si>
  <si>
    <t>adj. from 2021</t>
  </si>
  <si>
    <t>adj. from 2022</t>
  </si>
  <si>
    <t>revenue booked in 2022</t>
  </si>
  <si>
    <t>revenue booked in 2023</t>
  </si>
  <si>
    <t>per month 2022</t>
  </si>
  <si>
    <t>per month 2023</t>
  </si>
  <si>
    <t>type</t>
  </si>
  <si>
    <t>acct</t>
  </si>
  <si>
    <t>name</t>
  </si>
  <si>
    <t>invoice</t>
  </si>
  <si>
    <t>1 party</t>
  </si>
  <si>
    <t>@</t>
  </si>
  <si>
    <t>2 party</t>
  </si>
  <si>
    <t>3 party</t>
  </si>
  <si>
    <t>rural</t>
  </si>
  <si>
    <t>urban</t>
  </si>
  <si>
    <t>count</t>
  </si>
  <si>
    <t>dollars</t>
  </si>
  <si>
    <t>CATV</t>
  </si>
  <si>
    <t>Time Warner</t>
  </si>
  <si>
    <t>Inside Connect</t>
  </si>
  <si>
    <t>Zito</t>
  </si>
  <si>
    <t>Mediacom SE</t>
  </si>
  <si>
    <t>Phone</t>
  </si>
  <si>
    <t>Windstream KY E</t>
  </si>
  <si>
    <t>TDS Lewisport</t>
  </si>
  <si>
    <t>TDS Salem</t>
  </si>
  <si>
    <t>City of Henderson</t>
  </si>
  <si>
    <t>Comcast of the South</t>
  </si>
  <si>
    <t>MuniNet Fiber</t>
  </si>
  <si>
    <t>OMU</t>
  </si>
  <si>
    <t>Windstream Communications</t>
  </si>
  <si>
    <t>Crown Castle</t>
  </si>
  <si>
    <t>Hancock Co Board of Education</t>
  </si>
  <si>
    <t>Commonwealth of KY</t>
  </si>
  <si>
    <t>OpenFiber Kentucky</t>
  </si>
  <si>
    <t>Consulting -Wage &amp; Benefit Study - Johansen Group</t>
  </si>
  <si>
    <t>For the 12 Months Ended February 28, 2023</t>
  </si>
  <si>
    <t>Reference Schedule:  1.10</t>
  </si>
  <si>
    <t>Pro Forma Amounts</t>
  </si>
  <si>
    <t>Income Stmt</t>
  </si>
  <si>
    <t>Remove this one-time expense for rate-making purposes.</t>
  </si>
  <si>
    <t>Pro Forma amount</t>
  </si>
  <si>
    <t>Non-Recurring Expenses</t>
  </si>
  <si>
    <t>Reference Schedule:  1.16</t>
  </si>
  <si>
    <t>Distribution</t>
  </si>
  <si>
    <t>Per dir B tab line F24</t>
  </si>
  <si>
    <t>Per dir C tab line J23</t>
  </si>
  <si>
    <t>Per IS tab line F20 + F21 less F27 F28</t>
  </si>
  <si>
    <t>assessable revenues (line 1 less line 9)</t>
  </si>
  <si>
    <t>test year tax</t>
  </si>
  <si>
    <t>adjustment</t>
  </si>
  <si>
    <t>tax paid June 2022</t>
  </si>
  <si>
    <t>test yr.</t>
  </si>
  <si>
    <t>distribution</t>
  </si>
  <si>
    <t>(2) accounts 408.710-408.740</t>
  </si>
  <si>
    <t xml:space="preserve">Adjustment </t>
  </si>
  <si>
    <t>(3) Smelters are billed for PSC Tax separately, no margin impact.</t>
  </si>
  <si>
    <t xml:space="preserve">ALLOCATE PSC ASSESSMENT </t>
  </si>
  <si>
    <t>PAID JUNE 2022</t>
  </si>
  <si>
    <t>2021 REVENUE &amp; POWER COST</t>
  </si>
  <si>
    <t>REVENUE</t>
  </si>
  <si>
    <t xml:space="preserve"> POWER COST</t>
  </si>
  <si>
    <t>1/2 POWER COST</t>
  </si>
  <si>
    <t>ASSESSABLE REVENUE</t>
  </si>
  <si>
    <t>ANNUAL</t>
  </si>
  <si>
    <t>MONTHLY</t>
  </si>
  <si>
    <t>RURAL</t>
  </si>
  <si>
    <t>CENTURY-SEBREE</t>
  </si>
  <si>
    <t>CENTURY-HAWESVILLE</t>
  </si>
  <si>
    <t>DOMTAR/KIMBERLY CLARK/ALERIS</t>
  </si>
  <si>
    <t>ALL OTHERS</t>
  </si>
  <si>
    <t>Non Operating Margins - Interest</t>
  </si>
  <si>
    <t>Other Interest Expense</t>
  </si>
  <si>
    <t>Reference Schedule:  1.12</t>
  </si>
  <si>
    <t>variance</t>
  </si>
  <si>
    <t>Non Operating Margins - Other</t>
  </si>
  <si>
    <t>Pro Forma Direct Served</t>
  </si>
  <si>
    <t>Portion of Adjustment Related to Non-Direct Served</t>
  </si>
  <si>
    <t>Long Term Debt - RUS (Net)</t>
  </si>
  <si>
    <t>Long Term Debt - RUS ED</t>
  </si>
  <si>
    <t>Long Term Debt - Other - RUS GUAR</t>
  </si>
  <si>
    <t>Reference Schedule:  1.11</t>
  </si>
  <si>
    <t>Reference Schedule:  1.13</t>
  </si>
  <si>
    <t>Reference Schedule:  1.14</t>
  </si>
  <si>
    <t>Reference Schedule:  1.15</t>
  </si>
  <si>
    <t>Reference Schedule:  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</si>
</sst>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* #,##0.00000_);_(* \(#,##0.00000\);_(* &quot;-&quot;??_);_(@_)"/>
    <numFmt numFmtId="168" formatCode="0.0%"/>
    <numFmt numFmtId="169" formatCode="\(#\)"/>
    <numFmt numFmtId="170" formatCode="0.000"/>
    <numFmt numFmtId="171" formatCode="&quot;$&quot;#,##0"/>
    <numFmt numFmtId="172" formatCode="_(* #,##0.000_);_(* \(#,##0.000\);_(* &quot;-&quot;??_);_(@_)"/>
    <numFmt numFmtId="173" formatCode="0.000%"/>
    <numFmt numFmtId="174" formatCode="mmmm\ d\,\ yyyy"/>
    <numFmt numFmtId="175" formatCode="&quot;$&quot;#,##0.000"/>
    <numFmt numFmtId="176" formatCode="0.0000%"/>
    <numFmt numFmtId="177" formatCode="&quot;$&quot;#,##0.00"/>
    <numFmt numFmtId="178" formatCode="0.0000000"/>
    <numFmt numFmtId="179" formatCode="_(&quot;$&quot;* #,##0.000000_);_(&quot;$&quot;* \(#,##0.000000\);_(&quot;$&quot;* &quot;-&quot;??_);_(@_)"/>
    <numFmt numFmtId="180" formatCode="_(&quot;$&quot;* #,##0.0000_);_(&quot;$&quot;* \(#,##0.0000\);_(&quot;$&quot;* &quot;-&quot;??_);_(@_)"/>
    <numFmt numFmtId="181" formatCode="0.000000%"/>
    <numFmt numFmtId="183" formatCode="0.00000%"/>
    <numFmt numFmtId="185" formatCode="0.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2"/>
      <name val="P-TIMES"/>
    </font>
    <font>
      <sz val="11"/>
      <name val="P-TIMES"/>
    </font>
    <font>
      <u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CC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4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3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</cellStyleXfs>
  <cellXfs count="44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0" xfId="3" applyFont="1" applyAlignment="1">
      <alignment horizontal="right"/>
    </xf>
    <xf numFmtId="0" fontId="5" fillId="0" borderId="0" xfId="3" applyFont="1"/>
    <xf numFmtId="0" fontId="4" fillId="0" borderId="0" xfId="3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0" xfId="1" applyNumberFormat="1" applyFont="1"/>
    <xf numFmtId="0" fontId="5" fillId="0" borderId="0" xfId="0" applyFont="1" applyAlignment="1">
      <alignment horizontal="left"/>
    </xf>
    <xf numFmtId="0" fontId="5" fillId="0" borderId="3" xfId="0" applyFont="1" applyBorder="1"/>
    <xf numFmtId="164" fontId="5" fillId="0" borderId="0" xfId="1" applyNumberFormat="1" applyFont="1" applyFill="1" applyBorder="1"/>
    <xf numFmtId="0" fontId="5" fillId="0" borderId="2" xfId="0" applyFont="1" applyBorder="1"/>
    <xf numFmtId="164" fontId="5" fillId="0" borderId="2" xfId="1" applyNumberFormat="1" applyFont="1" applyBorder="1"/>
    <xf numFmtId="165" fontId="5" fillId="0" borderId="0" xfId="2" applyNumberFormat="1" applyFont="1"/>
    <xf numFmtId="165" fontId="5" fillId="0" borderId="0" xfId="2" applyNumberFormat="1" applyFont="1" applyFill="1"/>
    <xf numFmtId="164" fontId="5" fillId="0" borderId="0" xfId="0" applyNumberFormat="1" applyFont="1"/>
    <xf numFmtId="43" fontId="5" fillId="0" borderId="0" xfId="2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5" fillId="0" borderId="0" xfId="2" applyNumberFormat="1" applyFont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164" fontId="5" fillId="0" borderId="3" xfId="1" applyNumberFormat="1" applyFont="1" applyFill="1" applyBorder="1"/>
    <xf numFmtId="165" fontId="2" fillId="0" borderId="0" xfId="2" applyNumberFormat="1" applyFont="1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9" fontId="2" fillId="0" borderId="1" xfId="0" quotePrefix="1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3" xfId="0" applyFont="1" applyBorder="1"/>
    <xf numFmtId="37" fontId="7" fillId="0" borderId="0" xfId="4" applyNumberFormat="1" applyFont="1"/>
    <xf numFmtId="165" fontId="2" fillId="0" borderId="2" xfId="2" applyNumberFormat="1" applyFont="1" applyFill="1" applyBorder="1"/>
    <xf numFmtId="0" fontId="5" fillId="0" borderId="0" xfId="0" applyFont="1" applyAlignment="1">
      <alignment vertical="center"/>
    </xf>
    <xf numFmtId="169" fontId="2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3" xfId="2" applyNumberFormat="1" applyFont="1" applyFill="1" applyBorder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4" applyFont="1" applyAlignment="1">
      <alignment horizontal="centerContinuous"/>
    </xf>
    <xf numFmtId="0" fontId="7" fillId="0" borderId="0" xfId="4" applyFont="1" applyAlignment="1">
      <alignment horizontal="right"/>
    </xf>
    <xf numFmtId="0" fontId="7" fillId="0" borderId="0" xfId="4" applyFont="1"/>
    <xf numFmtId="0" fontId="10" fillId="0" borderId="0" xfId="4" applyFont="1"/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2" fontId="7" fillId="0" borderId="0" xfId="4" applyNumberFormat="1" applyFont="1" applyAlignment="1">
      <alignment horizontal="center"/>
    </xf>
    <xf numFmtId="0" fontId="11" fillId="0" borderId="0" xfId="4" applyFont="1" applyAlignment="1">
      <alignment horizontal="centerContinuous"/>
    </xf>
    <xf numFmtId="0" fontId="7" fillId="0" borderId="1" xfId="4" applyFont="1" applyBorder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0" fontId="11" fillId="0" borderId="0" xfId="4" applyFont="1"/>
    <xf numFmtId="165" fontId="7" fillId="0" borderId="0" xfId="2" applyNumberFormat="1" applyFont="1" applyFill="1"/>
    <xf numFmtId="37" fontId="7" fillId="0" borderId="1" xfId="4" applyNumberFormat="1" applyFont="1" applyBorder="1"/>
    <xf numFmtId="0" fontId="7" fillId="0" borderId="5" xfId="4" applyFont="1" applyBorder="1"/>
    <xf numFmtId="37" fontId="7" fillId="0" borderId="5" xfId="4" applyNumberFormat="1" applyFont="1" applyBorder="1"/>
    <xf numFmtId="37" fontId="7" fillId="0" borderId="0" xfId="4" applyNumberFormat="1" applyFont="1" applyAlignment="1">
      <alignment horizontal="right"/>
    </xf>
    <xf numFmtId="0" fontId="7" fillId="0" borderId="6" xfId="4" applyFont="1" applyBorder="1"/>
    <xf numFmtId="37" fontId="7" fillId="0" borderId="6" xfId="4" applyNumberFormat="1" applyFont="1" applyBorder="1"/>
    <xf numFmtId="0" fontId="17" fillId="0" borderId="0" xfId="4" applyFont="1" applyAlignment="1">
      <alignment horizontal="centerContinuous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0" borderId="2" xfId="2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169" fontId="13" fillId="0" borderId="1" xfId="0" quotePrefix="1" applyNumberFormat="1" applyFont="1" applyBorder="1" applyAlignment="1">
      <alignment horizontal="center"/>
    </xf>
    <xf numFmtId="0" fontId="16" fillId="0" borderId="0" xfId="0" applyFont="1"/>
    <xf numFmtId="0" fontId="4" fillId="0" borderId="0" xfId="0" applyFont="1"/>
    <xf numFmtId="165" fontId="2" fillId="0" borderId="0" xfId="2" applyNumberFormat="1" applyFont="1" applyProtection="1"/>
    <xf numFmtId="0" fontId="18" fillId="0" borderId="0" xfId="0" applyFont="1" applyAlignment="1">
      <alignment horizontal="left"/>
    </xf>
    <xf numFmtId="0" fontId="18" fillId="0" borderId="0" xfId="0" applyFont="1"/>
    <xf numFmtId="165" fontId="4" fillId="0" borderId="0" xfId="2" applyNumberFormat="1" applyFont="1" applyFill="1" applyAlignment="1"/>
    <xf numFmtId="165" fontId="4" fillId="0" borderId="0" xfId="2" applyNumberFormat="1" applyFont="1" applyFill="1" applyAlignment="1">
      <alignment horizontal="center"/>
    </xf>
    <xf numFmtId="165" fontId="2" fillId="0" borderId="3" xfId="2" applyNumberFormat="1" applyFont="1" applyBorder="1" applyProtection="1"/>
    <xf numFmtId="165" fontId="0" fillId="0" borderId="0" xfId="2" applyNumberFormat="1" applyFont="1" applyFill="1"/>
    <xf numFmtId="165" fontId="2" fillId="0" borderId="0" xfId="2" applyNumberFormat="1" applyFont="1" applyBorder="1" applyProtection="1"/>
    <xf numFmtId="165" fontId="2" fillId="0" borderId="2" xfId="2" applyNumberFormat="1" applyFont="1" applyBorder="1" applyProtection="1"/>
    <xf numFmtId="0" fontId="13" fillId="0" borderId="0" xfId="0" applyFont="1"/>
    <xf numFmtId="165" fontId="2" fillId="0" borderId="8" xfId="2" applyNumberFormat="1" applyFont="1" applyFill="1" applyBorder="1"/>
    <xf numFmtId="43" fontId="2" fillId="0" borderId="0" xfId="2" applyFont="1" applyFill="1"/>
    <xf numFmtId="0" fontId="19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5" fontId="2" fillId="0" borderId="0" xfId="2" applyNumberFormat="1" applyFont="1" applyFill="1" applyAlignment="1">
      <alignment horizontal="right"/>
    </xf>
    <xf numFmtId="165" fontId="2" fillId="2" borderId="0" xfId="2" applyNumberFormat="1" applyFont="1" applyFill="1"/>
    <xf numFmtId="0" fontId="7" fillId="0" borderId="1" xfId="4" applyFont="1" applyBorder="1" applyAlignment="1">
      <alignment horizontal="right" vertical="center"/>
    </xf>
    <xf numFmtId="37" fontId="5" fillId="0" borderId="0" xfId="0" applyNumberFormat="1" applyFont="1"/>
    <xf numFmtId="10" fontId="2" fillId="0" borderId="0" xfId="0" applyNumberFormat="1" applyFont="1"/>
    <xf numFmtId="164" fontId="2" fillId="0" borderId="0" xfId="1" applyNumberFormat="1" applyFont="1" applyFill="1" applyBorder="1"/>
    <xf numFmtId="0" fontId="13" fillId="0" borderId="0" xfId="3" applyFont="1" applyAlignment="1">
      <alignment horizontal="right"/>
    </xf>
    <xf numFmtId="0" fontId="2" fillId="0" borderId="0" xfId="3" applyFont="1"/>
    <xf numFmtId="0" fontId="2" fillId="0" borderId="0" xfId="0" applyFont="1" applyAlignment="1">
      <alignment horizontal="left"/>
    </xf>
    <xf numFmtId="164" fontId="2" fillId="0" borderId="0" xfId="1" applyNumberFormat="1" applyFont="1"/>
    <xf numFmtId="164" fontId="2" fillId="0" borderId="3" xfId="1" applyNumberFormat="1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12" fillId="0" borderId="0" xfId="0" applyFont="1"/>
    <xf numFmtId="0" fontId="2" fillId="0" borderId="8" xfId="0" applyFont="1" applyBorder="1"/>
    <xf numFmtId="165" fontId="2" fillId="0" borderId="0" xfId="2" applyNumberFormat="1" applyFont="1" applyFill="1" applyProtection="1"/>
    <xf numFmtId="0" fontId="13" fillId="0" borderId="0" xfId="3" applyFont="1"/>
    <xf numFmtId="0" fontId="2" fillId="0" borderId="1" xfId="0" quotePrefix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2" xfId="0" applyNumberFormat="1" applyFont="1" applyBorder="1"/>
    <xf numFmtId="164" fontId="2" fillId="0" borderId="2" xfId="1" applyNumberFormat="1" applyFont="1" applyBorder="1"/>
    <xf numFmtId="164" fontId="2" fillId="0" borderId="0" xfId="1" applyNumberFormat="1" applyFont="1" applyFill="1"/>
    <xf numFmtId="165" fontId="2" fillId="2" borderId="0" xfId="0" applyNumberFormat="1" applyFont="1" applyFill="1"/>
    <xf numFmtId="0" fontId="2" fillId="2" borderId="0" xfId="0" applyFont="1" applyFill="1"/>
    <xf numFmtId="165" fontId="2" fillId="0" borderId="3" xfId="2" applyNumberFormat="1" applyFont="1" applyBorder="1"/>
    <xf numFmtId="165" fontId="2" fillId="0" borderId="0" xfId="2" applyNumberFormat="1" applyFont="1" applyBorder="1"/>
    <xf numFmtId="165" fontId="2" fillId="0" borderId="0" xfId="0" applyNumberFormat="1" applyFont="1"/>
    <xf numFmtId="166" fontId="2" fillId="0" borderId="0" xfId="1" applyNumberFormat="1" applyFont="1" applyBorder="1"/>
    <xf numFmtId="167" fontId="2" fillId="0" borderId="0" xfId="2" applyNumberFormat="1" applyFont="1" applyBorder="1"/>
    <xf numFmtId="0" fontId="2" fillId="0" borderId="4" xfId="0" applyFont="1" applyBorder="1"/>
    <xf numFmtId="164" fontId="2" fillId="0" borderId="4" xfId="1" applyNumberFormat="1" applyFont="1" applyBorder="1"/>
    <xf numFmtId="164" fontId="13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13" fillId="0" borderId="1" xfId="0" applyFont="1" applyBorder="1"/>
    <xf numFmtId="165" fontId="20" fillId="0" borderId="0" xfId="2" applyNumberFormat="1" applyFont="1" applyFill="1"/>
    <xf numFmtId="10" fontId="5" fillId="0" borderId="0" xfId="5" applyNumberFormat="1" applyFont="1"/>
    <xf numFmtId="172" fontId="5" fillId="0" borderId="0" xfId="2" applyNumberFormat="1" applyFont="1"/>
    <xf numFmtId="10" fontId="2" fillId="0" borderId="0" xfId="5" applyNumberFormat="1" applyFont="1"/>
    <xf numFmtId="10" fontId="4" fillId="0" borderId="0" xfId="5" applyNumberFormat="1" applyFont="1"/>
    <xf numFmtId="44" fontId="2" fillId="0" borderId="0" xfId="10" applyFont="1"/>
    <xf numFmtId="164" fontId="2" fillId="0" borderId="0" xfId="10" applyNumberFormat="1" applyFont="1"/>
    <xf numFmtId="44" fontId="2" fillId="0" borderId="1" xfId="10" applyFont="1" applyBorder="1"/>
    <xf numFmtId="164" fontId="2" fillId="0" borderId="1" xfId="10" applyNumberFormat="1" applyFont="1" applyBorder="1"/>
    <xf numFmtId="44" fontId="13" fillId="0" borderId="3" xfId="10" applyFont="1" applyBorder="1"/>
    <xf numFmtId="164" fontId="13" fillId="0" borderId="0" xfId="10" applyNumberFormat="1" applyFont="1" applyBorder="1"/>
    <xf numFmtId="44" fontId="2" fillId="0" borderId="0" xfId="10" applyFont="1" applyBorder="1"/>
    <xf numFmtId="173" fontId="2" fillId="0" borderId="0" xfId="12" applyNumberFormat="1" applyFont="1" applyAlignment="1">
      <alignment horizontal="center"/>
    </xf>
    <xf numFmtId="164" fontId="2" fillId="0" borderId="0" xfId="10" applyNumberFormat="1" applyFont="1" applyBorder="1"/>
    <xf numFmtId="44" fontId="13" fillId="0" borderId="0" xfId="10" applyFont="1" applyBorder="1"/>
    <xf numFmtId="44" fontId="13" fillId="0" borderId="1" xfId="13" applyNumberFormat="1" applyFont="1" applyBorder="1" applyAlignment="1" applyProtection="1"/>
    <xf numFmtId="164" fontId="13" fillId="0" borderId="0" xfId="13" applyNumberFormat="1" applyFont="1" applyBorder="1" applyAlignment="1" applyProtection="1"/>
    <xf numFmtId="44" fontId="5" fillId="0" borderId="0" xfId="10" applyFont="1"/>
    <xf numFmtId="164" fontId="5" fillId="0" borderId="0" xfId="10" applyNumberFormat="1" applyFont="1"/>
    <xf numFmtId="173" fontId="5" fillId="0" borderId="0" xfId="12" applyNumberFormat="1" applyFont="1" applyAlignment="1">
      <alignment horizontal="center"/>
    </xf>
    <xf numFmtId="171" fontId="5" fillId="0" borderId="0" xfId="9" applyNumberFormat="1" applyFont="1"/>
    <xf numFmtId="10" fontId="5" fillId="0" borderId="0" xfId="12" applyNumberFormat="1" applyFont="1" applyAlignment="1">
      <alignment horizontal="center"/>
    </xf>
    <xf numFmtId="10" fontId="5" fillId="0" borderId="0" xfId="12" applyNumberFormat="1" applyFont="1"/>
    <xf numFmtId="165" fontId="5" fillId="0" borderId="0" xfId="9" applyNumberFormat="1" applyFont="1"/>
    <xf numFmtId="0" fontId="5" fillId="0" borderId="0" xfId="0" quotePrefix="1" applyFont="1" applyAlignment="1">
      <alignment horizontal="center"/>
    </xf>
    <xf numFmtId="165" fontId="2" fillId="0" borderId="0" xfId="2" applyNumberFormat="1" applyFont="1"/>
    <xf numFmtId="10" fontId="2" fillId="0" borderId="0" xfId="12" applyNumberFormat="1" applyFont="1"/>
    <xf numFmtId="0" fontId="22" fillId="0" borderId="0" xfId="0" applyFont="1"/>
    <xf numFmtId="0" fontId="2" fillId="0" borderId="0" xfId="12" applyNumberFormat="1" applyFont="1"/>
    <xf numFmtId="44" fontId="0" fillId="0" borderId="0" xfId="10" applyFont="1"/>
    <xf numFmtId="171" fontId="2" fillId="0" borderId="0" xfId="10" applyNumberFormat="1" applyFont="1"/>
    <xf numFmtId="164" fontId="5" fillId="0" borderId="1" xfId="10" applyNumberFormat="1" applyFont="1" applyBorder="1"/>
    <xf numFmtId="0" fontId="5" fillId="0" borderId="1" xfId="0" applyFont="1" applyBorder="1"/>
    <xf numFmtId="43" fontId="5" fillId="0" borderId="0" xfId="2" applyFont="1" applyFill="1"/>
    <xf numFmtId="43" fontId="2" fillId="0" borderId="0" xfId="0" applyNumberFormat="1" applyFont="1"/>
    <xf numFmtId="165" fontId="5" fillId="0" borderId="0" xfId="0" applyNumberFormat="1" applyFont="1"/>
    <xf numFmtId="0" fontId="26" fillId="0" borderId="0" xfId="16" applyFont="1" applyAlignment="1">
      <alignment horizontal="centerContinuous"/>
    </xf>
    <xf numFmtId="0" fontId="25" fillId="0" borderId="0" xfId="16" applyAlignment="1">
      <alignment horizontal="centerContinuous"/>
    </xf>
    <xf numFmtId="0" fontId="25" fillId="0" borderId="0" xfId="16"/>
    <xf numFmtId="0" fontId="25" fillId="0" borderId="0" xfId="16" applyAlignment="1">
      <alignment horizontal="center"/>
    </xf>
    <xf numFmtId="0" fontId="2" fillId="0" borderId="0" xfId="16" applyFont="1" applyAlignment="1">
      <alignment horizontal="center"/>
    </xf>
    <xf numFmtId="0" fontId="25" fillId="0" borderId="1" xfId="16" applyBorder="1" applyAlignment="1">
      <alignment horizontal="center"/>
    </xf>
    <xf numFmtId="0" fontId="2" fillId="0" borderId="1" xfId="16" applyFont="1" applyBorder="1" applyAlignment="1">
      <alignment horizontal="center"/>
    </xf>
    <xf numFmtId="170" fontId="25" fillId="0" borderId="0" xfId="16" applyNumberFormat="1"/>
    <xf numFmtId="164" fontId="0" fillId="0" borderId="0" xfId="10" applyNumberFormat="1" applyFont="1"/>
    <xf numFmtId="41" fontId="2" fillId="0" borderId="0" xfId="16" applyNumberFormat="1" applyFont="1" applyAlignment="1">
      <alignment vertical="top"/>
    </xf>
    <xf numFmtId="0" fontId="2" fillId="0" borderId="0" xfId="16" applyFont="1"/>
    <xf numFmtId="41" fontId="2" fillId="0" borderId="1" xfId="16" applyNumberFormat="1" applyFont="1" applyBorder="1" applyAlignment="1">
      <alignment vertical="top"/>
    </xf>
    <xf numFmtId="164" fontId="0" fillId="0" borderId="1" xfId="10" applyNumberFormat="1" applyFont="1" applyBorder="1"/>
    <xf numFmtId="171" fontId="25" fillId="0" borderId="0" xfId="16" applyNumberFormat="1"/>
    <xf numFmtId="164" fontId="25" fillId="0" borderId="0" xfId="16" applyNumberFormat="1"/>
    <xf numFmtId="5" fontId="2" fillId="0" borderId="0" xfId="9" applyNumberFormat="1" applyFont="1" applyBorder="1"/>
    <xf numFmtId="43" fontId="0" fillId="0" borderId="0" xfId="9" applyFont="1"/>
    <xf numFmtId="4" fontId="2" fillId="0" borderId="0" xfId="16" applyNumberFormat="1" applyFont="1" applyAlignment="1">
      <alignment vertical="top"/>
    </xf>
    <xf numFmtId="43" fontId="25" fillId="0" borderId="0" xfId="16" applyNumberFormat="1"/>
    <xf numFmtId="0" fontId="24" fillId="0" borderId="0" xfId="16" applyFont="1"/>
    <xf numFmtId="0" fontId="24" fillId="0" borderId="0" xfId="16" quotePrefix="1" applyFont="1" applyAlignment="1">
      <alignment horizontal="center"/>
    </xf>
    <xf numFmtId="0" fontId="24" fillId="0" borderId="0" xfId="16" quotePrefix="1" applyFont="1"/>
    <xf numFmtId="0" fontId="24" fillId="0" borderId="0" xfId="16" applyFont="1" applyAlignment="1">
      <alignment horizontal="right"/>
    </xf>
    <xf numFmtId="0" fontId="24" fillId="0" borderId="1" xfId="16" applyFont="1" applyBorder="1" applyAlignment="1">
      <alignment horizontal="center"/>
    </xf>
    <xf numFmtId="42" fontId="24" fillId="0" borderId="0" xfId="16" applyNumberFormat="1" applyFont="1"/>
    <xf numFmtId="164" fontId="24" fillId="0" borderId="2" xfId="16" applyNumberFormat="1" applyFont="1" applyBorder="1"/>
    <xf numFmtId="164" fontId="24" fillId="0" borderId="0" xfId="16" applyNumberFormat="1" applyFont="1"/>
    <xf numFmtId="0" fontId="24" fillId="0" borderId="0" xfId="16" applyFont="1" applyAlignment="1">
      <alignment horizontal="centerContinuous"/>
    </xf>
    <xf numFmtId="0" fontId="13" fillId="0" borderId="0" xfId="16" applyFont="1" applyAlignment="1">
      <alignment horizontal="center"/>
    </xf>
    <xf numFmtId="0" fontId="13" fillId="0" borderId="1" xfId="16" applyFont="1" applyBorder="1" applyAlignment="1">
      <alignment horizontal="center"/>
    </xf>
    <xf numFmtId="0" fontId="27" fillId="0" borderId="1" xfId="16" applyFont="1" applyBorder="1" applyAlignment="1">
      <alignment horizontal="center"/>
    </xf>
    <xf numFmtId="173" fontId="25" fillId="0" borderId="0" xfId="16" applyNumberFormat="1" applyAlignment="1">
      <alignment horizontal="center"/>
    </xf>
    <xf numFmtId="165" fontId="0" fillId="0" borderId="0" xfId="9" applyNumberFormat="1" applyFont="1"/>
    <xf numFmtId="44" fontId="13" fillId="0" borderId="1" xfId="10" applyFont="1" applyBorder="1"/>
    <xf numFmtId="164" fontId="13" fillId="0" borderId="8" xfId="10" applyNumberFormat="1" applyFont="1" applyBorder="1"/>
    <xf numFmtId="171" fontId="13" fillId="0" borderId="0" xfId="9" applyNumberFormat="1" applyFont="1" applyBorder="1"/>
    <xf numFmtId="164" fontId="13" fillId="0" borderId="0" xfId="9" applyNumberFormat="1" applyFont="1" applyBorder="1"/>
    <xf numFmtId="164" fontId="13" fillId="0" borderId="1" xfId="10" applyNumberFormat="1" applyFont="1" applyBorder="1"/>
    <xf numFmtId="171" fontId="13" fillId="0" borderId="0" xfId="9" applyNumberFormat="1" applyFont="1"/>
    <xf numFmtId="173" fontId="2" fillId="0" borderId="0" xfId="16" applyNumberFormat="1" applyFont="1" applyAlignment="1">
      <alignment horizontal="center"/>
    </xf>
    <xf numFmtId="44" fontId="13" fillId="0" borderId="8" xfId="10" applyFont="1" applyBorder="1"/>
    <xf numFmtId="164" fontId="13" fillId="0" borderId="1" xfId="13" applyNumberFormat="1" applyFont="1" applyBorder="1" applyAlignment="1" applyProtection="1"/>
    <xf numFmtId="171" fontId="13" fillId="0" borderId="4" xfId="9" applyNumberFormat="1" applyFont="1" applyBorder="1"/>
    <xf numFmtId="6" fontId="13" fillId="0" borderId="4" xfId="9" applyNumberFormat="1" applyFont="1" applyBorder="1"/>
    <xf numFmtId="5" fontId="13" fillId="0" borderId="4" xfId="9" applyNumberFormat="1" applyFont="1" applyBorder="1"/>
    <xf numFmtId="6" fontId="13" fillId="0" borderId="0" xfId="9" applyNumberFormat="1" applyFont="1" applyBorder="1"/>
    <xf numFmtId="10" fontId="13" fillId="0" borderId="0" xfId="12" applyNumberFormat="1" applyFont="1" applyBorder="1"/>
    <xf numFmtId="44" fontId="13" fillId="0" borderId="4" xfId="10" applyFont="1" applyBorder="1"/>
    <xf numFmtId="0" fontId="2" fillId="0" borderId="0" xfId="16" applyFont="1" applyAlignment="1">
      <alignment horizontal="left"/>
    </xf>
    <xf numFmtId="164" fontId="28" fillId="0" borderId="0" xfId="10" applyNumberFormat="1" applyFont="1" applyAlignment="1">
      <alignment horizontal="left"/>
    </xf>
    <xf numFmtId="164" fontId="0" fillId="0" borderId="0" xfId="10" applyNumberFormat="1" applyFont="1" applyAlignment="1">
      <alignment horizontal="centerContinuous"/>
    </xf>
    <xf numFmtId="165" fontId="0" fillId="0" borderId="0" xfId="9" applyNumberFormat="1" applyFont="1" applyAlignment="1">
      <alignment horizontal="centerContinuous"/>
    </xf>
    <xf numFmtId="0" fontId="13" fillId="0" borderId="0" xfId="16" applyFont="1" applyAlignment="1">
      <alignment horizontal="left"/>
    </xf>
    <xf numFmtId="0" fontId="24" fillId="0" borderId="0" xfId="16" applyFont="1" applyAlignment="1">
      <alignment horizontal="center"/>
    </xf>
    <xf numFmtId="174" fontId="24" fillId="0" borderId="0" xfId="16" applyNumberFormat="1" applyFont="1"/>
    <xf numFmtId="3" fontId="24" fillId="0" borderId="0" xfId="16" quotePrefix="1" applyNumberFormat="1" applyFont="1"/>
    <xf numFmtId="175" fontId="24" fillId="0" borderId="0" xfId="16" applyNumberFormat="1" applyFont="1"/>
    <xf numFmtId="171" fontId="24" fillId="0" borderId="0" xfId="16" quotePrefix="1" applyNumberFormat="1" applyFont="1" applyAlignment="1">
      <alignment horizontal="center"/>
    </xf>
    <xf numFmtId="165" fontId="24" fillId="0" borderId="0" xfId="9" applyNumberFormat="1" applyFont="1" applyFill="1"/>
    <xf numFmtId="179" fontId="24" fillId="0" borderId="0" xfId="10" applyNumberFormat="1" applyFont="1" applyFill="1"/>
    <xf numFmtId="164" fontId="24" fillId="0" borderId="0" xfId="10" applyNumberFormat="1" applyFont="1" applyFill="1"/>
    <xf numFmtId="179" fontId="24" fillId="0" borderId="0" xfId="10" applyNumberFormat="1" applyFont="1"/>
    <xf numFmtId="164" fontId="24" fillId="0" borderId="0" xfId="10" applyNumberFormat="1" applyFont="1"/>
    <xf numFmtId="179" fontId="25" fillId="0" borderId="0" xfId="16" applyNumberFormat="1"/>
    <xf numFmtId="180" fontId="24" fillId="0" borderId="0" xfId="10" applyNumberFormat="1" applyFont="1" applyFill="1"/>
    <xf numFmtId="165" fontId="24" fillId="0" borderId="0" xfId="9" quotePrefix="1" applyNumberFormat="1" applyFont="1" applyAlignment="1">
      <alignment horizontal="centerContinuous"/>
    </xf>
    <xf numFmtId="180" fontId="24" fillId="0" borderId="0" xfId="10" applyNumberFormat="1" applyFont="1"/>
    <xf numFmtId="165" fontId="24" fillId="0" borderId="0" xfId="16" applyNumberFormat="1" applyFont="1"/>
    <xf numFmtId="165" fontId="24" fillId="0" borderId="0" xfId="9" applyNumberFormat="1" applyFont="1" applyFill="1" applyBorder="1"/>
    <xf numFmtId="164" fontId="24" fillId="0" borderId="0" xfId="10" applyNumberFormat="1" applyFont="1" applyFill="1" applyBorder="1"/>
    <xf numFmtId="165" fontId="25" fillId="0" borderId="0" xfId="16" applyNumberFormat="1"/>
    <xf numFmtId="44" fontId="24" fillId="0" borderId="0" xfId="10" applyFont="1"/>
    <xf numFmtId="0" fontId="2" fillId="4" borderId="0" xfId="16" applyFont="1" applyFill="1"/>
    <xf numFmtId="0" fontId="25" fillId="4" borderId="0" xfId="16" applyFill="1"/>
    <xf numFmtId="164" fontId="25" fillId="4" borderId="0" xfId="16" applyNumberFormat="1" applyFill="1"/>
    <xf numFmtId="164" fontId="24" fillId="0" borderId="1" xfId="10" applyNumberFormat="1" applyFont="1" applyFill="1" applyBorder="1"/>
    <xf numFmtId="164" fontId="24" fillId="0" borderId="8" xfId="10" applyNumberFormat="1" applyFont="1" applyFill="1" applyBorder="1"/>
    <xf numFmtId="165" fontId="24" fillId="0" borderId="1" xfId="9" applyNumberFormat="1" applyFont="1" applyFill="1" applyBorder="1"/>
    <xf numFmtId="165" fontId="24" fillId="0" borderId="0" xfId="9" applyNumberFormat="1" applyFont="1" applyBorder="1"/>
    <xf numFmtId="164" fontId="24" fillId="0" borderId="0" xfId="10" applyNumberFormat="1" applyFont="1" applyBorder="1"/>
    <xf numFmtId="165" fontId="24" fillId="0" borderId="2" xfId="16" applyNumberFormat="1" applyFont="1" applyBorder="1"/>
    <xf numFmtId="164" fontId="24" fillId="0" borderId="4" xfId="10" applyNumberFormat="1" applyFont="1" applyBorder="1"/>
    <xf numFmtId="165" fontId="24" fillId="0" borderId="4" xfId="9" applyNumberFormat="1" applyFont="1" applyBorder="1"/>
    <xf numFmtId="164" fontId="24" fillId="0" borderId="2" xfId="10" applyNumberFormat="1" applyFont="1" applyBorder="1"/>
    <xf numFmtId="164" fontId="24" fillId="0" borderId="0" xfId="16" quotePrefix="1" applyNumberFormat="1" applyFont="1" applyAlignment="1">
      <alignment horizontal="center"/>
    </xf>
    <xf numFmtId="181" fontId="24" fillId="0" borderId="0" xfId="12" applyNumberFormat="1" applyFont="1"/>
    <xf numFmtId="181" fontId="24" fillId="0" borderId="2" xfId="12" applyNumberFormat="1" applyFont="1" applyBorder="1"/>
    <xf numFmtId="0" fontId="24" fillId="0" borderId="1" xfId="16" applyFont="1" applyBorder="1" applyAlignment="1">
      <alignment horizontal="centerContinuous"/>
    </xf>
    <xf numFmtId="0" fontId="24" fillId="5" borderId="0" xfId="16" applyFont="1" applyFill="1"/>
    <xf numFmtId="176" fontId="24" fillId="0" borderId="0" xfId="12" applyNumberFormat="1" applyFont="1" applyFill="1" applyBorder="1" applyAlignment="1">
      <alignment horizontal="right"/>
    </xf>
    <xf numFmtId="42" fontId="24" fillId="0" borderId="2" xfId="16" applyNumberFormat="1" applyFont="1" applyBorder="1"/>
    <xf numFmtId="176" fontId="24" fillId="0" borderId="2" xfId="12" applyNumberFormat="1" applyFont="1" applyFill="1" applyBorder="1" applyAlignment="1">
      <alignment horizontal="right"/>
    </xf>
    <xf numFmtId="0" fontId="24" fillId="0" borderId="0" xfId="16" quotePrefix="1" applyFont="1" applyAlignment="1">
      <alignment horizontal="left"/>
    </xf>
    <xf numFmtId="164" fontId="24" fillId="0" borderId="0" xfId="10" quotePrefix="1" applyNumberFormat="1" applyFont="1"/>
    <xf numFmtId="10" fontId="24" fillId="0" borderId="0" xfId="16" applyNumberFormat="1" applyFont="1"/>
    <xf numFmtId="164" fontId="24" fillId="0" borderId="0" xfId="10" quotePrefix="1" applyNumberFormat="1" applyFont="1" applyBorder="1"/>
    <xf numFmtId="165" fontId="0" fillId="0" borderId="0" xfId="9" applyNumberFormat="1" applyFont="1" applyBorder="1"/>
    <xf numFmtId="0" fontId="24" fillId="0" borderId="0" xfId="16" quotePrefix="1" applyFont="1" applyAlignment="1">
      <alignment horizontal="right"/>
    </xf>
    <xf numFmtId="0" fontId="24" fillId="0" borderId="0" xfId="16" quotePrefix="1" applyFont="1" applyAlignment="1">
      <alignment horizontal="centerContinuous"/>
    </xf>
    <xf numFmtId="183" fontId="24" fillId="0" borderId="0" xfId="16" applyNumberFormat="1" applyFont="1"/>
    <xf numFmtId="183" fontId="24" fillId="0" borderId="2" xfId="16" applyNumberFormat="1" applyFont="1" applyBorder="1"/>
    <xf numFmtId="165" fontId="24" fillId="0" borderId="0" xfId="16" applyNumberFormat="1" applyFont="1" applyAlignment="1">
      <alignment horizontal="center"/>
    </xf>
    <xf numFmtId="10" fontId="24" fillId="0" borderId="0" xfId="12" applyNumberFormat="1" applyFont="1"/>
    <xf numFmtId="10" fontId="24" fillId="0" borderId="2" xfId="12" applyNumberFormat="1" applyFont="1" applyBorder="1"/>
    <xf numFmtId="42" fontId="24" fillId="0" borderId="0" xfId="16" quotePrefix="1" applyNumberFormat="1" applyFont="1" applyAlignment="1">
      <alignment horizontal="center"/>
    </xf>
    <xf numFmtId="0" fontId="12" fillId="0" borderId="0" xfId="16" applyFont="1"/>
    <xf numFmtId="185" fontId="25" fillId="0" borderId="0" xfId="16" applyNumberFormat="1"/>
    <xf numFmtId="164" fontId="2" fillId="0" borderId="0" xfId="16" applyNumberFormat="1" applyFont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quotePrefix="1" applyFont="1"/>
    <xf numFmtId="0" fontId="13" fillId="0" borderId="0" xfId="16" applyFont="1"/>
    <xf numFmtId="170" fontId="2" fillId="0" borderId="0" xfId="16" applyNumberFormat="1" applyFont="1"/>
    <xf numFmtId="9" fontId="2" fillId="0" borderId="0" xfId="16" applyNumberFormat="1" applyFont="1" applyAlignment="1">
      <alignment horizontal="center"/>
    </xf>
    <xf numFmtId="9" fontId="2" fillId="0" borderId="0" xfId="16" applyNumberFormat="1" applyFont="1"/>
    <xf numFmtId="171" fontId="2" fillId="0" borderId="0" xfId="16" applyNumberFormat="1" applyFont="1"/>
    <xf numFmtId="6" fontId="2" fillId="0" borderId="0" xfId="16" applyNumberFormat="1" applyFont="1"/>
    <xf numFmtId="44" fontId="25" fillId="0" borderId="0" xfId="16" applyNumberFormat="1"/>
    <xf numFmtId="171" fontId="2" fillId="0" borderId="1" xfId="16" applyNumberFormat="1" applyFont="1" applyBorder="1"/>
    <xf numFmtId="171" fontId="2" fillId="0" borderId="8" xfId="16" applyNumberFormat="1" applyFont="1" applyBorder="1"/>
    <xf numFmtId="43" fontId="2" fillId="0" borderId="0" xfId="9" applyFont="1" applyFill="1" applyAlignment="1">
      <alignment horizontal="center"/>
    </xf>
    <xf numFmtId="177" fontId="2" fillId="0" borderId="0" xfId="16" quotePrefix="1" applyNumberFormat="1" applyFont="1" applyAlignment="1">
      <alignment horizontal="right"/>
    </xf>
    <xf numFmtId="177" fontId="2" fillId="0" borderId="0" xfId="16" applyNumberFormat="1" applyFont="1"/>
    <xf numFmtId="2" fontId="25" fillId="0" borderId="0" xfId="16" applyNumberFormat="1"/>
    <xf numFmtId="177" fontId="25" fillId="0" borderId="0" xfId="16" applyNumberFormat="1"/>
    <xf numFmtId="171" fontId="2" fillId="0" borderId="0" xfId="16" quotePrefix="1" applyNumberFormat="1" applyFont="1"/>
    <xf numFmtId="3" fontId="2" fillId="0" borderId="0" xfId="16" applyNumberFormat="1" applyFont="1" applyAlignment="1">
      <alignment horizontal="center"/>
    </xf>
    <xf numFmtId="177" fontId="2" fillId="0" borderId="8" xfId="16" applyNumberFormat="1" applyFont="1" applyBorder="1"/>
    <xf numFmtId="4" fontId="2" fillId="0" borderId="0" xfId="16" applyNumberFormat="1" applyFont="1"/>
    <xf numFmtId="10" fontId="2" fillId="0" borderId="0" xfId="16" applyNumberFormat="1" applyFont="1"/>
    <xf numFmtId="4" fontId="2" fillId="0" borderId="0" xfId="16" applyNumberFormat="1" applyFont="1" applyAlignment="1">
      <alignment horizontal="center"/>
    </xf>
    <xf numFmtId="165" fontId="2" fillId="0" borderId="0" xfId="9" applyNumberFormat="1" applyFont="1" applyAlignment="1">
      <alignment horizontal="center"/>
    </xf>
    <xf numFmtId="0" fontId="2" fillId="0" borderId="0" xfId="20"/>
    <xf numFmtId="0" fontId="29" fillId="0" borderId="0" xfId="20" applyFont="1"/>
    <xf numFmtId="170" fontId="2" fillId="0" borderId="0" xfId="16" applyNumberFormat="1" applyFont="1" applyAlignment="1">
      <alignment horizontal="center"/>
    </xf>
    <xf numFmtId="8" fontId="2" fillId="0" borderId="0" xfId="16" applyNumberFormat="1" applyFont="1"/>
    <xf numFmtId="2" fontId="2" fillId="0" borderId="0" xfId="16" applyNumberFormat="1" applyFont="1"/>
    <xf numFmtId="0" fontId="16" fillId="0" borderId="0" xfId="16" applyFont="1" applyAlignment="1">
      <alignment horizontal="center"/>
    </xf>
    <xf numFmtId="0" fontId="16" fillId="0" borderId="1" xfId="16" applyFont="1" applyBorder="1" applyAlignment="1">
      <alignment horizontal="center"/>
    </xf>
    <xf numFmtId="0" fontId="19" fillId="0" borderId="0" xfId="16" applyFont="1"/>
    <xf numFmtId="43" fontId="0" fillId="0" borderId="0" xfId="9" applyFont="1" applyFill="1"/>
    <xf numFmtId="44" fontId="0" fillId="0" borderId="0" xfId="10" applyFont="1" applyFill="1"/>
    <xf numFmtId="165" fontId="0" fillId="0" borderId="0" xfId="9" applyNumberFormat="1" applyFont="1" applyFill="1"/>
    <xf numFmtId="44" fontId="0" fillId="0" borderId="0" xfId="10" applyFont="1" applyBorder="1"/>
    <xf numFmtId="0" fontId="25" fillId="6" borderId="0" xfId="16" applyFill="1" applyAlignment="1">
      <alignment horizontal="center"/>
    </xf>
    <xf numFmtId="165" fontId="16" fillId="0" borderId="0" xfId="9" applyNumberFormat="1" applyFont="1"/>
    <xf numFmtId="44" fontId="16" fillId="0" borderId="0" xfId="10" applyFont="1"/>
    <xf numFmtId="170" fontId="5" fillId="0" borderId="1" xfId="0" applyNumberFormat="1" applyFont="1" applyBorder="1" applyAlignment="1">
      <alignment horizontal="center"/>
    </xf>
    <xf numFmtId="43" fontId="5" fillId="0" borderId="0" xfId="0" applyNumberFormat="1" applyFont="1"/>
    <xf numFmtId="0" fontId="5" fillId="0" borderId="0" xfId="3" applyFont="1" applyAlignment="1">
      <alignment horizontal="left"/>
    </xf>
    <xf numFmtId="43" fontId="5" fillId="0" borderId="0" xfId="2" applyFont="1" applyBorder="1"/>
    <xf numFmtId="43" fontId="5" fillId="0" borderId="3" xfId="2" applyFont="1" applyBorder="1"/>
    <xf numFmtId="0" fontId="5" fillId="0" borderId="4" xfId="0" applyFont="1" applyBorder="1"/>
    <xf numFmtId="43" fontId="5" fillId="0" borderId="4" xfId="2" applyFont="1" applyBorder="1"/>
    <xf numFmtId="0" fontId="2" fillId="0" borderId="0" xfId="16" applyFont="1" applyAlignment="1">
      <alignment horizontal="centerContinuous"/>
    </xf>
    <xf numFmtId="14" fontId="2" fillId="0" borderId="0" xfId="16" applyNumberFormat="1" applyFont="1"/>
    <xf numFmtId="0" fontId="2" fillId="0" borderId="1" xfId="16" applyFont="1" applyBorder="1"/>
    <xf numFmtId="14" fontId="2" fillId="0" borderId="1" xfId="16" applyNumberFormat="1" applyFont="1" applyBorder="1" applyAlignment="1">
      <alignment horizontal="center"/>
    </xf>
    <xf numFmtId="41" fontId="2" fillId="0" borderId="0" xfId="16" applyNumberFormat="1" applyFont="1"/>
    <xf numFmtId="168" fontId="2" fillId="0" borderId="0" xfId="16" applyNumberFormat="1" applyFont="1"/>
    <xf numFmtId="0" fontId="2" fillId="0" borderId="0" xfId="16" applyFont="1" applyAlignment="1">
      <alignment horizontal="right"/>
    </xf>
    <xf numFmtId="164" fontId="2" fillId="0" borderId="0" xfId="16" applyNumberFormat="1" applyFont="1"/>
    <xf numFmtId="43" fontId="2" fillId="0" borderId="0" xfId="16" applyNumberFormat="1" applyFont="1"/>
    <xf numFmtId="0" fontId="13" fillId="0" borderId="0" xfId="16" applyFont="1" applyAlignment="1">
      <alignment horizontal="centerContinuous"/>
    </xf>
    <xf numFmtId="168" fontId="5" fillId="0" borderId="0" xfId="12" applyNumberFormat="1" applyFont="1" applyFill="1" applyAlignment="1">
      <alignment horizontal="center"/>
    </xf>
    <xf numFmtId="41" fontId="5" fillId="0" borderId="0" xfId="10" applyNumberFormat="1" applyFont="1"/>
    <xf numFmtId="41" fontId="5" fillId="0" borderId="1" xfId="10" applyNumberFormat="1" applyFont="1" applyBorder="1"/>
    <xf numFmtId="164" fontId="5" fillId="0" borderId="4" xfId="10" applyNumberFormat="1" applyFont="1" applyBorder="1"/>
    <xf numFmtId="164" fontId="5" fillId="0" borderId="0" xfId="10" applyNumberFormat="1" applyFont="1" applyFill="1"/>
    <xf numFmtId="164" fontId="5" fillId="0" borderId="0" xfId="10" applyNumberFormat="1" applyFont="1" applyFill="1" applyBorder="1"/>
    <xf numFmtId="173" fontId="5" fillId="0" borderId="0" xfId="12" applyNumberFormat="1" applyFont="1" applyBorder="1"/>
    <xf numFmtId="173" fontId="5" fillId="0" borderId="0" xfId="12" applyNumberFormat="1" applyFont="1"/>
    <xf numFmtId="164" fontId="5" fillId="0" borderId="1" xfId="10" applyNumberFormat="1" applyFont="1" applyFill="1" applyBorder="1"/>
    <xf numFmtId="43" fontId="5" fillId="0" borderId="0" xfId="9" applyFont="1" applyAlignment="1">
      <alignment horizontal="centerContinuous"/>
    </xf>
    <xf numFmtId="43" fontId="5" fillId="0" borderId="0" xfId="9" applyFont="1"/>
    <xf numFmtId="14" fontId="13" fillId="0" borderId="0" xfId="16" applyNumberFormat="1" applyFont="1"/>
    <xf numFmtId="43" fontId="2" fillId="0" borderId="0" xfId="9" applyFont="1" applyFill="1" applyBorder="1" applyAlignment="1" applyProtection="1">
      <alignment vertical="top"/>
    </xf>
    <xf numFmtId="43" fontId="2" fillId="0" borderId="0" xfId="9" applyFont="1"/>
    <xf numFmtId="14" fontId="2" fillId="0" borderId="0" xfId="9" applyNumberFormat="1" applyFont="1"/>
    <xf numFmtId="43" fontId="2" fillId="0" borderId="1" xfId="16" applyNumberFormat="1" applyFont="1" applyBorder="1"/>
    <xf numFmtId="43" fontId="5" fillId="0" borderId="0" xfId="9" applyFont="1" applyBorder="1"/>
    <xf numFmtId="172" fontId="5" fillId="0" borderId="0" xfId="2" applyNumberFormat="1" applyFont="1" applyAlignment="1">
      <alignment horizontal="center"/>
    </xf>
    <xf numFmtId="43" fontId="5" fillId="0" borderId="0" xfId="2" applyFont="1" applyAlignment="1">
      <alignment horizontal="center"/>
    </xf>
    <xf numFmtId="10" fontId="5" fillId="0" borderId="0" xfId="5" applyNumberFormat="1" applyFont="1" applyAlignment="1">
      <alignment horizontal="center"/>
    </xf>
    <xf numFmtId="9" fontId="5" fillId="0" borderId="0" xfId="5" applyFont="1" applyAlignment="1">
      <alignment horizontal="center"/>
    </xf>
    <xf numFmtId="9" fontId="5" fillId="0" borderId="0" xfId="5" applyFont="1"/>
    <xf numFmtId="172" fontId="4" fillId="0" borderId="0" xfId="2" applyNumberFormat="1" applyFont="1"/>
    <xf numFmtId="43" fontId="5" fillId="0" borderId="0" xfId="5" applyNumberFormat="1" applyFont="1"/>
    <xf numFmtId="0" fontId="5" fillId="2" borderId="0" xfId="0" applyFont="1" applyFill="1"/>
    <xf numFmtId="43" fontId="5" fillId="0" borderId="8" xfId="2" applyFont="1" applyBorder="1"/>
    <xf numFmtId="0" fontId="4" fillId="0" borderId="0" xfId="0" applyFont="1" applyAlignment="1">
      <alignment horizontal="left"/>
    </xf>
    <xf numFmtId="43" fontId="4" fillId="0" borderId="8" xfId="2" applyFont="1" applyBorder="1"/>
    <xf numFmtId="172" fontId="4" fillId="0" borderId="0" xfId="2" applyNumberFormat="1" applyFont="1" applyAlignment="1">
      <alignment horizontal="left"/>
    </xf>
    <xf numFmtId="0" fontId="4" fillId="0" borderId="0" xfId="0" applyFont="1" applyAlignment="1">
      <alignment horizontal="right"/>
    </xf>
    <xf numFmtId="43" fontId="4" fillId="0" borderId="2" xfId="2" applyFont="1" applyBorder="1"/>
    <xf numFmtId="43" fontId="4" fillId="0" borderId="0" xfId="2" applyFont="1" applyBorder="1"/>
    <xf numFmtId="172" fontId="5" fillId="0" borderId="9" xfId="2" applyNumberFormat="1" applyFont="1" applyBorder="1"/>
    <xf numFmtId="0" fontId="5" fillId="0" borderId="3" xfId="0" applyFont="1" applyBorder="1" applyAlignment="1">
      <alignment horizontal="right"/>
    </xf>
    <xf numFmtId="43" fontId="4" fillId="0" borderId="12" xfId="2" applyFont="1" applyBorder="1"/>
    <xf numFmtId="172" fontId="5" fillId="0" borderId="10" xfId="2" applyNumberFormat="1" applyFont="1" applyBorder="1"/>
    <xf numFmtId="43" fontId="4" fillId="0" borderId="13" xfId="5" applyNumberFormat="1" applyFont="1" applyBorder="1"/>
    <xf numFmtId="10" fontId="5" fillId="0" borderId="13" xfId="5" applyNumberFormat="1" applyFont="1" applyBorder="1"/>
    <xf numFmtId="0" fontId="4" fillId="0" borderId="10" xfId="0" applyFont="1" applyBorder="1"/>
    <xf numFmtId="43" fontId="4" fillId="0" borderId="0" xfId="2" applyFont="1" applyBorder="1" applyAlignment="1">
      <alignment horizontal="center"/>
    </xf>
    <xf numFmtId="10" fontId="4" fillId="0" borderId="13" xfId="5" applyNumberFormat="1" applyFont="1" applyBorder="1" applyAlignment="1">
      <alignment horizontal="center"/>
    </xf>
    <xf numFmtId="9" fontId="4" fillId="0" borderId="0" xfId="5" applyFont="1"/>
    <xf numFmtId="43" fontId="4" fillId="0" borderId="0" xfId="2" applyFont="1"/>
    <xf numFmtId="43" fontId="5" fillId="0" borderId="0" xfId="2" applyFont="1" applyFill="1" applyBorder="1"/>
    <xf numFmtId="10" fontId="5" fillId="0" borderId="0" xfId="5" applyNumberFormat="1" applyFont="1" applyBorder="1"/>
    <xf numFmtId="43" fontId="5" fillId="0" borderId="13" xfId="2" applyFont="1" applyBorder="1"/>
    <xf numFmtId="43" fontId="4" fillId="0" borderId="0" xfId="2" applyFont="1" applyFill="1" applyBorder="1"/>
    <xf numFmtId="10" fontId="4" fillId="0" borderId="0" xfId="5" applyNumberFormat="1" applyFont="1" applyFill="1" applyBorder="1"/>
    <xf numFmtId="43" fontId="4" fillId="0" borderId="13" xfId="2" applyFont="1" applyBorder="1"/>
    <xf numFmtId="10" fontId="4" fillId="0" borderId="0" xfId="5" applyNumberFormat="1" applyFont="1" applyBorder="1"/>
    <xf numFmtId="0" fontId="5" fillId="0" borderId="10" xfId="0" applyFont="1" applyBorder="1"/>
    <xf numFmtId="43" fontId="5" fillId="0" borderId="13" xfId="5" applyNumberFormat="1" applyFont="1" applyBorder="1"/>
    <xf numFmtId="0" fontId="5" fillId="0" borderId="11" xfId="0" applyFont="1" applyBorder="1"/>
    <xf numFmtId="43" fontId="5" fillId="0" borderId="1" xfId="2" applyFont="1" applyBorder="1"/>
    <xf numFmtId="43" fontId="5" fillId="0" borderId="14" xfId="5" applyNumberFormat="1" applyFont="1" applyBorder="1"/>
    <xf numFmtId="44" fontId="2" fillId="0" borderId="0" xfId="16" applyNumberFormat="1" applyFont="1"/>
    <xf numFmtId="43" fontId="2" fillId="0" borderId="0" xfId="2" applyFont="1"/>
    <xf numFmtId="0" fontId="5" fillId="0" borderId="0" xfId="0" applyFont="1" applyAlignment="1">
      <alignment horizontal="centerContinuous"/>
    </xf>
    <xf numFmtId="42" fontId="2" fillId="0" borderId="0" xfId="16" applyNumberFormat="1" applyFont="1" applyAlignment="1">
      <alignment horizontal="center"/>
    </xf>
    <xf numFmtId="172" fontId="2" fillId="0" borderId="0" xfId="19" applyNumberFormat="1" applyFont="1" applyBorder="1" applyAlignment="1">
      <alignment horizontal="center"/>
    </xf>
    <xf numFmtId="42" fontId="2" fillId="0" borderId="0" xfId="16" applyNumberFormat="1" applyFont="1"/>
    <xf numFmtId="172" fontId="2" fillId="0" borderId="0" xfId="16" applyNumberFormat="1" applyFont="1"/>
    <xf numFmtId="42" fontId="2" fillId="0" borderId="0" xfId="16" quotePrefix="1" applyNumberFormat="1" applyFont="1"/>
    <xf numFmtId="172" fontId="2" fillId="0" borderId="0" xfId="19" applyNumberFormat="1" applyFont="1" applyBorder="1"/>
    <xf numFmtId="42" fontId="2" fillId="0" borderId="0" xfId="16" quotePrefix="1" applyNumberFormat="1" applyFont="1" applyAlignment="1">
      <alignment horizontal="center"/>
    </xf>
    <xf numFmtId="164" fontId="5" fillId="0" borderId="3" xfId="0" applyNumberFormat="1" applyFont="1" applyBorder="1"/>
    <xf numFmtId="164" fontId="5" fillId="0" borderId="0" xfId="2" applyNumberFormat="1" applyFont="1"/>
    <xf numFmtId="164" fontId="5" fillId="0" borderId="3" xfId="2" applyNumberFormat="1" applyFont="1" applyBorder="1"/>
    <xf numFmtId="0" fontId="2" fillId="0" borderId="0" xfId="20" applyAlignment="1">
      <alignment horizontal="center"/>
    </xf>
    <xf numFmtId="0" fontId="2" fillId="0" borderId="0" xfId="20" quotePrefix="1" applyAlignment="1">
      <alignment horizontal="center"/>
    </xf>
    <xf numFmtId="0" fontId="2" fillId="0" borderId="1" xfId="20" applyBorder="1" applyAlignment="1">
      <alignment horizontal="center"/>
    </xf>
    <xf numFmtId="0" fontId="2" fillId="0" borderId="0" xfId="20" quotePrefix="1"/>
    <xf numFmtId="5" fontId="2" fillId="0" borderId="0" xfId="20" applyNumberFormat="1"/>
    <xf numFmtId="164" fontId="2" fillId="0" borderId="0" xfId="20" applyNumberFormat="1"/>
    <xf numFmtId="0" fontId="2" fillId="0" borderId="1" xfId="20" applyBorder="1"/>
    <xf numFmtId="178" fontId="2" fillId="0" borderId="0" xfId="20" applyNumberFormat="1"/>
    <xf numFmtId="164" fontId="2" fillId="0" borderId="1" xfId="20" applyNumberFormat="1" applyBorder="1"/>
    <xf numFmtId="164" fontId="0" fillId="0" borderId="2" xfId="10" applyNumberFormat="1" applyFont="1" applyBorder="1"/>
    <xf numFmtId="0" fontId="2" fillId="0" borderId="4" xfId="20" applyBorder="1"/>
    <xf numFmtId="164" fontId="2" fillId="0" borderId="2" xfId="20" applyNumberFormat="1" applyBorder="1"/>
    <xf numFmtId="0" fontId="2" fillId="0" borderId="2" xfId="20" applyBorder="1"/>
    <xf numFmtId="44" fontId="2" fillId="0" borderId="1" xfId="16" applyNumberFormat="1" applyFont="1" applyBorder="1"/>
    <xf numFmtId="6" fontId="5" fillId="0" borderId="0" xfId="9" applyNumberFormat="1" applyFont="1" applyBorder="1"/>
    <xf numFmtId="171" fontId="5" fillId="0" borderId="0" xfId="9" applyNumberFormat="1" applyFont="1" applyBorder="1"/>
    <xf numFmtId="164" fontId="2" fillId="0" borderId="0" xfId="10" applyNumberFormat="1" applyFont="1" applyAlignment="1">
      <alignment horizontal="left"/>
    </xf>
    <xf numFmtId="164" fontId="5" fillId="0" borderId="0" xfId="10" applyNumberFormat="1" applyFont="1" applyAlignment="1">
      <alignment horizontal="centerContinuous"/>
    </xf>
    <xf numFmtId="165" fontId="5" fillId="0" borderId="0" xfId="9" applyNumberFormat="1" applyFont="1" applyAlignment="1">
      <alignment horizontal="centerContinuous"/>
    </xf>
    <xf numFmtId="41" fontId="2" fillId="0" borderId="0" xfId="16" quotePrefix="1" applyNumberFormat="1" applyFont="1"/>
    <xf numFmtId="42" fontId="2" fillId="0" borderId="1" xfId="16" applyNumberFormat="1" applyFont="1" applyBorder="1"/>
    <xf numFmtId="42" fontId="2" fillId="0" borderId="4" xfId="16" applyNumberFormat="1" applyFont="1" applyBorder="1"/>
    <xf numFmtId="10" fontId="2" fillId="0" borderId="1" xfId="17" applyNumberFormat="1" applyFont="1" applyBorder="1" applyAlignment="1">
      <alignment horizontal="right"/>
    </xf>
    <xf numFmtId="164" fontId="2" fillId="0" borderId="2" xfId="16" applyNumberFormat="1" applyFont="1" applyBorder="1"/>
    <xf numFmtId="0" fontId="4" fillId="0" borderId="1" xfId="16" applyFont="1" applyBorder="1" applyAlignment="1">
      <alignment horizontal="center"/>
    </xf>
    <xf numFmtId="164" fontId="2" fillId="0" borderId="0" xfId="18" applyNumberFormat="1" applyFont="1" applyBorder="1"/>
    <xf numFmtId="10" fontId="2" fillId="0" borderId="0" xfId="16" applyNumberFormat="1" applyFont="1" applyAlignment="1">
      <alignment horizontal="right"/>
    </xf>
    <xf numFmtId="14" fontId="2" fillId="0" borderId="0" xfId="16" applyNumberFormat="1" applyFont="1" applyAlignment="1">
      <alignment horizontal="left"/>
    </xf>
    <xf numFmtId="165" fontId="2" fillId="0" borderId="0" xfId="19" applyNumberFormat="1" applyFont="1" applyBorder="1"/>
    <xf numFmtId="42" fontId="13" fillId="0" borderId="4" xfId="16" applyNumberFormat="1" applyFont="1" applyBorder="1"/>
    <xf numFmtId="42" fontId="26" fillId="0" borderId="0" xfId="16" applyNumberFormat="1" applyFont="1"/>
    <xf numFmtId="0" fontId="2" fillId="0" borderId="0" xfId="0" applyFont="1" applyAlignment="1">
      <alignment vertical="center"/>
    </xf>
    <xf numFmtId="10" fontId="2" fillId="3" borderId="0" xfId="5" applyNumberFormat="1" applyFont="1" applyFill="1"/>
    <xf numFmtId="0" fontId="2" fillId="0" borderId="0" xfId="0" applyFont="1" applyAlignment="1">
      <alignment horizontal="right" vertical="top" wrapText="1"/>
    </xf>
    <xf numFmtId="2" fontId="2" fillId="0" borderId="0" xfId="0" applyNumberFormat="1" applyFont="1" applyAlignment="1">
      <alignment horizontal="center"/>
    </xf>
    <xf numFmtId="165" fontId="13" fillId="3" borderId="0" xfId="2" applyNumberFormat="1" applyFont="1" applyFill="1"/>
    <xf numFmtId="165" fontId="2" fillId="7" borderId="0" xfId="2" applyNumberFormat="1" applyFont="1" applyFill="1"/>
    <xf numFmtId="43" fontId="2" fillId="7" borderId="0" xfId="2" applyFont="1" applyFill="1"/>
    <xf numFmtId="9" fontId="24" fillId="0" borderId="0" xfId="5" applyFont="1"/>
    <xf numFmtId="44" fontId="2" fillId="0" borderId="0" xfId="0" applyNumberFormat="1" applyFont="1"/>
    <xf numFmtId="165" fontId="13" fillId="0" borderId="7" xfId="2" applyNumberFormat="1" applyFont="1" applyFill="1" applyBorder="1"/>
    <xf numFmtId="0" fontId="4" fillId="0" borderId="0" xfId="0" applyFont="1" applyAlignment="1">
      <alignment horizontal="center"/>
    </xf>
    <xf numFmtId="0" fontId="17" fillId="0" borderId="0" xfId="4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3" applyFont="1" applyAlignment="1">
      <alignment horizontal="center"/>
    </xf>
    <xf numFmtId="0" fontId="13" fillId="0" borderId="0" xfId="16" applyFont="1" applyAlignment="1">
      <alignment horizontal="center"/>
    </xf>
    <xf numFmtId="43" fontId="2" fillId="0" borderId="7" xfId="2" applyFont="1" applyFill="1" applyBorder="1"/>
    <xf numFmtId="43" fontId="2" fillId="0" borderId="0" xfId="5" applyNumberFormat="1" applyFont="1" applyFill="1"/>
    <xf numFmtId="39" fontId="19" fillId="0" borderId="0" xfId="0" applyNumberFormat="1" applyFont="1"/>
    <xf numFmtId="43" fontId="4" fillId="0" borderId="0" xfId="2" applyFont="1" applyFill="1" applyBorder="1" applyAlignment="1">
      <alignment horizontal="center"/>
    </xf>
    <xf numFmtId="0" fontId="4" fillId="0" borderId="0" xfId="3" applyFont="1" applyAlignment="1"/>
    <xf numFmtId="0" fontId="13" fillId="0" borderId="0" xfId="16" applyFont="1" applyAlignment="1"/>
    <xf numFmtId="174" fontId="13" fillId="0" borderId="0" xfId="16" applyNumberFormat="1" applyFont="1" applyAlignment="1"/>
    <xf numFmtId="10" fontId="0" fillId="0" borderId="0" xfId="12" applyNumberFormat="1" applyFont="1" applyAlignment="1">
      <alignment horizontal="center"/>
    </xf>
  </cellXfs>
  <cellStyles count="21">
    <cellStyle name="Comma" xfId="2" builtinId="3"/>
    <cellStyle name="Comma 2" xfId="6" xr:uid="{00000000-0005-0000-0000-000001000000}"/>
    <cellStyle name="Comma 3" xfId="9" xr:uid="{00000000-0005-0000-0000-000002000000}"/>
    <cellStyle name="Comma 4" xfId="19" xr:uid="{1E58D457-6AF2-4FC8-9402-B8FCC5079BC2}"/>
    <cellStyle name="Currency" xfId="1" builtinId="4"/>
    <cellStyle name="Currency 2" xfId="7" xr:uid="{00000000-0005-0000-0000-000004000000}"/>
    <cellStyle name="Currency 3" xfId="10" xr:uid="{00000000-0005-0000-0000-000005000000}"/>
    <cellStyle name="Currency 4" xfId="18" xr:uid="{22BE5D2C-1E6A-4D02-8407-A192C9BD1F45}"/>
    <cellStyle name="Hyperlink 2" xfId="13" xr:uid="{7F2ACF03-EA08-4C36-9C15-4476B778D47D}"/>
    <cellStyle name="Normal" xfId="0" builtinId="0"/>
    <cellStyle name="Normal 2" xfId="3" xr:uid="{00000000-0005-0000-0000-000008000000}"/>
    <cellStyle name="Normal 2 2" xfId="20" xr:uid="{19A652DE-42E5-4E65-8BEC-93A6FFE2A1F5}"/>
    <cellStyle name="Normal 3" xfId="4" xr:uid="{00000000-0005-0000-0000-000009000000}"/>
    <cellStyle name="Normal 4" xfId="8" xr:uid="{00000000-0005-0000-0000-00000A000000}"/>
    <cellStyle name="Normal 5" xfId="11" xr:uid="{00000000-0005-0000-0000-00000B000000}"/>
    <cellStyle name="Normal 6" xfId="14" xr:uid="{94ADA437-52FC-4D5C-990E-BD76C769473D}"/>
    <cellStyle name="Normal 7" xfId="16" xr:uid="{E7557C6B-0DE0-4120-B924-D2622E109E04}"/>
    <cellStyle name="Percent" xfId="5" builtinId="5"/>
    <cellStyle name="Percent 2" xfId="12" xr:uid="{00000000-0005-0000-0000-00000D000000}"/>
    <cellStyle name="Percent 3" xfId="15" xr:uid="{5122A80E-7DF2-4623-AB86-F2B1586C205E}"/>
    <cellStyle name="Percent 4" xfId="17" xr:uid="{2EF07921-8180-460A-9FC0-C9B4003BE258}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E8D1"/>
      <color rgb="FFFFCC99"/>
      <color rgb="FF0000CC"/>
      <color rgb="FF003300"/>
      <color rgb="FFFF33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0"/>
  <sheetViews>
    <sheetView tabSelected="1" view="pageBreakPreview" topLeftCell="A25" zoomScaleNormal="75" zoomScaleSheetLayoutView="100" workbookViewId="0">
      <selection activeCell="F14" sqref="F14"/>
    </sheetView>
  </sheetViews>
  <sheetFormatPr defaultColWidth="9.109375" defaultRowHeight="13.2"/>
  <cols>
    <col min="1" max="1" width="4.21875" style="21" customWidth="1"/>
    <col min="2" max="2" width="31.44140625" style="1" customWidth="1"/>
    <col min="3" max="3" width="12.44140625" style="1" customWidth="1"/>
    <col min="4" max="4" width="12.6640625" style="1" customWidth="1"/>
    <col min="5" max="5" width="12.44140625" style="1" customWidth="1"/>
    <col min="6" max="6" width="13.109375" style="1" customWidth="1"/>
    <col min="7" max="7" width="12.44140625" style="1" customWidth="1"/>
    <col min="8" max="8" width="13.5546875" style="1" customWidth="1"/>
    <col min="9" max="9" width="14.33203125" style="1" customWidth="1"/>
    <col min="10" max="10" width="13.44140625" style="1" customWidth="1"/>
    <col min="11" max="11" width="18.77734375" style="1" customWidth="1"/>
    <col min="12" max="12" width="14.6640625" style="1" bestFit="1" customWidth="1"/>
    <col min="13" max="13" width="11.33203125" style="1" bestFit="1" customWidth="1"/>
    <col min="14" max="16384" width="9.109375" style="1"/>
  </cols>
  <sheetData>
    <row r="1" spans="1:13">
      <c r="A1" s="76" t="s">
        <v>222</v>
      </c>
      <c r="B1" s="76"/>
      <c r="C1" s="76"/>
      <c r="D1" s="76"/>
      <c r="E1" s="76"/>
      <c r="F1" s="76"/>
      <c r="G1" s="76"/>
      <c r="H1" s="76"/>
      <c r="I1" s="76"/>
      <c r="J1" s="76"/>
      <c r="L1" s="78"/>
    </row>
    <row r="2" spans="1:13">
      <c r="A2" s="76" t="s">
        <v>185</v>
      </c>
      <c r="B2" s="76"/>
      <c r="C2" s="76"/>
      <c r="D2" s="76"/>
      <c r="E2" s="76"/>
      <c r="F2" s="76"/>
      <c r="G2" s="76"/>
      <c r="H2" s="76"/>
      <c r="I2" s="76"/>
      <c r="J2" s="76"/>
      <c r="L2" s="78"/>
    </row>
    <row r="3" spans="1:13">
      <c r="A3" s="76" t="s">
        <v>648</v>
      </c>
      <c r="B3" s="76"/>
      <c r="C3" s="76"/>
      <c r="D3" s="76"/>
      <c r="E3" s="76"/>
      <c r="F3" s="76"/>
      <c r="G3" s="76"/>
      <c r="H3" s="76"/>
      <c r="I3" s="76"/>
      <c r="J3" s="76"/>
      <c r="L3" s="78"/>
    </row>
    <row r="4" spans="1:13">
      <c r="C4" s="81"/>
      <c r="D4" s="81"/>
      <c r="E4" s="81"/>
      <c r="F4" s="81"/>
      <c r="G4" s="81"/>
      <c r="H4" s="81"/>
      <c r="I4" s="81"/>
      <c r="L4" s="78"/>
    </row>
    <row r="5" spans="1:13" ht="41.25" customHeight="1">
      <c r="A5" s="81" t="s">
        <v>0</v>
      </c>
      <c r="B5" s="81" t="s">
        <v>1</v>
      </c>
      <c r="C5" s="80" t="s">
        <v>299</v>
      </c>
      <c r="D5" s="80" t="s">
        <v>223</v>
      </c>
      <c r="E5" s="80" t="s">
        <v>295</v>
      </c>
      <c r="F5" s="80" t="s">
        <v>196</v>
      </c>
      <c r="G5" s="80" t="s">
        <v>298</v>
      </c>
      <c r="H5" s="80" t="s">
        <v>688</v>
      </c>
      <c r="I5" s="80" t="s">
        <v>296</v>
      </c>
      <c r="J5" s="80" t="s">
        <v>297</v>
      </c>
      <c r="K5" s="80" t="s">
        <v>300</v>
      </c>
      <c r="L5" s="78"/>
    </row>
    <row r="6" spans="1:13" s="76" customFormat="1">
      <c r="A6" s="63" t="s">
        <v>21</v>
      </c>
      <c r="B6" s="64">
        <v>1</v>
      </c>
      <c r="C6" s="64">
        <v>2</v>
      </c>
      <c r="D6" s="64">
        <v>3</v>
      </c>
      <c r="E6" s="64">
        <v>4</v>
      </c>
      <c r="F6" s="64">
        <v>5</v>
      </c>
      <c r="G6" s="64">
        <v>6</v>
      </c>
      <c r="H6" s="64">
        <v>7</v>
      </c>
      <c r="I6" s="64">
        <v>8</v>
      </c>
      <c r="J6" s="64">
        <v>9</v>
      </c>
      <c r="K6" s="64">
        <v>10</v>
      </c>
      <c r="L6" s="78"/>
      <c r="M6" s="1"/>
    </row>
    <row r="7" spans="1:13">
      <c r="A7" s="21">
        <v>1</v>
      </c>
      <c r="B7" s="97" t="s">
        <v>72</v>
      </c>
      <c r="C7" s="110"/>
      <c r="D7" s="110"/>
      <c r="E7" s="110"/>
      <c r="F7" s="110"/>
      <c r="G7" s="110"/>
      <c r="H7" s="110"/>
      <c r="I7" s="110"/>
      <c r="J7" s="110"/>
      <c r="L7" s="78"/>
    </row>
    <row r="8" spans="1:13">
      <c r="A8" s="21">
        <f>A7+1</f>
        <v>2</v>
      </c>
      <c r="B8" s="1" t="s">
        <v>130</v>
      </c>
      <c r="C8" s="27">
        <v>586502535.91999996</v>
      </c>
      <c r="D8" s="27">
        <v>437509319.38999999</v>
      </c>
      <c r="E8" s="27">
        <f>C8-D8</f>
        <v>148993216.52999997</v>
      </c>
      <c r="F8" s="27">
        <f>'Adj List'!D12+'Adj List'!D7+'Adj List'!D8+'Adj List'!D9+'Adj List'!D10</f>
        <v>-24412180.850000001</v>
      </c>
      <c r="G8" s="27">
        <f>C8+F8</f>
        <v>562090355.06999993</v>
      </c>
      <c r="H8" s="27">
        <f>D8</f>
        <v>437509319.38999999</v>
      </c>
      <c r="I8" s="27">
        <f>E8+F8</f>
        <v>124581035.67999998</v>
      </c>
      <c r="J8" s="27">
        <f>G8+G51</f>
        <v>566960351.86720991</v>
      </c>
      <c r="K8" s="27">
        <f>I8+G51</f>
        <v>129451032.47720999</v>
      </c>
      <c r="L8" s="78"/>
    </row>
    <row r="9" spans="1:13">
      <c r="A9" s="21">
        <f t="shared" ref="A9:A44" si="0">A8+1</f>
        <v>3</v>
      </c>
      <c r="B9" s="1" t="s">
        <v>101</v>
      </c>
      <c r="C9" s="27">
        <v>1881578.93</v>
      </c>
      <c r="D9" s="27">
        <v>0</v>
      </c>
      <c r="E9" s="27">
        <f>C9-D9</f>
        <v>1881578.93</v>
      </c>
      <c r="F9" s="27">
        <f>'Adj List'!D21</f>
        <v>-5410</v>
      </c>
      <c r="G9" s="27">
        <f>C9+F9</f>
        <v>1876168.93</v>
      </c>
      <c r="H9" s="27">
        <f t="shared" ref="H9:H10" si="1">D9</f>
        <v>0</v>
      </c>
      <c r="I9" s="27">
        <f>E9+F9</f>
        <v>1876168.93</v>
      </c>
      <c r="J9" s="27">
        <f>G9</f>
        <v>1876168.93</v>
      </c>
      <c r="K9" s="27">
        <f>I9</f>
        <v>1876168.93</v>
      </c>
      <c r="L9" s="78"/>
    </row>
    <row r="10" spans="1:13">
      <c r="A10" s="21">
        <f t="shared" si="0"/>
        <v>4</v>
      </c>
      <c r="B10" s="32" t="s">
        <v>129</v>
      </c>
      <c r="C10" s="38">
        <f t="shared" ref="C10:J10" si="2">SUM(C8:C9)</f>
        <v>588384114.8499999</v>
      </c>
      <c r="D10" s="38">
        <f t="shared" si="2"/>
        <v>437509319.38999999</v>
      </c>
      <c r="E10" s="38">
        <f t="shared" si="2"/>
        <v>150874795.45999998</v>
      </c>
      <c r="F10" s="38">
        <f t="shared" si="2"/>
        <v>-24417590.850000001</v>
      </c>
      <c r="G10" s="38">
        <f t="shared" si="2"/>
        <v>563966523.99999988</v>
      </c>
      <c r="H10" s="38">
        <f t="shared" si="1"/>
        <v>437509319.38999999</v>
      </c>
      <c r="I10" s="38">
        <f t="shared" ref="I10" si="3">SUM(I8:I9)</f>
        <v>126457204.60999998</v>
      </c>
      <c r="J10" s="38">
        <f t="shared" si="2"/>
        <v>568836520.79720986</v>
      </c>
      <c r="K10" s="38">
        <f t="shared" ref="K10" si="4">SUM(K8:K9)</f>
        <v>131327201.40720999</v>
      </c>
      <c r="L10" s="78"/>
    </row>
    <row r="11" spans="1:13">
      <c r="A11" s="21">
        <f t="shared" si="0"/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78"/>
    </row>
    <row r="12" spans="1:13">
      <c r="A12" s="21">
        <f t="shared" si="0"/>
        <v>6</v>
      </c>
      <c r="B12" s="97" t="s">
        <v>73</v>
      </c>
      <c r="C12" s="27"/>
      <c r="D12" s="27"/>
      <c r="E12" s="27"/>
      <c r="F12" s="27"/>
      <c r="G12" s="27"/>
      <c r="H12" s="27"/>
      <c r="I12" s="27"/>
      <c r="J12" s="27"/>
      <c r="K12" s="27"/>
      <c r="L12" s="78"/>
    </row>
    <row r="13" spans="1:13">
      <c r="A13" s="21">
        <f t="shared" si="0"/>
        <v>7</v>
      </c>
      <c r="B13" s="1" t="s">
        <v>74</v>
      </c>
      <c r="C13" s="27">
        <v>545393611</v>
      </c>
      <c r="D13" s="27">
        <v>435734433.15999997</v>
      </c>
      <c r="E13" s="27">
        <f>C13-D13</f>
        <v>109659177.84000003</v>
      </c>
      <c r="F13" s="27">
        <f>'Adj List'!E12+'Adj List'!E7+'Adj List'!E8+'Adj List'!E9+'Adj List'!E10</f>
        <v>-24499153.290000003</v>
      </c>
      <c r="G13" s="27">
        <f t="shared" ref="G13:G19" si="5">C13+F13</f>
        <v>520894457.70999998</v>
      </c>
      <c r="H13" s="27">
        <f t="shared" ref="H13:H18" si="6">D13</f>
        <v>435734433.15999997</v>
      </c>
      <c r="I13" s="27">
        <f t="shared" ref="I13:I18" si="7">E13+F13</f>
        <v>85160024.550000027</v>
      </c>
      <c r="J13" s="27">
        <f t="shared" ref="J13:J19" si="8">G13</f>
        <v>520894457.70999998</v>
      </c>
      <c r="K13" s="27">
        <f>I13</f>
        <v>85160024.550000027</v>
      </c>
      <c r="L13" s="78"/>
    </row>
    <row r="14" spans="1:13">
      <c r="A14" s="21">
        <f t="shared" si="0"/>
        <v>8</v>
      </c>
      <c r="B14" s="1" t="s">
        <v>75</v>
      </c>
      <c r="C14" s="27">
        <f>4785142</f>
        <v>4785142</v>
      </c>
      <c r="D14" s="27">
        <v>0</v>
      </c>
      <c r="E14" s="27">
        <f>C14-D14</f>
        <v>4785142</v>
      </c>
      <c r="F14" s="27">
        <f>'1.08 Disallowed'!C48+'1.09 Broadband'!C25+'1.13 Labor'!J42+'1.14 LaborOH'!G34+'1.07 Depr-Gen'!F109</f>
        <v>43822.390797680993</v>
      </c>
      <c r="G14" s="27">
        <f t="shared" si="5"/>
        <v>4828964.3907976812</v>
      </c>
      <c r="H14" s="27">
        <f>D14+'1.07 Depr-Dist'!J40</f>
        <v>961.67250192489632</v>
      </c>
      <c r="I14" s="27">
        <f>E14+F14-(H14-D14)</f>
        <v>4828002.7182957567</v>
      </c>
      <c r="J14" s="27">
        <f t="shared" si="8"/>
        <v>4828964.3907976812</v>
      </c>
      <c r="K14" s="27">
        <f t="shared" ref="K14:K19" si="9">I14</f>
        <v>4828002.7182957567</v>
      </c>
      <c r="L14" s="78"/>
    </row>
    <row r="15" spans="1:13">
      <c r="A15" s="21">
        <f t="shared" si="0"/>
        <v>9</v>
      </c>
      <c r="B15" s="1" t="s">
        <v>76</v>
      </c>
      <c r="C15" s="27">
        <v>13503891</v>
      </c>
      <c r="D15" s="27">
        <v>76467.600000000006</v>
      </c>
      <c r="E15" s="27">
        <f t="shared" ref="E15:E19" si="10">C15-D15</f>
        <v>13427423.4</v>
      </c>
      <c r="F15" s="27">
        <f>'1.13 Labor'!J43+'1.14 LaborOH'!G35+'1.08 Disallowed'!C49+'1.07 Depr-Gen'!F110+'1.07 Depr-Gen'!F122+'1.07 Depr-Gen'!F106</f>
        <v>111312.49884508162</v>
      </c>
      <c r="G15" s="27">
        <f t="shared" si="5"/>
        <v>13615203.498845082</v>
      </c>
      <c r="H15" s="27">
        <f t="shared" si="6"/>
        <v>76467.600000000006</v>
      </c>
      <c r="I15" s="27">
        <f t="shared" si="7"/>
        <v>13538735.898845082</v>
      </c>
      <c r="J15" s="27">
        <f t="shared" si="8"/>
        <v>13615203.498845082</v>
      </c>
      <c r="K15" s="27">
        <f t="shared" si="9"/>
        <v>13538735.898845082</v>
      </c>
      <c r="L15" s="78"/>
    </row>
    <row r="16" spans="1:13">
      <c r="A16" s="21">
        <f t="shared" si="0"/>
        <v>10</v>
      </c>
      <c r="B16" s="1" t="s">
        <v>77</v>
      </c>
      <c r="C16" s="27">
        <v>2696145</v>
      </c>
      <c r="D16" s="27">
        <v>31591.07</v>
      </c>
      <c r="E16" s="27">
        <f t="shared" si="10"/>
        <v>2664553.9300000002</v>
      </c>
      <c r="F16" s="27">
        <f>'1.13 Labor'!J44+'1.14 LaborOH'!G36+'1.08 Disallowed'!C50+'1.07 Depr-Gen'!F111</f>
        <v>28619.817913685445</v>
      </c>
      <c r="G16" s="27">
        <f t="shared" si="5"/>
        <v>2724764.8179136855</v>
      </c>
      <c r="H16" s="27">
        <f t="shared" si="6"/>
        <v>31591.07</v>
      </c>
      <c r="I16" s="27">
        <f t="shared" si="7"/>
        <v>2693173.7479136856</v>
      </c>
      <c r="J16" s="27">
        <f t="shared" si="8"/>
        <v>2724764.8179136855</v>
      </c>
      <c r="K16" s="27">
        <f t="shared" si="9"/>
        <v>2693173.7479136856</v>
      </c>
      <c r="L16" s="78"/>
    </row>
    <row r="17" spans="1:12">
      <c r="A17" s="21">
        <f t="shared" si="0"/>
        <v>11</v>
      </c>
      <c r="B17" s="1" t="s">
        <v>78</v>
      </c>
      <c r="C17" s="27">
        <v>157061</v>
      </c>
      <c r="D17" s="27">
        <v>219.16000000000003</v>
      </c>
      <c r="E17" s="27">
        <f t="shared" si="10"/>
        <v>156841.84</v>
      </c>
      <c r="F17" s="27">
        <f>'1.13 Labor'!J45+'1.14 LaborOH'!G37+'1.08 Disallowed'!C51+'1.07 Depr-Gen'!F112</f>
        <v>1963.1159627548222</v>
      </c>
      <c r="G17" s="27">
        <f t="shared" si="5"/>
        <v>159024.11596275482</v>
      </c>
      <c r="H17" s="27">
        <f t="shared" si="6"/>
        <v>219.16000000000003</v>
      </c>
      <c r="I17" s="27">
        <f t="shared" si="7"/>
        <v>158804.95596275482</v>
      </c>
      <c r="J17" s="27">
        <f t="shared" si="8"/>
        <v>159024.11596275482</v>
      </c>
      <c r="K17" s="27">
        <f t="shared" si="9"/>
        <v>158804.95596275482</v>
      </c>
      <c r="L17" s="78"/>
    </row>
    <row r="18" spans="1:12">
      <c r="A18" s="21">
        <f t="shared" si="0"/>
        <v>12</v>
      </c>
      <c r="B18" s="1" t="s">
        <v>79</v>
      </c>
      <c r="C18" s="27">
        <v>0</v>
      </c>
      <c r="D18" s="27">
        <v>0</v>
      </c>
      <c r="E18" s="27">
        <f t="shared" si="10"/>
        <v>0</v>
      </c>
      <c r="F18" s="27">
        <f>'1.08 Disallowed'!C52</f>
        <v>0</v>
      </c>
      <c r="G18" s="27">
        <f t="shared" si="5"/>
        <v>0</v>
      </c>
      <c r="H18" s="27">
        <f t="shared" si="6"/>
        <v>0</v>
      </c>
      <c r="I18" s="27">
        <f t="shared" si="7"/>
        <v>0</v>
      </c>
      <c r="J18" s="27">
        <f t="shared" si="8"/>
        <v>0</v>
      </c>
      <c r="K18" s="27">
        <f t="shared" si="9"/>
        <v>0</v>
      </c>
      <c r="L18" s="78"/>
    </row>
    <row r="19" spans="1:12">
      <c r="A19" s="21">
        <f t="shared" si="0"/>
        <v>13</v>
      </c>
      <c r="B19" s="1" t="s">
        <v>80</v>
      </c>
      <c r="C19" s="27">
        <f>4412847</f>
        <v>4412847</v>
      </c>
      <c r="D19" s="27">
        <v>115999.62000000001</v>
      </c>
      <c r="E19" s="27">
        <f t="shared" si="10"/>
        <v>4296847.38</v>
      </c>
      <c r="F19" s="27">
        <f>'1.13 Labor'!J46+'1.14 LaborOH'!G39+'1.08 Disallowed'!C53+'1.07 Depr-Gen'!F113+'1.16 NonRecur'!E14+'1.09 Broadband'!C30+'1.05 RC'!E25</f>
        <v>-328899.44716856105</v>
      </c>
      <c r="G19" s="27">
        <f t="shared" si="5"/>
        <v>4083947.5528314388</v>
      </c>
      <c r="H19" s="27">
        <f>D19+233.36-15.19</f>
        <v>116217.79000000001</v>
      </c>
      <c r="I19" s="27">
        <f>E19+F19-(H19-D19)</f>
        <v>3967729.7628314388</v>
      </c>
      <c r="J19" s="27">
        <f t="shared" si="8"/>
        <v>4083947.5528314388</v>
      </c>
      <c r="K19" s="27">
        <f t="shared" si="9"/>
        <v>3967729.7628314388</v>
      </c>
      <c r="L19" s="78"/>
    </row>
    <row r="20" spans="1:12">
      <c r="A20" s="21">
        <f t="shared" si="0"/>
        <v>14</v>
      </c>
      <c r="B20" s="32" t="s">
        <v>81</v>
      </c>
      <c r="C20" s="38">
        <f t="shared" ref="C20:J20" si="11">SUM(C13:C19)</f>
        <v>570948697</v>
      </c>
      <c r="D20" s="38">
        <f t="shared" si="11"/>
        <v>435958710.61000001</v>
      </c>
      <c r="E20" s="38">
        <f t="shared" si="11"/>
        <v>134989986.39000005</v>
      </c>
      <c r="F20" s="38">
        <f t="shared" si="11"/>
        <v>-24642334.913649362</v>
      </c>
      <c r="G20" s="38">
        <f t="shared" si="11"/>
        <v>546306362.08635056</v>
      </c>
      <c r="H20" s="38">
        <f t="shared" si="11"/>
        <v>435959890.45250195</v>
      </c>
      <c r="I20" s="38">
        <f t="shared" ref="I20" si="12">SUM(I13:I19)</f>
        <v>110346471.63384874</v>
      </c>
      <c r="J20" s="38">
        <f t="shared" si="11"/>
        <v>546306362.08635056</v>
      </c>
      <c r="K20" s="38">
        <f t="shared" ref="K20" si="13">SUM(K13:K19)</f>
        <v>110346471.63384874</v>
      </c>
      <c r="L20" s="78"/>
    </row>
    <row r="21" spans="1:12">
      <c r="A21" s="21">
        <f t="shared" si="0"/>
        <v>15</v>
      </c>
      <c r="C21" s="27"/>
      <c r="D21" s="27"/>
      <c r="E21" s="27"/>
      <c r="F21" s="27"/>
      <c r="G21" s="27"/>
      <c r="H21" s="27"/>
      <c r="I21" s="27">
        <f t="shared" ref="I21:I26" si="14">E21+F21</f>
        <v>0</v>
      </c>
      <c r="J21" s="27"/>
      <c r="K21" s="27"/>
      <c r="L21" s="78"/>
    </row>
    <row r="22" spans="1:12">
      <c r="A22" s="21">
        <f t="shared" si="0"/>
        <v>16</v>
      </c>
      <c r="B22" s="1" t="s">
        <v>82</v>
      </c>
      <c r="C22" s="27">
        <v>14515355</v>
      </c>
      <c r="D22" s="27">
        <v>61478.759999999995</v>
      </c>
      <c r="E22" s="27">
        <f>C22-D22</f>
        <v>14453876.24</v>
      </c>
      <c r="F22" s="27">
        <f>'1.07 Depr-Dist'!J34+'1.07 Depr-Gen'!F105</f>
        <v>197001.83761407353</v>
      </c>
      <c r="G22" s="27">
        <f>C22+F22</f>
        <v>14712356.837614074</v>
      </c>
      <c r="H22" s="27">
        <f>D22</f>
        <v>61478.759999999995</v>
      </c>
      <c r="I22" s="27">
        <f t="shared" si="14"/>
        <v>14650878.077614075</v>
      </c>
      <c r="J22" s="27">
        <f>G22</f>
        <v>14712356.837614074</v>
      </c>
      <c r="K22" s="27">
        <f>I22</f>
        <v>14650878.077614075</v>
      </c>
      <c r="L22" s="78"/>
    </row>
    <row r="23" spans="1:12">
      <c r="A23" s="21">
        <f t="shared" si="0"/>
        <v>17</v>
      </c>
      <c r="B23" s="1" t="s">
        <v>83</v>
      </c>
      <c r="C23" s="27">
        <v>629552</v>
      </c>
      <c r="D23" s="27">
        <v>451396.12</v>
      </c>
      <c r="E23" s="27">
        <f t="shared" ref="E23:E26" si="15">C23-D23</f>
        <v>178155.88</v>
      </c>
      <c r="F23" s="27">
        <f>'Adj List'!E23</f>
        <v>21270.988433693186</v>
      </c>
      <c r="G23" s="27">
        <f>C23+F23</f>
        <v>650822.98843369319</v>
      </c>
      <c r="H23" s="27">
        <f>D23+'1.17 PSCtax'!I43+'1.17 PSCtax'!I44</f>
        <v>459193.97717273486</v>
      </c>
      <c r="I23" s="27">
        <f>E23+F23-(H23-D23)</f>
        <v>191629.01126095833</v>
      </c>
      <c r="J23" s="27">
        <f>G23</f>
        <v>650822.98843369319</v>
      </c>
      <c r="K23" s="27">
        <f t="shared" ref="K23:K26" si="16">I23</f>
        <v>191629.01126095833</v>
      </c>
      <c r="L23" s="78"/>
    </row>
    <row r="24" spans="1:12">
      <c r="A24" s="21">
        <f t="shared" si="0"/>
        <v>18</v>
      </c>
      <c r="B24" s="1" t="s">
        <v>70</v>
      </c>
      <c r="C24" s="27">
        <v>3548790</v>
      </c>
      <c r="D24" s="27">
        <v>40678.04</v>
      </c>
      <c r="E24" s="27">
        <f t="shared" si="15"/>
        <v>3508111.96</v>
      </c>
      <c r="F24" s="27">
        <f>'Adj List'!E16</f>
        <v>397777.66000000015</v>
      </c>
      <c r="G24" s="27">
        <f>C24+F24</f>
        <v>3946567.66</v>
      </c>
      <c r="H24" s="27">
        <f>D24+'1.10 Int LTD'!I56</f>
        <v>42455.738042953286</v>
      </c>
      <c r="I24" s="27">
        <f>E24+F24-(H24-D24)</f>
        <v>3904111.9219570467</v>
      </c>
      <c r="J24" s="27">
        <f>G24</f>
        <v>3946567.66</v>
      </c>
      <c r="K24" s="27">
        <f t="shared" si="16"/>
        <v>3904111.9219570467</v>
      </c>
      <c r="L24" s="78"/>
    </row>
    <row r="25" spans="1:12">
      <c r="A25" s="21">
        <f t="shared" si="0"/>
        <v>19</v>
      </c>
      <c r="B25" s="1" t="s">
        <v>84</v>
      </c>
      <c r="C25" s="27">
        <v>40613</v>
      </c>
      <c r="D25" s="27">
        <v>9567.869999999999</v>
      </c>
      <c r="E25" s="27">
        <f t="shared" si="15"/>
        <v>31045.13</v>
      </c>
      <c r="F25" s="27">
        <f>'Adj List'!E17</f>
        <v>180205</v>
      </c>
      <c r="G25" s="27">
        <f>C25+F25</f>
        <v>220818</v>
      </c>
      <c r="H25" s="27">
        <f>D25+'1.11 Int-Other'!F19</f>
        <v>51079.869999999995</v>
      </c>
      <c r="I25" s="27">
        <f>E25+F25-(H25-D25)</f>
        <v>169738.13</v>
      </c>
      <c r="J25" s="27">
        <f>G25</f>
        <v>220818</v>
      </c>
      <c r="K25" s="27">
        <f t="shared" si="16"/>
        <v>169738.13</v>
      </c>
      <c r="L25" s="78"/>
    </row>
    <row r="26" spans="1:12">
      <c r="A26" s="21">
        <f t="shared" si="0"/>
        <v>20</v>
      </c>
      <c r="B26" s="1" t="s">
        <v>85</v>
      </c>
      <c r="C26" s="27">
        <v>62546</v>
      </c>
      <c r="D26" s="27">
        <v>0</v>
      </c>
      <c r="E26" s="27">
        <f t="shared" si="15"/>
        <v>62546</v>
      </c>
      <c r="F26" s="27">
        <f>'1.08 Disallowed'!C54</f>
        <v>-62546.170000000013</v>
      </c>
      <c r="G26" s="27">
        <f>C26+F26</f>
        <v>-0.17000000001280569</v>
      </c>
      <c r="H26" s="27">
        <f t="shared" ref="H26" si="17">D26</f>
        <v>0</v>
      </c>
      <c r="I26" s="27">
        <f t="shared" si="14"/>
        <v>-0.17000000001280569</v>
      </c>
      <c r="J26" s="27">
        <f>G26</f>
        <v>-0.17000000001280569</v>
      </c>
      <c r="K26" s="27">
        <f t="shared" si="16"/>
        <v>-0.17000000001280569</v>
      </c>
      <c r="L26" s="78"/>
    </row>
    <row r="27" spans="1:12">
      <c r="A27" s="21">
        <f t="shared" si="0"/>
        <v>21</v>
      </c>
      <c r="C27" s="27"/>
      <c r="D27" s="27">
        <v>0</v>
      </c>
      <c r="E27" s="27"/>
      <c r="F27" s="27"/>
      <c r="G27" s="27"/>
      <c r="H27" s="27"/>
      <c r="I27" s="27"/>
      <c r="J27" s="27"/>
      <c r="K27" s="27"/>
      <c r="L27" s="78"/>
    </row>
    <row r="28" spans="1:12">
      <c r="A28" s="21">
        <f t="shared" si="0"/>
        <v>22</v>
      </c>
      <c r="B28" s="98" t="s">
        <v>33</v>
      </c>
      <c r="C28" s="77">
        <f t="shared" ref="C28:K28" si="18">SUM(C20:C26)</f>
        <v>589745553</v>
      </c>
      <c r="D28" s="77">
        <f t="shared" si="18"/>
        <v>436521831.40000004</v>
      </c>
      <c r="E28" s="77">
        <f t="shared" si="18"/>
        <v>153223721.60000005</v>
      </c>
      <c r="F28" s="77">
        <f t="shared" si="18"/>
        <v>-23908625.597601596</v>
      </c>
      <c r="G28" s="77">
        <f t="shared" si="18"/>
        <v>565836927.40239835</v>
      </c>
      <c r="H28" s="77">
        <f t="shared" si="18"/>
        <v>436574098.79771763</v>
      </c>
      <c r="I28" s="77">
        <f t="shared" si="18"/>
        <v>129262828.60468081</v>
      </c>
      <c r="J28" s="77">
        <f t="shared" si="18"/>
        <v>565836927.40239835</v>
      </c>
      <c r="K28" s="77">
        <f t="shared" si="18"/>
        <v>129262828.60468081</v>
      </c>
      <c r="L28" s="78"/>
    </row>
    <row r="29" spans="1:12">
      <c r="A29" s="21">
        <f t="shared" si="0"/>
        <v>23</v>
      </c>
      <c r="C29" s="27"/>
      <c r="D29" s="27"/>
      <c r="E29" s="27"/>
      <c r="F29" s="27"/>
      <c r="G29" s="27"/>
      <c r="H29" s="27"/>
      <c r="I29" s="27"/>
      <c r="J29" s="27"/>
      <c r="K29" s="27"/>
      <c r="L29" s="78"/>
    </row>
    <row r="30" spans="1:12" ht="13.8" thickBot="1">
      <c r="A30" s="21">
        <f t="shared" si="0"/>
        <v>24</v>
      </c>
      <c r="B30" s="2" t="s">
        <v>86</v>
      </c>
      <c r="C30" s="34">
        <f t="shared" ref="C30:K30" si="19">C10-C28</f>
        <v>-1361438.1500000954</v>
      </c>
      <c r="D30" s="34">
        <f t="shared" si="19"/>
        <v>987487.98999994993</v>
      </c>
      <c r="E30" s="34">
        <f t="shared" si="19"/>
        <v>-2348926.1400000751</v>
      </c>
      <c r="F30" s="34">
        <f t="shared" si="19"/>
        <v>-508965.25239840522</v>
      </c>
      <c r="G30" s="34">
        <f t="shared" si="19"/>
        <v>-1870403.4023984671</v>
      </c>
      <c r="H30" s="34">
        <f t="shared" si="19"/>
        <v>935220.59228235483</v>
      </c>
      <c r="I30" s="34">
        <f t="shared" si="19"/>
        <v>-2805623.9946808219</v>
      </c>
      <c r="J30" s="34">
        <f t="shared" si="19"/>
        <v>2999593.394811511</v>
      </c>
      <c r="K30" s="34">
        <f t="shared" si="19"/>
        <v>2064372.802529186</v>
      </c>
      <c r="L30" s="78"/>
    </row>
    <row r="31" spans="1:12" ht="13.8" thickTop="1">
      <c r="A31" s="21">
        <f t="shared" si="0"/>
        <v>25</v>
      </c>
      <c r="C31" s="27"/>
      <c r="D31" s="27"/>
      <c r="E31" s="27"/>
      <c r="F31" s="27"/>
      <c r="G31" s="27"/>
      <c r="H31" s="27"/>
      <c r="I31" s="27">
        <f t="shared" ref="I31:I36" si="20">E31+F31</f>
        <v>0</v>
      </c>
      <c r="J31" s="27"/>
      <c r="K31" s="27"/>
      <c r="L31" s="78"/>
    </row>
    <row r="32" spans="1:12">
      <c r="A32" s="21">
        <f t="shared" si="0"/>
        <v>26</v>
      </c>
      <c r="B32" s="1" t="s">
        <v>34</v>
      </c>
      <c r="C32" s="27">
        <v>354287</v>
      </c>
      <c r="D32" s="27">
        <v>0</v>
      </c>
      <c r="E32" s="27">
        <f t="shared" ref="E32:E36" si="21">C32-D32</f>
        <v>354287</v>
      </c>
      <c r="F32" s="27">
        <f>'Adj List'!F18</f>
        <v>85918</v>
      </c>
      <c r="G32" s="27">
        <f>C32+F32</f>
        <v>440205</v>
      </c>
      <c r="H32" s="27">
        <f t="shared" ref="H32:H36" si="22">D32</f>
        <v>0</v>
      </c>
      <c r="I32" s="27">
        <f t="shared" si="20"/>
        <v>440205</v>
      </c>
      <c r="J32" s="27">
        <f>G32</f>
        <v>440205</v>
      </c>
      <c r="K32" s="27">
        <f>I32</f>
        <v>440205</v>
      </c>
      <c r="L32" s="78"/>
    </row>
    <row r="33" spans="1:12">
      <c r="A33" s="21">
        <f t="shared" si="0"/>
        <v>27</v>
      </c>
      <c r="B33" s="1" t="s">
        <v>186</v>
      </c>
      <c r="C33" s="27">
        <v>0</v>
      </c>
      <c r="D33" s="27">
        <v>0</v>
      </c>
      <c r="E33" s="27">
        <f t="shared" si="21"/>
        <v>0</v>
      </c>
      <c r="F33" s="27">
        <v>0</v>
      </c>
      <c r="G33" s="27">
        <f>C33+F33</f>
        <v>0</v>
      </c>
      <c r="H33" s="27">
        <f t="shared" si="22"/>
        <v>0</v>
      </c>
      <c r="I33" s="27">
        <f t="shared" si="20"/>
        <v>0</v>
      </c>
      <c r="J33" s="27">
        <f>G33</f>
        <v>0</v>
      </c>
      <c r="K33" s="27">
        <f t="shared" ref="K33:K36" si="23">I33</f>
        <v>0</v>
      </c>
      <c r="L33" s="78"/>
    </row>
    <row r="34" spans="1:12">
      <c r="A34" s="21">
        <f t="shared" si="0"/>
        <v>28</v>
      </c>
      <c r="B34" s="1" t="s">
        <v>35</v>
      </c>
      <c r="C34" s="27">
        <v>158678</v>
      </c>
      <c r="D34" s="27">
        <v>0</v>
      </c>
      <c r="E34" s="27">
        <f t="shared" si="21"/>
        <v>158678</v>
      </c>
      <c r="F34" s="27">
        <f>-('1.13 Labor'!K35+'1.13 Labor'!K36+'1.13 Labor'!K37+'1.14 LaborOH'!G27+'1.14 LaborOH'!G28+'1.14 LaborOH'!G29+'1.07 Depr-Gen'!F115+'1.09 Broadband'!C32)</f>
        <v>-5999.5456871631732</v>
      </c>
      <c r="G34" s="27">
        <f>C34+F34</f>
        <v>152678.45431283684</v>
      </c>
      <c r="H34" s="27">
        <f t="shared" si="22"/>
        <v>0</v>
      </c>
      <c r="I34" s="27">
        <f t="shared" si="20"/>
        <v>152678.45431283684</v>
      </c>
      <c r="J34" s="27">
        <f>G34</f>
        <v>152678.45431283684</v>
      </c>
      <c r="K34" s="27">
        <f t="shared" si="23"/>
        <v>152678.45431283684</v>
      </c>
      <c r="L34" s="78"/>
    </row>
    <row r="35" spans="1:12">
      <c r="A35" s="21">
        <f t="shared" si="0"/>
        <v>29</v>
      </c>
      <c r="B35" s="1" t="s">
        <v>31</v>
      </c>
      <c r="C35" s="27">
        <v>0</v>
      </c>
      <c r="D35" s="27">
        <v>0</v>
      </c>
      <c r="E35" s="27">
        <f t="shared" si="21"/>
        <v>0</v>
      </c>
      <c r="F35" s="27">
        <v>0</v>
      </c>
      <c r="G35" s="27">
        <f>C35+F35</f>
        <v>0</v>
      </c>
      <c r="H35" s="27">
        <f t="shared" si="22"/>
        <v>0</v>
      </c>
      <c r="I35" s="27">
        <f t="shared" si="20"/>
        <v>0</v>
      </c>
      <c r="J35" s="82">
        <f>G35</f>
        <v>0</v>
      </c>
      <c r="K35" s="82">
        <f t="shared" si="23"/>
        <v>0</v>
      </c>
      <c r="L35" s="78"/>
    </row>
    <row r="36" spans="1:12">
      <c r="A36" s="21">
        <f t="shared" si="0"/>
        <v>30</v>
      </c>
      <c r="B36" s="1" t="s">
        <v>87</v>
      </c>
      <c r="C36" s="27">
        <v>353952</v>
      </c>
      <c r="D36" s="27">
        <v>0</v>
      </c>
      <c r="E36" s="27">
        <f t="shared" si="21"/>
        <v>353952</v>
      </c>
      <c r="F36" s="27">
        <v>0</v>
      </c>
      <c r="G36" s="27">
        <f>C36+F36</f>
        <v>353952</v>
      </c>
      <c r="H36" s="27">
        <f t="shared" si="22"/>
        <v>0</v>
      </c>
      <c r="I36" s="27">
        <f t="shared" si="20"/>
        <v>353952</v>
      </c>
      <c r="J36" s="27">
        <f>G36</f>
        <v>353952</v>
      </c>
      <c r="K36" s="27">
        <f t="shared" si="23"/>
        <v>353952</v>
      </c>
      <c r="L36" s="78"/>
    </row>
    <row r="37" spans="1:12">
      <c r="A37" s="21">
        <f t="shared" si="0"/>
        <v>31</v>
      </c>
      <c r="C37" s="27"/>
      <c r="D37" s="27"/>
      <c r="E37" s="27"/>
      <c r="F37" s="27"/>
      <c r="G37" s="27"/>
      <c r="H37" s="27"/>
      <c r="I37" s="27"/>
      <c r="J37" s="27"/>
      <c r="K37" s="27"/>
      <c r="L37" s="78"/>
    </row>
    <row r="38" spans="1:12" ht="13.8" thickBot="1">
      <c r="A38" s="21">
        <f t="shared" si="0"/>
        <v>32</v>
      </c>
      <c r="B38" s="2" t="s">
        <v>88</v>
      </c>
      <c r="C38" s="34">
        <f t="shared" ref="C38:J38" si="24">C30+SUM(C32:C36)</f>
        <v>-494521.15000009537</v>
      </c>
      <c r="D38" s="34">
        <f t="shared" si="24"/>
        <v>987487.98999994993</v>
      </c>
      <c r="E38" s="34">
        <f t="shared" si="24"/>
        <v>-1482009.1400000751</v>
      </c>
      <c r="F38" s="34">
        <f t="shared" si="24"/>
        <v>-429046.79808556841</v>
      </c>
      <c r="G38" s="34">
        <f t="shared" si="24"/>
        <v>-923567.9480856302</v>
      </c>
      <c r="H38" s="34">
        <f t="shared" si="24"/>
        <v>935220.59228235483</v>
      </c>
      <c r="I38" s="34">
        <f t="shared" ref="I38" si="25">I30+SUM(I32:I36)</f>
        <v>-1858788.5403679851</v>
      </c>
      <c r="J38" s="34">
        <f t="shared" si="24"/>
        <v>3946428.8491243478</v>
      </c>
      <c r="K38" s="34">
        <f t="shared" ref="K38" si="26">K30+SUM(K32:K36)</f>
        <v>3011208.2568420228</v>
      </c>
      <c r="L38" s="78"/>
    </row>
    <row r="39" spans="1:12" ht="13.8" thickTop="1">
      <c r="A39" s="21">
        <f t="shared" si="0"/>
        <v>33</v>
      </c>
      <c r="C39" s="27"/>
      <c r="D39" s="27"/>
      <c r="E39" s="27"/>
      <c r="F39" s="27"/>
      <c r="G39" s="27"/>
      <c r="H39" s="27"/>
      <c r="I39" s="27"/>
      <c r="J39" s="27"/>
      <c r="K39" s="27"/>
      <c r="L39" s="78"/>
    </row>
    <row r="40" spans="1:12">
      <c r="A40" s="21">
        <f t="shared" si="0"/>
        <v>34</v>
      </c>
      <c r="B40" s="1" t="s">
        <v>131</v>
      </c>
      <c r="C40" s="27">
        <v>263773</v>
      </c>
      <c r="D40" s="107"/>
      <c r="E40" s="107"/>
      <c r="F40" s="107"/>
      <c r="G40" s="110">
        <f>F40+C40</f>
        <v>263773</v>
      </c>
      <c r="H40" s="107"/>
      <c r="I40" s="107"/>
      <c r="J40" s="110">
        <f>G40</f>
        <v>263773</v>
      </c>
      <c r="K40" s="107"/>
      <c r="L40" s="78"/>
    </row>
    <row r="41" spans="1:12">
      <c r="A41" s="21">
        <f t="shared" si="0"/>
        <v>35</v>
      </c>
      <c r="B41" s="1" t="s">
        <v>90</v>
      </c>
      <c r="C41" s="78">
        <f>(C30+C40+C24)/C24</f>
        <v>0.69069312357166934</v>
      </c>
      <c r="D41" s="107"/>
      <c r="E41" s="107"/>
      <c r="F41" s="107"/>
      <c r="G41" s="78">
        <f>(G30+G40+G24)/G24</f>
        <v>0.59290438152567571</v>
      </c>
      <c r="H41" s="107"/>
      <c r="I41" s="107"/>
      <c r="J41" s="78">
        <f>(J30+J40+J24)/J24</f>
        <v>1.8268872285877675</v>
      </c>
      <c r="K41" s="107"/>
      <c r="L41" s="78"/>
    </row>
    <row r="42" spans="1:12">
      <c r="A42" s="21">
        <f t="shared" si="0"/>
        <v>36</v>
      </c>
      <c r="B42" s="1" t="s">
        <v>71</v>
      </c>
      <c r="C42" s="78">
        <f>(C38+C24)/C24</f>
        <v>0.86065077110787191</v>
      </c>
      <c r="D42" s="107"/>
      <c r="E42" s="107"/>
      <c r="F42" s="107"/>
      <c r="G42" s="78">
        <f>(G38+G24)/G24</f>
        <v>0.76598198038099008</v>
      </c>
      <c r="H42" s="107"/>
      <c r="I42" s="107"/>
      <c r="J42" s="434">
        <f>(J38+J24)/J24</f>
        <v>1.9999648274430819</v>
      </c>
      <c r="K42" s="107"/>
      <c r="L42" s="78"/>
    </row>
    <row r="43" spans="1:12">
      <c r="A43" s="21">
        <f t="shared" si="0"/>
        <v>37</v>
      </c>
      <c r="B43" s="1" t="s">
        <v>89</v>
      </c>
      <c r="C43" s="78">
        <f>(C24+C38-C35)/C24</f>
        <v>0.86065077110787191</v>
      </c>
      <c r="D43" s="107"/>
      <c r="E43" s="107"/>
      <c r="F43" s="107"/>
      <c r="G43" s="78">
        <f>(G24+G38-G35)/G24</f>
        <v>0.76598198038099008</v>
      </c>
      <c r="H43" s="107"/>
      <c r="I43" s="107"/>
      <c r="J43" s="78">
        <f>(J24+J38-J35)/J24</f>
        <v>1.9999648274430819</v>
      </c>
      <c r="K43" s="107"/>
      <c r="L43" s="78"/>
    </row>
    <row r="44" spans="1:12" ht="14.25" customHeight="1">
      <c r="A44" s="21">
        <f t="shared" si="0"/>
        <v>38</v>
      </c>
      <c r="L44" s="78"/>
    </row>
    <row r="45" spans="1:12">
      <c r="A45" s="21">
        <f>A44+1</f>
        <v>39</v>
      </c>
      <c r="B45" s="1" t="s">
        <v>448</v>
      </c>
      <c r="C45" s="78">
        <v>2</v>
      </c>
      <c r="D45" s="107"/>
      <c r="E45" s="107"/>
      <c r="F45" s="107"/>
      <c r="G45" s="78">
        <f>C45</f>
        <v>2</v>
      </c>
      <c r="H45" s="107"/>
      <c r="I45" s="107"/>
      <c r="J45" s="152">
        <f>G45</f>
        <v>2</v>
      </c>
      <c r="K45" s="107"/>
      <c r="L45" s="78"/>
    </row>
    <row r="46" spans="1:12">
      <c r="A46" s="21">
        <f t="shared" ref="A46:A55" si="27">A45+1</f>
        <v>40</v>
      </c>
      <c r="B46" s="1" t="s">
        <v>449</v>
      </c>
      <c r="C46" s="27">
        <f>C45*C24-C24</f>
        <v>3548790</v>
      </c>
      <c r="D46" s="83"/>
      <c r="E46" s="83"/>
      <c r="F46" s="83"/>
      <c r="G46" s="27">
        <f>G45*G24-G24</f>
        <v>3946567.66</v>
      </c>
      <c r="H46" s="83"/>
      <c r="I46" s="83"/>
      <c r="J46" s="27">
        <f>J45*J24-J24</f>
        <v>3946567.66</v>
      </c>
      <c r="K46" s="107"/>
      <c r="L46" s="78"/>
    </row>
    <row r="47" spans="1:12">
      <c r="A47" s="21">
        <f t="shared" si="27"/>
        <v>41</v>
      </c>
      <c r="B47" s="1" t="s">
        <v>450</v>
      </c>
      <c r="C47" s="27">
        <f>C28+C46</f>
        <v>593294343</v>
      </c>
      <c r="D47" s="83"/>
      <c r="E47" s="83"/>
      <c r="F47" s="83"/>
      <c r="G47" s="27">
        <f>G28+G46</f>
        <v>569783495.06239831</v>
      </c>
      <c r="H47" s="83"/>
      <c r="I47" s="83"/>
      <c r="J47" s="27">
        <f>J28+J46</f>
        <v>569783495.06239831</v>
      </c>
      <c r="K47" s="107"/>
      <c r="L47" s="78"/>
    </row>
    <row r="48" spans="1:12">
      <c r="A48" s="21">
        <f t="shared" si="27"/>
        <v>42</v>
      </c>
      <c r="B48" s="1" t="s">
        <v>451</v>
      </c>
      <c r="C48" s="27">
        <f>C46-C38</f>
        <v>4043311.1500000954</v>
      </c>
      <c r="D48" s="83"/>
      <c r="E48" s="83"/>
      <c r="F48" s="83"/>
      <c r="G48" s="425">
        <f>G46-G38</f>
        <v>4870135.6080856305</v>
      </c>
      <c r="H48" s="83"/>
      <c r="I48" s="83"/>
      <c r="J48" s="27">
        <f>J46-J38</f>
        <v>138.81087565235794</v>
      </c>
      <c r="K48" s="107"/>
      <c r="L48" s="78"/>
    </row>
    <row r="49" spans="1:12">
      <c r="A49" s="21">
        <f t="shared" si="27"/>
        <v>43</v>
      </c>
      <c r="B49" s="1" t="s">
        <v>452</v>
      </c>
      <c r="C49" s="435">
        <f>C42-C45</f>
        <v>-1.1393492288921281</v>
      </c>
      <c r="D49" s="107"/>
      <c r="E49" s="107"/>
      <c r="F49" s="107"/>
      <c r="G49" s="152">
        <f>G42-G45</f>
        <v>-1.2340180196190098</v>
      </c>
      <c r="H49" s="107"/>
      <c r="I49" s="107"/>
      <c r="J49" s="152">
        <f>J42-J45</f>
        <v>-3.5172556918094955E-5</v>
      </c>
      <c r="K49" s="107"/>
      <c r="L49" s="78"/>
    </row>
    <row r="50" spans="1:12">
      <c r="A50" s="21">
        <f t="shared" si="27"/>
        <v>44</v>
      </c>
      <c r="L50" s="78"/>
    </row>
    <row r="51" spans="1:12">
      <c r="A51" s="21">
        <f t="shared" si="27"/>
        <v>45</v>
      </c>
      <c r="B51" s="1" t="s">
        <v>204</v>
      </c>
      <c r="G51" s="87">
        <v>4869996.7972100079</v>
      </c>
      <c r="H51" s="110"/>
      <c r="J51" s="87">
        <f>J38-G38</f>
        <v>4869996.7972099781</v>
      </c>
      <c r="K51" s="87">
        <f>K38-I38</f>
        <v>4869996.7972100079</v>
      </c>
      <c r="L51" s="78"/>
    </row>
    <row r="52" spans="1:12">
      <c r="A52" s="21">
        <f t="shared" si="27"/>
        <v>46</v>
      </c>
      <c r="B52" s="1" t="s">
        <v>205</v>
      </c>
      <c r="D52" s="96"/>
      <c r="G52" s="96">
        <f>G51/C8</f>
        <v>8.3034539476812847E-3</v>
      </c>
      <c r="J52" s="86">
        <f>J51/C8</f>
        <v>8.3034539476812327E-3</v>
      </c>
      <c r="K52" s="86">
        <f>K51/E8</f>
        <v>3.2686030348431518E-2</v>
      </c>
      <c r="L52" s="78"/>
    </row>
    <row r="53" spans="1:12">
      <c r="A53" s="21">
        <f t="shared" si="27"/>
        <v>47</v>
      </c>
      <c r="L53" s="78"/>
    </row>
    <row r="54" spans="1:12">
      <c r="A54" s="21">
        <f t="shared" si="27"/>
        <v>48</v>
      </c>
      <c r="B54" s="94"/>
      <c r="C54" s="87"/>
      <c r="D54" s="110"/>
      <c r="E54" s="110"/>
      <c r="G54" s="110"/>
      <c r="H54" s="110"/>
      <c r="I54" s="110" t="s">
        <v>447</v>
      </c>
      <c r="J54" s="87">
        <f>J51-G48</f>
        <v>-138.81087565235794</v>
      </c>
    </row>
    <row r="55" spans="1:12">
      <c r="C55" s="110"/>
      <c r="D55" s="110"/>
      <c r="E55" s="110"/>
      <c r="G55" s="110"/>
      <c r="H55" s="110"/>
      <c r="I55" s="110"/>
    </row>
    <row r="59" spans="1:12">
      <c r="C59" s="94"/>
      <c r="D59" s="94"/>
      <c r="E59" s="94"/>
      <c r="F59" s="94"/>
      <c r="G59" s="94"/>
      <c r="H59" s="94"/>
    </row>
    <row r="60" spans="1:12" ht="28.2" customHeight="1">
      <c r="C60" s="418"/>
      <c r="D60" s="418"/>
      <c r="E60" s="418"/>
      <c r="F60" s="418"/>
      <c r="G60" s="418"/>
      <c r="H60" s="418"/>
      <c r="J60" s="31"/>
    </row>
    <row r="61" spans="1:12">
      <c r="A61" s="94"/>
      <c r="C61" s="143"/>
      <c r="D61" s="143"/>
      <c r="E61" s="143"/>
      <c r="F61" s="143"/>
      <c r="G61" s="143"/>
      <c r="H61" s="143"/>
      <c r="J61" s="143"/>
    </row>
    <row r="62" spans="1:12">
      <c r="A62" s="94"/>
      <c r="C62" s="143"/>
      <c r="D62" s="143"/>
      <c r="E62" s="143"/>
      <c r="F62" s="143"/>
      <c r="G62" s="143"/>
      <c r="H62" s="143"/>
      <c r="J62" s="143"/>
    </row>
    <row r="63" spans="1:12">
      <c r="A63" s="94"/>
      <c r="C63" s="421"/>
      <c r="D63" s="143"/>
      <c r="E63" s="143"/>
      <c r="F63" s="143"/>
      <c r="G63" s="143"/>
      <c r="H63" s="143"/>
      <c r="J63" s="143"/>
    </row>
    <row r="64" spans="1:12">
      <c r="A64" s="94"/>
      <c r="C64" s="421"/>
      <c r="D64" s="143"/>
      <c r="E64" s="143"/>
      <c r="F64" s="143"/>
      <c r="G64" s="143"/>
      <c r="H64" s="143"/>
      <c r="J64" s="373"/>
    </row>
    <row r="65" spans="1:10">
      <c r="A65" s="94"/>
      <c r="C65" s="422"/>
      <c r="D65" s="373"/>
      <c r="E65" s="373"/>
      <c r="F65" s="373"/>
      <c r="G65" s="373"/>
      <c r="H65" s="373"/>
      <c r="J65" s="373"/>
    </row>
    <row r="66" spans="1:10">
      <c r="A66" s="94"/>
      <c r="C66" s="422"/>
      <c r="D66" s="373"/>
      <c r="E66" s="373"/>
      <c r="F66" s="373"/>
      <c r="G66" s="373"/>
      <c r="H66" s="373"/>
      <c r="J66" s="143"/>
    </row>
    <row r="67" spans="1:10">
      <c r="A67" s="94"/>
      <c r="C67" s="143"/>
      <c r="D67" s="143"/>
      <c r="E67" s="143"/>
      <c r="F67" s="143"/>
      <c r="G67" s="143"/>
      <c r="H67" s="143"/>
      <c r="J67" s="143"/>
    </row>
    <row r="68" spans="1:10">
      <c r="A68" s="94"/>
      <c r="C68" s="143"/>
      <c r="D68" s="143"/>
      <c r="E68" s="143"/>
      <c r="F68" s="143"/>
      <c r="G68" s="421"/>
      <c r="H68" s="143"/>
      <c r="J68" s="143"/>
    </row>
    <row r="69" spans="1:10">
      <c r="A69" s="94"/>
      <c r="C69" s="143"/>
      <c r="D69" s="143"/>
      <c r="E69" s="143"/>
      <c r="F69" s="143"/>
      <c r="G69" s="143"/>
      <c r="H69" s="420"/>
      <c r="J69" s="121"/>
    </row>
    <row r="70" spans="1:10">
      <c r="A70" s="94"/>
      <c r="C70" s="121"/>
      <c r="D70" s="121"/>
      <c r="E70" s="121"/>
      <c r="F70" s="121"/>
      <c r="G70" s="121"/>
      <c r="H70" s="417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Roman,Regular"&amp;12Exhibit JW-2
Page &amp;P of &amp;N</oddFooter>
  </headerFooter>
  <ignoredErrors>
    <ignoredError sqref="I20:J20 I38 H10 H14:I14 J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2"/>
  <dimension ref="A1:I59"/>
  <sheetViews>
    <sheetView view="pageBreakPreview" zoomScaleNormal="100" zoomScaleSheetLayoutView="100" workbookViewId="0">
      <selection activeCell="I10" sqref="I10"/>
    </sheetView>
  </sheetViews>
  <sheetFormatPr defaultColWidth="9.109375" defaultRowHeight="13.2"/>
  <cols>
    <col min="1" max="1" width="5.88671875" style="1" customWidth="1"/>
    <col min="2" max="2" width="2.33203125" style="1" customWidth="1"/>
    <col min="3" max="3" width="13.33203125" style="1" customWidth="1"/>
    <col min="4" max="4" width="10.88671875" style="1" customWidth="1"/>
    <col min="5" max="5" width="2.5546875" style="1" customWidth="1"/>
    <col min="6" max="6" width="12.6640625" style="1" bestFit="1" customWidth="1"/>
    <col min="7" max="7" width="14.88671875" style="1" customWidth="1"/>
    <col min="8" max="8" width="12.44140625" style="1" bestFit="1" customWidth="1"/>
    <col min="9" max="9" width="11.6640625" style="1" customWidth="1"/>
    <col min="10" max="16384" width="9.109375" style="1"/>
  </cols>
  <sheetData>
    <row r="1" spans="1:9">
      <c r="I1" s="88" t="s">
        <v>209</v>
      </c>
    </row>
    <row r="2" spans="1:9" ht="20.25" customHeight="1">
      <c r="I2" s="88"/>
    </row>
    <row r="3" spans="1:9">
      <c r="G3" s="88"/>
    </row>
    <row r="4" spans="1:9">
      <c r="A4" s="428" t="str">
        <f>RevReq!A1</f>
        <v>KENERGY CORP.</v>
      </c>
      <c r="B4" s="428"/>
      <c r="C4" s="428"/>
      <c r="D4" s="428"/>
      <c r="E4" s="428"/>
      <c r="F4" s="428"/>
      <c r="G4" s="428"/>
      <c r="H4" s="428"/>
      <c r="I4" s="428"/>
    </row>
    <row r="5" spans="1:9">
      <c r="A5" s="428" t="str">
        <f>RevReq!A3</f>
        <v>For the 12 Months Ended February 28, 2023</v>
      </c>
      <c r="B5" s="428"/>
      <c r="C5" s="428"/>
      <c r="D5" s="428"/>
      <c r="E5" s="428"/>
      <c r="F5" s="428"/>
      <c r="G5" s="428"/>
      <c r="H5" s="428"/>
      <c r="I5" s="428"/>
    </row>
    <row r="7" spans="1:9" s="89" customFormat="1" ht="15" customHeight="1">
      <c r="A7" s="429" t="s">
        <v>46</v>
      </c>
      <c r="B7" s="429"/>
      <c r="C7" s="429"/>
      <c r="D7" s="429"/>
      <c r="E7" s="429"/>
      <c r="F7" s="429"/>
      <c r="G7" s="429"/>
      <c r="H7" s="429"/>
      <c r="I7" s="429"/>
    </row>
    <row r="9" spans="1:9" ht="39.6">
      <c r="A9" s="21" t="s">
        <v>0</v>
      </c>
      <c r="C9" s="21" t="s">
        <v>16</v>
      </c>
      <c r="D9" s="21" t="s">
        <v>17</v>
      </c>
      <c r="E9" s="21"/>
      <c r="F9" s="28" t="s">
        <v>246</v>
      </c>
      <c r="G9" s="28" t="s">
        <v>247</v>
      </c>
      <c r="H9" s="28" t="s">
        <v>248</v>
      </c>
      <c r="I9" s="21" t="s">
        <v>43</v>
      </c>
    </row>
    <row r="10" spans="1:9">
      <c r="A10" s="29" t="s">
        <v>21</v>
      </c>
      <c r="C10" s="101" t="s">
        <v>18</v>
      </c>
      <c r="D10" s="101" t="s">
        <v>20</v>
      </c>
      <c r="E10" s="21"/>
      <c r="F10" s="101" t="s">
        <v>19</v>
      </c>
      <c r="G10" s="101" t="s">
        <v>25</v>
      </c>
      <c r="H10" s="101" t="s">
        <v>47</v>
      </c>
      <c r="I10" s="101" t="s">
        <v>48</v>
      </c>
    </row>
    <row r="11" spans="1:9">
      <c r="A11" s="21"/>
    </row>
    <row r="12" spans="1:9">
      <c r="A12" s="21"/>
    </row>
    <row r="13" spans="1:9">
      <c r="A13" s="21">
        <v>1</v>
      </c>
      <c r="C13" s="21">
        <v>2023</v>
      </c>
      <c r="D13" s="21" t="s">
        <v>6</v>
      </c>
      <c r="E13" s="91"/>
      <c r="F13" s="143">
        <v>47181</v>
      </c>
      <c r="G13" s="143">
        <v>10668</v>
      </c>
      <c r="H13" s="143">
        <v>1271</v>
      </c>
      <c r="I13" s="106"/>
    </row>
    <row r="14" spans="1:9">
      <c r="A14" s="21">
        <v>2</v>
      </c>
      <c r="C14" s="21">
        <v>2023</v>
      </c>
      <c r="D14" s="21" t="s">
        <v>7</v>
      </c>
      <c r="E14" s="91"/>
      <c r="F14" s="143">
        <v>47052</v>
      </c>
      <c r="G14" s="143">
        <v>10757</v>
      </c>
      <c r="H14" s="143">
        <v>1276</v>
      </c>
      <c r="I14" s="107"/>
    </row>
    <row r="15" spans="1:9">
      <c r="A15" s="21">
        <v>3</v>
      </c>
      <c r="C15" s="21">
        <v>2022</v>
      </c>
      <c r="D15" s="21" t="s">
        <v>8</v>
      </c>
      <c r="E15" s="91"/>
      <c r="F15" s="143">
        <v>47041</v>
      </c>
      <c r="G15" s="143">
        <v>10506</v>
      </c>
      <c r="H15" s="143">
        <v>1254</v>
      </c>
      <c r="I15" s="107"/>
    </row>
    <row r="16" spans="1:9">
      <c r="A16" s="21">
        <v>4</v>
      </c>
      <c r="C16" s="21">
        <v>2022</v>
      </c>
      <c r="D16" s="21" t="s">
        <v>9</v>
      </c>
      <c r="E16" s="91"/>
      <c r="F16" s="143">
        <v>47100</v>
      </c>
      <c r="G16" s="143">
        <v>10515</v>
      </c>
      <c r="H16" s="143">
        <v>1258</v>
      </c>
      <c r="I16" s="107"/>
    </row>
    <row r="17" spans="1:9">
      <c r="A17" s="21">
        <v>5</v>
      </c>
      <c r="C17" s="21">
        <v>2022</v>
      </c>
      <c r="D17" s="21" t="s">
        <v>10</v>
      </c>
      <c r="E17" s="91"/>
      <c r="F17" s="143">
        <v>47069</v>
      </c>
      <c r="G17" s="143">
        <v>10502</v>
      </c>
      <c r="H17" s="143">
        <v>1256</v>
      </c>
      <c r="I17" s="107"/>
    </row>
    <row r="18" spans="1:9">
      <c r="A18" s="21">
        <v>6</v>
      </c>
      <c r="C18" s="21">
        <v>2022</v>
      </c>
      <c r="D18" s="21" t="s">
        <v>11</v>
      </c>
      <c r="E18" s="91"/>
      <c r="F18" s="143">
        <v>47105</v>
      </c>
      <c r="G18" s="143">
        <v>10529</v>
      </c>
      <c r="H18" s="143">
        <v>1253</v>
      </c>
      <c r="I18" s="107"/>
    </row>
    <row r="19" spans="1:9">
      <c r="A19" s="21">
        <v>7</v>
      </c>
      <c r="C19" s="21">
        <v>2022</v>
      </c>
      <c r="D19" s="21" t="s">
        <v>12</v>
      </c>
      <c r="E19" s="91"/>
      <c r="F19" s="143">
        <v>47093</v>
      </c>
      <c r="G19" s="143">
        <v>10530</v>
      </c>
      <c r="H19" s="143">
        <v>1255</v>
      </c>
      <c r="I19" s="107"/>
    </row>
    <row r="20" spans="1:9">
      <c r="A20" s="21">
        <v>8</v>
      </c>
      <c r="C20" s="21">
        <v>2022</v>
      </c>
      <c r="D20" s="21" t="s">
        <v>13</v>
      </c>
      <c r="E20" s="91"/>
      <c r="F20" s="143">
        <v>47172</v>
      </c>
      <c r="G20" s="143">
        <v>10565</v>
      </c>
      <c r="H20" s="143">
        <v>1261</v>
      </c>
      <c r="I20" s="107"/>
    </row>
    <row r="21" spans="1:9">
      <c r="A21" s="21">
        <v>9</v>
      </c>
      <c r="C21" s="21">
        <v>2022</v>
      </c>
      <c r="D21" s="21" t="s">
        <v>2</v>
      </c>
      <c r="E21" s="91"/>
      <c r="F21" s="143">
        <v>47192</v>
      </c>
      <c r="G21" s="143">
        <v>10583</v>
      </c>
      <c r="H21" s="143">
        <v>1264</v>
      </c>
      <c r="I21" s="107"/>
    </row>
    <row r="22" spans="1:9">
      <c r="A22" s="21">
        <v>10</v>
      </c>
      <c r="C22" s="21">
        <v>2022</v>
      </c>
      <c r="D22" s="21" t="s">
        <v>3</v>
      </c>
      <c r="E22" s="91"/>
      <c r="F22" s="143">
        <v>47150</v>
      </c>
      <c r="G22" s="143">
        <v>10623</v>
      </c>
      <c r="H22" s="143">
        <v>1263</v>
      </c>
      <c r="I22" s="107"/>
    </row>
    <row r="23" spans="1:9">
      <c r="A23" s="21">
        <v>11</v>
      </c>
      <c r="C23" s="21">
        <v>2022</v>
      </c>
      <c r="D23" s="21" t="s">
        <v>4</v>
      </c>
      <c r="E23" s="91"/>
      <c r="F23" s="143">
        <v>47177</v>
      </c>
      <c r="G23" s="143">
        <v>10646</v>
      </c>
      <c r="H23" s="143">
        <v>1269</v>
      </c>
      <c r="I23" s="107"/>
    </row>
    <row r="24" spans="1:9">
      <c r="A24" s="21">
        <v>12</v>
      </c>
      <c r="C24" s="21">
        <v>2022</v>
      </c>
      <c r="D24" s="21" t="s">
        <v>5</v>
      </c>
      <c r="E24" s="91"/>
      <c r="F24" s="143">
        <v>47158</v>
      </c>
      <c r="G24" s="143">
        <v>10661</v>
      </c>
      <c r="H24" s="143">
        <v>1269</v>
      </c>
      <c r="I24" s="107"/>
    </row>
    <row r="25" spans="1:9">
      <c r="A25" s="21">
        <v>13</v>
      </c>
      <c r="C25" s="3" t="s">
        <v>51</v>
      </c>
      <c r="D25" s="32"/>
      <c r="E25" s="102"/>
      <c r="F25" s="108">
        <f>ROUND(AVERAGE(F13:F24),0)</f>
        <v>47124</v>
      </c>
      <c r="G25" s="108">
        <f>ROUND(AVERAGE(G13:G24),0)</f>
        <v>10590</v>
      </c>
      <c r="H25" s="108">
        <f>ROUND(AVERAGE(H13:H24),0)</f>
        <v>1262</v>
      </c>
      <c r="I25" s="107"/>
    </row>
    <row r="26" spans="1:9">
      <c r="A26" s="21">
        <v>14</v>
      </c>
    </row>
    <row r="27" spans="1:9">
      <c r="A27" s="21">
        <v>15</v>
      </c>
      <c r="C27" s="24" t="s">
        <v>66</v>
      </c>
      <c r="E27" s="102"/>
      <c r="F27" s="109">
        <f>F24-F25</f>
        <v>34</v>
      </c>
      <c r="G27" s="109">
        <f>G24-G25</f>
        <v>71</v>
      </c>
      <c r="H27" s="109">
        <f>H24-H25</f>
        <v>7</v>
      </c>
      <c r="I27" s="107"/>
    </row>
    <row r="28" spans="1:9">
      <c r="A28" s="21">
        <v>16</v>
      </c>
      <c r="D28" s="21"/>
      <c r="E28" s="102"/>
      <c r="F28" s="102"/>
      <c r="G28" s="102"/>
    </row>
    <row r="29" spans="1:9">
      <c r="A29" s="21">
        <v>17</v>
      </c>
      <c r="C29" s="1" t="s">
        <v>52</v>
      </c>
      <c r="D29" s="21"/>
      <c r="E29" s="102"/>
      <c r="F29" s="109">
        <v>678749459</v>
      </c>
      <c r="G29" s="109">
        <v>119304695</v>
      </c>
      <c r="H29" s="109">
        <v>174976235</v>
      </c>
      <c r="I29" s="107"/>
    </row>
    <row r="30" spans="1:9">
      <c r="A30" s="21">
        <v>18</v>
      </c>
      <c r="C30" s="1" t="s">
        <v>53</v>
      </c>
      <c r="D30" s="21"/>
      <c r="E30" s="102"/>
      <c r="F30" s="109">
        <f>F29/F25</f>
        <v>14403.477187844835</v>
      </c>
      <c r="G30" s="109">
        <f>G29/G25</f>
        <v>11265.788007554296</v>
      </c>
      <c r="H30" s="109">
        <f>H29/H25</f>
        <v>138649.94849445325</v>
      </c>
      <c r="I30" s="107"/>
    </row>
    <row r="31" spans="1:9">
      <c r="A31" s="21">
        <v>19</v>
      </c>
      <c r="C31" s="1" t="s">
        <v>54</v>
      </c>
      <c r="D31" s="21"/>
      <c r="E31" s="102"/>
      <c r="F31" s="109">
        <f>F30*F27</f>
        <v>489718.22438672441</v>
      </c>
      <c r="G31" s="109">
        <f>G30*G27</f>
        <v>799870.94853635505</v>
      </c>
      <c r="H31" s="109">
        <f>H30*H27</f>
        <v>970549.63946117274</v>
      </c>
      <c r="I31" s="110">
        <f>SUM(F31:H31)</f>
        <v>2260138.8123842524</v>
      </c>
    </row>
    <row r="32" spans="1:9">
      <c r="A32" s="21">
        <v>20</v>
      </c>
      <c r="D32" s="21"/>
      <c r="E32" s="102"/>
      <c r="F32" s="102"/>
      <c r="G32" s="102"/>
    </row>
    <row r="33" spans="1:9">
      <c r="A33" s="21">
        <v>21</v>
      </c>
      <c r="C33" s="76" t="s">
        <v>58</v>
      </c>
      <c r="D33" s="21"/>
      <c r="E33" s="102"/>
      <c r="F33" s="102"/>
      <c r="G33" s="102"/>
    </row>
    <row r="34" spans="1:9">
      <c r="A34" s="21">
        <v>22</v>
      </c>
      <c r="C34" s="1" t="s">
        <v>55</v>
      </c>
      <c r="D34" s="21"/>
      <c r="E34" s="102"/>
      <c r="F34" s="102">
        <v>83286671.069236994</v>
      </c>
      <c r="G34" s="102">
        <v>14827810.693080001</v>
      </c>
      <c r="H34" s="91">
        <v>18199608.51323</v>
      </c>
      <c r="I34" s="107"/>
    </row>
    <row r="35" spans="1:9">
      <c r="A35" s="21">
        <v>23</v>
      </c>
      <c r="C35" s="1" t="s">
        <v>56</v>
      </c>
      <c r="D35" s="21"/>
      <c r="E35" s="102"/>
      <c r="F35" s="111">
        <f>F34/F29</f>
        <v>0.12270605886293162</v>
      </c>
      <c r="G35" s="111">
        <f>G34/G29</f>
        <v>0.12428522358721927</v>
      </c>
      <c r="H35" s="111">
        <f>H34/H29</f>
        <v>0.10401188774709891</v>
      </c>
      <c r="I35" s="107"/>
    </row>
    <row r="36" spans="1:9">
      <c r="A36" s="21">
        <v>24</v>
      </c>
      <c r="C36" s="1" t="s">
        <v>57</v>
      </c>
      <c r="D36" s="21"/>
      <c r="E36" s="102"/>
      <c r="F36" s="102">
        <f>F35*F31</f>
        <v>60091.393267847765</v>
      </c>
      <c r="G36" s="102">
        <f>G35*G31</f>
        <v>99412.139679762055</v>
      </c>
      <c r="H36" s="102">
        <f>H35*H31</f>
        <v>100948.70015262281</v>
      </c>
      <c r="I36" s="110">
        <f>SUM(F36:H36)</f>
        <v>260452.23310023261</v>
      </c>
    </row>
    <row r="37" spans="1:9">
      <c r="A37" s="21">
        <v>25</v>
      </c>
      <c r="D37" s="21"/>
      <c r="E37" s="102"/>
      <c r="F37" s="102"/>
      <c r="G37" s="102"/>
      <c r="H37" s="102"/>
    </row>
    <row r="38" spans="1:9">
      <c r="A38" s="21">
        <v>26</v>
      </c>
      <c r="C38" s="76" t="s">
        <v>59</v>
      </c>
      <c r="D38" s="21"/>
      <c r="E38" s="102"/>
      <c r="F38" s="102"/>
      <c r="G38" s="102"/>
      <c r="H38" s="102"/>
    </row>
    <row r="39" spans="1:9">
      <c r="A39" s="21">
        <v>27</v>
      </c>
      <c r="C39" s="1" t="s">
        <v>68</v>
      </c>
      <c r="D39" s="21"/>
      <c r="E39" s="102"/>
      <c r="F39" s="112">
        <f>G56/G57</f>
        <v>7.6756257452457025E-2</v>
      </c>
      <c r="G39" s="112">
        <f>F39</f>
        <v>7.6756257452457025E-2</v>
      </c>
      <c r="H39" s="112">
        <f>G39</f>
        <v>7.6756257452457025E-2</v>
      </c>
      <c r="I39" s="107"/>
    </row>
    <row r="40" spans="1:9">
      <c r="A40" s="21">
        <v>28</v>
      </c>
      <c r="C40" s="1" t="s">
        <v>60</v>
      </c>
      <c r="D40" s="21"/>
      <c r="E40" s="102"/>
      <c r="F40" s="102">
        <f>F39*F31</f>
        <v>37588.938110187533</v>
      </c>
      <c r="G40" s="102">
        <f>G39*G31</f>
        <v>61395.100454597472</v>
      </c>
      <c r="H40" s="102">
        <f>H39*H31</f>
        <v>74495.757996871122</v>
      </c>
      <c r="I40" s="110">
        <f>SUM(F40:H40)</f>
        <v>173479.79656165611</v>
      </c>
    </row>
    <row r="41" spans="1:9" ht="13.8" thickBot="1">
      <c r="A41" s="21">
        <v>29</v>
      </c>
      <c r="C41" s="113"/>
      <c r="D41" s="25"/>
      <c r="E41" s="114"/>
      <c r="F41" s="114"/>
      <c r="G41" s="114"/>
      <c r="H41" s="114"/>
      <c r="I41" s="113"/>
    </row>
    <row r="42" spans="1:9" ht="13.8" thickTop="1">
      <c r="A42" s="21">
        <v>30</v>
      </c>
      <c r="D42" s="21"/>
      <c r="E42" s="102"/>
    </row>
    <row r="43" spans="1:9">
      <c r="A43" s="21">
        <v>31</v>
      </c>
      <c r="E43" s="102"/>
      <c r="F43" s="115" t="s">
        <v>32</v>
      </c>
      <c r="G43" s="115" t="s">
        <v>24</v>
      </c>
      <c r="I43" s="115" t="s">
        <v>69</v>
      </c>
    </row>
    <row r="44" spans="1:9">
      <c r="A44" s="21">
        <v>32</v>
      </c>
      <c r="C44" s="1" t="s">
        <v>36</v>
      </c>
      <c r="E44" s="102"/>
      <c r="F44" s="87">
        <v>0</v>
      </c>
      <c r="G44" s="87">
        <v>0</v>
      </c>
      <c r="I44" s="116">
        <f>F44-G44</f>
        <v>0</v>
      </c>
    </row>
    <row r="45" spans="1:9">
      <c r="A45" s="21">
        <v>33</v>
      </c>
      <c r="E45" s="102"/>
      <c r="F45" s="102"/>
    </row>
    <row r="46" spans="1:9">
      <c r="A46" s="21">
        <v>34</v>
      </c>
      <c r="C46" s="1" t="s">
        <v>37</v>
      </c>
      <c r="E46" s="91"/>
      <c r="F46" s="91">
        <f>I36</f>
        <v>260452.23310023261</v>
      </c>
      <c r="G46" s="91">
        <f>I40</f>
        <v>173479.79656165611</v>
      </c>
      <c r="I46" s="116">
        <f>F46-G46</f>
        <v>86972.436538576498</v>
      </c>
    </row>
    <row r="47" spans="1:9">
      <c r="A47" s="21">
        <v>35</v>
      </c>
    </row>
    <row r="48" spans="1:9" ht="13.8" thickBot="1">
      <c r="A48" s="21">
        <v>36</v>
      </c>
      <c r="C48" s="2" t="s">
        <v>15</v>
      </c>
      <c r="D48" s="2"/>
      <c r="E48" s="103"/>
      <c r="F48" s="104">
        <f>ROUND(F46-F44,2)</f>
        <v>260452.23</v>
      </c>
      <c r="G48" s="104">
        <f>ROUND(G46-G44,2)</f>
        <v>173479.8</v>
      </c>
      <c r="I48" s="104">
        <f>ROUND(I46-I44,2)</f>
        <v>86972.44</v>
      </c>
    </row>
    <row r="49" spans="1:9" ht="13.8" thickTop="1">
      <c r="A49" s="21">
        <v>37</v>
      </c>
    </row>
    <row r="50" spans="1:9">
      <c r="A50" s="21">
        <v>38</v>
      </c>
    </row>
    <row r="51" spans="1:9">
      <c r="A51" s="21">
        <v>39</v>
      </c>
      <c r="C51" s="93" t="s">
        <v>67</v>
      </c>
      <c r="G51" s="117" t="s">
        <v>190</v>
      </c>
    </row>
    <row r="52" spans="1:9">
      <c r="A52" s="21">
        <v>40</v>
      </c>
      <c r="C52" s="1" t="s">
        <v>61</v>
      </c>
      <c r="D52" s="21"/>
      <c r="E52" s="102"/>
      <c r="G52" s="102">
        <v>109659177.79999995</v>
      </c>
    </row>
    <row r="53" spans="1:9">
      <c r="A53" s="21">
        <v>41</v>
      </c>
      <c r="C53" s="1" t="s">
        <v>63</v>
      </c>
      <c r="D53" s="21"/>
      <c r="E53" s="102"/>
      <c r="G53" s="102">
        <f>-'1.01 FAC'!H26</f>
        <v>-21167623.869999997</v>
      </c>
    </row>
    <row r="54" spans="1:9">
      <c r="A54" s="21">
        <v>42</v>
      </c>
      <c r="C54" s="1" t="s">
        <v>62</v>
      </c>
      <c r="D54" s="21"/>
      <c r="E54" s="102"/>
      <c r="G54" s="102">
        <f>-'1.02 ES'!H26</f>
        <v>-5648911.3000000007</v>
      </c>
    </row>
    <row r="55" spans="1:9">
      <c r="A55" s="21">
        <v>43</v>
      </c>
      <c r="C55" s="1" t="s">
        <v>214</v>
      </c>
      <c r="D55" s="21"/>
      <c r="E55" s="102"/>
      <c r="G55" s="102">
        <f>-'1.03 MRSM'!H26-'1.04 NFPPA'!H26</f>
        <v>2143902.085</v>
      </c>
    </row>
    <row r="56" spans="1:9">
      <c r="A56" s="21">
        <v>44</v>
      </c>
      <c r="C56" s="1" t="s">
        <v>64</v>
      </c>
      <c r="D56" s="21"/>
      <c r="E56" s="102"/>
      <c r="G56" s="102">
        <f>SUM(G52:G55)</f>
        <v>84986544.714999944</v>
      </c>
    </row>
    <row r="57" spans="1:9">
      <c r="A57" s="21">
        <v>45</v>
      </c>
      <c r="C57" s="1" t="s">
        <v>65</v>
      </c>
      <c r="D57" s="21"/>
      <c r="E57" s="102"/>
      <c r="G57" s="109">
        <v>1107226271</v>
      </c>
    </row>
    <row r="59" spans="1:9" ht="27" customHeight="1">
      <c r="C59" s="430" t="s">
        <v>138</v>
      </c>
      <c r="D59" s="430"/>
      <c r="E59" s="430"/>
      <c r="F59" s="430"/>
      <c r="G59" s="430"/>
      <c r="H59" s="430"/>
      <c r="I59" s="31"/>
    </row>
  </sheetData>
  <mergeCells count="4">
    <mergeCell ref="A4:I4"/>
    <mergeCell ref="A5:I5"/>
    <mergeCell ref="A7:I7"/>
    <mergeCell ref="C59:H59"/>
  </mergeCells>
  <printOptions horizontalCentered="1"/>
  <pageMargins left="0.25" right="0.25" top="0.75" bottom="0.75" header="0.5" footer="0.25"/>
  <pageSetup scale="75" orientation="portrait" r:id="rId1"/>
  <headerFooter alignWithMargins="0">
    <oddFooter>&amp;R&amp;"Times New Roman,Regular"Exhibit JW-2
Page &amp;P of &amp;N</oddFooter>
  </headerFooter>
  <ignoredErrors>
    <ignoredError sqref="C10:I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A316-8A37-4DF8-A24F-690625CA0482}">
  <sheetPr>
    <pageSetUpPr fitToPage="1"/>
  </sheetPr>
  <dimension ref="A1:X132"/>
  <sheetViews>
    <sheetView view="pageBreakPreview" topLeftCell="A27" zoomScaleNormal="100" zoomScaleSheetLayoutView="100" workbookViewId="0">
      <selection activeCell="O27" sqref="O27:Q29"/>
    </sheetView>
  </sheetViews>
  <sheetFormatPr defaultRowHeight="13.2"/>
  <cols>
    <col min="1" max="1" width="9" style="164" bestFit="1" customWidth="1"/>
    <col min="2" max="2" width="31.44140625" style="164" bestFit="1" customWidth="1"/>
    <col min="3" max="3" width="12.6640625" style="164" customWidth="1"/>
    <col min="4" max="4" width="16.109375" style="164" bestFit="1" customWidth="1"/>
    <col min="5" max="5" width="12.109375" style="164" bestFit="1" customWidth="1"/>
    <col min="6" max="6" width="16.44140625" style="164" bestFit="1" customWidth="1"/>
    <col min="7" max="7" width="12.77734375" style="164" customWidth="1"/>
    <col min="8" max="8" width="12.44140625" style="164" bestFit="1" customWidth="1"/>
    <col min="9" max="9" width="13.5546875" style="164" bestFit="1" customWidth="1"/>
    <col min="10" max="10" width="12.109375" style="164" customWidth="1"/>
    <col min="11" max="11" width="11.44140625" style="164" bestFit="1" customWidth="1"/>
    <col min="12" max="12" width="12.21875" style="164" bestFit="1" customWidth="1"/>
    <col min="13" max="14" width="11.44140625" style="164" bestFit="1" customWidth="1"/>
    <col min="15" max="15" width="12.44140625" style="164" bestFit="1" customWidth="1"/>
    <col min="16" max="16" width="14.109375" style="164" bestFit="1" customWidth="1"/>
    <col min="17" max="17" width="12.5546875" style="164" bestFit="1" customWidth="1"/>
    <col min="18" max="18" width="9" style="164" bestFit="1" customWidth="1"/>
    <col min="19" max="20" width="8.88671875" style="164"/>
    <col min="21" max="21" width="9" style="164" bestFit="1" customWidth="1"/>
    <col min="22" max="22" width="15.21875" style="164" bestFit="1" customWidth="1"/>
    <col min="23" max="24" width="14.21875" style="164" bestFit="1" customWidth="1"/>
    <col min="25" max="16384" width="8.88671875" style="164"/>
  </cols>
  <sheetData>
    <row r="1" spans="1:17" s="8" customFormat="1">
      <c r="J1" s="4" t="s">
        <v>210</v>
      </c>
    </row>
    <row r="2" spans="1:17" s="8" customFormat="1" ht="20.25" customHeight="1">
      <c r="E2" s="4"/>
    </row>
    <row r="3" spans="1:17" s="8" customFormat="1">
      <c r="A3" s="432" t="str">
        <f>RevReq!A1</f>
        <v>KENERGY CORP.</v>
      </c>
      <c r="B3" s="432"/>
      <c r="C3" s="432"/>
      <c r="D3" s="432"/>
      <c r="E3" s="432"/>
      <c r="F3" s="432"/>
      <c r="G3" s="432"/>
      <c r="H3" s="432"/>
      <c r="I3" s="432"/>
      <c r="J3" s="432"/>
    </row>
    <row r="4" spans="1:17" s="8" customFormat="1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  <c r="H4" s="432"/>
      <c r="I4" s="432"/>
      <c r="J4" s="432"/>
    </row>
    <row r="5" spans="1:17" s="8" customFormat="1"/>
    <row r="6" spans="1:17" s="5" customFormat="1" ht="15" customHeight="1">
      <c r="A6" s="429" t="str">
        <f>'Adj List'!C13</f>
        <v>Depreciation Expense Normalization</v>
      </c>
      <c r="B6" s="429"/>
      <c r="C6" s="429"/>
      <c r="D6" s="429"/>
      <c r="E6" s="429"/>
      <c r="F6" s="429"/>
      <c r="G6" s="429"/>
      <c r="H6" s="429"/>
      <c r="I6" s="429"/>
      <c r="J6" s="429"/>
    </row>
    <row r="7" spans="1:17">
      <c r="A7" s="264"/>
      <c r="B7" s="316"/>
      <c r="C7" s="316"/>
      <c r="D7" s="316"/>
      <c r="E7" s="316"/>
      <c r="F7" s="316"/>
    </row>
    <row r="8" spans="1:17">
      <c r="B8" s="307" t="s">
        <v>282</v>
      </c>
      <c r="C8" s="158" t="s">
        <v>283</v>
      </c>
      <c r="D8" s="158" t="s">
        <v>284</v>
      </c>
      <c r="E8" s="158" t="s">
        <v>285</v>
      </c>
      <c r="F8" s="158" t="s">
        <v>302</v>
      </c>
      <c r="G8" s="158" t="s">
        <v>303</v>
      </c>
      <c r="H8" s="158" t="s">
        <v>304</v>
      </c>
      <c r="I8" s="158" t="s">
        <v>305</v>
      </c>
      <c r="J8" s="158" t="s">
        <v>306</v>
      </c>
    </row>
    <row r="9" spans="1:17">
      <c r="E9" s="158" t="s">
        <v>461</v>
      </c>
      <c r="F9" s="158" t="s">
        <v>369</v>
      </c>
      <c r="G9" s="158" t="s">
        <v>462</v>
      </c>
      <c r="H9" s="158" t="s">
        <v>463</v>
      </c>
      <c r="P9" s="158"/>
      <c r="Q9" s="158"/>
    </row>
    <row r="10" spans="1:17">
      <c r="A10" s="158" t="s">
        <v>0</v>
      </c>
      <c r="C10" s="158" t="s">
        <v>383</v>
      </c>
      <c r="D10" s="158" t="s">
        <v>464</v>
      </c>
      <c r="E10" s="158" t="s">
        <v>29</v>
      </c>
      <c r="F10" s="158" t="s">
        <v>29</v>
      </c>
      <c r="G10" s="158" t="s">
        <v>29</v>
      </c>
      <c r="H10" s="158" t="s">
        <v>465</v>
      </c>
      <c r="O10" s="308"/>
      <c r="P10" s="158"/>
      <c r="Q10" s="158"/>
    </row>
    <row r="11" spans="1:17">
      <c r="A11" s="158" t="s">
        <v>386</v>
      </c>
      <c r="B11" s="309" t="s">
        <v>1</v>
      </c>
      <c r="C11" s="160" t="s">
        <v>466</v>
      </c>
      <c r="D11" s="310">
        <v>44985</v>
      </c>
      <c r="E11" s="160" t="s">
        <v>91</v>
      </c>
      <c r="F11" s="160" t="s">
        <v>467</v>
      </c>
      <c r="G11" s="160" t="s">
        <v>468</v>
      </c>
      <c r="H11" s="160" t="s">
        <v>469</v>
      </c>
    </row>
    <row r="12" spans="1:17">
      <c r="A12" s="158">
        <v>1</v>
      </c>
      <c r="B12" s="164" t="s">
        <v>226</v>
      </c>
      <c r="C12" s="265">
        <v>360</v>
      </c>
      <c r="D12" s="136">
        <v>901744.88</v>
      </c>
      <c r="E12" s="158" t="s">
        <v>470</v>
      </c>
      <c r="F12" s="136">
        <v>0</v>
      </c>
      <c r="G12" s="158" t="s">
        <v>470</v>
      </c>
      <c r="O12" s="311"/>
      <c r="P12" s="311"/>
      <c r="Q12" s="311"/>
    </row>
    <row r="13" spans="1:17">
      <c r="A13" s="158">
        <f>A12+1</f>
        <v>2</v>
      </c>
      <c r="B13" s="164" t="s">
        <v>227</v>
      </c>
      <c r="C13" s="265">
        <v>362</v>
      </c>
      <c r="D13" s="163">
        <v>21872272.16</v>
      </c>
      <c r="E13" s="317">
        <v>1.9E-2</v>
      </c>
      <c r="F13" s="318">
        <f>ROUND(D13*E13,0)</f>
        <v>415573</v>
      </c>
      <c r="G13" s="317">
        <v>1.9E-2</v>
      </c>
      <c r="H13" s="136">
        <f>(G13-E13)*D13</f>
        <v>0</v>
      </c>
      <c r="K13" s="265"/>
      <c r="O13" s="163"/>
      <c r="P13" s="311"/>
      <c r="Q13" s="318"/>
    </row>
    <row r="14" spans="1:17">
      <c r="A14" s="158">
        <f t="shared" ref="A14:A41" si="0">A13+1</f>
        <v>3</v>
      </c>
      <c r="B14" s="164" t="s">
        <v>228</v>
      </c>
      <c r="C14" s="265">
        <v>362.1</v>
      </c>
      <c r="D14" s="163">
        <v>1563488.4</v>
      </c>
      <c r="E14" s="317">
        <v>0.05</v>
      </c>
      <c r="F14" s="318">
        <f t="shared" ref="F14:F26" si="1">ROUND(D14*E14,0)</f>
        <v>78174</v>
      </c>
      <c r="G14" s="317">
        <v>0.05</v>
      </c>
      <c r="H14" s="136">
        <f t="shared" ref="H14:H26" si="2">(G14-E14)*D14</f>
        <v>0</v>
      </c>
      <c r="K14" s="265"/>
      <c r="O14" s="163"/>
      <c r="P14" s="311"/>
      <c r="Q14" s="318"/>
    </row>
    <row r="15" spans="1:17">
      <c r="A15" s="158">
        <f t="shared" si="0"/>
        <v>4</v>
      </c>
      <c r="B15" s="164" t="s">
        <v>229</v>
      </c>
      <c r="C15" s="265">
        <v>362.2</v>
      </c>
      <c r="D15" s="163">
        <v>855631.62</v>
      </c>
      <c r="E15" s="317">
        <v>0.05</v>
      </c>
      <c r="F15" s="318">
        <f t="shared" si="1"/>
        <v>42782</v>
      </c>
      <c r="G15" s="317">
        <v>0.05</v>
      </c>
      <c r="H15" s="136">
        <f>(G15-E15)*D15</f>
        <v>0</v>
      </c>
      <c r="K15" s="265"/>
      <c r="O15" s="163"/>
      <c r="P15" s="311"/>
      <c r="Q15" s="318"/>
    </row>
    <row r="16" spans="1:17">
      <c r="A16" s="158">
        <f t="shared" si="0"/>
        <v>5</v>
      </c>
      <c r="B16" s="164" t="s">
        <v>230</v>
      </c>
      <c r="C16" s="265">
        <v>362.22300000000001</v>
      </c>
      <c r="D16" s="163">
        <v>1411546.77</v>
      </c>
      <c r="E16" s="317">
        <v>2.8000000000000001E-2</v>
      </c>
      <c r="F16" s="318">
        <f t="shared" si="1"/>
        <v>39523</v>
      </c>
      <c r="G16" s="317">
        <v>2.8000000000000001E-2</v>
      </c>
      <c r="H16" s="136">
        <f t="shared" si="2"/>
        <v>0</v>
      </c>
      <c r="K16" s="265"/>
      <c r="O16" s="163"/>
      <c r="P16" s="311"/>
      <c r="Q16" s="318"/>
    </row>
    <row r="17" spans="1:17">
      <c r="A17" s="158">
        <f t="shared" si="0"/>
        <v>6</v>
      </c>
      <c r="B17" s="164" t="s">
        <v>231</v>
      </c>
      <c r="C17" s="265">
        <v>362.3</v>
      </c>
      <c r="D17" s="163">
        <v>236722.28</v>
      </c>
      <c r="E17" s="317">
        <v>0.04</v>
      </c>
      <c r="F17" s="318">
        <f t="shared" si="1"/>
        <v>9469</v>
      </c>
      <c r="G17" s="317">
        <v>0.04</v>
      </c>
      <c r="H17" s="136">
        <f t="shared" si="2"/>
        <v>0</v>
      </c>
      <c r="K17" s="265"/>
      <c r="O17" s="163"/>
      <c r="P17" s="311"/>
      <c r="Q17" s="318"/>
    </row>
    <row r="18" spans="1:17">
      <c r="A18" s="158">
        <f t="shared" si="0"/>
        <v>7</v>
      </c>
      <c r="B18" s="164" t="s">
        <v>232</v>
      </c>
      <c r="C18" s="265">
        <v>362.4</v>
      </c>
      <c r="D18" s="163">
        <v>917815.08</v>
      </c>
      <c r="E18" s="317">
        <v>0.04</v>
      </c>
      <c r="F18" s="318">
        <f t="shared" si="1"/>
        <v>36713</v>
      </c>
      <c r="G18" s="317">
        <v>0.04</v>
      </c>
      <c r="H18" s="136">
        <f t="shared" si="2"/>
        <v>0</v>
      </c>
      <c r="K18" s="265"/>
      <c r="O18" s="163"/>
      <c r="P18" s="311"/>
      <c r="Q18" s="318"/>
    </row>
    <row r="19" spans="1:17">
      <c r="A19" s="158">
        <f t="shared" si="0"/>
        <v>8</v>
      </c>
      <c r="B19" s="164" t="s">
        <v>471</v>
      </c>
      <c r="C19" s="265">
        <v>364</v>
      </c>
      <c r="D19" s="163">
        <v>106587902.20999999</v>
      </c>
      <c r="E19" s="317">
        <v>4.7E-2</v>
      </c>
      <c r="F19" s="318">
        <f>ROUND(D19*E19,0)</f>
        <v>5009631</v>
      </c>
      <c r="G19" s="317">
        <v>4.7E-2</v>
      </c>
      <c r="H19" s="136">
        <f>(G19-E19)*D19</f>
        <v>0</v>
      </c>
      <c r="K19" s="265"/>
      <c r="L19" s="312"/>
      <c r="O19" s="163"/>
      <c r="P19" s="311"/>
      <c r="Q19" s="318"/>
    </row>
    <row r="20" spans="1:17">
      <c r="A20" s="158">
        <f t="shared" si="0"/>
        <v>9</v>
      </c>
      <c r="B20" s="164" t="s">
        <v>472</v>
      </c>
      <c r="C20" s="265">
        <v>365</v>
      </c>
      <c r="D20" s="163">
        <v>69234645.420000002</v>
      </c>
      <c r="E20" s="317">
        <v>0.04</v>
      </c>
      <c r="F20" s="318">
        <f t="shared" si="1"/>
        <v>2769386</v>
      </c>
      <c r="G20" s="317">
        <v>0.04</v>
      </c>
      <c r="H20" s="136">
        <f t="shared" si="2"/>
        <v>0</v>
      </c>
      <c r="K20" s="265"/>
      <c r="L20" s="312"/>
      <c r="O20" s="163"/>
      <c r="P20" s="311"/>
      <c r="Q20" s="318"/>
    </row>
    <row r="21" spans="1:17">
      <c r="A21" s="158">
        <f t="shared" si="0"/>
        <v>10</v>
      </c>
      <c r="B21" s="164" t="s">
        <v>233</v>
      </c>
      <c r="C21" s="265">
        <v>366</v>
      </c>
      <c r="D21" s="163">
        <v>14166.24</v>
      </c>
      <c r="E21" s="317">
        <v>2.1999999999999999E-2</v>
      </c>
      <c r="F21" s="318">
        <f t="shared" si="1"/>
        <v>312</v>
      </c>
      <c r="G21" s="317">
        <v>2.1999999999999999E-2</v>
      </c>
      <c r="H21" s="136">
        <f t="shared" si="2"/>
        <v>0</v>
      </c>
      <c r="K21" s="265"/>
      <c r="O21" s="163"/>
      <c r="P21" s="311"/>
      <c r="Q21" s="318"/>
    </row>
    <row r="22" spans="1:17">
      <c r="A22" s="158">
        <f t="shared" si="0"/>
        <v>11</v>
      </c>
      <c r="B22" s="164" t="s">
        <v>234</v>
      </c>
      <c r="C22" s="265">
        <v>367</v>
      </c>
      <c r="D22" s="163">
        <v>26420818.239999998</v>
      </c>
      <c r="E22" s="317">
        <v>3.3000000000000002E-2</v>
      </c>
      <c r="F22" s="318">
        <f t="shared" si="1"/>
        <v>871887</v>
      </c>
      <c r="G22" s="317">
        <v>3.3000000000000002E-2</v>
      </c>
      <c r="H22" s="136">
        <f t="shared" si="2"/>
        <v>0</v>
      </c>
      <c r="K22" s="265"/>
      <c r="L22" s="312"/>
      <c r="O22" s="163"/>
      <c r="P22" s="311"/>
      <c r="Q22" s="318"/>
    </row>
    <row r="23" spans="1:17">
      <c r="A23" s="158">
        <f t="shared" si="0"/>
        <v>12</v>
      </c>
      <c r="B23" s="164" t="s">
        <v>473</v>
      </c>
      <c r="C23" s="265">
        <v>368</v>
      </c>
      <c r="D23" s="163">
        <v>50951132.630000003</v>
      </c>
      <c r="E23" s="317">
        <v>3.3000000000000002E-2</v>
      </c>
      <c r="F23" s="318">
        <f t="shared" si="1"/>
        <v>1681387</v>
      </c>
      <c r="G23" s="317">
        <v>3.3000000000000002E-2</v>
      </c>
      <c r="H23" s="136">
        <f t="shared" si="2"/>
        <v>0</v>
      </c>
      <c r="K23" s="265"/>
      <c r="L23" s="312"/>
      <c r="O23" s="163"/>
      <c r="P23" s="311"/>
      <c r="Q23" s="318"/>
    </row>
    <row r="24" spans="1:17">
      <c r="A24" s="158">
        <f t="shared" si="0"/>
        <v>13</v>
      </c>
      <c r="B24" s="164" t="s">
        <v>93</v>
      </c>
      <c r="C24" s="265">
        <v>369</v>
      </c>
      <c r="D24" s="163">
        <v>40760025.189999998</v>
      </c>
      <c r="E24" s="317">
        <v>0.04</v>
      </c>
      <c r="F24" s="318">
        <f t="shared" si="1"/>
        <v>1630401</v>
      </c>
      <c r="G24" s="317">
        <v>0.04</v>
      </c>
      <c r="H24" s="136">
        <f t="shared" si="2"/>
        <v>0</v>
      </c>
      <c r="K24" s="265"/>
      <c r="L24" s="312"/>
      <c r="O24" s="163"/>
      <c r="P24" s="311"/>
      <c r="Q24" s="318"/>
    </row>
    <row r="25" spans="1:17">
      <c r="A25" s="158">
        <f t="shared" si="0"/>
        <v>14</v>
      </c>
      <c r="B25" s="164" t="s">
        <v>235</v>
      </c>
      <c r="C25" s="265">
        <v>370.2</v>
      </c>
      <c r="D25" s="163">
        <v>10660956.140000001</v>
      </c>
      <c r="E25" s="317">
        <v>7.4999999999999997E-2</v>
      </c>
      <c r="F25" s="318">
        <f t="shared" si="1"/>
        <v>799572</v>
      </c>
      <c r="G25" s="317">
        <v>7.4999999999999997E-2</v>
      </c>
      <c r="H25" s="136">
        <f t="shared" si="2"/>
        <v>0</v>
      </c>
      <c r="K25" s="265"/>
      <c r="O25" s="311"/>
      <c r="P25" s="311"/>
      <c r="Q25" s="318"/>
    </row>
    <row r="26" spans="1:17">
      <c r="A26" s="158">
        <f t="shared" si="0"/>
        <v>15</v>
      </c>
      <c r="B26" s="164" t="s">
        <v>236</v>
      </c>
      <c r="C26" s="265">
        <v>370.5</v>
      </c>
      <c r="D26" s="163">
        <v>3109238.94</v>
      </c>
      <c r="E26" s="317">
        <v>0.06</v>
      </c>
      <c r="F26" s="318">
        <f t="shared" si="1"/>
        <v>186554</v>
      </c>
      <c r="G26" s="317">
        <v>0.06</v>
      </c>
      <c r="H26" s="136">
        <f t="shared" si="2"/>
        <v>0</v>
      </c>
      <c r="K26" s="265"/>
      <c r="O26" s="311"/>
      <c r="P26" s="311"/>
      <c r="Q26" s="318"/>
    </row>
    <row r="27" spans="1:17">
      <c r="A27" s="158">
        <f t="shared" si="0"/>
        <v>16</v>
      </c>
      <c r="B27" s="164" t="s">
        <v>237</v>
      </c>
      <c r="C27" s="265">
        <v>371</v>
      </c>
      <c r="D27" s="163">
        <v>7622519.0599999996</v>
      </c>
      <c r="E27" s="317">
        <v>5.0999999999999997E-2</v>
      </c>
      <c r="F27" s="318">
        <f>ROUND(D27*E27,0)</f>
        <v>388748</v>
      </c>
      <c r="G27" s="317">
        <v>5.0999999999999997E-2</v>
      </c>
      <c r="H27" s="136">
        <f>(G27-E27)*D27</f>
        <v>0</v>
      </c>
      <c r="K27" s="265"/>
      <c r="O27" s="311"/>
      <c r="P27" s="311"/>
      <c r="Q27" s="318"/>
    </row>
    <row r="28" spans="1:17">
      <c r="A28" s="158">
        <f t="shared" si="0"/>
        <v>17</v>
      </c>
      <c r="B28" s="164" t="s">
        <v>238</v>
      </c>
      <c r="C28" s="265">
        <v>373</v>
      </c>
      <c r="D28" s="165">
        <v>1921052.11</v>
      </c>
      <c r="E28" s="317">
        <v>4.5999999999999999E-2</v>
      </c>
      <c r="F28" s="319">
        <f>ROUND(D28*E28,0)</f>
        <v>88368</v>
      </c>
      <c r="G28" s="317">
        <v>4.5999999999999999E-2</v>
      </c>
      <c r="H28" s="149">
        <f>(G28-E28)*D28</f>
        <v>0</v>
      </c>
      <c r="K28" s="265"/>
      <c r="O28" s="311"/>
      <c r="P28" s="311"/>
      <c r="Q28" s="318"/>
    </row>
    <row r="29" spans="1:17">
      <c r="A29" s="158">
        <f t="shared" si="0"/>
        <v>18</v>
      </c>
      <c r="D29" s="311"/>
      <c r="F29" s="136"/>
      <c r="O29" s="311"/>
      <c r="P29" s="311"/>
      <c r="Q29" s="318"/>
    </row>
    <row r="30" spans="1:17" ht="13.8" thickBot="1">
      <c r="A30" s="158">
        <f t="shared" si="0"/>
        <v>19</v>
      </c>
      <c r="B30" s="164" t="s">
        <v>474</v>
      </c>
      <c r="D30" s="320">
        <f>SUM(D12:D28)</f>
        <v>345041677.37</v>
      </c>
      <c r="F30" s="320">
        <f>SUM(F12:F28)</f>
        <v>14048480</v>
      </c>
      <c r="L30" s="268"/>
      <c r="O30" s="311"/>
      <c r="P30" s="311"/>
      <c r="Q30" s="311"/>
    </row>
    <row r="31" spans="1:17" ht="13.8" thickTop="1">
      <c r="A31" s="158">
        <f t="shared" si="0"/>
        <v>20</v>
      </c>
      <c r="F31" s="136"/>
      <c r="L31" s="268"/>
    </row>
    <row r="32" spans="1:17">
      <c r="A32" s="158">
        <f t="shared" si="0"/>
        <v>21</v>
      </c>
      <c r="D32" s="164" t="s">
        <v>475</v>
      </c>
      <c r="F32" s="149">
        <v>13833296.189999999</v>
      </c>
      <c r="O32" s="268"/>
    </row>
    <row r="33" spans="1:21">
      <c r="A33" s="158">
        <f t="shared" si="0"/>
        <v>22</v>
      </c>
      <c r="G33" s="158" t="s">
        <v>15</v>
      </c>
      <c r="I33" s="164" t="s">
        <v>43</v>
      </c>
    </row>
    <row r="34" spans="1:21" ht="13.8" thickBot="1">
      <c r="A34" s="158">
        <f t="shared" si="0"/>
        <v>23</v>
      </c>
      <c r="C34" s="164" t="s">
        <v>476</v>
      </c>
      <c r="F34" s="320">
        <f>F30-F32</f>
        <v>215183.81000000052</v>
      </c>
      <c r="G34" s="158" t="s">
        <v>477</v>
      </c>
      <c r="H34" s="320">
        <f>SUM(H13:H28)</f>
        <v>0</v>
      </c>
      <c r="I34" s="164" t="s">
        <v>15</v>
      </c>
      <c r="J34" s="320">
        <f>F34+H34</f>
        <v>215183.81000000052</v>
      </c>
    </row>
    <row r="35" spans="1:21" ht="13.8" thickTop="1">
      <c r="A35" s="158">
        <f t="shared" si="0"/>
        <v>24</v>
      </c>
    </row>
    <row r="36" spans="1:21">
      <c r="A36" s="158">
        <f t="shared" si="0"/>
        <v>25</v>
      </c>
      <c r="F36" s="158"/>
      <c r="J36" s="158"/>
    </row>
    <row r="37" spans="1:21">
      <c r="A37" s="158">
        <f t="shared" si="0"/>
        <v>26</v>
      </c>
      <c r="F37" s="158"/>
      <c r="J37" s="158"/>
    </row>
    <row r="38" spans="1:21">
      <c r="A38" s="158">
        <f t="shared" si="0"/>
        <v>27</v>
      </c>
      <c r="B38" s="164" t="s">
        <v>474</v>
      </c>
      <c r="D38" s="321">
        <f>D30</f>
        <v>345041677.37</v>
      </c>
      <c r="F38" s="322"/>
      <c r="G38" s="323"/>
      <c r="H38" s="313" t="s">
        <v>478</v>
      </c>
      <c r="I38" s="314">
        <v>1542017</v>
      </c>
      <c r="J38" s="314"/>
    </row>
    <row r="39" spans="1:21">
      <c r="A39" s="158">
        <f t="shared" si="0"/>
        <v>28</v>
      </c>
      <c r="B39" s="164" t="s">
        <v>479</v>
      </c>
      <c r="D39" s="163">
        <v>27649038.890000001</v>
      </c>
      <c r="H39" s="313" t="s">
        <v>480</v>
      </c>
      <c r="I39" s="314">
        <f>D30</f>
        <v>345041677.37</v>
      </c>
    </row>
    <row r="40" spans="1:21">
      <c r="A40" s="158">
        <f t="shared" si="0"/>
        <v>29</v>
      </c>
      <c r="B40" s="164" t="s">
        <v>481</v>
      </c>
      <c r="D40" s="165">
        <v>19355.240000000002</v>
      </c>
      <c r="H40" s="313" t="s">
        <v>482</v>
      </c>
      <c r="I40" s="324">
        <f>I38/I39</f>
        <v>4.469074610793879E-3</v>
      </c>
      <c r="J40" s="169">
        <f>I40*J34</f>
        <v>961.67250192489632</v>
      </c>
    </row>
    <row r="41" spans="1:21">
      <c r="A41" s="158">
        <f t="shared" si="0"/>
        <v>30</v>
      </c>
      <c r="B41" s="164" t="s">
        <v>483</v>
      </c>
      <c r="D41" s="325">
        <f>SUM(D38:D40)</f>
        <v>372710071.5</v>
      </c>
    </row>
    <row r="42" spans="1:21">
      <c r="A42" s="158"/>
      <c r="I42" s="313" t="s">
        <v>689</v>
      </c>
      <c r="J42" s="314">
        <f>J34-J40</f>
        <v>214222.13749807564</v>
      </c>
    </row>
    <row r="43" spans="1:21">
      <c r="A43" s="158"/>
      <c r="B43" s="307"/>
      <c r="C43" s="307"/>
      <c r="D43" s="326"/>
      <c r="E43" s="307"/>
      <c r="F43" s="307"/>
      <c r="G43" s="307"/>
      <c r="H43" s="307"/>
      <c r="I43" s="307"/>
      <c r="J43" s="307"/>
    </row>
    <row r="44" spans="1:21">
      <c r="D44" s="327"/>
      <c r="J44" s="373"/>
    </row>
    <row r="46" spans="1:21" hidden="1">
      <c r="O46" s="164">
        <v>403.7</v>
      </c>
      <c r="P46" s="164" t="s">
        <v>484</v>
      </c>
      <c r="U46" s="164">
        <v>593943.42000000004</v>
      </c>
    </row>
    <row r="47" spans="1:21" hidden="1">
      <c r="B47" s="327"/>
    </row>
    <row r="48" spans="1:21" hidden="1">
      <c r="B48" s="327"/>
    </row>
    <row r="49" spans="2:9" hidden="1">
      <c r="B49" s="327"/>
    </row>
    <row r="50" spans="2:9" hidden="1">
      <c r="B50" s="327"/>
    </row>
    <row r="51" spans="2:9" hidden="1">
      <c r="B51" s="327"/>
      <c r="D51" s="328"/>
      <c r="E51" s="328"/>
      <c r="F51" s="182"/>
      <c r="G51" s="328"/>
      <c r="H51" s="328"/>
      <c r="I51" s="264"/>
    </row>
    <row r="52" spans="2:9" hidden="1">
      <c r="B52" s="327"/>
      <c r="C52" s="265"/>
      <c r="D52" s="329"/>
      <c r="E52" s="329"/>
      <c r="F52" s="330"/>
      <c r="G52" s="330"/>
      <c r="H52" s="330"/>
      <c r="I52" s="330"/>
    </row>
    <row r="53" spans="2:9" hidden="1">
      <c r="B53" s="327"/>
      <c r="C53" s="265"/>
      <c r="D53" s="329"/>
      <c r="E53" s="329"/>
      <c r="F53" s="330"/>
      <c r="G53" s="330"/>
      <c r="H53" s="330"/>
      <c r="I53" s="330"/>
    </row>
    <row r="54" spans="2:9" hidden="1">
      <c r="B54" s="327"/>
      <c r="C54" s="265"/>
      <c r="D54" s="329"/>
      <c r="E54" s="329"/>
      <c r="F54" s="330"/>
      <c r="G54" s="330"/>
      <c r="H54" s="330"/>
      <c r="I54" s="330"/>
    </row>
    <row r="55" spans="2:9" hidden="1">
      <c r="B55" s="327"/>
      <c r="C55" s="265"/>
      <c r="D55" s="329"/>
      <c r="E55" s="329"/>
      <c r="F55" s="330"/>
      <c r="G55" s="330"/>
      <c r="H55" s="330"/>
      <c r="I55" s="330"/>
    </row>
    <row r="56" spans="2:9" hidden="1">
      <c r="B56" s="327"/>
      <c r="C56" s="265"/>
      <c r="D56" s="329"/>
      <c r="E56" s="329"/>
      <c r="F56" s="330"/>
      <c r="G56" s="330"/>
      <c r="H56" s="330"/>
      <c r="I56" s="330"/>
    </row>
    <row r="57" spans="2:9" hidden="1">
      <c r="B57" s="327"/>
      <c r="C57" s="265"/>
      <c r="D57" s="329"/>
      <c r="E57" s="329"/>
      <c r="F57" s="330"/>
      <c r="G57" s="330"/>
      <c r="H57" s="330"/>
      <c r="I57" s="330"/>
    </row>
    <row r="58" spans="2:9" hidden="1">
      <c r="B58" s="327"/>
      <c r="C58" s="265"/>
      <c r="D58" s="329"/>
      <c r="E58" s="329"/>
      <c r="F58" s="330"/>
      <c r="G58" s="330"/>
      <c r="H58" s="330"/>
      <c r="I58" s="330"/>
    </row>
    <row r="59" spans="2:9" hidden="1">
      <c r="B59" s="327"/>
      <c r="C59" s="265"/>
      <c r="D59" s="329"/>
      <c r="E59" s="329"/>
      <c r="F59" s="330"/>
      <c r="G59" s="330"/>
      <c r="H59" s="330"/>
      <c r="I59" s="330"/>
    </row>
    <row r="60" spans="2:9" hidden="1">
      <c r="B60" s="327"/>
      <c r="C60" s="265"/>
      <c r="D60" s="329"/>
      <c r="E60" s="329"/>
      <c r="F60" s="330"/>
      <c r="G60" s="330"/>
      <c r="H60" s="330"/>
      <c r="I60" s="330"/>
    </row>
    <row r="61" spans="2:9" hidden="1">
      <c r="B61" s="327"/>
      <c r="C61" s="265"/>
      <c r="D61" s="329"/>
      <c r="E61" s="329"/>
      <c r="F61" s="330"/>
      <c r="G61" s="330"/>
      <c r="H61" s="330"/>
      <c r="I61" s="330"/>
    </row>
    <row r="62" spans="2:9" hidden="1">
      <c r="B62" s="327"/>
      <c r="C62" s="265"/>
      <c r="D62" s="329"/>
      <c r="E62" s="329"/>
      <c r="F62" s="330"/>
      <c r="G62" s="330"/>
      <c r="H62" s="330"/>
      <c r="I62" s="330"/>
    </row>
    <row r="63" spans="2:9" hidden="1">
      <c r="B63" s="327"/>
      <c r="C63" s="265"/>
      <c r="D63" s="329"/>
      <c r="E63" s="329"/>
      <c r="F63" s="330"/>
      <c r="G63" s="330"/>
      <c r="H63" s="330"/>
      <c r="I63" s="330"/>
    </row>
    <row r="64" spans="2:9" hidden="1">
      <c r="B64" s="327"/>
      <c r="C64" s="265"/>
      <c r="D64" s="329"/>
      <c r="E64" s="329"/>
      <c r="F64" s="330"/>
      <c r="G64" s="330"/>
      <c r="H64" s="330"/>
      <c r="I64" s="330"/>
    </row>
    <row r="65" spans="2:16" hidden="1">
      <c r="B65" s="327"/>
      <c r="C65" s="265"/>
      <c r="D65" s="329"/>
      <c r="E65" s="329"/>
      <c r="F65" s="330"/>
      <c r="G65" s="330"/>
      <c r="H65" s="330"/>
      <c r="I65" s="330"/>
    </row>
    <row r="66" spans="2:16" hidden="1">
      <c r="B66" s="327"/>
      <c r="C66" s="265"/>
      <c r="D66" s="329"/>
      <c r="E66" s="329"/>
      <c r="F66" s="330"/>
      <c r="G66" s="330"/>
      <c r="H66" s="330"/>
      <c r="I66" s="330"/>
    </row>
    <row r="67" spans="2:16" hidden="1">
      <c r="B67" s="327"/>
      <c r="C67" s="265"/>
      <c r="D67" s="329"/>
      <c r="E67" s="329"/>
      <c r="F67" s="330"/>
      <c r="G67" s="330"/>
      <c r="H67" s="330"/>
      <c r="I67" s="330"/>
    </row>
    <row r="68" spans="2:16" hidden="1">
      <c r="B68" s="327"/>
      <c r="C68" s="265"/>
      <c r="D68" s="329"/>
      <c r="E68" s="329"/>
      <c r="F68" s="330"/>
      <c r="G68" s="330"/>
      <c r="H68" s="330"/>
      <c r="I68" s="330"/>
    </row>
    <row r="69" spans="2:16" hidden="1">
      <c r="B69" s="327"/>
      <c r="D69" s="329"/>
      <c r="E69" s="327"/>
      <c r="F69" s="327"/>
      <c r="G69" s="327"/>
      <c r="H69" s="327"/>
      <c r="I69" s="327"/>
    </row>
    <row r="70" spans="2:16" hidden="1">
      <c r="B70" s="327"/>
      <c r="D70" s="327"/>
      <c r="E70" s="327"/>
      <c r="F70" s="327"/>
      <c r="G70" s="327"/>
      <c r="H70" s="327"/>
      <c r="I70" s="327"/>
    </row>
    <row r="71" spans="2:16" hidden="1">
      <c r="B71" s="327"/>
      <c r="D71" s="331"/>
      <c r="E71" s="331"/>
      <c r="F71" s="331"/>
      <c r="G71" s="331"/>
      <c r="H71" s="331"/>
      <c r="I71" s="331"/>
      <c r="J71" s="331"/>
      <c r="K71" s="331">
        <v>42063</v>
      </c>
      <c r="L71" s="331">
        <v>42094</v>
      </c>
      <c r="M71" s="331">
        <v>42124</v>
      </c>
      <c r="N71" s="331">
        <v>42155</v>
      </c>
      <c r="O71" s="331">
        <v>42185</v>
      </c>
    </row>
    <row r="72" spans="2:16" hidden="1">
      <c r="B72" s="327"/>
      <c r="D72" s="330"/>
      <c r="E72" s="330"/>
      <c r="F72" s="330"/>
      <c r="G72" s="330"/>
      <c r="H72" s="330"/>
      <c r="I72" s="330"/>
      <c r="J72" s="330"/>
      <c r="K72" s="330">
        <v>840037.49</v>
      </c>
      <c r="L72" s="330">
        <v>843632.33</v>
      </c>
      <c r="M72" s="330">
        <v>845851.04</v>
      </c>
      <c r="N72" s="315">
        <f>+M72+N73</f>
        <v>939834.48888888897</v>
      </c>
      <c r="O72" s="315">
        <f>+N72+O73</f>
        <v>942575.66888888902</v>
      </c>
      <c r="P72" s="332">
        <f>+SUM(D72:O72)</f>
        <v>4411931.0177777782</v>
      </c>
    </row>
    <row r="73" spans="2:16" hidden="1">
      <c r="B73" s="327"/>
      <c r="E73" s="315"/>
      <c r="F73" s="315"/>
      <c r="G73" s="315"/>
      <c r="H73" s="315"/>
      <c r="I73" s="315"/>
      <c r="J73" s="315"/>
      <c r="K73" s="315">
        <f t="shared" ref="K73:M73" si="3">+K72-J72</f>
        <v>840037.49</v>
      </c>
      <c r="L73" s="315">
        <f t="shared" si="3"/>
        <v>3594.8399999999674</v>
      </c>
      <c r="M73" s="315">
        <f t="shared" si="3"/>
        <v>2218.7100000000792</v>
      </c>
      <c r="N73" s="315">
        <f>+SUM(E73:M73)/9</f>
        <v>93983.448888888888</v>
      </c>
      <c r="O73" s="164">
        <v>2741.18</v>
      </c>
    </row>
    <row r="74" spans="2:16" hidden="1">
      <c r="B74" s="333"/>
    </row>
    <row r="75" spans="2:16" hidden="1">
      <c r="B75" s="171"/>
    </row>
    <row r="76" spans="2:16">
      <c r="B76" s="171"/>
    </row>
    <row r="77" spans="2:16">
      <c r="B77" s="171"/>
    </row>
    <row r="78" spans="2:16">
      <c r="B78" s="171"/>
    </row>
    <row r="79" spans="2:16">
      <c r="B79" s="171"/>
    </row>
    <row r="80" spans="2:16">
      <c r="B80" s="171"/>
    </row>
    <row r="81" spans="2:24">
      <c r="B81" s="171"/>
      <c r="V81" s="308">
        <v>43830</v>
      </c>
      <c r="W81" s="308">
        <v>42185</v>
      </c>
    </row>
    <row r="82" spans="2:24">
      <c r="B82" s="171"/>
      <c r="P82" s="164">
        <v>403.25</v>
      </c>
      <c r="Q82" s="164" t="s">
        <v>485</v>
      </c>
      <c r="V82" s="136">
        <v>61207.8</v>
      </c>
      <c r="W82" s="136">
        <v>56217.96</v>
      </c>
      <c r="X82" s="136">
        <f>V82-W82</f>
        <v>4989.8400000000038</v>
      </c>
    </row>
    <row r="83" spans="2:24">
      <c r="B83" s="171"/>
      <c r="P83" s="164">
        <v>403.6</v>
      </c>
      <c r="Q83" s="164" t="s">
        <v>486</v>
      </c>
      <c r="V83" s="136">
        <v>12481323.08</v>
      </c>
      <c r="W83" s="136">
        <v>9978547.2399999984</v>
      </c>
      <c r="X83" s="136">
        <f t="shared" ref="X83:X89" si="4">V83-W83</f>
        <v>2502775.8400000017</v>
      </c>
    </row>
    <row r="84" spans="2:24">
      <c r="B84" s="171"/>
      <c r="P84" s="164">
        <v>403.7</v>
      </c>
      <c r="Q84" s="164" t="s">
        <v>484</v>
      </c>
      <c r="V84" s="136">
        <v>668376.1</v>
      </c>
      <c r="W84" s="136">
        <v>593943.42000000004</v>
      </c>
      <c r="X84" s="136">
        <f t="shared" si="4"/>
        <v>74432.679999999935</v>
      </c>
    </row>
    <row r="85" spans="2:24">
      <c r="B85" s="171"/>
      <c r="P85" s="164">
        <v>404000</v>
      </c>
      <c r="Q85" s="164" t="s">
        <v>487</v>
      </c>
      <c r="V85" s="136"/>
      <c r="W85" s="136"/>
      <c r="X85" s="136">
        <f t="shared" si="4"/>
        <v>0</v>
      </c>
    </row>
    <row r="86" spans="2:24">
      <c r="B86" s="171"/>
      <c r="V86" s="136">
        <f>SUM(V82:V84)</f>
        <v>13210906.98</v>
      </c>
      <c r="W86" s="136">
        <f>SUM(W82:W84)</f>
        <v>10628708.619999999</v>
      </c>
      <c r="X86" s="136">
        <f t="shared" si="4"/>
        <v>2582198.3600000013</v>
      </c>
    </row>
    <row r="87" spans="2:24">
      <c r="B87" s="171"/>
      <c r="Q87" s="164" t="s">
        <v>488</v>
      </c>
      <c r="V87" s="136">
        <v>0</v>
      </c>
      <c r="W87" s="136">
        <v>848661</v>
      </c>
      <c r="X87" s="136">
        <f t="shared" si="4"/>
        <v>-848661</v>
      </c>
    </row>
    <row r="88" spans="2:24">
      <c r="B88" s="171"/>
      <c r="V88" s="136">
        <f>SUM(V86:V87)</f>
        <v>13210906.98</v>
      </c>
      <c r="W88" s="136">
        <f>SUM(W86:W87)</f>
        <v>11477369.619999999</v>
      </c>
      <c r="X88" s="136">
        <f t="shared" si="4"/>
        <v>1733537.3600000013</v>
      </c>
    </row>
    <row r="89" spans="2:24">
      <c r="B89" s="171"/>
      <c r="Q89" s="164" t="s">
        <v>489</v>
      </c>
      <c r="V89" s="136">
        <v>230887</v>
      </c>
      <c r="W89" s="136">
        <f>11865842-11477370</f>
        <v>388472</v>
      </c>
      <c r="X89" s="136">
        <f t="shared" si="4"/>
        <v>-157585</v>
      </c>
    </row>
    <row r="90" spans="2:24">
      <c r="B90" s="171"/>
      <c r="V90" s="136">
        <f>+V88+V89</f>
        <v>13441793.98</v>
      </c>
      <c r="W90" s="136">
        <f>+W88+W89</f>
        <v>11865841.619999999</v>
      </c>
      <c r="X90" s="136">
        <f>V90-W90</f>
        <v>1575952.3600000013</v>
      </c>
    </row>
    <row r="91" spans="2:24">
      <c r="B91" s="171"/>
    </row>
    <row r="92" spans="2:24">
      <c r="B92" s="171"/>
    </row>
    <row r="93" spans="2:24">
      <c r="B93" s="333"/>
    </row>
    <row r="94" spans="2:24">
      <c r="B94" s="333"/>
    </row>
    <row r="95" spans="2:24">
      <c r="B95" s="333"/>
    </row>
    <row r="96" spans="2:24">
      <c r="B96" s="327"/>
    </row>
    <row r="97" spans="2:4">
      <c r="B97" s="327"/>
    </row>
    <row r="98" spans="2:4">
      <c r="B98" s="327"/>
    </row>
    <row r="99" spans="2:4">
      <c r="B99" s="327"/>
    </row>
    <row r="100" spans="2:4">
      <c r="B100" s="327"/>
    </row>
    <row r="101" spans="2:4">
      <c r="B101" s="327"/>
    </row>
    <row r="102" spans="2:4">
      <c r="B102" s="327"/>
      <c r="D102" s="327"/>
    </row>
    <row r="103" spans="2:4">
      <c r="B103" s="327"/>
      <c r="D103" s="327"/>
    </row>
    <row r="104" spans="2:4">
      <c r="B104" s="327"/>
      <c r="D104" s="327"/>
    </row>
    <row r="105" spans="2:4">
      <c r="B105" s="327"/>
      <c r="D105" s="327"/>
    </row>
    <row r="106" spans="2:4">
      <c r="B106" s="327"/>
      <c r="D106" s="327"/>
    </row>
    <row r="107" spans="2:4">
      <c r="B107" s="327"/>
      <c r="D107" s="327"/>
    </row>
    <row r="108" spans="2:4">
      <c r="B108" s="327"/>
      <c r="D108" s="327"/>
    </row>
    <row r="109" spans="2:4">
      <c r="B109" s="327"/>
      <c r="D109" s="327"/>
    </row>
    <row r="110" spans="2:4">
      <c r="B110" s="327"/>
      <c r="D110" s="327"/>
    </row>
    <row r="111" spans="2:4">
      <c r="B111" s="327"/>
      <c r="D111" s="327"/>
    </row>
    <row r="112" spans="2:4">
      <c r="B112" s="327"/>
      <c r="D112" s="327"/>
    </row>
    <row r="113" spans="2:4">
      <c r="B113" s="327"/>
      <c r="D113" s="327"/>
    </row>
    <row r="114" spans="2:4">
      <c r="B114" s="327"/>
      <c r="D114" s="327"/>
    </row>
    <row r="115" spans="2:4">
      <c r="B115" s="327"/>
      <c r="D115" s="327"/>
    </row>
    <row r="116" spans="2:4">
      <c r="B116" s="327"/>
      <c r="D116" s="327"/>
    </row>
    <row r="117" spans="2:4">
      <c r="B117" s="327"/>
      <c r="D117" s="327"/>
    </row>
    <row r="118" spans="2:4">
      <c r="B118" s="327"/>
      <c r="D118" s="327"/>
    </row>
    <row r="119" spans="2:4">
      <c r="B119" s="327"/>
      <c r="D119" s="327"/>
    </row>
    <row r="120" spans="2:4">
      <c r="B120" s="327"/>
      <c r="D120" s="327"/>
    </row>
    <row r="121" spans="2:4">
      <c r="B121" s="327"/>
      <c r="D121" s="327"/>
    </row>
    <row r="122" spans="2:4">
      <c r="B122" s="327"/>
      <c r="D122" s="327"/>
    </row>
    <row r="123" spans="2:4">
      <c r="B123" s="327"/>
      <c r="D123" s="327"/>
    </row>
    <row r="124" spans="2:4">
      <c r="B124" s="327"/>
      <c r="D124" s="327"/>
    </row>
    <row r="125" spans="2:4">
      <c r="B125" s="327"/>
      <c r="D125" s="315"/>
    </row>
    <row r="126" spans="2:4">
      <c r="B126" s="327"/>
    </row>
    <row r="127" spans="2:4">
      <c r="B127" s="327"/>
    </row>
    <row r="128" spans="2:4">
      <c r="B128" s="327"/>
    </row>
    <row r="129" spans="2:2">
      <c r="B129" s="327"/>
    </row>
    <row r="130" spans="2:2">
      <c r="B130" s="327"/>
    </row>
    <row r="131" spans="2:2">
      <c r="B131" s="327"/>
    </row>
    <row r="132" spans="2:2">
      <c r="B132" s="327"/>
    </row>
  </sheetData>
  <mergeCells count="3">
    <mergeCell ref="A3:J3"/>
    <mergeCell ref="A4:J4"/>
    <mergeCell ref="A6:J6"/>
  </mergeCells>
  <pageMargins left="0.75" right="0.75" top="1" bottom="1" header="0.5" footer="0.5"/>
  <pageSetup scale="81" orientation="landscape" r:id="rId1"/>
  <headerFooter alignWithMargins="0"/>
  <ignoredErrors>
    <ignoredError sqref="D3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D637-A425-47D3-ADA2-950A4960A47B}">
  <dimension ref="A1:J129"/>
  <sheetViews>
    <sheetView view="pageBreakPreview" zoomScaleNormal="100" zoomScaleSheetLayoutView="100" workbookViewId="0">
      <pane ySplit="9" topLeftCell="A10" activePane="bottomLeft" state="frozen"/>
      <selection pane="bottomLeft" activeCell="H110" sqref="H110"/>
    </sheetView>
  </sheetViews>
  <sheetFormatPr defaultRowHeight="13.2"/>
  <cols>
    <col min="1" max="1" width="9" style="8" bestFit="1" customWidth="1"/>
    <col min="2" max="2" width="9.5546875" style="120" bestFit="1" customWidth="1"/>
    <col min="3" max="3" width="37" style="8" bestFit="1" customWidth="1"/>
    <col min="4" max="4" width="15.21875" style="20" bestFit="1" customWidth="1"/>
    <col min="5" max="5" width="14.109375" style="8" bestFit="1" customWidth="1"/>
    <col min="6" max="6" width="11" style="119" customWidth="1"/>
    <col min="7" max="7" width="14.109375" style="338" hidden="1" customWidth="1"/>
    <col min="8" max="9" width="14.109375" style="8" bestFit="1" customWidth="1"/>
    <col min="10" max="10" width="11.88671875" style="20" bestFit="1" customWidth="1"/>
    <col min="11" max="16384" width="8.88671875" style="8"/>
  </cols>
  <sheetData>
    <row r="1" spans="1:10">
      <c r="B1" s="8"/>
      <c r="D1" s="8"/>
      <c r="F1" s="8"/>
      <c r="G1" s="8"/>
      <c r="J1" s="4" t="s">
        <v>210</v>
      </c>
    </row>
    <row r="2" spans="1:10" ht="20.25" customHeight="1">
      <c r="B2" s="8"/>
      <c r="D2" s="8"/>
      <c r="E2" s="4"/>
      <c r="F2" s="8"/>
      <c r="G2" s="8"/>
      <c r="J2" s="8"/>
    </row>
    <row r="3" spans="1:10">
      <c r="A3" s="432" t="str">
        <f>RevReq!A1</f>
        <v>KENERGY CORP.</v>
      </c>
      <c r="B3" s="432"/>
      <c r="C3" s="432"/>
      <c r="D3" s="432"/>
      <c r="E3" s="432"/>
      <c r="F3" s="432"/>
      <c r="G3" s="432"/>
      <c r="H3" s="432"/>
      <c r="I3" s="432"/>
      <c r="J3" s="432"/>
    </row>
    <row r="4" spans="1:10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  <c r="H4" s="432"/>
      <c r="I4" s="432"/>
      <c r="J4" s="432"/>
    </row>
    <row r="5" spans="1:10">
      <c r="B5" s="8"/>
      <c r="D5" s="8"/>
      <c r="F5" s="8"/>
      <c r="G5" s="8"/>
      <c r="J5" s="8"/>
    </row>
    <row r="6" spans="1:10" s="5" customFormat="1" ht="15" customHeight="1">
      <c r="A6" s="429" t="str">
        <f>'Adj List'!C13</f>
        <v>Depreciation Expense Normalization</v>
      </c>
      <c r="B6" s="429"/>
      <c r="C6" s="429"/>
      <c r="D6" s="429"/>
      <c r="E6" s="429"/>
      <c r="F6" s="429"/>
      <c r="G6" s="429"/>
      <c r="H6" s="429"/>
      <c r="I6" s="429"/>
      <c r="J6" s="429"/>
    </row>
    <row r="8" spans="1:10" s="7" customFormat="1">
      <c r="B8" s="334"/>
      <c r="D8" s="335" t="s">
        <v>490</v>
      </c>
      <c r="E8" s="7" t="s">
        <v>491</v>
      </c>
      <c r="F8" s="336"/>
      <c r="G8" s="337"/>
      <c r="H8" s="7" t="s">
        <v>439</v>
      </c>
      <c r="I8" s="7" t="s">
        <v>368</v>
      </c>
      <c r="J8" s="335" t="s">
        <v>492</v>
      </c>
    </row>
    <row r="9" spans="1:10" s="7" customFormat="1">
      <c r="A9" s="7" t="s">
        <v>0</v>
      </c>
      <c r="B9" s="334" t="s">
        <v>128</v>
      </c>
      <c r="C9" s="7" t="s">
        <v>1</v>
      </c>
      <c r="D9" s="335" t="s">
        <v>493</v>
      </c>
      <c r="E9" s="7" t="s">
        <v>494</v>
      </c>
      <c r="F9" s="336" t="s">
        <v>91</v>
      </c>
      <c r="G9" s="338" t="s">
        <v>495</v>
      </c>
      <c r="H9" s="7" t="s">
        <v>24</v>
      </c>
      <c r="I9" s="7" t="s">
        <v>24</v>
      </c>
      <c r="J9" s="335" t="s">
        <v>496</v>
      </c>
    </row>
    <row r="10" spans="1:10">
      <c r="A10" s="7">
        <v>1</v>
      </c>
      <c r="B10" s="339" t="s">
        <v>239</v>
      </c>
    </row>
    <row r="11" spans="1:10">
      <c r="A11" s="7">
        <f>A10+1</f>
        <v>2</v>
      </c>
      <c r="B11" s="120">
        <v>389</v>
      </c>
      <c r="C11" s="8" t="s">
        <v>497</v>
      </c>
      <c r="D11" s="20">
        <v>491126.08</v>
      </c>
    </row>
    <row r="12" spans="1:10">
      <c r="A12" s="7">
        <f t="shared" ref="A12:A75" si="0">A11+1</f>
        <v>3</v>
      </c>
      <c r="B12" s="120">
        <v>390</v>
      </c>
      <c r="C12" s="8" t="s">
        <v>498</v>
      </c>
      <c r="D12" s="20">
        <v>9710902.3599999994</v>
      </c>
      <c r="E12" s="20">
        <v>687177.51</v>
      </c>
      <c r="F12" s="119">
        <v>0.02</v>
      </c>
      <c r="G12" s="340">
        <f>+D12-E12</f>
        <v>9023724.8499999996</v>
      </c>
      <c r="H12" s="20">
        <f t="shared" ref="H12:H22" si="1">G12*F12</f>
        <v>180474.497</v>
      </c>
      <c r="I12" s="341"/>
    </row>
    <row r="13" spans="1:10">
      <c r="A13" s="7">
        <f t="shared" si="0"/>
        <v>4</v>
      </c>
      <c r="D13" s="20">
        <v>28316.97</v>
      </c>
      <c r="E13" s="20"/>
      <c r="F13" s="119">
        <v>2.5000000000000001E-2</v>
      </c>
      <c r="G13" s="340">
        <f t="shared" ref="G13:G22" si="2">+D13-E13</f>
        <v>28316.97</v>
      </c>
      <c r="H13" s="20">
        <f t="shared" si="1"/>
        <v>707.92425000000003</v>
      </c>
      <c r="I13" s="341"/>
    </row>
    <row r="14" spans="1:10">
      <c r="A14" s="7">
        <f t="shared" si="0"/>
        <v>5</v>
      </c>
      <c r="D14" s="20">
        <v>182539.04</v>
      </c>
      <c r="E14" s="20"/>
      <c r="F14" s="119">
        <v>0.05</v>
      </c>
      <c r="G14" s="340">
        <f t="shared" si="2"/>
        <v>182539.04</v>
      </c>
      <c r="H14" s="20">
        <f t="shared" si="1"/>
        <v>9126.9520000000011</v>
      </c>
      <c r="I14" s="341"/>
    </row>
    <row r="15" spans="1:10">
      <c r="A15" s="7">
        <f t="shared" si="0"/>
        <v>6</v>
      </c>
      <c r="D15" s="20">
        <v>43672.89</v>
      </c>
      <c r="E15" s="20"/>
      <c r="F15" s="119">
        <v>0.06</v>
      </c>
      <c r="G15" s="340">
        <f t="shared" si="2"/>
        <v>43672.89</v>
      </c>
      <c r="H15" s="20">
        <f t="shared" si="1"/>
        <v>2620.3733999999999</v>
      </c>
      <c r="I15" s="341"/>
    </row>
    <row r="16" spans="1:10">
      <c r="A16" s="7">
        <f t="shared" si="0"/>
        <v>7</v>
      </c>
      <c r="D16" s="20">
        <v>120556.8</v>
      </c>
      <c r="E16" s="20">
        <v>120556.8</v>
      </c>
      <c r="F16" s="119">
        <v>8.4000000000000005E-2</v>
      </c>
      <c r="G16" s="340">
        <f t="shared" si="2"/>
        <v>0</v>
      </c>
      <c r="H16" s="20">
        <f t="shared" si="1"/>
        <v>0</v>
      </c>
      <c r="I16" s="341"/>
    </row>
    <row r="17" spans="1:10">
      <c r="A17" s="7">
        <f t="shared" si="0"/>
        <v>8</v>
      </c>
      <c r="D17" s="20">
        <v>143335.13</v>
      </c>
      <c r="E17" s="20"/>
      <c r="F17" s="119">
        <v>0.1</v>
      </c>
      <c r="G17" s="340">
        <f t="shared" si="2"/>
        <v>143335.13</v>
      </c>
      <c r="H17" s="20">
        <f t="shared" si="1"/>
        <v>14333.513000000001</v>
      </c>
      <c r="I17" s="341"/>
    </row>
    <row r="18" spans="1:10">
      <c r="A18" s="7">
        <f t="shared" si="0"/>
        <v>9</v>
      </c>
      <c r="D18" s="20">
        <v>190895</v>
      </c>
      <c r="E18" s="20">
        <v>190895</v>
      </c>
      <c r="F18" s="119">
        <v>0.125</v>
      </c>
      <c r="G18" s="340">
        <f t="shared" si="2"/>
        <v>0</v>
      </c>
      <c r="H18" s="20">
        <f t="shared" si="1"/>
        <v>0</v>
      </c>
      <c r="I18" s="341"/>
    </row>
    <row r="19" spans="1:10">
      <c r="A19" s="7">
        <f t="shared" si="0"/>
        <v>10</v>
      </c>
      <c r="D19" s="20">
        <v>21036.84</v>
      </c>
      <c r="E19" s="20">
        <v>21036.84</v>
      </c>
      <c r="F19" s="119">
        <v>0.14280000000000001</v>
      </c>
      <c r="G19" s="340">
        <f t="shared" si="2"/>
        <v>0</v>
      </c>
      <c r="H19" s="20">
        <f t="shared" si="1"/>
        <v>0</v>
      </c>
      <c r="I19" s="341"/>
    </row>
    <row r="20" spans="1:10">
      <c r="A20" s="7">
        <f t="shared" si="0"/>
        <v>11</v>
      </c>
      <c r="D20" s="20">
        <v>21548.29</v>
      </c>
      <c r="E20" s="20">
        <v>21548.29</v>
      </c>
      <c r="F20" s="119">
        <v>0.2</v>
      </c>
      <c r="G20" s="340">
        <f t="shared" si="2"/>
        <v>0</v>
      </c>
      <c r="H20" s="20">
        <f t="shared" si="1"/>
        <v>0</v>
      </c>
      <c r="I20" s="341"/>
    </row>
    <row r="21" spans="1:10">
      <c r="A21" s="7">
        <f t="shared" si="0"/>
        <v>12</v>
      </c>
      <c r="D21" s="20">
        <v>15200</v>
      </c>
      <c r="E21" s="20">
        <v>15200</v>
      </c>
      <c r="F21" s="119">
        <v>0.25</v>
      </c>
      <c r="G21" s="340">
        <f t="shared" si="2"/>
        <v>0</v>
      </c>
      <c r="H21" s="20">
        <f t="shared" si="1"/>
        <v>0</v>
      </c>
      <c r="I21" s="341"/>
    </row>
    <row r="22" spans="1:10">
      <c r="A22" s="7">
        <f t="shared" si="0"/>
        <v>13</v>
      </c>
      <c r="D22" s="20">
        <v>36793.08</v>
      </c>
      <c r="E22" s="20">
        <v>36793.08</v>
      </c>
      <c r="F22" s="119">
        <v>0.33329999999999999</v>
      </c>
      <c r="G22" s="340">
        <f t="shared" si="2"/>
        <v>0</v>
      </c>
      <c r="H22" s="20">
        <f t="shared" si="1"/>
        <v>0</v>
      </c>
      <c r="I22" s="341"/>
    </row>
    <row r="23" spans="1:10">
      <c r="A23" s="7">
        <f t="shared" si="0"/>
        <v>14</v>
      </c>
      <c r="C23" s="95" t="s">
        <v>219</v>
      </c>
      <c r="D23" s="342">
        <f>SUM(D12:D22)</f>
        <v>10514796.4</v>
      </c>
      <c r="E23" s="342">
        <f>SUM(E12:E22)</f>
        <v>1093207.52</v>
      </c>
      <c r="G23" s="342">
        <f t="shared" ref="G23:H23" si="3">SUM(G12:G22)</f>
        <v>9421588.8800000008</v>
      </c>
      <c r="H23" s="342">
        <f t="shared" si="3"/>
        <v>207263.25965000002</v>
      </c>
      <c r="I23" s="342">
        <v>209909</v>
      </c>
      <c r="J23" s="342">
        <f>+H23-I23</f>
        <v>-2645.7403499999782</v>
      </c>
    </row>
    <row r="24" spans="1:10">
      <c r="A24" s="7">
        <f t="shared" si="0"/>
        <v>15</v>
      </c>
      <c r="B24" s="120">
        <v>390.1</v>
      </c>
      <c r="C24" s="8" t="s">
        <v>499</v>
      </c>
      <c r="D24" s="20">
        <v>13836.22</v>
      </c>
      <c r="E24" s="20"/>
      <c r="F24" s="119">
        <v>0.02</v>
      </c>
      <c r="G24" s="20">
        <f>+D24-E24</f>
        <v>13836.22</v>
      </c>
      <c r="H24" s="20">
        <f>G24*F24</f>
        <v>276.7244</v>
      </c>
      <c r="I24" s="341"/>
    </row>
    <row r="25" spans="1:10">
      <c r="A25" s="7">
        <f t="shared" si="0"/>
        <v>16</v>
      </c>
      <c r="D25" s="20">
        <v>43598.720000000001</v>
      </c>
      <c r="E25" s="20"/>
      <c r="F25" s="119">
        <v>5.8799999999999998E-2</v>
      </c>
      <c r="G25" s="20">
        <f t="shared" ref="G25:G26" si="4">+D25-E25</f>
        <v>43598.720000000001</v>
      </c>
      <c r="H25" s="20">
        <f>G25*F25</f>
        <v>2563.6047359999998</v>
      </c>
      <c r="I25" s="341"/>
    </row>
    <row r="26" spans="1:10">
      <c r="A26" s="7">
        <f t="shared" si="0"/>
        <v>17</v>
      </c>
      <c r="D26" s="20">
        <v>26452.87</v>
      </c>
      <c r="E26" s="20"/>
      <c r="F26" s="119">
        <v>0.1</v>
      </c>
      <c r="G26" s="20">
        <f t="shared" si="4"/>
        <v>26452.87</v>
      </c>
      <c r="H26" s="20">
        <f>G26*F26</f>
        <v>2645.2870000000003</v>
      </c>
      <c r="I26" s="341"/>
    </row>
    <row r="27" spans="1:10">
      <c r="A27" s="7">
        <f t="shared" si="0"/>
        <v>18</v>
      </c>
      <c r="C27" s="95" t="s">
        <v>219</v>
      </c>
      <c r="D27" s="342">
        <f>SUM(D24:D26)</f>
        <v>83887.81</v>
      </c>
      <c r="E27" s="342">
        <f t="shared" ref="E27:H27" si="5">SUM(E24:E26)</f>
        <v>0</v>
      </c>
      <c r="G27" s="342">
        <f>SUM(G24:G26)</f>
        <v>83887.81</v>
      </c>
      <c r="H27" s="342">
        <f t="shared" si="5"/>
        <v>5485.6161360000006</v>
      </c>
      <c r="I27" s="342">
        <v>5486.6400000000021</v>
      </c>
      <c r="J27" s="342">
        <f>+H27-I27</f>
        <v>-1.0238640000015948</v>
      </c>
    </row>
    <row r="28" spans="1:10">
      <c r="A28" s="7">
        <f t="shared" si="0"/>
        <v>19</v>
      </c>
      <c r="B28" s="120">
        <v>391</v>
      </c>
      <c r="C28" s="8" t="s">
        <v>500</v>
      </c>
      <c r="D28" s="20">
        <v>5720.08</v>
      </c>
      <c r="E28" s="20"/>
      <c r="F28" s="119">
        <v>5.8799999999999998E-2</v>
      </c>
      <c r="G28" s="20">
        <f t="shared" ref="G28:G31" si="6">+D28-E28</f>
        <v>5720.08</v>
      </c>
      <c r="H28" s="20">
        <f>G28*F28</f>
        <v>336.34070399999996</v>
      </c>
      <c r="I28" s="341"/>
    </row>
    <row r="29" spans="1:10">
      <c r="A29" s="7">
        <f t="shared" si="0"/>
        <v>20</v>
      </c>
      <c r="D29" s="20">
        <v>141670.6</v>
      </c>
      <c r="E29" s="20">
        <v>112314.16</v>
      </c>
      <c r="F29" s="119">
        <v>0.06</v>
      </c>
      <c r="G29" s="20">
        <f t="shared" si="6"/>
        <v>29356.440000000002</v>
      </c>
      <c r="H29" s="20">
        <f>G29*F29</f>
        <v>1761.3864000000001</v>
      </c>
      <c r="I29" s="341"/>
    </row>
    <row r="30" spans="1:10">
      <c r="A30" s="7">
        <f t="shared" si="0"/>
        <v>21</v>
      </c>
      <c r="D30" s="20">
        <v>107495.27</v>
      </c>
      <c r="E30" s="20"/>
      <c r="F30" s="119">
        <v>6.6667000000000004E-2</v>
      </c>
      <c r="G30" s="20">
        <f t="shared" si="6"/>
        <v>107495.27</v>
      </c>
      <c r="H30" s="20">
        <f>G30*F30</f>
        <v>7166.387165090001</v>
      </c>
      <c r="I30" s="341"/>
    </row>
    <row r="31" spans="1:10">
      <c r="A31" s="7">
        <f t="shared" si="0"/>
        <v>22</v>
      </c>
      <c r="D31" s="20">
        <v>19637.52</v>
      </c>
      <c r="E31" s="20">
        <v>19637.52</v>
      </c>
      <c r="F31" s="119">
        <v>0.14280000000000001</v>
      </c>
      <c r="G31" s="20">
        <f t="shared" si="6"/>
        <v>0</v>
      </c>
      <c r="H31" s="20">
        <f>G31*F31</f>
        <v>0</v>
      </c>
      <c r="I31" s="341"/>
    </row>
    <row r="32" spans="1:10">
      <c r="A32" s="7">
        <f t="shared" si="0"/>
        <v>23</v>
      </c>
      <c r="C32" s="95" t="s">
        <v>219</v>
      </c>
      <c r="D32" s="342">
        <f>SUM(D28:D31)</f>
        <v>274523.47000000003</v>
      </c>
      <c r="E32" s="342">
        <f t="shared" ref="E32:H32" si="7">SUM(E28:E31)</f>
        <v>131951.67999999999</v>
      </c>
      <c r="G32" s="342">
        <f t="shared" si="7"/>
        <v>142571.79</v>
      </c>
      <c r="H32" s="342">
        <f t="shared" si="7"/>
        <v>9264.1142690900015</v>
      </c>
      <c r="I32" s="342">
        <v>10341.599999999999</v>
      </c>
      <c r="J32" s="342">
        <f>+H32-I32</f>
        <v>-1077.4857309099971</v>
      </c>
    </row>
    <row r="33" spans="1:10">
      <c r="A33" s="7">
        <f t="shared" si="0"/>
        <v>24</v>
      </c>
      <c r="B33" s="120">
        <v>391.1</v>
      </c>
      <c r="C33" s="8" t="s">
        <v>501</v>
      </c>
      <c r="D33" s="20">
        <v>35163</v>
      </c>
      <c r="E33" s="20"/>
      <c r="F33" s="119">
        <v>6.6667000000000004E-2</v>
      </c>
      <c r="G33" s="20">
        <f t="shared" ref="G33:G36" si="8">+D33-E33</f>
        <v>35163</v>
      </c>
      <c r="H33" s="20">
        <f>G33*F33</f>
        <v>2344.2117210000001</v>
      </c>
      <c r="I33" s="341"/>
    </row>
    <row r="34" spans="1:10">
      <c r="A34" s="7">
        <f t="shared" si="0"/>
        <v>25</v>
      </c>
      <c r="D34" s="20">
        <v>177923.43</v>
      </c>
      <c r="E34" s="20"/>
      <c r="F34" s="119">
        <v>0.1</v>
      </c>
      <c r="G34" s="20">
        <f t="shared" si="8"/>
        <v>177923.43</v>
      </c>
      <c r="H34" s="20">
        <f>G34*F34</f>
        <v>17792.343000000001</v>
      </c>
      <c r="I34" s="341"/>
    </row>
    <row r="35" spans="1:10">
      <c r="A35" s="7">
        <f t="shared" si="0"/>
        <v>26</v>
      </c>
      <c r="D35" s="20">
        <v>349245.16</v>
      </c>
      <c r="E35" s="20">
        <v>238333.58</v>
      </c>
      <c r="F35" s="119">
        <v>0.14280000000000001</v>
      </c>
      <c r="G35" s="20">
        <f t="shared" si="8"/>
        <v>110911.57999999999</v>
      </c>
      <c r="H35" s="20">
        <f>G35*F35</f>
        <v>15838.173623999999</v>
      </c>
      <c r="I35" s="341"/>
    </row>
    <row r="36" spans="1:10">
      <c r="A36" s="7">
        <f t="shared" si="0"/>
        <v>27</v>
      </c>
      <c r="D36" s="20">
        <v>384046.51</v>
      </c>
      <c r="E36" s="20">
        <v>288399.90999999997</v>
      </c>
      <c r="F36" s="119">
        <v>0.2</v>
      </c>
      <c r="G36" s="20">
        <f t="shared" si="8"/>
        <v>95646.600000000035</v>
      </c>
      <c r="H36" s="20">
        <f>G36*F36</f>
        <v>19129.320000000007</v>
      </c>
      <c r="I36" s="341"/>
    </row>
    <row r="37" spans="1:10">
      <c r="A37" s="7">
        <f t="shared" si="0"/>
        <v>28</v>
      </c>
      <c r="C37" s="95" t="s">
        <v>219</v>
      </c>
      <c r="D37" s="342">
        <f>SUM(D33:D36)</f>
        <v>946378.1</v>
      </c>
      <c r="E37" s="342">
        <f>SUM(E33:E36)</f>
        <v>526733.49</v>
      </c>
      <c r="G37" s="342">
        <f>SUM(G33:G36)</f>
        <v>419644.61000000004</v>
      </c>
      <c r="H37" s="342">
        <f>SUM(H33:H36)</f>
        <v>55104.048345000003</v>
      </c>
      <c r="I37" s="342">
        <v>64499.6</v>
      </c>
      <c r="J37" s="342">
        <f>+H37-I37</f>
        <v>-9395.5516549999957</v>
      </c>
    </row>
    <row r="38" spans="1:10">
      <c r="A38" s="7">
        <f t="shared" si="0"/>
        <v>29</v>
      </c>
      <c r="B38" s="120">
        <v>391.11</v>
      </c>
      <c r="C38" s="8" t="s">
        <v>502</v>
      </c>
      <c r="D38" s="20">
        <v>21167.3</v>
      </c>
      <c r="E38" s="20"/>
      <c r="F38" s="119">
        <v>0.125</v>
      </c>
      <c r="G38" s="20">
        <f t="shared" ref="G38:G40" si="9">+D38-E38</f>
        <v>21167.3</v>
      </c>
      <c r="H38" s="20">
        <f>G38*F38</f>
        <v>2645.9124999999999</v>
      </c>
      <c r="I38" s="341"/>
    </row>
    <row r="39" spans="1:10">
      <c r="A39" s="7">
        <f t="shared" si="0"/>
        <v>30</v>
      </c>
      <c r="D39" s="20">
        <v>89653.74</v>
      </c>
      <c r="E39" s="20">
        <v>89653.74</v>
      </c>
      <c r="F39" s="119">
        <v>0.14280000000000001</v>
      </c>
      <c r="G39" s="20">
        <f t="shared" si="9"/>
        <v>0</v>
      </c>
      <c r="H39" s="20">
        <f>G39*F39</f>
        <v>0</v>
      </c>
      <c r="I39" s="341"/>
    </row>
    <row r="40" spans="1:10">
      <c r="A40" s="7">
        <f t="shared" si="0"/>
        <v>31</v>
      </c>
      <c r="D40" s="20">
        <v>119479.27</v>
      </c>
      <c r="E40" s="20">
        <v>51628.34</v>
      </c>
      <c r="F40" s="119">
        <v>0.2</v>
      </c>
      <c r="G40" s="20">
        <f t="shared" si="9"/>
        <v>67850.930000000008</v>
      </c>
      <c r="H40" s="20">
        <f>G40*F40</f>
        <v>13570.186000000002</v>
      </c>
      <c r="I40" s="341"/>
    </row>
    <row r="41" spans="1:10">
      <c r="A41" s="7">
        <f t="shared" si="0"/>
        <v>32</v>
      </c>
      <c r="C41" s="95" t="s">
        <v>219</v>
      </c>
      <c r="D41" s="342">
        <f>SUM(D38:D40)</f>
        <v>230300.31</v>
      </c>
      <c r="E41" s="342">
        <f t="shared" ref="E41:G41" si="10">SUM(E38:E40)</f>
        <v>141282.08000000002</v>
      </c>
      <c r="G41" s="342">
        <f t="shared" si="10"/>
        <v>89018.23000000001</v>
      </c>
      <c r="H41" s="342">
        <f>SUM(H38:H40)</f>
        <v>16216.098500000002</v>
      </c>
      <c r="I41" s="342">
        <v>20615.499999999996</v>
      </c>
      <c r="J41" s="342">
        <f>+H41-I41</f>
        <v>-4399.4014999999945</v>
      </c>
    </row>
    <row r="42" spans="1:10">
      <c r="A42" s="7">
        <f t="shared" si="0"/>
        <v>33</v>
      </c>
      <c r="B42" s="120">
        <v>391.15</v>
      </c>
      <c r="C42" s="8" t="s">
        <v>503</v>
      </c>
      <c r="D42" s="20">
        <v>33361.56</v>
      </c>
      <c r="E42" s="20">
        <v>33361.56</v>
      </c>
      <c r="F42" s="119">
        <v>0.2</v>
      </c>
      <c r="G42" s="20">
        <f t="shared" ref="G42:G47" si="11">+D42-E42</f>
        <v>0</v>
      </c>
      <c r="H42" s="20">
        <f t="shared" ref="H42:H47" si="12">G42*F42</f>
        <v>0</v>
      </c>
      <c r="I42" s="20">
        <v>0</v>
      </c>
      <c r="J42" s="20">
        <f>+H42-I42</f>
        <v>0</v>
      </c>
    </row>
    <row r="43" spans="1:10">
      <c r="A43" s="7">
        <f t="shared" si="0"/>
        <v>34</v>
      </c>
      <c r="B43" s="120">
        <v>394.1</v>
      </c>
      <c r="C43" s="8" t="s">
        <v>504</v>
      </c>
      <c r="D43" s="20">
        <v>3946.91</v>
      </c>
      <c r="E43" s="20"/>
      <c r="F43" s="119">
        <v>0.04</v>
      </c>
      <c r="G43" s="20">
        <f t="shared" si="11"/>
        <v>3946.91</v>
      </c>
      <c r="H43" s="20">
        <f t="shared" si="12"/>
        <v>157.87639999999999</v>
      </c>
      <c r="I43" s="341"/>
    </row>
    <row r="44" spans="1:10">
      <c r="A44" s="7">
        <f t="shared" si="0"/>
        <v>35</v>
      </c>
      <c r="D44" s="20">
        <v>235644.25</v>
      </c>
      <c r="E44" s="20">
        <v>142409</v>
      </c>
      <c r="F44" s="119">
        <v>4.8000000000000001E-2</v>
      </c>
      <c r="G44" s="20">
        <f t="shared" si="11"/>
        <v>93235.25</v>
      </c>
      <c r="H44" s="20">
        <f t="shared" si="12"/>
        <v>4475.2920000000004</v>
      </c>
      <c r="I44" s="341"/>
    </row>
    <row r="45" spans="1:10">
      <c r="A45" s="7">
        <f t="shared" si="0"/>
        <v>36</v>
      </c>
      <c r="D45" s="20">
        <v>31941.98</v>
      </c>
      <c r="E45" s="20"/>
      <c r="F45" s="119">
        <v>6.6666699999999995E-2</v>
      </c>
      <c r="G45" s="20">
        <f t="shared" si="11"/>
        <v>31941.98</v>
      </c>
      <c r="H45" s="20">
        <f t="shared" si="12"/>
        <v>2129.4663980659998</v>
      </c>
      <c r="I45" s="341"/>
    </row>
    <row r="46" spans="1:10">
      <c r="A46" s="7">
        <f t="shared" si="0"/>
        <v>37</v>
      </c>
      <c r="D46" s="20">
        <v>88799.49</v>
      </c>
      <c r="E46" s="20">
        <v>24224.95</v>
      </c>
      <c r="F46" s="119">
        <v>0.1</v>
      </c>
      <c r="G46" s="20">
        <f t="shared" si="11"/>
        <v>64574.540000000008</v>
      </c>
      <c r="H46" s="20">
        <f t="shared" si="12"/>
        <v>6457.4540000000015</v>
      </c>
      <c r="I46" s="341"/>
    </row>
    <row r="47" spans="1:10">
      <c r="A47" s="7">
        <f t="shared" si="0"/>
        <v>38</v>
      </c>
      <c r="D47" s="20">
        <v>7738.37</v>
      </c>
      <c r="E47" s="20">
        <v>3922.37</v>
      </c>
      <c r="F47" s="119">
        <v>0.2</v>
      </c>
      <c r="G47" s="20">
        <f t="shared" si="11"/>
        <v>3816</v>
      </c>
      <c r="H47" s="20">
        <f t="shared" si="12"/>
        <v>763.2</v>
      </c>
      <c r="I47" s="341"/>
    </row>
    <row r="48" spans="1:10">
      <c r="A48" s="7">
        <f t="shared" si="0"/>
        <v>39</v>
      </c>
      <c r="C48" s="95" t="s">
        <v>219</v>
      </c>
      <c r="D48" s="342">
        <f>SUM(D43:D47)</f>
        <v>368071</v>
      </c>
      <c r="E48" s="342">
        <f t="shared" ref="E48:H48" si="13">SUM(E43:E47)</f>
        <v>170556.32</v>
      </c>
      <c r="G48" s="342">
        <f t="shared" si="13"/>
        <v>197514.68</v>
      </c>
      <c r="H48" s="342">
        <f t="shared" si="13"/>
        <v>13983.288798066002</v>
      </c>
      <c r="I48" s="342">
        <v>15064.780000000002</v>
      </c>
      <c r="J48" s="342">
        <f>+H48-I48</f>
        <v>-1081.4912019340009</v>
      </c>
    </row>
    <row r="49" spans="1:10">
      <c r="A49" s="7">
        <f t="shared" si="0"/>
        <v>40</v>
      </c>
      <c r="B49" s="120">
        <v>394.2</v>
      </c>
      <c r="C49" s="8" t="s">
        <v>505</v>
      </c>
      <c r="D49" s="20">
        <v>3000</v>
      </c>
      <c r="E49" s="20">
        <v>3000</v>
      </c>
      <c r="F49" s="119">
        <v>4.8000000000000001E-2</v>
      </c>
      <c r="G49" s="20">
        <f t="shared" ref="G49:G54" si="14">+D49-E49</f>
        <v>0</v>
      </c>
      <c r="H49" s="20">
        <f t="shared" ref="H49:H54" si="15">G49*F49</f>
        <v>0</v>
      </c>
      <c r="I49" s="301">
        <v>11.82</v>
      </c>
      <c r="J49" s="20">
        <f>+H49-I49</f>
        <v>-11.82</v>
      </c>
    </row>
    <row r="50" spans="1:10">
      <c r="A50" s="7">
        <f t="shared" si="0"/>
        <v>41</v>
      </c>
      <c r="B50" s="120">
        <v>395</v>
      </c>
      <c r="C50" s="8" t="s">
        <v>506</v>
      </c>
      <c r="D50" s="20">
        <v>105202.9</v>
      </c>
      <c r="E50" s="20">
        <v>42553.88</v>
      </c>
      <c r="F50" s="119">
        <v>4.8000000000000001E-2</v>
      </c>
      <c r="G50" s="20">
        <f t="shared" si="14"/>
        <v>62649.02</v>
      </c>
      <c r="H50" s="20">
        <f t="shared" si="15"/>
        <v>3007.1529599999999</v>
      </c>
      <c r="I50" s="341"/>
    </row>
    <row r="51" spans="1:10">
      <c r="A51" s="7">
        <f t="shared" si="0"/>
        <v>42</v>
      </c>
      <c r="D51" s="20">
        <v>45300.1</v>
      </c>
      <c r="E51" s="20"/>
      <c r="F51" s="119">
        <v>0.05</v>
      </c>
      <c r="G51" s="20">
        <f t="shared" si="14"/>
        <v>45300.1</v>
      </c>
      <c r="H51" s="20">
        <f t="shared" si="15"/>
        <v>2265.0050000000001</v>
      </c>
      <c r="I51" s="341"/>
    </row>
    <row r="52" spans="1:10">
      <c r="A52" s="7">
        <f t="shared" si="0"/>
        <v>43</v>
      </c>
      <c r="D52" s="20">
        <v>26881.599999999999</v>
      </c>
      <c r="E52" s="20"/>
      <c r="F52" s="119">
        <v>6.6667000000000004E-2</v>
      </c>
      <c r="G52" s="20">
        <f t="shared" si="14"/>
        <v>26881.599999999999</v>
      </c>
      <c r="H52" s="20">
        <f t="shared" si="15"/>
        <v>1792.1156272000001</v>
      </c>
      <c r="I52" s="341"/>
    </row>
    <row r="53" spans="1:10">
      <c r="A53" s="7">
        <f t="shared" si="0"/>
        <v>44</v>
      </c>
      <c r="D53" s="20">
        <v>115732.23</v>
      </c>
      <c r="E53" s="20">
        <v>45965.86</v>
      </c>
      <c r="F53" s="119">
        <v>0.1</v>
      </c>
      <c r="G53" s="20">
        <f t="shared" si="14"/>
        <v>69766.37</v>
      </c>
      <c r="H53" s="20">
        <f t="shared" si="15"/>
        <v>6976.6369999999997</v>
      </c>
      <c r="I53" s="341"/>
    </row>
    <row r="54" spans="1:10">
      <c r="A54" s="7">
        <f t="shared" si="0"/>
        <v>45</v>
      </c>
      <c r="D54" s="20">
        <v>36993.79</v>
      </c>
      <c r="E54" s="20">
        <v>13636.69</v>
      </c>
      <c r="F54" s="119">
        <v>0.14280000000000001</v>
      </c>
      <c r="G54" s="20">
        <f t="shared" si="14"/>
        <v>23357.1</v>
      </c>
      <c r="H54" s="20">
        <f t="shared" si="15"/>
        <v>3335.3938800000001</v>
      </c>
      <c r="I54" s="341"/>
    </row>
    <row r="55" spans="1:10">
      <c r="A55" s="7">
        <f t="shared" si="0"/>
        <v>46</v>
      </c>
      <c r="C55" s="95" t="s">
        <v>219</v>
      </c>
      <c r="D55" s="342">
        <f>SUM(D50:D54)</f>
        <v>330110.62</v>
      </c>
      <c r="E55" s="342">
        <f>SUM(E50:E54)</f>
        <v>102156.43</v>
      </c>
      <c r="G55" s="342">
        <f>SUM(G50:G54)</f>
        <v>227954.19</v>
      </c>
      <c r="H55" s="342">
        <f>SUM(H50:H54)</f>
        <v>17376.3044672</v>
      </c>
      <c r="I55" s="342">
        <v>17294.87</v>
      </c>
      <c r="J55" s="342">
        <f>+H55-I55</f>
        <v>81.434467200000654</v>
      </c>
    </row>
    <row r="56" spans="1:10">
      <c r="A56" s="7">
        <f t="shared" si="0"/>
        <v>47</v>
      </c>
      <c r="B56" s="120">
        <v>395.1</v>
      </c>
      <c r="C56" s="8" t="s">
        <v>507</v>
      </c>
      <c r="D56" s="20">
        <v>3475.5</v>
      </c>
      <c r="E56" s="20">
        <v>3475.5</v>
      </c>
      <c r="F56" s="119">
        <v>4.8000000000000001E-2</v>
      </c>
      <c r="G56" s="20">
        <f t="shared" ref="G56:G57" si="16">+D56-E56</f>
        <v>0</v>
      </c>
      <c r="H56" s="20">
        <f t="shared" ref="H56:H57" si="17">G56*F56</f>
        <v>0</v>
      </c>
      <c r="I56" s="20">
        <v>0</v>
      </c>
      <c r="J56" s="20">
        <f>+H56-I56</f>
        <v>0</v>
      </c>
    </row>
    <row r="57" spans="1:10">
      <c r="A57" s="7">
        <f t="shared" si="0"/>
        <v>48</v>
      </c>
      <c r="B57" s="120">
        <v>395.2</v>
      </c>
      <c r="C57" s="8" t="s">
        <v>508</v>
      </c>
      <c r="D57" s="20">
        <v>21953.11</v>
      </c>
      <c r="E57" s="20"/>
      <c r="F57" s="119">
        <v>4.8000000000000001E-2</v>
      </c>
      <c r="G57" s="20">
        <f t="shared" si="16"/>
        <v>21953.11</v>
      </c>
      <c r="H57" s="20">
        <f t="shared" si="17"/>
        <v>1053.74928</v>
      </c>
      <c r="I57" s="301">
        <v>1053.7199999999998</v>
      </c>
      <c r="J57" s="20">
        <f>+H57-I57</f>
        <v>2.9280000000198925E-2</v>
      </c>
    </row>
    <row r="58" spans="1:10">
      <c r="A58" s="7">
        <f t="shared" si="0"/>
        <v>49</v>
      </c>
      <c r="B58" s="120">
        <v>396</v>
      </c>
      <c r="C58" s="8" t="s">
        <v>509</v>
      </c>
      <c r="D58" s="20">
        <v>208354.3</v>
      </c>
      <c r="E58" s="20">
        <v>88556.51</v>
      </c>
      <c r="F58" s="119">
        <v>0.14280000000000001</v>
      </c>
      <c r="G58" s="20">
        <f>+D58-E58</f>
        <v>119797.79</v>
      </c>
      <c r="H58" s="20">
        <f>G58*F58</f>
        <v>17107.124412000001</v>
      </c>
      <c r="I58" s="301">
        <v>16743.489999999998</v>
      </c>
      <c r="J58" s="20">
        <f>+H58-I58</f>
        <v>363.63441200000307</v>
      </c>
    </row>
    <row r="59" spans="1:10">
      <c r="A59" s="7">
        <f t="shared" si="0"/>
        <v>50</v>
      </c>
      <c r="B59" s="120">
        <v>396.1</v>
      </c>
      <c r="C59" s="8" t="s">
        <v>510</v>
      </c>
      <c r="D59" s="20">
        <v>31672.799999999999</v>
      </c>
      <c r="E59" s="20">
        <v>31672.799999999999</v>
      </c>
      <c r="F59" s="119">
        <v>0.1</v>
      </c>
      <c r="G59" s="20">
        <f t="shared" ref="G59:G65" si="18">+D59-E59</f>
        <v>0</v>
      </c>
      <c r="H59" s="20">
        <f t="shared" ref="H59:H65" si="19">G59*F59</f>
        <v>0</v>
      </c>
      <c r="I59" s="301">
        <v>0</v>
      </c>
      <c r="J59" s="20">
        <f>+H59-I59</f>
        <v>0</v>
      </c>
    </row>
    <row r="60" spans="1:10">
      <c r="A60" s="7">
        <f t="shared" si="0"/>
        <v>51</v>
      </c>
      <c r="B60" s="120">
        <v>397</v>
      </c>
      <c r="C60" s="8" t="s">
        <v>511</v>
      </c>
      <c r="D60" s="20">
        <v>5102.83</v>
      </c>
      <c r="E60" s="20"/>
      <c r="F60" s="119">
        <v>0.02</v>
      </c>
      <c r="G60" s="20">
        <f t="shared" si="18"/>
        <v>5102.83</v>
      </c>
      <c r="H60" s="20">
        <f t="shared" si="19"/>
        <v>102.0566</v>
      </c>
      <c r="I60" s="341"/>
    </row>
    <row r="61" spans="1:10">
      <c r="A61" s="7">
        <f t="shared" si="0"/>
        <v>52</v>
      </c>
      <c r="D61" s="20">
        <v>111507.64</v>
      </c>
      <c r="E61" s="20">
        <v>47758.67</v>
      </c>
      <c r="F61" s="119">
        <v>6.5000000000000002E-2</v>
      </c>
      <c r="G61" s="20">
        <f t="shared" si="18"/>
        <v>63748.97</v>
      </c>
      <c r="H61" s="20">
        <f t="shared" si="19"/>
        <v>4143.6830500000005</v>
      </c>
      <c r="I61" s="341"/>
    </row>
    <row r="62" spans="1:10">
      <c r="A62" s="7">
        <f t="shared" si="0"/>
        <v>53</v>
      </c>
      <c r="D62" s="20">
        <v>796281.51</v>
      </c>
      <c r="E62" s="20"/>
      <c r="F62" s="119">
        <v>6.6666699999999995E-2</v>
      </c>
      <c r="G62" s="20">
        <f t="shared" si="18"/>
        <v>796281.51</v>
      </c>
      <c r="H62" s="20">
        <f t="shared" si="19"/>
        <v>53085.460542716995</v>
      </c>
      <c r="I62" s="341"/>
    </row>
    <row r="63" spans="1:10">
      <c r="A63" s="7">
        <f t="shared" si="0"/>
        <v>54</v>
      </c>
      <c r="D63" s="20">
        <v>678337.21</v>
      </c>
      <c r="E63" s="20">
        <v>541169.06000000006</v>
      </c>
      <c r="F63" s="119">
        <v>0.1</v>
      </c>
      <c r="G63" s="20">
        <f t="shared" si="18"/>
        <v>137168.14999999991</v>
      </c>
      <c r="H63" s="20">
        <f t="shared" si="19"/>
        <v>13716.814999999991</v>
      </c>
      <c r="I63" s="341"/>
    </row>
    <row r="64" spans="1:10">
      <c r="A64" s="7">
        <f t="shared" si="0"/>
        <v>55</v>
      </c>
      <c r="D64" s="20">
        <v>92083.8</v>
      </c>
      <c r="E64" s="20">
        <v>24975.77</v>
      </c>
      <c r="F64" s="119">
        <v>0.14280000000000001</v>
      </c>
      <c r="G64" s="20">
        <f t="shared" si="18"/>
        <v>67108.03</v>
      </c>
      <c r="H64" s="20">
        <f t="shared" si="19"/>
        <v>9583.0266840000004</v>
      </c>
      <c r="I64" s="341"/>
    </row>
    <row r="65" spans="1:10">
      <c r="A65" s="7">
        <f t="shared" si="0"/>
        <v>56</v>
      </c>
      <c r="D65" s="20">
        <v>21327.14</v>
      </c>
      <c r="E65" s="20">
        <v>21327.14</v>
      </c>
      <c r="F65" s="119">
        <v>0.2</v>
      </c>
      <c r="G65" s="20">
        <f t="shared" si="18"/>
        <v>0</v>
      </c>
      <c r="H65" s="20">
        <f t="shared" si="19"/>
        <v>0</v>
      </c>
      <c r="I65" s="341"/>
    </row>
    <row r="66" spans="1:10">
      <c r="A66" s="7">
        <f t="shared" si="0"/>
        <v>57</v>
      </c>
      <c r="C66" s="95" t="s">
        <v>219</v>
      </c>
      <c r="D66" s="342">
        <f>SUM(D60:D65)</f>
        <v>1704640.13</v>
      </c>
      <c r="E66" s="342">
        <f t="shared" ref="E66:G66" si="20">SUM(E60:E65)</f>
        <v>635230.64000000013</v>
      </c>
      <c r="G66" s="342">
        <f t="shared" si="20"/>
        <v>1069409.49</v>
      </c>
      <c r="H66" s="342">
        <f>SUM(H60:H65)</f>
        <v>80631.04187671699</v>
      </c>
      <c r="I66" s="342">
        <v>80594.25</v>
      </c>
      <c r="J66" s="342">
        <f>+H66-I66</f>
        <v>36.791876716990373</v>
      </c>
    </row>
    <row r="67" spans="1:10">
      <c r="A67" s="7">
        <f t="shared" si="0"/>
        <v>58</v>
      </c>
      <c r="B67" s="120">
        <v>397.2</v>
      </c>
      <c r="C67" s="8" t="s">
        <v>512</v>
      </c>
      <c r="D67" s="20">
        <v>252916.99</v>
      </c>
      <c r="E67" s="20">
        <v>252916.99</v>
      </c>
      <c r="F67" s="119">
        <v>0.1</v>
      </c>
      <c r="G67" s="20">
        <f t="shared" ref="G67:G69" si="21">+D67-E67</f>
        <v>0</v>
      </c>
      <c r="H67" s="20">
        <f>G67*F67</f>
        <v>0</v>
      </c>
      <c r="I67" s="301">
        <v>0</v>
      </c>
      <c r="J67" s="20">
        <f>+H67-I67</f>
        <v>0</v>
      </c>
    </row>
    <row r="68" spans="1:10">
      <c r="A68" s="7">
        <f t="shared" si="0"/>
        <v>59</v>
      </c>
      <c r="B68" s="120">
        <v>398</v>
      </c>
      <c r="C68" s="8" t="s">
        <v>513</v>
      </c>
      <c r="D68" s="20">
        <v>30919.86</v>
      </c>
      <c r="E68" s="20">
        <v>18184.3</v>
      </c>
      <c r="F68" s="119">
        <v>4.8000000000000001E-2</v>
      </c>
      <c r="G68" s="20">
        <f t="shared" si="21"/>
        <v>12735.560000000001</v>
      </c>
      <c r="H68" s="20">
        <f>G68*F68</f>
        <v>611.30688000000009</v>
      </c>
      <c r="I68" s="341"/>
    </row>
    <row r="69" spans="1:10">
      <c r="A69" s="7">
        <f t="shared" si="0"/>
        <v>60</v>
      </c>
      <c r="D69" s="20">
        <v>30865.85</v>
      </c>
      <c r="E69" s="20">
        <v>6732.4</v>
      </c>
      <c r="F69" s="119">
        <v>0.1</v>
      </c>
      <c r="G69" s="20">
        <f t="shared" si="21"/>
        <v>24133.449999999997</v>
      </c>
      <c r="H69" s="20">
        <f>G69*F69</f>
        <v>2413.3449999999998</v>
      </c>
      <c r="I69" s="341"/>
    </row>
    <row r="70" spans="1:10">
      <c r="A70" s="7">
        <f t="shared" si="0"/>
        <v>61</v>
      </c>
      <c r="C70" s="95" t="s">
        <v>219</v>
      </c>
      <c r="D70" s="342">
        <f>SUM(D68:D69)</f>
        <v>61785.71</v>
      </c>
      <c r="E70" s="342">
        <f t="shared" ref="E70:H70" si="22">SUM(E68:E69)</f>
        <v>24916.699999999997</v>
      </c>
      <c r="G70" s="342">
        <f>SUM(G68:G69)</f>
        <v>36869.009999999995</v>
      </c>
      <c r="H70" s="342">
        <f t="shared" si="22"/>
        <v>3024.6518799999999</v>
      </c>
      <c r="I70" s="342">
        <v>3087.82</v>
      </c>
      <c r="J70" s="342">
        <f>+H70-I70</f>
        <v>-63.168120000000272</v>
      </c>
    </row>
    <row r="71" spans="1:10">
      <c r="A71" s="7">
        <f t="shared" si="0"/>
        <v>62</v>
      </c>
      <c r="B71" s="120">
        <v>398.1</v>
      </c>
      <c r="C71" s="8" t="s">
        <v>514</v>
      </c>
      <c r="D71" s="20">
        <v>135000</v>
      </c>
      <c r="E71" s="20"/>
      <c r="F71" s="119">
        <v>4.8000000000000001E-2</v>
      </c>
      <c r="G71" s="20">
        <f>+D71-E71</f>
        <v>135000</v>
      </c>
      <c r="H71" s="20">
        <f>G71*F71</f>
        <v>6480</v>
      </c>
      <c r="I71" s="301">
        <v>6480</v>
      </c>
      <c r="J71" s="20">
        <f>+H71-I71</f>
        <v>0</v>
      </c>
    </row>
    <row r="72" spans="1:10">
      <c r="A72" s="7">
        <f t="shared" si="0"/>
        <v>63</v>
      </c>
    </row>
    <row r="73" spans="1:10" s="66" customFormat="1">
      <c r="A73" s="7">
        <f t="shared" si="0"/>
        <v>64</v>
      </c>
      <c r="B73" s="343" t="s">
        <v>240</v>
      </c>
      <c r="D73" s="344">
        <f>+D11+D23+D27+D32+D37+D41+D42+D48+D49+D55+D56+D57+D59+D66+D67+D70+D71+D58</f>
        <v>15695353.890000002</v>
      </c>
      <c r="E73" s="344">
        <f t="shared" ref="E73:H73" si="23">+E11+E23+E27+E32+E37+E41+E42+E48+E49+E55+E56+E57+E59+E66+E67+E70+E71+E58</f>
        <v>3239018.2200000007</v>
      </c>
      <c r="F73" s="119"/>
      <c r="G73" s="344">
        <f t="shared" si="23"/>
        <v>11965209.589999998</v>
      </c>
      <c r="H73" s="344">
        <f t="shared" si="23"/>
        <v>432989.29761407303</v>
      </c>
      <c r="I73" s="344">
        <f>+I11+I23+I27+I32+I37+I41+I42+I48+I49+I55+I56+I57+I59+I66+I67+I70+I71+I58</f>
        <v>451183.09</v>
      </c>
      <c r="J73" s="344">
        <f>+J11+J23+J27+J32+J37+J41+J42+J48+J49+J55+J56+J57+J59+J66+J67+J70+J71+J58</f>
        <v>-18193.792385926976</v>
      </c>
    </row>
    <row r="74" spans="1:10">
      <c r="A74" s="7">
        <f t="shared" si="0"/>
        <v>65</v>
      </c>
    </row>
    <row r="75" spans="1:10">
      <c r="A75" s="7">
        <f t="shared" si="0"/>
        <v>66</v>
      </c>
      <c r="B75" s="345" t="s">
        <v>241</v>
      </c>
    </row>
    <row r="76" spans="1:10">
      <c r="A76" s="7">
        <f t="shared" ref="A76:A129" si="24">A75+1</f>
        <v>67</v>
      </c>
      <c r="B76" s="120">
        <v>392</v>
      </c>
      <c r="C76" s="8" t="s">
        <v>515</v>
      </c>
      <c r="D76" s="20">
        <v>3547694.24</v>
      </c>
      <c r="E76" s="20">
        <v>3451534.41</v>
      </c>
      <c r="F76" s="119">
        <v>9.9599999999999994E-2</v>
      </c>
      <c r="G76" s="20">
        <f t="shared" ref="G76:G81" si="25">+D76-E76</f>
        <v>96159.830000000075</v>
      </c>
      <c r="H76" s="20">
        <f t="shared" ref="H76:H81" si="26">G76*F76</f>
        <v>9577.5190680000069</v>
      </c>
      <c r="I76" s="341"/>
    </row>
    <row r="77" spans="1:10">
      <c r="A77" s="7">
        <f t="shared" si="24"/>
        <v>68</v>
      </c>
      <c r="D77" s="20">
        <v>6355133.8399999999</v>
      </c>
      <c r="E77" s="20"/>
      <c r="F77" s="119">
        <v>0.1</v>
      </c>
      <c r="G77" s="20">
        <f t="shared" si="25"/>
        <v>6355133.8399999999</v>
      </c>
      <c r="H77" s="20">
        <f t="shared" si="26"/>
        <v>635513.38400000008</v>
      </c>
      <c r="I77" s="341"/>
    </row>
    <row r="78" spans="1:10">
      <c r="A78" s="7">
        <f t="shared" si="24"/>
        <v>69</v>
      </c>
      <c r="D78" s="20">
        <v>118595.93</v>
      </c>
      <c r="E78" s="20">
        <v>118595.93</v>
      </c>
      <c r="F78" s="119">
        <v>0.14280000000000001</v>
      </c>
      <c r="G78" s="20">
        <f t="shared" si="25"/>
        <v>0</v>
      </c>
      <c r="H78" s="20">
        <f t="shared" si="26"/>
        <v>0</v>
      </c>
      <c r="I78" s="341"/>
    </row>
    <row r="79" spans="1:10">
      <c r="A79" s="7">
        <f t="shared" si="24"/>
        <v>70</v>
      </c>
      <c r="D79" s="20">
        <v>331410.09000000003</v>
      </c>
      <c r="E79" s="20">
        <v>331410.09000000003</v>
      </c>
      <c r="F79" s="119">
        <v>0.2</v>
      </c>
      <c r="G79" s="20">
        <f t="shared" si="25"/>
        <v>0</v>
      </c>
      <c r="H79" s="20">
        <f t="shared" si="26"/>
        <v>0</v>
      </c>
      <c r="I79" s="341"/>
    </row>
    <row r="80" spans="1:10">
      <c r="A80" s="7">
        <f t="shared" si="24"/>
        <v>71</v>
      </c>
      <c r="D80" s="20">
        <v>140597.16</v>
      </c>
      <c r="E80" s="20">
        <v>140597.16</v>
      </c>
      <c r="F80" s="119">
        <v>0.33333299999999999</v>
      </c>
      <c r="G80" s="20">
        <f t="shared" si="25"/>
        <v>0</v>
      </c>
      <c r="H80" s="20">
        <f t="shared" si="26"/>
        <v>0</v>
      </c>
      <c r="I80" s="341"/>
    </row>
    <row r="81" spans="1:10">
      <c r="A81" s="7">
        <f t="shared" si="24"/>
        <v>72</v>
      </c>
      <c r="D81" s="20">
        <v>191263.85</v>
      </c>
      <c r="E81" s="20">
        <v>191263.85</v>
      </c>
      <c r="F81" s="119">
        <v>0.504</v>
      </c>
      <c r="G81" s="20">
        <f t="shared" si="25"/>
        <v>0</v>
      </c>
      <c r="H81" s="20">
        <f t="shared" si="26"/>
        <v>0</v>
      </c>
      <c r="I81" s="341"/>
    </row>
    <row r="82" spans="1:10">
      <c r="A82" s="7">
        <f t="shared" si="24"/>
        <v>73</v>
      </c>
      <c r="C82" s="95" t="s">
        <v>219</v>
      </c>
      <c r="D82" s="342">
        <f>SUM(D76:D81)</f>
        <v>10684695.109999999</v>
      </c>
      <c r="E82" s="342">
        <f>SUM(E76:E81)</f>
        <v>4233401.4400000004</v>
      </c>
      <c r="G82" s="342">
        <f>SUM(G76:G81)</f>
        <v>6451293.6699999999</v>
      </c>
      <c r="H82" s="342">
        <f>SUM(H76:H81)</f>
        <v>645090.9030680001</v>
      </c>
      <c r="I82" s="342">
        <v>561442.10000000009</v>
      </c>
      <c r="J82" s="342">
        <f>+H82-I82</f>
        <v>83648.803068000008</v>
      </c>
    </row>
    <row r="83" spans="1:10">
      <c r="A83" s="7">
        <f t="shared" si="24"/>
        <v>74</v>
      </c>
      <c r="B83" s="120">
        <v>394</v>
      </c>
      <c r="C83" s="8" t="s">
        <v>516</v>
      </c>
      <c r="D83" s="20">
        <v>154446.14000000001</v>
      </c>
      <c r="E83" s="20">
        <v>120068.59</v>
      </c>
      <c r="F83" s="119">
        <v>4.8000000000000001E-2</v>
      </c>
      <c r="G83" s="20">
        <f t="shared" ref="G83:G87" si="27">+D83-E83</f>
        <v>34377.550000000017</v>
      </c>
      <c r="H83" s="20">
        <f t="shared" ref="H83:H87" si="28">G83*F83</f>
        <v>1650.1224000000009</v>
      </c>
      <c r="I83" s="341"/>
    </row>
    <row r="84" spans="1:10">
      <c r="A84" s="7">
        <f t="shared" si="24"/>
        <v>75</v>
      </c>
      <c r="D84" s="20">
        <v>41446</v>
      </c>
      <c r="E84" s="20"/>
      <c r="F84" s="119">
        <v>6.6666699999999995E-2</v>
      </c>
      <c r="G84" s="20">
        <f t="shared" si="27"/>
        <v>41446</v>
      </c>
      <c r="H84" s="20">
        <f t="shared" si="28"/>
        <v>2763.0680481999998</v>
      </c>
      <c r="I84" s="341"/>
    </row>
    <row r="85" spans="1:10">
      <c r="A85" s="7">
        <f t="shared" si="24"/>
        <v>76</v>
      </c>
      <c r="D85" s="20">
        <v>6396.12</v>
      </c>
      <c r="E85" s="20"/>
      <c r="F85" s="119">
        <v>0.1</v>
      </c>
      <c r="G85" s="20">
        <f t="shared" si="27"/>
        <v>6396.12</v>
      </c>
      <c r="H85" s="20">
        <f t="shared" si="28"/>
        <v>639.61200000000008</v>
      </c>
      <c r="I85" s="341"/>
    </row>
    <row r="86" spans="1:10">
      <c r="A86" s="7">
        <f t="shared" si="24"/>
        <v>77</v>
      </c>
      <c r="D86" s="20">
        <v>8215</v>
      </c>
      <c r="E86" s="20"/>
      <c r="F86" s="119">
        <v>0.14280000000000001</v>
      </c>
      <c r="G86" s="20">
        <f t="shared" si="27"/>
        <v>8215</v>
      </c>
      <c r="H86" s="20">
        <f t="shared" si="28"/>
        <v>1173.1020000000001</v>
      </c>
      <c r="I86" s="341"/>
    </row>
    <row r="87" spans="1:10">
      <c r="A87" s="7">
        <f t="shared" si="24"/>
        <v>78</v>
      </c>
      <c r="D87" s="20">
        <v>57602.239999999998</v>
      </c>
      <c r="E87" s="20">
        <v>57602.239999999998</v>
      </c>
      <c r="F87" s="119">
        <v>0.2</v>
      </c>
      <c r="G87" s="20">
        <f t="shared" si="27"/>
        <v>0</v>
      </c>
      <c r="H87" s="20">
        <f t="shared" si="28"/>
        <v>0</v>
      </c>
      <c r="I87" s="341"/>
    </row>
    <row r="88" spans="1:10">
      <c r="A88" s="7">
        <f t="shared" si="24"/>
        <v>79</v>
      </c>
      <c r="C88" s="95" t="s">
        <v>219</v>
      </c>
      <c r="D88" s="342">
        <f>SUM(D83:D87)</f>
        <v>268105.5</v>
      </c>
      <c r="E88" s="342">
        <f>SUM(E83:E87)</f>
        <v>177670.83</v>
      </c>
      <c r="G88" s="342">
        <f>SUM(G83:G87)</f>
        <v>90434.670000000013</v>
      </c>
      <c r="H88" s="342">
        <f>SUM(H83:H87)</f>
        <v>6225.9044482000008</v>
      </c>
      <c r="I88" s="342">
        <v>6227.24</v>
      </c>
      <c r="J88" s="342">
        <f>+H88-I88</f>
        <v>-1.3355517999989388</v>
      </c>
    </row>
    <row r="89" spans="1:10">
      <c r="A89" s="7">
        <f t="shared" si="24"/>
        <v>80</v>
      </c>
      <c r="B89" s="120">
        <v>396.2</v>
      </c>
      <c r="C89" s="8" t="s">
        <v>509</v>
      </c>
      <c r="D89" s="20">
        <v>93131.520000000004</v>
      </c>
      <c r="E89" s="20"/>
      <c r="F89" s="119">
        <v>0.1</v>
      </c>
      <c r="G89" s="20">
        <f t="shared" ref="G89:G90" si="29">+D89-E89</f>
        <v>93131.520000000004</v>
      </c>
      <c r="H89" s="20">
        <f>G89*F89</f>
        <v>9313.152</v>
      </c>
      <c r="I89" s="341"/>
    </row>
    <row r="90" spans="1:10">
      <c r="A90" s="7">
        <f t="shared" si="24"/>
        <v>81</v>
      </c>
      <c r="D90" s="20">
        <v>239482.22</v>
      </c>
      <c r="E90" s="20">
        <v>208589.82</v>
      </c>
      <c r="F90" s="119">
        <v>0.14280000000000001</v>
      </c>
      <c r="G90" s="20">
        <f t="shared" si="29"/>
        <v>30892.399999999994</v>
      </c>
      <c r="H90" s="20">
        <f>G90*F90</f>
        <v>4411.4347199999993</v>
      </c>
      <c r="I90" s="341"/>
    </row>
    <row r="91" spans="1:10">
      <c r="A91" s="7">
        <f t="shared" si="24"/>
        <v>82</v>
      </c>
      <c r="C91" s="95" t="s">
        <v>219</v>
      </c>
      <c r="D91" s="342">
        <f>SUM(D89:D90)</f>
        <v>332613.74</v>
      </c>
      <c r="E91" s="342">
        <f>SUM(E89:E90)</f>
        <v>208589.82</v>
      </c>
      <c r="G91" s="342">
        <f>SUM(G89:G90)</f>
        <v>124023.92</v>
      </c>
      <c r="H91" s="342">
        <f>SUM(H89:H90)</f>
        <v>13724.586719999999</v>
      </c>
      <c r="I91" s="342">
        <v>13726.320000000002</v>
      </c>
      <c r="J91" s="342">
        <f>+H91-I91</f>
        <v>-1.7332800000021962</v>
      </c>
    </row>
    <row r="92" spans="1:10">
      <c r="A92" s="7">
        <f t="shared" si="24"/>
        <v>83</v>
      </c>
      <c r="B92" s="120">
        <v>396.3</v>
      </c>
      <c r="C92" s="8" t="s">
        <v>517</v>
      </c>
      <c r="D92" s="20">
        <v>480336.84</v>
      </c>
      <c r="E92" s="20"/>
      <c r="F92" s="119">
        <v>6.5000000000000002E-2</v>
      </c>
      <c r="G92" s="20">
        <f>+D92-E92</f>
        <v>480336.84</v>
      </c>
      <c r="H92" s="20">
        <f>G92*F92</f>
        <v>31221.894600000003</v>
      </c>
      <c r="I92" s="301">
        <v>31223.87999999999</v>
      </c>
      <c r="J92" s="20">
        <f>+H92-I92</f>
        <v>-1.9853999999868392</v>
      </c>
    </row>
    <row r="93" spans="1:10">
      <c r="A93" s="7">
        <f t="shared" si="24"/>
        <v>84</v>
      </c>
    </row>
    <row r="94" spans="1:10" s="66" customFormat="1">
      <c r="A94" s="7">
        <f t="shared" si="24"/>
        <v>85</v>
      </c>
      <c r="B94" s="343" t="s">
        <v>242</v>
      </c>
      <c r="D94" s="344">
        <f>+D92+D91+D88+D82</f>
        <v>11765751.189999999</v>
      </c>
      <c r="E94" s="344">
        <f>+E92+E91+E88+E82</f>
        <v>4619662.0900000008</v>
      </c>
      <c r="F94" s="119"/>
      <c r="G94" s="344">
        <f>+G92+G91+G88+G82</f>
        <v>7146089.0999999996</v>
      </c>
      <c r="H94" s="344">
        <f>+H92+H91+H88+H82</f>
        <v>696263.28883620014</v>
      </c>
      <c r="I94" s="344">
        <f>+I92+I91+I88+I82</f>
        <v>612619.54</v>
      </c>
      <c r="J94" s="344">
        <f>+J92+J91+J88+J82</f>
        <v>83643.748836200015</v>
      </c>
    </row>
    <row r="95" spans="1:10">
      <c r="A95" s="7">
        <f t="shared" si="24"/>
        <v>86</v>
      </c>
    </row>
    <row r="96" spans="1:10">
      <c r="A96" s="7">
        <f t="shared" si="24"/>
        <v>87</v>
      </c>
      <c r="B96" s="66" t="s">
        <v>243</v>
      </c>
    </row>
    <row r="97" spans="1:10">
      <c r="A97" s="7">
        <f t="shared" si="24"/>
        <v>88</v>
      </c>
      <c r="B97" s="120">
        <v>393</v>
      </c>
      <c r="C97" s="8" t="s">
        <v>518</v>
      </c>
      <c r="D97" s="20">
        <v>33202.879999999997</v>
      </c>
      <c r="E97" s="20"/>
      <c r="F97" s="119">
        <v>4.7600000000000003E-2</v>
      </c>
      <c r="G97" s="20">
        <f>+D97-E97</f>
        <v>33202.879999999997</v>
      </c>
      <c r="H97" s="20">
        <f>G97*F97</f>
        <v>1580.4570879999999</v>
      </c>
      <c r="I97" s="341"/>
    </row>
    <row r="98" spans="1:10">
      <c r="A98" s="7">
        <f t="shared" si="24"/>
        <v>89</v>
      </c>
      <c r="D98" s="20">
        <v>128410.07</v>
      </c>
      <c r="E98" s="20">
        <v>90911.64</v>
      </c>
      <c r="F98" s="119">
        <v>4.8000000000000001E-2</v>
      </c>
      <c r="G98" s="20">
        <f>+D98-E98</f>
        <v>37498.430000000008</v>
      </c>
      <c r="H98" s="20">
        <f>G98*F98</f>
        <v>1799.9246400000004</v>
      </c>
      <c r="I98" s="341"/>
    </row>
    <row r="99" spans="1:10">
      <c r="A99" s="7">
        <f t="shared" si="24"/>
        <v>90</v>
      </c>
      <c r="D99" s="20">
        <v>26320.86</v>
      </c>
      <c r="E99" s="20"/>
      <c r="F99" s="119">
        <v>0.05</v>
      </c>
      <c r="G99" s="20">
        <f>+D99-E99</f>
        <v>26320.86</v>
      </c>
      <c r="H99" s="20">
        <f>G99*F99</f>
        <v>1316.0430000000001</v>
      </c>
      <c r="I99" s="341"/>
    </row>
    <row r="100" spans="1:10" s="66" customFormat="1">
      <c r="A100" s="7">
        <f t="shared" si="24"/>
        <v>91</v>
      </c>
      <c r="B100" s="339"/>
      <c r="C100" s="346"/>
      <c r="D100" s="344">
        <f>SUM(D97:D99)</f>
        <v>187933.81</v>
      </c>
      <c r="E100" s="344">
        <f t="shared" ref="E100:H100" si="30">SUM(E97:E99)</f>
        <v>90911.64</v>
      </c>
      <c r="F100" s="122"/>
      <c r="G100" s="344">
        <f t="shared" si="30"/>
        <v>97022.17</v>
      </c>
      <c r="H100" s="344">
        <f t="shared" si="30"/>
        <v>4696.424728</v>
      </c>
      <c r="I100" s="344">
        <v>4696.9199999999992</v>
      </c>
      <c r="J100" s="344">
        <f>+H100-I100</f>
        <v>-0.49527199999920413</v>
      </c>
    </row>
    <row r="101" spans="1:10">
      <c r="A101" s="7">
        <f t="shared" si="24"/>
        <v>92</v>
      </c>
    </row>
    <row r="102" spans="1:10" s="66" customFormat="1" ht="13.8" thickBot="1">
      <c r="A102" s="7">
        <f t="shared" si="24"/>
        <v>93</v>
      </c>
      <c r="B102" s="66" t="s">
        <v>14</v>
      </c>
      <c r="C102" s="346"/>
      <c r="D102" s="347">
        <f>+D100+D94+D73</f>
        <v>27649038.890000001</v>
      </c>
      <c r="E102" s="347">
        <f>+E100+E94+E73</f>
        <v>7949591.9500000011</v>
      </c>
      <c r="F102" s="347"/>
      <c r="G102" s="347">
        <f>+G100+G94+G73</f>
        <v>19208320.859999999</v>
      </c>
      <c r="H102" s="347">
        <f>+H100+H94+H73</f>
        <v>1133949.0111782732</v>
      </c>
      <c r="I102" s="347">
        <f>+I100+I94+I73</f>
        <v>1068499.55</v>
      </c>
      <c r="J102" s="347">
        <f>+J100+J94+J73</f>
        <v>65449.461178273035</v>
      </c>
    </row>
    <row r="103" spans="1:10" s="66" customFormat="1" ht="13.8" thickTop="1">
      <c r="A103" s="7">
        <f t="shared" si="24"/>
        <v>94</v>
      </c>
      <c r="B103" s="339"/>
      <c r="C103" s="346"/>
      <c r="D103" s="348"/>
      <c r="E103" s="348"/>
      <c r="F103" s="348"/>
      <c r="G103" s="348"/>
      <c r="H103" s="348"/>
      <c r="I103" s="348"/>
      <c r="J103" s="348"/>
    </row>
    <row r="104" spans="1:10">
      <c r="A104" s="7">
        <f t="shared" si="24"/>
        <v>95</v>
      </c>
      <c r="B104" s="426" t="s">
        <v>519</v>
      </c>
      <c r="C104" s="426"/>
      <c r="D104" s="426"/>
      <c r="E104" s="426"/>
      <c r="F104" s="426"/>
      <c r="G104" s="20"/>
      <c r="H104" s="20"/>
      <c r="I104" s="20"/>
    </row>
    <row r="105" spans="1:10">
      <c r="A105" s="7">
        <f t="shared" si="24"/>
        <v>96</v>
      </c>
      <c r="B105" s="349">
        <v>403.7</v>
      </c>
      <c r="C105" s="350"/>
      <c r="D105" s="304"/>
      <c r="E105" s="304"/>
      <c r="F105" s="351">
        <f>J73-F106</f>
        <v>-18181.972385926976</v>
      </c>
      <c r="G105" s="20"/>
      <c r="H105" s="20"/>
      <c r="I105" s="20"/>
    </row>
    <row r="106" spans="1:10">
      <c r="A106" s="7">
        <f t="shared" si="24"/>
        <v>97</v>
      </c>
      <c r="B106" s="352">
        <v>593.29999999999995</v>
      </c>
      <c r="C106" s="95"/>
      <c r="D106" s="303"/>
      <c r="F106" s="353">
        <f>J49</f>
        <v>-11.82</v>
      </c>
      <c r="I106" s="301"/>
    </row>
    <row r="107" spans="1:10">
      <c r="A107" s="7">
        <f t="shared" si="24"/>
        <v>98</v>
      </c>
      <c r="B107" s="352"/>
      <c r="D107" s="303"/>
      <c r="F107" s="354"/>
    </row>
    <row r="108" spans="1:10" s="66" customFormat="1">
      <c r="A108" s="7">
        <f t="shared" si="24"/>
        <v>99</v>
      </c>
      <c r="B108" s="355" t="s">
        <v>520</v>
      </c>
      <c r="D108" s="356" t="s">
        <v>127</v>
      </c>
      <c r="E108" s="37" t="s">
        <v>126</v>
      </c>
      <c r="F108" s="357" t="s">
        <v>15</v>
      </c>
      <c r="G108" s="358"/>
      <c r="J108" s="359"/>
    </row>
    <row r="109" spans="1:10">
      <c r="A109" s="7">
        <f t="shared" si="24"/>
        <v>100</v>
      </c>
      <c r="B109" s="352" t="s">
        <v>120</v>
      </c>
      <c r="C109" s="8" t="s">
        <v>121</v>
      </c>
      <c r="D109" s="360">
        <f>81527.6+38176.48+129263.49</f>
        <v>248967.57</v>
      </c>
      <c r="E109" s="361">
        <f>+ROUND(D109/$D$118,5)</f>
        <v>9.325E-2</v>
      </c>
      <c r="F109" s="362">
        <f>+$F$118*E109</f>
        <v>7799.779578975651</v>
      </c>
    </row>
    <row r="110" spans="1:10">
      <c r="A110" s="7">
        <f t="shared" si="24"/>
        <v>101</v>
      </c>
      <c r="B110" s="352" t="s">
        <v>122</v>
      </c>
      <c r="C110" s="8" t="s">
        <v>123</v>
      </c>
      <c r="D110" s="360">
        <f>170260.04+1006330.43</f>
        <v>1176590.47</v>
      </c>
      <c r="E110" s="361">
        <f>+ROUND(D110/$D$118,5)</f>
        <v>0.44069000000000003</v>
      </c>
      <c r="F110" s="362">
        <f>+$F$118*E110</f>
        <v>36860.963674624989</v>
      </c>
    </row>
    <row r="111" spans="1:10">
      <c r="A111" s="7">
        <f t="shared" si="24"/>
        <v>102</v>
      </c>
      <c r="B111" s="352" t="s">
        <v>124</v>
      </c>
      <c r="C111" s="8" t="s">
        <v>104</v>
      </c>
      <c r="D111" s="360">
        <v>77285.600000000006</v>
      </c>
      <c r="E111" s="361">
        <f>+ROUND(D111/$D$118,5)</f>
        <v>2.895E-2</v>
      </c>
      <c r="F111" s="362">
        <f>+$F$118*E111</f>
        <v>2421.4865288079905</v>
      </c>
    </row>
    <row r="112" spans="1:10">
      <c r="A112" s="7">
        <f t="shared" si="24"/>
        <v>103</v>
      </c>
      <c r="B112" s="352" t="s">
        <v>194</v>
      </c>
      <c r="C112" s="8" t="s">
        <v>521</v>
      </c>
      <c r="D112" s="360">
        <v>6091.25</v>
      </c>
      <c r="E112" s="361">
        <f>+ROUND(D112/$D$118,5)</f>
        <v>2.2799999999999999E-3</v>
      </c>
      <c r="F112" s="362">
        <f>+$F$118*E112</f>
        <v>190.70774734653602</v>
      </c>
    </row>
    <row r="113" spans="1:10">
      <c r="A113" s="7">
        <f t="shared" si="24"/>
        <v>104</v>
      </c>
      <c r="B113" s="352" t="s">
        <v>125</v>
      </c>
      <c r="C113" s="8" t="s">
        <v>119</v>
      </c>
      <c r="D113" s="360">
        <f>11149.78+971.97+36634.88</f>
        <v>48756.63</v>
      </c>
      <c r="E113" s="361">
        <f>+ROUND(D113/$D$118,5)</f>
        <v>1.8259999999999998E-2</v>
      </c>
      <c r="F113" s="362">
        <f>+$F$118*E113</f>
        <v>1527.3348537490122</v>
      </c>
    </row>
    <row r="114" spans="1:10">
      <c r="A114" s="7">
        <f t="shared" si="24"/>
        <v>105</v>
      </c>
      <c r="B114" s="352"/>
      <c r="C114" s="95" t="s">
        <v>22</v>
      </c>
      <c r="D114" s="360">
        <f>SUM(D109:D113)</f>
        <v>1557691.52</v>
      </c>
      <c r="E114" s="361">
        <f t="shared" ref="E114:F114" si="31">SUM(E109:E113)</f>
        <v>0.58343000000000012</v>
      </c>
      <c r="F114" s="362">
        <f t="shared" si="31"/>
        <v>48800.272383504169</v>
      </c>
    </row>
    <row r="115" spans="1:10">
      <c r="A115" s="7">
        <f t="shared" si="24"/>
        <v>106</v>
      </c>
      <c r="B115" s="352" t="s">
        <v>522</v>
      </c>
      <c r="C115" s="12" t="s">
        <v>360</v>
      </c>
      <c r="D115" s="360">
        <v>765.06</v>
      </c>
      <c r="E115" s="361">
        <f>+ROUND(D115/$D$118,5)</f>
        <v>2.9E-4</v>
      </c>
      <c r="F115" s="362">
        <f>+$F$118*E115</f>
        <v>24.256687162498004</v>
      </c>
    </row>
    <row r="116" spans="1:10">
      <c r="A116" s="7">
        <f t="shared" si="24"/>
        <v>107</v>
      </c>
      <c r="B116" s="352" t="s">
        <v>195</v>
      </c>
      <c r="C116" s="8" t="s">
        <v>193</v>
      </c>
      <c r="D116" s="360">
        <v>1111454.47</v>
      </c>
      <c r="E116" s="361">
        <f>+ROUND(D116/$D$118,5)</f>
        <v>0.41628999999999999</v>
      </c>
      <c r="F116" s="362">
        <f>+$F$118*E116</f>
        <v>34820.056203021704</v>
      </c>
    </row>
    <row r="117" spans="1:10">
      <c r="A117" s="7">
        <f t="shared" si="24"/>
        <v>108</v>
      </c>
      <c r="B117" s="352"/>
      <c r="D117" s="360"/>
      <c r="E117" s="361"/>
      <c r="F117" s="354"/>
    </row>
    <row r="118" spans="1:10" s="66" customFormat="1">
      <c r="A118" s="7">
        <f t="shared" si="24"/>
        <v>109</v>
      </c>
      <c r="B118" s="355" t="s">
        <v>431</v>
      </c>
      <c r="D118" s="363">
        <f>+D116+D114+D115</f>
        <v>2669911.0500000003</v>
      </c>
      <c r="E118" s="364">
        <f>+E116+E114+E115</f>
        <v>1.0000100000000001</v>
      </c>
      <c r="F118" s="365">
        <f>+J94</f>
        <v>83643.748836200015</v>
      </c>
      <c r="G118" s="358"/>
      <c r="J118" s="359"/>
    </row>
    <row r="119" spans="1:10">
      <c r="A119" s="7">
        <f t="shared" si="24"/>
        <v>110</v>
      </c>
      <c r="B119" s="352"/>
      <c r="D119" s="360"/>
      <c r="F119" s="354"/>
    </row>
    <row r="120" spans="1:10">
      <c r="A120" s="7">
        <f t="shared" si="24"/>
        <v>111</v>
      </c>
      <c r="B120" s="352"/>
      <c r="D120" s="360"/>
      <c r="F120" s="354"/>
    </row>
    <row r="121" spans="1:10" s="66" customFormat="1">
      <c r="A121" s="7">
        <f t="shared" si="24"/>
        <v>112</v>
      </c>
      <c r="B121" s="355" t="s">
        <v>244</v>
      </c>
      <c r="D121" s="437" t="s">
        <v>127</v>
      </c>
      <c r="E121" s="37" t="s">
        <v>126</v>
      </c>
      <c r="F121" s="357" t="s">
        <v>15</v>
      </c>
      <c r="G121" s="358"/>
      <c r="J121" s="359"/>
    </row>
    <row r="122" spans="1:10">
      <c r="A122" s="7">
        <f t="shared" si="24"/>
        <v>113</v>
      </c>
      <c r="B122" s="352" t="s">
        <v>122</v>
      </c>
      <c r="C122" s="8" t="s">
        <v>123</v>
      </c>
      <c r="D122" s="360">
        <v>11565.63</v>
      </c>
      <c r="E122" s="361">
        <f>+ROUND(D122/$D$125,4)</f>
        <v>1.4200000000000001E-2</v>
      </c>
      <c r="F122" s="362">
        <f>+$F$125*E122</f>
        <v>-7.0328623999886992E-3</v>
      </c>
    </row>
    <row r="123" spans="1:10">
      <c r="A123" s="7">
        <f t="shared" si="24"/>
        <v>114</v>
      </c>
      <c r="B123" s="352" t="s">
        <v>195</v>
      </c>
      <c r="C123" s="8" t="s">
        <v>193</v>
      </c>
      <c r="D123" s="360">
        <v>801837.99</v>
      </c>
      <c r="E123" s="361">
        <f>+ROUND(D123/$D$125,4)</f>
        <v>0.98580000000000001</v>
      </c>
      <c r="F123" s="362">
        <f>+$F$125*E123</f>
        <v>-0.48823913759921544</v>
      </c>
    </row>
    <row r="124" spans="1:10">
      <c r="A124" s="7">
        <f t="shared" si="24"/>
        <v>115</v>
      </c>
      <c r="B124" s="352"/>
      <c r="D124" s="303"/>
      <c r="E124" s="361"/>
      <c r="F124" s="354"/>
    </row>
    <row r="125" spans="1:10" s="66" customFormat="1">
      <c r="A125" s="7">
        <f t="shared" si="24"/>
        <v>116</v>
      </c>
      <c r="B125" s="355" t="s">
        <v>43</v>
      </c>
      <c r="D125" s="348">
        <f>+D123+D122</f>
        <v>813403.62</v>
      </c>
      <c r="E125" s="366">
        <f>+E123+E122</f>
        <v>1</v>
      </c>
      <c r="F125" s="365">
        <f>+J100</f>
        <v>-0.49527199999920413</v>
      </c>
      <c r="G125" s="358"/>
      <c r="J125" s="359"/>
    </row>
    <row r="126" spans="1:10">
      <c r="A126" s="7">
        <f t="shared" si="24"/>
        <v>117</v>
      </c>
      <c r="B126" s="352"/>
      <c r="D126" s="303"/>
      <c r="F126" s="354"/>
    </row>
    <row r="127" spans="1:10">
      <c r="A127" s="7">
        <f t="shared" si="24"/>
        <v>118</v>
      </c>
      <c r="B127" s="355" t="s">
        <v>523</v>
      </c>
      <c r="C127" s="66"/>
      <c r="D127" s="348"/>
      <c r="E127" s="66"/>
      <c r="F127" s="353">
        <f>F105+F106+F118+F125</f>
        <v>65449.461178273035</v>
      </c>
    </row>
    <row r="128" spans="1:10">
      <c r="A128" s="7">
        <f t="shared" si="24"/>
        <v>119</v>
      </c>
      <c r="B128" s="367" t="s">
        <v>524</v>
      </c>
      <c r="D128" s="303"/>
      <c r="F128" s="368">
        <f>F105+F106+F114+F122+F115</f>
        <v>30630.729651877293</v>
      </c>
    </row>
    <row r="129" spans="1:6">
      <c r="A129" s="7">
        <f t="shared" si="24"/>
        <v>120</v>
      </c>
      <c r="B129" s="369" t="s">
        <v>525</v>
      </c>
      <c r="C129" s="150"/>
      <c r="D129" s="370"/>
      <c r="E129" s="150"/>
      <c r="F129" s="371">
        <f>F116+F123</f>
        <v>34819.567963884103</v>
      </c>
    </row>
  </sheetData>
  <mergeCells count="4">
    <mergeCell ref="B104:F104"/>
    <mergeCell ref="A3:J3"/>
    <mergeCell ref="A4:J4"/>
    <mergeCell ref="A6:J6"/>
  </mergeCells>
  <pageMargins left="0.7" right="0.7" top="0.75" bottom="0.75" header="0.3" footer="0.3"/>
  <pageSetup scale="66" fitToHeight="2" orientation="portrait" r:id="rId1"/>
  <rowBreaks count="1" manualBreakCount="1">
    <brk id="74" max="9" man="1"/>
  </rowBreaks>
  <ignoredErrors>
    <ignoredError sqref="H23 H27 H32:H41 H48:H100 E114:F114" formula="1"/>
    <ignoredError sqref="D23 D66:E70 D47:E5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8E62-13F7-4022-96EE-6CEC2F4BE920}">
  <sheetPr>
    <pageSetUpPr fitToPage="1"/>
  </sheetPr>
  <dimension ref="A1:S57"/>
  <sheetViews>
    <sheetView view="pageBreakPreview" zoomScale="60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L1" sqref="L1:L1048576"/>
    </sheetView>
  </sheetViews>
  <sheetFormatPr defaultRowHeight="13.2"/>
  <cols>
    <col min="1" max="1" width="6.6640625" style="8" customWidth="1"/>
    <col min="2" max="2" width="46.109375" style="8" customWidth="1"/>
    <col min="3" max="3" width="13.21875" style="8" bestFit="1" customWidth="1"/>
    <col min="4" max="4" width="10.109375" style="8" bestFit="1" customWidth="1"/>
    <col min="5" max="5" width="6.5546875" style="8" bestFit="1" customWidth="1"/>
    <col min="6" max="7" width="10.109375" style="8" bestFit="1" customWidth="1"/>
    <col min="8" max="8" width="6.5546875" style="8" bestFit="1" customWidth="1"/>
    <col min="9" max="9" width="10.109375" style="8" bestFit="1" customWidth="1"/>
    <col min="10" max="10" width="9.77734375" style="8" bestFit="1" customWidth="1"/>
    <col min="11" max="11" width="11.21875" style="8" bestFit="1" customWidth="1"/>
    <col min="12" max="13" width="6.5546875" style="8" bestFit="1" customWidth="1"/>
    <col min="14" max="14" width="12.21875" style="8" bestFit="1" customWidth="1"/>
    <col min="15" max="15" width="9" style="8" bestFit="1" customWidth="1"/>
    <col min="16" max="16" width="10.88671875" style="8" customWidth="1"/>
    <col min="17" max="17" width="10.5546875" style="8" bestFit="1" customWidth="1"/>
    <col min="18" max="18" width="7" style="8" bestFit="1" customWidth="1"/>
    <col min="19" max="19" width="13.33203125" style="8" bestFit="1" customWidth="1"/>
    <col min="20" max="16384" width="8.88671875" style="8"/>
  </cols>
  <sheetData>
    <row r="1" spans="1:19">
      <c r="S1" s="4" t="s">
        <v>28</v>
      </c>
    </row>
    <row r="2" spans="1:19" ht="20.25" customHeight="1">
      <c r="E2" s="4"/>
    </row>
    <row r="3" spans="1:19">
      <c r="A3" s="432" t="str">
        <f>RevReq!A1</f>
        <v>KENERGY CORP.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</row>
    <row r="4" spans="1:19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</row>
    <row r="6" spans="1:19" s="5" customFormat="1" ht="15" customHeight="1">
      <c r="A6" s="429" t="str">
        <f>'Adj List'!C14</f>
        <v>Disallowed Expenses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</row>
    <row r="7" spans="1:19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</row>
    <row r="8" spans="1:19">
      <c r="B8" s="142" t="s">
        <v>282</v>
      </c>
      <c r="C8" s="142" t="s">
        <v>283</v>
      </c>
      <c r="D8" s="142" t="s">
        <v>284</v>
      </c>
      <c r="E8" s="142" t="s">
        <v>285</v>
      </c>
      <c r="F8" s="142" t="s">
        <v>302</v>
      </c>
      <c r="G8" s="142" t="s">
        <v>303</v>
      </c>
      <c r="H8" s="142" t="s">
        <v>304</v>
      </c>
      <c r="I8" s="142" t="s">
        <v>305</v>
      </c>
      <c r="J8" s="142" t="s">
        <v>306</v>
      </c>
      <c r="K8" s="142" t="s">
        <v>307</v>
      </c>
      <c r="L8" s="142" t="s">
        <v>308</v>
      </c>
      <c r="M8" s="142" t="s">
        <v>309</v>
      </c>
      <c r="N8" s="142" t="s">
        <v>310</v>
      </c>
      <c r="O8" s="142" t="s">
        <v>311</v>
      </c>
      <c r="P8" s="142" t="s">
        <v>312</v>
      </c>
      <c r="Q8" s="142" t="s">
        <v>313</v>
      </c>
      <c r="R8" s="142" t="s">
        <v>335</v>
      </c>
      <c r="S8" s="142" t="s">
        <v>526</v>
      </c>
    </row>
    <row r="9" spans="1:19">
      <c r="A9" s="7" t="s">
        <v>527</v>
      </c>
      <c r="B9" s="7"/>
      <c r="C9" s="7" t="s">
        <v>43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>
      <c r="A10" s="9" t="s">
        <v>386</v>
      </c>
      <c r="B10" s="9" t="s">
        <v>40</v>
      </c>
      <c r="C10" s="9" t="s">
        <v>314</v>
      </c>
      <c r="D10" s="9">
        <v>107.2</v>
      </c>
      <c r="E10" s="9">
        <v>163</v>
      </c>
      <c r="F10" s="9">
        <v>426</v>
      </c>
      <c r="G10" s="9">
        <v>588</v>
      </c>
      <c r="H10" s="9">
        <v>592</v>
      </c>
      <c r="I10" s="9">
        <v>598</v>
      </c>
      <c r="J10" s="9">
        <v>903</v>
      </c>
      <c r="K10" s="9">
        <v>908</v>
      </c>
      <c r="L10" s="9">
        <v>912</v>
      </c>
      <c r="M10" s="9">
        <v>920</v>
      </c>
      <c r="N10" s="9">
        <v>921</v>
      </c>
      <c r="O10" s="9">
        <v>930.1</v>
      </c>
      <c r="P10" s="9">
        <v>930.2</v>
      </c>
      <c r="Q10" s="9">
        <v>930.21</v>
      </c>
      <c r="R10" s="9">
        <v>935</v>
      </c>
      <c r="S10" s="150" t="s">
        <v>651</v>
      </c>
    </row>
    <row r="11" spans="1:19">
      <c r="A11" s="8">
        <v>1</v>
      </c>
      <c r="B11" s="8" t="s">
        <v>315</v>
      </c>
      <c r="C11" s="383">
        <f t="shared" ref="C11:C19" si="0">SUM(D11:Q11)</f>
        <v>4446.41</v>
      </c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>
        <v>4446.41</v>
      </c>
      <c r="P11" s="383"/>
      <c r="Q11" s="383"/>
      <c r="R11" s="383"/>
      <c r="S11" s="383">
        <f>SUM(F11:R11)</f>
        <v>4446.41</v>
      </c>
    </row>
    <row r="12" spans="1:19">
      <c r="A12" s="8">
        <f>A11+1</f>
        <v>2</v>
      </c>
      <c r="B12" s="8" t="s">
        <v>316</v>
      </c>
      <c r="C12" s="383">
        <f t="shared" si="0"/>
        <v>13523.71</v>
      </c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>
        <v>13523.71</v>
      </c>
      <c r="Q12" s="383"/>
      <c r="R12" s="383"/>
      <c r="S12" s="383">
        <f t="shared" ref="S12:S36" si="1">SUM(F12:R12)</f>
        <v>13523.71</v>
      </c>
    </row>
    <row r="13" spans="1:19">
      <c r="A13" s="8">
        <f t="shared" ref="A13:A43" si="2">A12+1</f>
        <v>3</v>
      </c>
      <c r="B13" s="8" t="s">
        <v>528</v>
      </c>
      <c r="C13" s="383">
        <f t="shared" si="0"/>
        <v>7054.6500000000005</v>
      </c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>
        <v>7054.6500000000005</v>
      </c>
      <c r="Q13" s="383"/>
      <c r="R13" s="383"/>
      <c r="S13" s="383">
        <f t="shared" si="1"/>
        <v>7054.6500000000005</v>
      </c>
    </row>
    <row r="14" spans="1:19">
      <c r="A14" s="8">
        <f t="shared" si="2"/>
        <v>4</v>
      </c>
      <c r="B14" s="8" t="s">
        <v>529</v>
      </c>
      <c r="C14" s="383">
        <f t="shared" si="0"/>
        <v>8387.8799999999992</v>
      </c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>
        <v>8387.8799999999992</v>
      </c>
      <c r="Q14" s="383"/>
      <c r="R14" s="383"/>
      <c r="S14" s="383">
        <f t="shared" si="1"/>
        <v>8387.8799999999992</v>
      </c>
    </row>
    <row r="15" spans="1:19">
      <c r="A15" s="8">
        <f t="shared" si="2"/>
        <v>5</v>
      </c>
      <c r="B15" s="8" t="s">
        <v>530</v>
      </c>
      <c r="C15" s="383">
        <f t="shared" si="0"/>
        <v>26131.152999999998</v>
      </c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>
        <v>26131.152999999998</v>
      </c>
      <c r="Q15" s="383"/>
      <c r="R15" s="383"/>
      <c r="S15" s="383">
        <f t="shared" si="1"/>
        <v>26131.152999999998</v>
      </c>
    </row>
    <row r="16" spans="1:19">
      <c r="A16" s="8">
        <f t="shared" si="2"/>
        <v>6</v>
      </c>
      <c r="B16" s="8" t="s">
        <v>531</v>
      </c>
      <c r="C16" s="383">
        <f t="shared" si="0"/>
        <v>210</v>
      </c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>
        <v>210</v>
      </c>
      <c r="Q16" s="383"/>
      <c r="R16" s="383"/>
      <c r="S16" s="383">
        <f t="shared" si="1"/>
        <v>210</v>
      </c>
    </row>
    <row r="17" spans="1:19">
      <c r="A17" s="8">
        <f t="shared" si="2"/>
        <v>7</v>
      </c>
      <c r="B17" s="8" t="s">
        <v>317</v>
      </c>
      <c r="C17" s="383">
        <f t="shared" si="0"/>
        <v>2050</v>
      </c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>
        <v>2050</v>
      </c>
      <c r="Q17" s="383"/>
      <c r="R17" s="383"/>
      <c r="S17" s="383">
        <f t="shared" si="1"/>
        <v>2050</v>
      </c>
    </row>
    <row r="18" spans="1:19">
      <c r="A18" s="8">
        <f t="shared" si="2"/>
        <v>8</v>
      </c>
      <c r="B18" s="8" t="s">
        <v>318</v>
      </c>
      <c r="C18" s="383">
        <f t="shared" si="0"/>
        <v>39237.94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>
        <v>39237.94</v>
      </c>
      <c r="Q18" s="383"/>
      <c r="R18" s="383"/>
      <c r="S18" s="383">
        <f t="shared" si="1"/>
        <v>39237.94</v>
      </c>
    </row>
    <row r="19" spans="1:19">
      <c r="A19" s="8">
        <f t="shared" si="2"/>
        <v>9</v>
      </c>
      <c r="B19" s="8" t="s">
        <v>319</v>
      </c>
      <c r="C19" s="383">
        <f t="shared" si="0"/>
        <v>6083.6</v>
      </c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>
        <v>6083.6</v>
      </c>
      <c r="Q19" s="383"/>
      <c r="R19" s="383"/>
      <c r="S19" s="383">
        <f t="shared" si="1"/>
        <v>6083.6</v>
      </c>
    </row>
    <row r="20" spans="1:19">
      <c r="A20" s="8">
        <f t="shared" si="2"/>
        <v>10</v>
      </c>
      <c r="B20" s="8" t="s">
        <v>320</v>
      </c>
      <c r="C20" s="383">
        <f t="shared" ref="C20:C36" si="3">SUM(D20:Q20)</f>
        <v>26211.559999999998</v>
      </c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>
        <v>26211.559999999998</v>
      </c>
      <c r="R20" s="383"/>
      <c r="S20" s="383">
        <f t="shared" si="1"/>
        <v>26211.559999999998</v>
      </c>
    </row>
    <row r="21" spans="1:19">
      <c r="A21" s="8">
        <f t="shared" si="2"/>
        <v>11</v>
      </c>
      <c r="B21" s="8" t="s">
        <v>321</v>
      </c>
      <c r="C21" s="383">
        <f t="shared" si="3"/>
        <v>83200</v>
      </c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>
        <v>83200</v>
      </c>
      <c r="R21" s="383"/>
      <c r="S21" s="383">
        <f t="shared" si="1"/>
        <v>83200</v>
      </c>
    </row>
    <row r="22" spans="1:19">
      <c r="A22" s="8">
        <f t="shared" si="2"/>
        <v>12</v>
      </c>
      <c r="B22" s="8" t="s">
        <v>322</v>
      </c>
      <c r="C22" s="383">
        <f t="shared" si="3"/>
        <v>1650</v>
      </c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>
        <v>1650</v>
      </c>
      <c r="R22" s="383"/>
      <c r="S22" s="383">
        <f t="shared" si="1"/>
        <v>1650</v>
      </c>
    </row>
    <row r="23" spans="1:19">
      <c r="A23" s="8">
        <f t="shared" si="2"/>
        <v>13</v>
      </c>
      <c r="B23" s="8" t="s">
        <v>323</v>
      </c>
      <c r="C23" s="383">
        <f t="shared" si="3"/>
        <v>1100</v>
      </c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>
        <v>1100</v>
      </c>
      <c r="R23" s="383"/>
      <c r="S23" s="383">
        <f t="shared" si="1"/>
        <v>1100</v>
      </c>
    </row>
    <row r="24" spans="1:19">
      <c r="A24" s="8">
        <f t="shared" si="2"/>
        <v>14</v>
      </c>
      <c r="B24" s="8" t="s">
        <v>532</v>
      </c>
      <c r="C24" s="383">
        <f t="shared" si="3"/>
        <v>1876.17</v>
      </c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>
        <v>1876.17</v>
      </c>
      <c r="R24" s="383"/>
      <c r="S24" s="383">
        <f t="shared" si="1"/>
        <v>1876.17</v>
      </c>
    </row>
    <row r="25" spans="1:19">
      <c r="A25" s="8">
        <f t="shared" si="2"/>
        <v>15</v>
      </c>
      <c r="B25" s="8" t="s">
        <v>324</v>
      </c>
      <c r="C25" s="383">
        <f t="shared" si="3"/>
        <v>12625.11</v>
      </c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>
        <v>12625.11</v>
      </c>
      <c r="Q25" s="383"/>
      <c r="R25" s="383"/>
      <c r="S25" s="383">
        <f t="shared" si="1"/>
        <v>12625.11</v>
      </c>
    </row>
    <row r="26" spans="1:19">
      <c r="A26" s="8">
        <f t="shared" si="2"/>
        <v>16</v>
      </c>
      <c r="B26" s="8" t="s">
        <v>325</v>
      </c>
      <c r="C26" s="383">
        <f t="shared" si="3"/>
        <v>6490.3799999999992</v>
      </c>
      <c r="D26" s="383"/>
      <c r="E26" s="383"/>
      <c r="F26" s="383"/>
      <c r="G26" s="383">
        <v>2174.75</v>
      </c>
      <c r="H26" s="383"/>
      <c r="I26" s="383">
        <v>3110.56</v>
      </c>
      <c r="J26" s="383">
        <v>1085.07</v>
      </c>
      <c r="K26" s="383">
        <v>5.6599999999999993</v>
      </c>
      <c r="L26" s="383"/>
      <c r="M26" s="383"/>
      <c r="N26" s="383">
        <v>114.34</v>
      </c>
      <c r="O26" s="383"/>
      <c r="P26" s="383"/>
      <c r="Q26" s="383"/>
      <c r="R26" s="383"/>
      <c r="S26" s="383">
        <f t="shared" si="1"/>
        <v>6490.3799999999992</v>
      </c>
    </row>
    <row r="27" spans="1:19">
      <c r="A27" s="8">
        <f t="shared" si="2"/>
        <v>17</v>
      </c>
      <c r="B27" s="8" t="s">
        <v>326</v>
      </c>
      <c r="C27" s="383">
        <f t="shared" si="3"/>
        <v>19722.830000000002</v>
      </c>
      <c r="D27" s="383"/>
      <c r="E27" s="383"/>
      <c r="F27" s="383"/>
      <c r="G27" s="383">
        <v>5402.03</v>
      </c>
      <c r="H27" s="383"/>
      <c r="I27" s="383">
        <v>7115.61</v>
      </c>
      <c r="J27" s="383">
        <v>2946.0800000000008</v>
      </c>
      <c r="K27" s="383">
        <v>190.85000000000002</v>
      </c>
      <c r="L27" s="383">
        <v>0</v>
      </c>
      <c r="M27" s="383"/>
      <c r="N27" s="383">
        <v>4068.2599999999989</v>
      </c>
      <c r="O27" s="383"/>
      <c r="P27" s="383"/>
      <c r="Q27" s="383"/>
      <c r="R27" s="383">
        <v>121.09</v>
      </c>
      <c r="S27" s="383">
        <f t="shared" si="1"/>
        <v>19843.920000000002</v>
      </c>
    </row>
    <row r="28" spans="1:19">
      <c r="A28" s="8">
        <f t="shared" si="2"/>
        <v>18</v>
      </c>
      <c r="B28" s="8" t="s">
        <v>327</v>
      </c>
      <c r="C28" s="383">
        <f t="shared" si="3"/>
        <v>7133.1399999999994</v>
      </c>
      <c r="D28" s="383"/>
      <c r="E28" s="383"/>
      <c r="F28" s="383"/>
      <c r="G28" s="383">
        <v>4068.4300000000003</v>
      </c>
      <c r="H28" s="383"/>
      <c r="I28" s="383">
        <v>3064.7099999999996</v>
      </c>
      <c r="J28" s="383"/>
      <c r="K28" s="383"/>
      <c r="L28" s="383"/>
      <c r="M28" s="383"/>
      <c r="N28" s="383"/>
      <c r="O28" s="383"/>
      <c r="P28" s="383"/>
      <c r="Q28" s="383"/>
      <c r="R28" s="383"/>
      <c r="S28" s="383">
        <f t="shared" si="1"/>
        <v>7133.1399999999994</v>
      </c>
    </row>
    <row r="29" spans="1:19">
      <c r="A29" s="8">
        <f t="shared" si="2"/>
        <v>19</v>
      </c>
      <c r="B29" s="8" t="s">
        <v>328</v>
      </c>
      <c r="C29" s="383">
        <f t="shared" si="3"/>
        <v>212.76</v>
      </c>
      <c r="D29" s="383"/>
      <c r="E29" s="383"/>
      <c r="F29" s="383"/>
      <c r="G29" s="383">
        <v>15.27</v>
      </c>
      <c r="H29" s="383"/>
      <c r="I29" s="383">
        <v>18.46</v>
      </c>
      <c r="J29" s="383">
        <v>14.65</v>
      </c>
      <c r="K29" s="383">
        <v>1.28</v>
      </c>
      <c r="L29" s="383"/>
      <c r="M29" s="383"/>
      <c r="N29" s="383">
        <v>163.1</v>
      </c>
      <c r="O29" s="383"/>
      <c r="P29" s="383"/>
      <c r="Q29" s="383"/>
      <c r="R29" s="383"/>
      <c r="S29" s="383">
        <f t="shared" si="1"/>
        <v>212.76</v>
      </c>
    </row>
    <row r="30" spans="1:19">
      <c r="A30" s="8">
        <f t="shared" si="2"/>
        <v>20</v>
      </c>
      <c r="B30" s="8" t="s">
        <v>329</v>
      </c>
      <c r="C30" s="383">
        <f t="shared" si="3"/>
        <v>7675</v>
      </c>
      <c r="D30" s="383">
        <v>350</v>
      </c>
      <c r="E30" s="383"/>
      <c r="F30" s="383"/>
      <c r="G30" s="383">
        <v>1350</v>
      </c>
      <c r="H30" s="383"/>
      <c r="I30" s="383">
        <v>2725</v>
      </c>
      <c r="J30" s="383">
        <v>1450</v>
      </c>
      <c r="K30" s="383"/>
      <c r="L30" s="383"/>
      <c r="M30" s="383"/>
      <c r="N30" s="383">
        <v>1800</v>
      </c>
      <c r="O30" s="383"/>
      <c r="P30" s="383"/>
      <c r="Q30" s="383"/>
      <c r="R30" s="383"/>
      <c r="S30" s="383">
        <f t="shared" si="1"/>
        <v>7325</v>
      </c>
    </row>
    <row r="31" spans="1:19">
      <c r="A31" s="8">
        <f t="shared" si="2"/>
        <v>21</v>
      </c>
      <c r="B31" s="8" t="s">
        <v>330</v>
      </c>
      <c r="C31" s="383">
        <f t="shared" si="3"/>
        <v>5012.83</v>
      </c>
      <c r="D31" s="383"/>
      <c r="E31" s="383"/>
      <c r="F31" s="383"/>
      <c r="G31" s="383">
        <v>993.29</v>
      </c>
      <c r="H31" s="383"/>
      <c r="I31" s="383">
        <v>1531.33</v>
      </c>
      <c r="J31" s="383">
        <v>714.29</v>
      </c>
      <c r="K31" s="383">
        <v>41.379999999999995</v>
      </c>
      <c r="L31" s="383"/>
      <c r="M31" s="383"/>
      <c r="N31" s="383">
        <v>910.54</v>
      </c>
      <c r="O31" s="383"/>
      <c r="P31" s="383">
        <v>822</v>
      </c>
      <c r="Q31" s="383"/>
      <c r="R31" s="383"/>
      <c r="S31" s="383">
        <f t="shared" si="1"/>
        <v>5012.83</v>
      </c>
    </row>
    <row r="32" spans="1:19">
      <c r="A32" s="8">
        <f t="shared" si="2"/>
        <v>22</v>
      </c>
      <c r="B32" s="8" t="s">
        <v>331</v>
      </c>
      <c r="C32" s="383">
        <f t="shared" si="3"/>
        <v>49687.500000000015</v>
      </c>
      <c r="D32" s="383"/>
      <c r="E32" s="383"/>
      <c r="F32" s="383">
        <v>49687.500000000015</v>
      </c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>
        <f t="shared" si="1"/>
        <v>49687.500000000015</v>
      </c>
    </row>
    <row r="33" spans="1:19">
      <c r="A33" s="8">
        <f t="shared" si="2"/>
        <v>23</v>
      </c>
      <c r="B33" s="8" t="s">
        <v>332</v>
      </c>
      <c r="C33" s="383">
        <f t="shared" si="3"/>
        <v>7858.67</v>
      </c>
      <c r="D33" s="383"/>
      <c r="E33" s="383"/>
      <c r="F33" s="383">
        <v>7858.67</v>
      </c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>
        <f t="shared" si="1"/>
        <v>7858.67</v>
      </c>
    </row>
    <row r="34" spans="1:19">
      <c r="A34" s="8">
        <f t="shared" si="2"/>
        <v>24</v>
      </c>
      <c r="B34" s="8" t="s">
        <v>533</v>
      </c>
      <c r="C34" s="383">
        <f t="shared" si="3"/>
        <v>5000</v>
      </c>
      <c r="D34" s="383"/>
      <c r="E34" s="383"/>
      <c r="F34" s="383">
        <v>5000</v>
      </c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>
        <f t="shared" si="1"/>
        <v>5000</v>
      </c>
    </row>
    <row r="35" spans="1:19">
      <c r="A35" s="8">
        <f t="shared" si="2"/>
        <v>25</v>
      </c>
      <c r="B35" s="8" t="s">
        <v>333</v>
      </c>
      <c r="C35" s="383">
        <f t="shared" si="3"/>
        <v>81384.000000000015</v>
      </c>
      <c r="D35" s="383">
        <v>27960</v>
      </c>
      <c r="E35" s="383"/>
      <c r="F35" s="383"/>
      <c r="G35" s="383">
        <v>14161.280800087923</v>
      </c>
      <c r="H35" s="383"/>
      <c r="I35" s="383">
        <v>17076.356522694805</v>
      </c>
      <c r="J35" s="383">
        <v>9687.2629959336209</v>
      </c>
      <c r="K35" s="383">
        <v>740.93988350368193</v>
      </c>
      <c r="L35" s="383"/>
      <c r="M35" s="383"/>
      <c r="N35" s="383">
        <v>11758.159797779977</v>
      </c>
      <c r="O35" s="383"/>
      <c r="P35" s="383"/>
      <c r="Q35" s="383"/>
      <c r="R35" s="383"/>
      <c r="S35" s="383">
        <f t="shared" si="1"/>
        <v>53424.000000000007</v>
      </c>
    </row>
    <row r="36" spans="1:19">
      <c r="A36" s="8">
        <f t="shared" si="2"/>
        <v>26</v>
      </c>
      <c r="B36" s="8" t="s">
        <v>334</v>
      </c>
      <c r="C36" s="383">
        <f t="shared" si="3"/>
        <v>6225.8760000000011</v>
      </c>
      <c r="D36" s="383">
        <v>2138.94</v>
      </c>
      <c r="E36" s="383"/>
      <c r="F36" s="383"/>
      <c r="G36" s="383">
        <v>1083.337981206726</v>
      </c>
      <c r="H36" s="383"/>
      <c r="I36" s="383">
        <v>1306.3412739861526</v>
      </c>
      <c r="J36" s="383">
        <v>741.07561918892202</v>
      </c>
      <c r="K36" s="383">
        <v>56.681901088031665</v>
      </c>
      <c r="L36" s="383"/>
      <c r="M36" s="383"/>
      <c r="N36" s="383">
        <v>899.49922453016825</v>
      </c>
      <c r="O36" s="383"/>
      <c r="P36" s="383"/>
      <c r="Q36" s="383"/>
      <c r="R36" s="383"/>
      <c r="S36" s="383">
        <f t="shared" si="1"/>
        <v>4086.9360000000006</v>
      </c>
    </row>
    <row r="37" spans="1:19">
      <c r="A37" s="8">
        <f t="shared" si="2"/>
        <v>27</v>
      </c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</row>
    <row r="38" spans="1:19">
      <c r="A38" s="8">
        <f t="shared" si="2"/>
        <v>28</v>
      </c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</row>
    <row r="39" spans="1:19">
      <c r="A39" s="8">
        <f t="shared" si="2"/>
        <v>29</v>
      </c>
      <c r="C39" s="384">
        <f t="shared" ref="C39:R39" si="4">SUM(C11:C38)</f>
        <v>430191.16900000005</v>
      </c>
      <c r="D39" s="384">
        <f t="shared" si="4"/>
        <v>30448.94</v>
      </c>
      <c r="E39" s="384">
        <f t="shared" si="4"/>
        <v>0</v>
      </c>
      <c r="F39" s="384">
        <f t="shared" si="4"/>
        <v>62546.170000000013</v>
      </c>
      <c r="G39" s="384">
        <f t="shared" si="4"/>
        <v>29248.388781294649</v>
      </c>
      <c r="H39" s="384">
        <f t="shared" si="4"/>
        <v>0</v>
      </c>
      <c r="I39" s="384">
        <f t="shared" si="4"/>
        <v>35948.367796680956</v>
      </c>
      <c r="J39" s="384">
        <f t="shared" si="4"/>
        <v>16638.428615122546</v>
      </c>
      <c r="K39" s="384">
        <f t="shared" si="4"/>
        <v>1036.7917845917136</v>
      </c>
      <c r="L39" s="384">
        <f t="shared" si="4"/>
        <v>0</v>
      </c>
      <c r="M39" s="384">
        <f t="shared" si="4"/>
        <v>0</v>
      </c>
      <c r="N39" s="384">
        <f t="shared" si="4"/>
        <v>19713.899022310146</v>
      </c>
      <c r="O39" s="384">
        <f t="shared" si="4"/>
        <v>4446.41</v>
      </c>
      <c r="P39" s="384">
        <f t="shared" si="4"/>
        <v>116126.04300000001</v>
      </c>
      <c r="Q39" s="384">
        <f t="shared" si="4"/>
        <v>114037.73</v>
      </c>
      <c r="R39" s="384">
        <f t="shared" si="4"/>
        <v>121.09</v>
      </c>
      <c r="S39" s="384">
        <f>SUM(F39:R39)</f>
        <v>399863.31900000008</v>
      </c>
    </row>
    <row r="40" spans="1:19">
      <c r="A40" s="8">
        <f t="shared" si="2"/>
        <v>30</v>
      </c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>
        <v>0</v>
      </c>
      <c r="O40" s="383"/>
      <c r="P40" s="383"/>
      <c r="Q40" s="383"/>
      <c r="R40" s="383"/>
      <c r="S40" s="383"/>
    </row>
    <row r="41" spans="1:19">
      <c r="A41" s="8">
        <f t="shared" si="2"/>
        <v>31</v>
      </c>
      <c r="B41" s="8" t="s">
        <v>132</v>
      </c>
      <c r="C41" s="383">
        <v>0</v>
      </c>
      <c r="D41" s="383">
        <v>0</v>
      </c>
      <c r="E41" s="383">
        <v>0</v>
      </c>
      <c r="F41" s="383">
        <v>0</v>
      </c>
      <c r="G41" s="383">
        <v>0</v>
      </c>
      <c r="H41" s="383">
        <v>0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</row>
    <row r="42" spans="1:19">
      <c r="A42" s="8">
        <f t="shared" si="2"/>
        <v>32</v>
      </c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</row>
    <row r="43" spans="1:19">
      <c r="A43" s="8">
        <f t="shared" si="2"/>
        <v>33</v>
      </c>
      <c r="B43" s="8" t="s">
        <v>15</v>
      </c>
      <c r="C43" s="383">
        <f>C41-C39</f>
        <v>-430191.16900000005</v>
      </c>
      <c r="D43" s="383">
        <f t="shared" ref="D43:S43" si="5">D41-D39</f>
        <v>-30448.94</v>
      </c>
      <c r="E43" s="383">
        <f t="shared" si="5"/>
        <v>0</v>
      </c>
      <c r="F43" s="383">
        <f t="shared" si="5"/>
        <v>-62546.170000000013</v>
      </c>
      <c r="G43" s="383">
        <f t="shared" si="5"/>
        <v>-29248.388781294649</v>
      </c>
      <c r="H43" s="383">
        <f t="shared" si="5"/>
        <v>0</v>
      </c>
      <c r="I43" s="383">
        <f t="shared" si="5"/>
        <v>-35948.367796680956</v>
      </c>
      <c r="J43" s="383">
        <f t="shared" si="5"/>
        <v>-16638.428615122546</v>
      </c>
      <c r="K43" s="383">
        <f t="shared" si="5"/>
        <v>-1036.7917845917136</v>
      </c>
      <c r="L43" s="383">
        <f t="shared" si="5"/>
        <v>0</v>
      </c>
      <c r="M43" s="383">
        <f t="shared" si="5"/>
        <v>0</v>
      </c>
      <c r="N43" s="383">
        <f t="shared" si="5"/>
        <v>-19713.899022310146</v>
      </c>
      <c r="O43" s="383">
        <f t="shared" si="5"/>
        <v>-4446.41</v>
      </c>
      <c r="P43" s="383">
        <f t="shared" si="5"/>
        <v>-116126.04300000001</v>
      </c>
      <c r="Q43" s="383">
        <f t="shared" si="5"/>
        <v>-114037.73</v>
      </c>
      <c r="R43" s="383">
        <f t="shared" si="5"/>
        <v>-121.09</v>
      </c>
      <c r="S43" s="383">
        <f t="shared" si="5"/>
        <v>-399863.31900000008</v>
      </c>
    </row>
    <row r="46" spans="1:19">
      <c r="B46" s="97" t="s">
        <v>73</v>
      </c>
    </row>
    <row r="47" spans="1:19">
      <c r="B47" s="1" t="s">
        <v>74</v>
      </c>
      <c r="C47" s="8">
        <v>0</v>
      </c>
    </row>
    <row r="48" spans="1:19">
      <c r="B48" s="1" t="s">
        <v>75</v>
      </c>
      <c r="C48" s="19">
        <f>G43</f>
        <v>-29248.388781294649</v>
      </c>
    </row>
    <row r="49" spans="2:3">
      <c r="B49" s="1" t="s">
        <v>76</v>
      </c>
      <c r="C49" s="19">
        <f>H43+I43</f>
        <v>-35948.367796680956</v>
      </c>
    </row>
    <row r="50" spans="2:3">
      <c r="B50" s="1" t="s">
        <v>77</v>
      </c>
      <c r="C50" s="19">
        <f>J43</f>
        <v>-16638.428615122546</v>
      </c>
    </row>
    <row r="51" spans="2:3">
      <c r="B51" s="1" t="s">
        <v>78</v>
      </c>
      <c r="C51" s="19">
        <f>K43</f>
        <v>-1036.7917845917136</v>
      </c>
    </row>
    <row r="52" spans="2:3">
      <c r="B52" s="1" t="s">
        <v>79</v>
      </c>
      <c r="C52" s="19">
        <f>L43</f>
        <v>0</v>
      </c>
    </row>
    <row r="53" spans="2:3">
      <c r="B53" s="1" t="s">
        <v>80</v>
      </c>
      <c r="C53" s="19">
        <f>M43+N43+O43+P43+Q43+R43</f>
        <v>-254445.17202231011</v>
      </c>
    </row>
    <row r="54" spans="2:3">
      <c r="B54" s="8" t="s">
        <v>85</v>
      </c>
      <c r="C54" s="19">
        <f>F43</f>
        <v>-62546.170000000013</v>
      </c>
    </row>
    <row r="55" spans="2:3">
      <c r="B55" s="8" t="s">
        <v>687</v>
      </c>
      <c r="C55" s="8">
        <v>0</v>
      </c>
    </row>
    <row r="56" spans="2:3">
      <c r="B56" s="8" t="s">
        <v>14</v>
      </c>
      <c r="C56" s="382">
        <f>SUM(C47:C55)</f>
        <v>-399863.31900000002</v>
      </c>
    </row>
    <row r="57" spans="2:3">
      <c r="B57" s="8" t="s">
        <v>686</v>
      </c>
      <c r="C57" s="19">
        <f>C56-S43</f>
        <v>0</v>
      </c>
    </row>
  </sheetData>
  <mergeCells count="3">
    <mergeCell ref="A3:S3"/>
    <mergeCell ref="A4:S4"/>
    <mergeCell ref="A6:S6"/>
  </mergeCells>
  <pageMargins left="0.45" right="0.45" top="0.5" bottom="0.5" header="0.3" footer="0.3"/>
  <pageSetup scale="59" orientation="landscape" r:id="rId1"/>
  <ignoredErrors>
    <ignoredError sqref="H39 M3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748D-9752-4DC6-9E62-5EDB4B353BBE}">
  <sheetPr>
    <pageSetUpPr fitToPage="1"/>
  </sheetPr>
  <dimension ref="A1:H34"/>
  <sheetViews>
    <sheetView view="pageBreakPreview" zoomScaleNormal="100" zoomScaleSheetLayoutView="100" workbookViewId="0">
      <selection activeCell="H19" sqref="H19"/>
    </sheetView>
  </sheetViews>
  <sheetFormatPr defaultRowHeight="13.2"/>
  <cols>
    <col min="1" max="1" width="4" style="12" customWidth="1"/>
    <col min="2" max="2" width="58.5546875" style="8" customWidth="1"/>
    <col min="3" max="3" width="10.5546875" style="8" bestFit="1" customWidth="1"/>
    <col min="4" max="5" width="11.21875" style="8" bestFit="1" customWidth="1"/>
    <col min="6" max="6" width="10.77734375" style="8" bestFit="1" customWidth="1"/>
    <col min="7" max="7" width="12.33203125" style="8" bestFit="1" customWidth="1"/>
    <col min="8" max="8" width="12.5546875" style="8" customWidth="1"/>
    <col min="9" max="16384" width="8.88671875" style="8"/>
  </cols>
  <sheetData>
    <row r="1" spans="1:8">
      <c r="G1" s="4" t="s">
        <v>116</v>
      </c>
    </row>
    <row r="2" spans="1:8" ht="20.25" customHeight="1">
      <c r="F2" s="4"/>
    </row>
    <row r="3" spans="1:8">
      <c r="B3" s="432" t="str">
        <f>RevReq!A1</f>
        <v>KENERGY CORP.</v>
      </c>
      <c r="C3" s="432"/>
      <c r="D3" s="432"/>
      <c r="E3" s="432"/>
      <c r="F3" s="432"/>
      <c r="G3" s="432"/>
      <c r="H3" s="6"/>
    </row>
    <row r="4" spans="1:8">
      <c r="B4" s="432" t="str">
        <f>RevReq!A3</f>
        <v>For the 12 Months Ended February 28, 2023</v>
      </c>
      <c r="C4" s="432"/>
      <c r="D4" s="432"/>
      <c r="E4" s="432"/>
      <c r="F4" s="432"/>
      <c r="G4" s="432"/>
      <c r="H4" s="6"/>
    </row>
    <row r="6" spans="1:8" s="5" customFormat="1" ht="15" customHeight="1">
      <c r="A6" s="302"/>
      <c r="B6" s="429" t="str">
        <f>'Adj List'!C15</f>
        <v>Remove Broadband</v>
      </c>
      <c r="C6" s="429"/>
      <c r="D6" s="429"/>
      <c r="E6" s="429"/>
      <c r="F6" s="429"/>
      <c r="G6" s="429"/>
      <c r="H6" s="93"/>
    </row>
    <row r="8" spans="1:8">
      <c r="B8" s="7" t="s">
        <v>282</v>
      </c>
      <c r="C8" s="7" t="s">
        <v>283</v>
      </c>
      <c r="D8" s="7" t="s">
        <v>284</v>
      </c>
      <c r="E8" s="7" t="s">
        <v>285</v>
      </c>
      <c r="F8" s="7" t="s">
        <v>302</v>
      </c>
      <c r="G8" s="7" t="s">
        <v>303</v>
      </c>
    </row>
    <row r="9" spans="1:8">
      <c r="B9" s="150" t="s">
        <v>40</v>
      </c>
      <c r="C9" s="300">
        <v>582.4</v>
      </c>
      <c r="D9" s="300">
        <v>920.1</v>
      </c>
      <c r="E9" s="300">
        <v>923.4</v>
      </c>
      <c r="F9" s="9">
        <v>417</v>
      </c>
      <c r="G9" s="9" t="s">
        <v>43</v>
      </c>
    </row>
    <row r="10" spans="1:8">
      <c r="A10" s="12">
        <v>1</v>
      </c>
      <c r="B10" s="8" t="s">
        <v>455</v>
      </c>
      <c r="C10" s="151">
        <v>1569.7</v>
      </c>
      <c r="D10" s="151">
        <v>20516.190000000013</v>
      </c>
      <c r="E10" s="151">
        <v>92433.059999999983</v>
      </c>
      <c r="F10" s="151">
        <v>-5996.6300000000056</v>
      </c>
      <c r="G10" s="151">
        <f>SUM(C10:F10)</f>
        <v>108522.31999999999</v>
      </c>
    </row>
    <row r="11" spans="1:8">
      <c r="A11" s="12">
        <v>2</v>
      </c>
      <c r="B11" s="8" t="s">
        <v>456</v>
      </c>
      <c r="C11" s="20"/>
      <c r="D11" s="20"/>
      <c r="E11" s="20"/>
      <c r="F11" s="20">
        <v>887</v>
      </c>
      <c r="G11" s="20">
        <f t="shared" ref="G11" si="0">SUM(C11:F11)</f>
        <v>887</v>
      </c>
    </row>
    <row r="12" spans="1:8">
      <c r="A12" s="12">
        <v>3</v>
      </c>
      <c r="B12" s="8" t="s">
        <v>457</v>
      </c>
      <c r="C12" s="20"/>
      <c r="D12" s="20"/>
      <c r="E12" s="20"/>
      <c r="F12" s="20">
        <v>-68</v>
      </c>
      <c r="G12" s="20">
        <f>SUM(C12:F12)</f>
        <v>-68</v>
      </c>
    </row>
    <row r="13" spans="1:8">
      <c r="A13" s="12">
        <v>4</v>
      </c>
      <c r="B13" s="8" t="s">
        <v>458</v>
      </c>
      <c r="C13" s="20">
        <v>32.89</v>
      </c>
      <c r="D13" s="20">
        <v>371.6</v>
      </c>
      <c r="E13" s="20"/>
      <c r="F13" s="20"/>
      <c r="G13" s="20">
        <f t="shared" ref="G13:G14" si="1">SUM(C13:F13)</f>
        <v>404.49</v>
      </c>
    </row>
    <row r="14" spans="1:8">
      <c r="A14" s="12">
        <v>5</v>
      </c>
      <c r="B14" s="8" t="s">
        <v>459</v>
      </c>
      <c r="C14" s="20">
        <v>-2.66</v>
      </c>
      <c r="D14" s="20">
        <v>-28.84</v>
      </c>
      <c r="E14" s="20"/>
      <c r="F14" s="20"/>
      <c r="G14" s="20">
        <f t="shared" si="1"/>
        <v>-31.5</v>
      </c>
    </row>
    <row r="15" spans="1:8">
      <c r="A15" s="12">
        <v>6</v>
      </c>
      <c r="B15" s="8" t="s">
        <v>460</v>
      </c>
      <c r="C15" s="20"/>
      <c r="D15" s="20"/>
      <c r="E15" s="20"/>
      <c r="F15" s="20">
        <v>24.26</v>
      </c>
      <c r="G15" s="20">
        <f>SUM(C15:F15)</f>
        <v>24.26</v>
      </c>
    </row>
    <row r="16" spans="1:8">
      <c r="A16" s="12">
        <v>7</v>
      </c>
      <c r="B16" s="13" t="s">
        <v>14</v>
      </c>
      <c r="C16" s="304">
        <f>SUM(C10:C15)</f>
        <v>1599.93</v>
      </c>
      <c r="D16" s="304">
        <f t="shared" ref="D16:G16" si="2">SUM(D10:D15)</f>
        <v>20858.950000000012</v>
      </c>
      <c r="E16" s="304">
        <f t="shared" si="2"/>
        <v>92433.059999999983</v>
      </c>
      <c r="F16" s="304">
        <f t="shared" si="2"/>
        <v>-5153.3700000000053</v>
      </c>
      <c r="G16" s="304">
        <f t="shared" si="2"/>
        <v>109738.56999999999</v>
      </c>
    </row>
    <row r="17" spans="1:7">
      <c r="A17" s="12">
        <v>8</v>
      </c>
      <c r="C17" s="20"/>
      <c r="D17" s="20"/>
      <c r="E17" s="20"/>
      <c r="F17" s="20"/>
      <c r="G17" s="20"/>
    </row>
    <row r="18" spans="1:7">
      <c r="A18" s="12">
        <v>9</v>
      </c>
      <c r="B18" s="8" t="s">
        <v>650</v>
      </c>
      <c r="C18" s="303">
        <v>0</v>
      </c>
      <c r="D18" s="303">
        <v>0</v>
      </c>
      <c r="E18" s="303">
        <v>0</v>
      </c>
      <c r="F18" s="303">
        <v>0</v>
      </c>
      <c r="G18" s="303">
        <f>SUM(C18:F18)</f>
        <v>0</v>
      </c>
    </row>
    <row r="19" spans="1:7">
      <c r="A19" s="12">
        <v>10</v>
      </c>
      <c r="C19" s="303"/>
      <c r="D19" s="303"/>
      <c r="E19" s="303"/>
      <c r="F19" s="303"/>
      <c r="G19" s="303"/>
    </row>
    <row r="20" spans="1:7" ht="13.8" thickBot="1">
      <c r="A20" s="12">
        <v>11</v>
      </c>
      <c r="B20" s="305" t="s">
        <v>15</v>
      </c>
      <c r="C20" s="306">
        <f>C18-C16</f>
        <v>-1599.93</v>
      </c>
      <c r="D20" s="306">
        <f t="shared" ref="D20:G20" si="3">D18-D16</f>
        <v>-20858.950000000012</v>
      </c>
      <c r="E20" s="306">
        <f t="shared" si="3"/>
        <v>-92433.059999999983</v>
      </c>
      <c r="F20" s="306">
        <f t="shared" si="3"/>
        <v>5153.3700000000053</v>
      </c>
      <c r="G20" s="306">
        <f t="shared" si="3"/>
        <v>-109738.56999999999</v>
      </c>
    </row>
    <row r="21" spans="1:7" ht="13.8" thickTop="1"/>
    <row r="23" spans="1:7">
      <c r="B23" s="97" t="s">
        <v>73</v>
      </c>
    </row>
    <row r="24" spans="1:7">
      <c r="B24" s="1" t="s">
        <v>74</v>
      </c>
      <c r="C24" s="8">
        <v>0</v>
      </c>
    </row>
    <row r="25" spans="1:7">
      <c r="B25" s="1" t="s">
        <v>75</v>
      </c>
      <c r="C25" s="19">
        <f>C20</f>
        <v>-1599.93</v>
      </c>
    </row>
    <row r="26" spans="1:7">
      <c r="B26" s="1" t="s">
        <v>76</v>
      </c>
      <c r="C26" s="19">
        <v>0</v>
      </c>
    </row>
    <row r="27" spans="1:7">
      <c r="B27" s="1" t="s">
        <v>77</v>
      </c>
      <c r="C27" s="19">
        <v>0</v>
      </c>
    </row>
    <row r="28" spans="1:7">
      <c r="B28" s="1" t="s">
        <v>78</v>
      </c>
      <c r="C28" s="19">
        <v>0</v>
      </c>
    </row>
    <row r="29" spans="1:7">
      <c r="B29" s="1" t="s">
        <v>79</v>
      </c>
      <c r="C29" s="19">
        <v>0</v>
      </c>
    </row>
    <row r="30" spans="1:7">
      <c r="B30" s="1" t="s">
        <v>80</v>
      </c>
      <c r="C30" s="19">
        <f>D20+E20</f>
        <v>-113292.01</v>
      </c>
    </row>
    <row r="31" spans="1:7">
      <c r="B31" s="1" t="s">
        <v>85</v>
      </c>
      <c r="C31" s="19">
        <v>0</v>
      </c>
    </row>
    <row r="32" spans="1:7">
      <c r="B32" s="8" t="s">
        <v>687</v>
      </c>
      <c r="C32" s="301">
        <f>F20</f>
        <v>5153.3700000000053</v>
      </c>
    </row>
    <row r="33" spans="2:3">
      <c r="B33" s="8" t="s">
        <v>14</v>
      </c>
      <c r="C33" s="382">
        <f>SUM(C24:C32)</f>
        <v>-109738.56999999998</v>
      </c>
    </row>
    <row r="34" spans="2:3">
      <c r="B34" s="8" t="s">
        <v>686</v>
      </c>
      <c r="C34" s="19">
        <f>C33-G20</f>
        <v>0</v>
      </c>
    </row>
  </sheetData>
  <mergeCells count="3">
    <mergeCell ref="B3:G3"/>
    <mergeCell ref="B4:G4"/>
    <mergeCell ref="B6:G6"/>
  </mergeCells>
  <phoneticPr fontId="30" type="noConversion"/>
  <pageMargins left="0.7" right="0.7" top="0.75" bottom="0.75" header="0.3" footer="0.3"/>
  <pageSetup orientation="landscape" r:id="rId1"/>
  <ignoredErrors>
    <ignoredError sqref="C16:F1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D5EA1-D78C-4F12-A8F6-9EB2A0E8EF10}">
  <sheetPr>
    <pageSetUpPr fitToPage="1"/>
  </sheetPr>
  <dimension ref="A1:L70"/>
  <sheetViews>
    <sheetView view="pageBreakPreview" zoomScaleNormal="100" zoomScaleSheetLayoutView="100" workbookViewId="0">
      <selection activeCell="A6" sqref="A6:I6"/>
    </sheetView>
  </sheetViews>
  <sheetFormatPr defaultRowHeight="13.2"/>
  <cols>
    <col min="1" max="1" width="9" style="164" bestFit="1" customWidth="1"/>
    <col min="2" max="2" width="13.44140625" style="164" customWidth="1"/>
    <col min="3" max="3" width="18.21875" style="164" bestFit="1" customWidth="1"/>
    <col min="4" max="4" width="20.5546875" style="164" bestFit="1" customWidth="1"/>
    <col min="5" max="5" width="2.33203125" style="164" customWidth="1"/>
    <col min="6" max="6" width="11.44140625" style="164" bestFit="1" customWidth="1"/>
    <col min="7" max="7" width="12.5546875" style="164" bestFit="1" customWidth="1"/>
    <col min="8" max="8" width="13.5546875" style="164" bestFit="1" customWidth="1"/>
    <col min="9" max="9" width="12.21875" style="164" bestFit="1" customWidth="1"/>
    <col min="10" max="12" width="12.109375" style="164" customWidth="1"/>
    <col min="13" max="16384" width="8.88671875" style="164"/>
  </cols>
  <sheetData>
    <row r="1" spans="1:12" s="8" customFormat="1">
      <c r="A1" s="12"/>
      <c r="I1" s="4" t="s">
        <v>649</v>
      </c>
    </row>
    <row r="2" spans="1:12" s="8" customFormat="1" ht="20.25" customHeight="1">
      <c r="A2" s="12"/>
      <c r="F2" s="4"/>
    </row>
    <row r="3" spans="1:12" s="8" customFormat="1">
      <c r="A3" s="432" t="str">
        <f>RevReq!A1</f>
        <v>KENERGY CORP.</v>
      </c>
      <c r="B3" s="432"/>
      <c r="C3" s="432"/>
      <c r="D3" s="432"/>
      <c r="E3" s="432"/>
      <c r="F3" s="432"/>
      <c r="G3" s="432"/>
      <c r="H3" s="432"/>
      <c r="I3" s="432"/>
    </row>
    <row r="4" spans="1:12" s="8" customFormat="1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  <c r="H4" s="432"/>
      <c r="I4" s="432"/>
    </row>
    <row r="5" spans="1:12" s="8" customFormat="1">
      <c r="A5" s="12"/>
    </row>
    <row r="6" spans="1:12" s="5" customFormat="1" ht="15" customHeight="1">
      <c r="A6" s="429" t="str">
        <f>'Adj List'!C16</f>
        <v>Interest on LTD</v>
      </c>
      <c r="B6" s="429"/>
      <c r="C6" s="429"/>
      <c r="D6" s="429"/>
      <c r="E6" s="429"/>
      <c r="F6" s="429"/>
      <c r="G6" s="429"/>
      <c r="H6" s="429"/>
      <c r="I6" s="429"/>
    </row>
    <row r="8" spans="1:12">
      <c r="A8" s="182" t="s">
        <v>0</v>
      </c>
      <c r="B8" s="182" t="s">
        <v>542</v>
      </c>
      <c r="C8" s="158" t="s">
        <v>282</v>
      </c>
      <c r="D8" s="158" t="s">
        <v>283</v>
      </c>
      <c r="E8" s="158"/>
      <c r="F8" s="158" t="s">
        <v>284</v>
      </c>
      <c r="G8" s="158" t="s">
        <v>285</v>
      </c>
      <c r="H8" s="158" t="s">
        <v>302</v>
      </c>
      <c r="I8" s="158" t="s">
        <v>303</v>
      </c>
      <c r="J8" s="158"/>
      <c r="K8" s="158"/>
      <c r="L8" s="158"/>
    </row>
    <row r="9" spans="1:12">
      <c r="A9" s="182" t="s">
        <v>386</v>
      </c>
      <c r="B9" s="182" t="s">
        <v>386</v>
      </c>
      <c r="C9" s="158"/>
      <c r="D9" s="158"/>
      <c r="E9" s="158"/>
      <c r="F9" s="182"/>
      <c r="G9" s="158"/>
      <c r="H9" s="158"/>
      <c r="I9" s="158"/>
      <c r="J9" s="158"/>
      <c r="K9" s="158"/>
      <c r="L9" s="158"/>
    </row>
    <row r="10" spans="1:12">
      <c r="A10" s="158"/>
      <c r="C10" s="182" t="s">
        <v>543</v>
      </c>
      <c r="F10" s="182"/>
      <c r="G10" s="182" t="s">
        <v>369</v>
      </c>
      <c r="H10" s="182" t="s">
        <v>544</v>
      </c>
    </row>
    <row r="11" spans="1:12">
      <c r="A11" s="158"/>
      <c r="C11" s="183" t="s">
        <v>545</v>
      </c>
      <c r="D11" s="183" t="s">
        <v>249</v>
      </c>
      <c r="E11" s="183"/>
      <c r="F11" s="183" t="s">
        <v>91</v>
      </c>
      <c r="G11" s="183" t="s">
        <v>250</v>
      </c>
      <c r="H11" s="183" t="s">
        <v>250</v>
      </c>
      <c r="I11" s="183" t="s">
        <v>15</v>
      </c>
      <c r="J11" s="182"/>
      <c r="K11" s="182"/>
      <c r="L11" s="182"/>
    </row>
    <row r="12" spans="1:12">
      <c r="A12" s="158">
        <v>1</v>
      </c>
      <c r="B12" s="158" t="s">
        <v>251</v>
      </c>
      <c r="C12" s="123">
        <v>515118.81</v>
      </c>
      <c r="D12" s="158" t="s">
        <v>252</v>
      </c>
      <c r="E12" s="158"/>
      <c r="F12" s="193">
        <v>2.75E-2</v>
      </c>
      <c r="G12" s="124">
        <f t="shared" ref="G12:G20" si="0">ROUND(C12*F12,0)</f>
        <v>14166</v>
      </c>
      <c r="H12" s="141"/>
      <c r="I12" s="327"/>
      <c r="J12" s="327"/>
      <c r="K12" s="327"/>
      <c r="L12" s="327"/>
    </row>
    <row r="13" spans="1:12">
      <c r="A13" s="158">
        <f>A12+1</f>
        <v>2</v>
      </c>
      <c r="B13" s="158" t="s">
        <v>253</v>
      </c>
      <c r="C13" s="123">
        <v>142.69999999999999</v>
      </c>
      <c r="D13" s="158" t="s">
        <v>252</v>
      </c>
      <c r="E13" s="158"/>
      <c r="F13" s="193">
        <v>1.125E-2</v>
      </c>
      <c r="G13" s="124">
        <f t="shared" si="0"/>
        <v>2</v>
      </c>
      <c r="H13" s="141"/>
      <c r="I13" s="327"/>
      <c r="J13" s="327"/>
      <c r="K13" s="327"/>
      <c r="L13" s="327"/>
    </row>
    <row r="14" spans="1:12">
      <c r="A14" s="158">
        <f t="shared" ref="A14:A56" si="1">A13+1</f>
        <v>3</v>
      </c>
      <c r="B14" s="158" t="s">
        <v>254</v>
      </c>
      <c r="C14" s="123">
        <v>487545.85</v>
      </c>
      <c r="D14" s="158" t="s">
        <v>252</v>
      </c>
      <c r="E14" s="158"/>
      <c r="F14" s="193">
        <v>1.125E-2</v>
      </c>
      <c r="G14" s="124">
        <f t="shared" si="0"/>
        <v>5485</v>
      </c>
      <c r="H14" s="141"/>
      <c r="I14" s="327"/>
      <c r="J14" s="327"/>
      <c r="K14" s="327"/>
      <c r="L14" s="327"/>
    </row>
    <row r="15" spans="1:12">
      <c r="A15" s="158">
        <f t="shared" si="1"/>
        <v>4</v>
      </c>
      <c r="B15" s="158" t="s">
        <v>255</v>
      </c>
      <c r="C15" s="123">
        <v>786640.79</v>
      </c>
      <c r="D15" s="158" t="s">
        <v>252</v>
      </c>
      <c r="E15" s="158"/>
      <c r="F15" s="193">
        <v>7.4999999999999997E-3</v>
      </c>
      <c r="G15" s="124">
        <f t="shared" si="0"/>
        <v>5900</v>
      </c>
      <c r="H15" s="141"/>
      <c r="I15" s="327"/>
      <c r="J15" s="327"/>
      <c r="K15" s="327"/>
      <c r="L15" s="327"/>
    </row>
    <row r="16" spans="1:12">
      <c r="A16" s="158">
        <f t="shared" si="1"/>
        <v>5</v>
      </c>
      <c r="B16" s="158" t="s">
        <v>256</v>
      </c>
      <c r="C16" s="123">
        <v>8509834.2100000009</v>
      </c>
      <c r="D16" s="158" t="s">
        <v>252</v>
      </c>
      <c r="E16" s="158"/>
      <c r="F16" s="193">
        <v>2.8750000000000001E-2</v>
      </c>
      <c r="G16" s="124">
        <f t="shared" si="0"/>
        <v>244658</v>
      </c>
      <c r="H16" s="141"/>
      <c r="I16" s="327"/>
      <c r="J16" s="327"/>
      <c r="K16" s="327"/>
      <c r="L16" s="327"/>
    </row>
    <row r="17" spans="1:12">
      <c r="A17" s="158">
        <f t="shared" si="1"/>
        <v>6</v>
      </c>
      <c r="B17" s="158" t="s">
        <v>257</v>
      </c>
      <c r="C17" s="123">
        <v>5849699.2199999997</v>
      </c>
      <c r="D17" s="158" t="s">
        <v>252</v>
      </c>
      <c r="E17" s="158"/>
      <c r="F17" s="193">
        <v>0.02</v>
      </c>
      <c r="G17" s="124">
        <f t="shared" si="0"/>
        <v>116994</v>
      </c>
      <c r="H17" s="141"/>
      <c r="I17" s="327"/>
      <c r="J17" s="327"/>
      <c r="K17" s="327"/>
      <c r="L17" s="327"/>
    </row>
    <row r="18" spans="1:12">
      <c r="A18" s="158">
        <f t="shared" si="1"/>
        <v>7</v>
      </c>
      <c r="B18" s="158" t="s">
        <v>258</v>
      </c>
      <c r="C18" s="123">
        <v>3128591.91</v>
      </c>
      <c r="D18" s="158" t="s">
        <v>252</v>
      </c>
      <c r="E18" s="158"/>
      <c r="F18" s="193">
        <v>0.02</v>
      </c>
      <c r="G18" s="124">
        <f t="shared" si="0"/>
        <v>62572</v>
      </c>
      <c r="H18" s="141"/>
      <c r="I18" s="327"/>
      <c r="J18" s="327"/>
      <c r="K18" s="327"/>
      <c r="L18" s="327"/>
    </row>
    <row r="19" spans="1:12">
      <c r="A19" s="158">
        <f t="shared" si="1"/>
        <v>8</v>
      </c>
      <c r="B19" s="158" t="s">
        <v>259</v>
      </c>
      <c r="C19" s="123">
        <v>4007500.74</v>
      </c>
      <c r="D19" s="158" t="s">
        <v>252</v>
      </c>
      <c r="E19" s="158"/>
      <c r="F19" s="193">
        <v>1.6250000000000001E-2</v>
      </c>
      <c r="G19" s="124">
        <f t="shared" si="0"/>
        <v>65122</v>
      </c>
      <c r="H19" s="141"/>
      <c r="I19" s="327"/>
      <c r="J19" s="327"/>
      <c r="K19" s="327"/>
      <c r="L19" s="327"/>
    </row>
    <row r="20" spans="1:12">
      <c r="A20" s="158">
        <f t="shared" si="1"/>
        <v>9</v>
      </c>
      <c r="B20" s="158" t="s">
        <v>260</v>
      </c>
      <c r="C20" s="125">
        <v>4589548.1100000003</v>
      </c>
      <c r="D20" s="158" t="s">
        <v>252</v>
      </c>
      <c r="E20" s="158"/>
      <c r="F20" s="193">
        <v>2.5000000000000001E-3</v>
      </c>
      <c r="G20" s="124">
        <f t="shared" si="0"/>
        <v>11474</v>
      </c>
      <c r="H20" s="141"/>
      <c r="I20" s="327"/>
      <c r="J20" s="327"/>
      <c r="K20" s="327"/>
      <c r="L20" s="327"/>
    </row>
    <row r="21" spans="1:12">
      <c r="A21" s="158">
        <f t="shared" si="1"/>
        <v>10</v>
      </c>
      <c r="C21" s="187">
        <f>SUM(C12:C20)</f>
        <v>27874622.340000004</v>
      </c>
      <c r="D21" s="182" t="s">
        <v>261</v>
      </c>
      <c r="E21" s="182"/>
      <c r="F21" s="158"/>
      <c r="G21" s="188">
        <f>SUM(G12:G20)</f>
        <v>526373</v>
      </c>
      <c r="H21" s="189">
        <f>349674.9+40678.04</f>
        <v>390352.94</v>
      </c>
      <c r="I21" s="190">
        <f>G21-H21</f>
        <v>136020.06</v>
      </c>
      <c r="J21" s="399"/>
      <c r="K21" s="399"/>
      <c r="L21" s="399"/>
    </row>
    <row r="22" spans="1:12">
      <c r="A22" s="158">
        <f t="shared" si="1"/>
        <v>11</v>
      </c>
      <c r="C22" s="127"/>
      <c r="D22" s="182"/>
      <c r="E22" s="182"/>
      <c r="F22" s="266"/>
      <c r="G22" s="128"/>
      <c r="H22" s="138"/>
      <c r="I22" s="138"/>
      <c r="J22" s="138"/>
      <c r="K22" s="138"/>
      <c r="L22" s="138"/>
    </row>
    <row r="23" spans="1:12">
      <c r="A23" s="158">
        <f t="shared" si="1"/>
        <v>12</v>
      </c>
      <c r="B23" s="158" t="s">
        <v>263</v>
      </c>
      <c r="C23" s="129">
        <v>5565006.5300000003</v>
      </c>
      <c r="D23" s="158" t="s">
        <v>262</v>
      </c>
      <c r="E23" s="158"/>
      <c r="F23" s="130">
        <v>2.4220000000000002E-2</v>
      </c>
      <c r="G23" s="131">
        <f t="shared" ref="G23:G35" si="2">ROUND(C23*F23,0)</f>
        <v>134784</v>
      </c>
      <c r="H23" s="138"/>
      <c r="I23" s="138"/>
      <c r="J23" s="138"/>
      <c r="K23" s="138"/>
      <c r="L23" s="138"/>
    </row>
    <row r="24" spans="1:12">
      <c r="A24" s="158">
        <f t="shared" si="1"/>
        <v>13</v>
      </c>
      <c r="B24" s="158" t="s">
        <v>264</v>
      </c>
      <c r="C24" s="129">
        <v>4127855.92</v>
      </c>
      <c r="D24" s="158" t="s">
        <v>262</v>
      </c>
      <c r="E24" s="158"/>
      <c r="F24" s="130">
        <v>2.6069999999999999E-2</v>
      </c>
      <c r="G24" s="131">
        <f t="shared" si="2"/>
        <v>107613</v>
      </c>
      <c r="H24" s="138"/>
      <c r="I24" s="138"/>
      <c r="J24" s="138"/>
      <c r="K24" s="138"/>
      <c r="L24" s="138"/>
    </row>
    <row r="25" spans="1:12">
      <c r="A25" s="158">
        <f t="shared" si="1"/>
        <v>14</v>
      </c>
      <c r="B25" s="158" t="s">
        <v>265</v>
      </c>
      <c r="C25" s="129">
        <v>338461.16</v>
      </c>
      <c r="D25" s="158" t="s">
        <v>262</v>
      </c>
      <c r="E25" s="158"/>
      <c r="F25" s="130">
        <v>2.5650000000000003E-2</v>
      </c>
      <c r="G25" s="131">
        <f t="shared" si="2"/>
        <v>8682</v>
      </c>
      <c r="H25" s="138"/>
      <c r="I25" s="138"/>
      <c r="J25" s="138"/>
      <c r="K25" s="138"/>
      <c r="L25" s="138"/>
    </row>
    <row r="26" spans="1:12">
      <c r="A26" s="158">
        <f t="shared" si="1"/>
        <v>15</v>
      </c>
      <c r="B26" s="158" t="s">
        <v>266</v>
      </c>
      <c r="C26" s="129">
        <v>5643825.5899999999</v>
      </c>
      <c r="D26" s="158" t="s">
        <v>262</v>
      </c>
      <c r="E26" s="158"/>
      <c r="F26" s="130">
        <v>2.3790000000000002E-2</v>
      </c>
      <c r="G26" s="131">
        <f t="shared" si="2"/>
        <v>134267</v>
      </c>
      <c r="H26" s="138"/>
      <c r="I26" s="138"/>
      <c r="J26" s="138"/>
      <c r="K26" s="138"/>
      <c r="L26" s="138"/>
    </row>
    <row r="27" spans="1:12">
      <c r="A27" s="158">
        <f t="shared" si="1"/>
        <v>16</v>
      </c>
      <c r="B27" s="158" t="s">
        <v>267</v>
      </c>
      <c r="C27" s="129">
        <v>10012039.18</v>
      </c>
      <c r="D27" s="158" t="s">
        <v>262</v>
      </c>
      <c r="E27" s="158"/>
      <c r="F27" s="130">
        <v>2.911E-2</v>
      </c>
      <c r="G27" s="131">
        <f t="shared" si="2"/>
        <v>291450</v>
      </c>
      <c r="H27" s="138"/>
      <c r="I27" s="138"/>
      <c r="J27" s="138"/>
      <c r="K27" s="138"/>
      <c r="L27" s="138"/>
    </row>
    <row r="28" spans="1:12">
      <c r="A28" s="158">
        <f t="shared" si="1"/>
        <v>17</v>
      </c>
      <c r="B28" s="158" t="s">
        <v>268</v>
      </c>
      <c r="C28" s="129">
        <v>6804726.79</v>
      </c>
      <c r="D28" s="158" t="s">
        <v>262</v>
      </c>
      <c r="E28" s="158"/>
      <c r="F28" s="130">
        <v>3.1030000000000002E-2</v>
      </c>
      <c r="G28" s="131">
        <f t="shared" si="2"/>
        <v>211151</v>
      </c>
      <c r="H28" s="138"/>
      <c r="I28" s="138"/>
      <c r="J28" s="138"/>
      <c r="K28" s="138"/>
      <c r="L28" s="138"/>
    </row>
    <row r="29" spans="1:12">
      <c r="A29" s="158">
        <f t="shared" si="1"/>
        <v>18</v>
      </c>
      <c r="B29" s="158" t="s">
        <v>269</v>
      </c>
      <c r="C29" s="129">
        <v>9329203.5999999996</v>
      </c>
      <c r="D29" s="158" t="s">
        <v>262</v>
      </c>
      <c r="E29" s="158"/>
      <c r="F29" s="130">
        <v>2.9920000000000002E-2</v>
      </c>
      <c r="G29" s="131">
        <f t="shared" si="2"/>
        <v>279130</v>
      </c>
      <c r="H29" s="138"/>
      <c r="I29" s="138"/>
      <c r="J29" s="138"/>
      <c r="K29" s="138"/>
      <c r="L29" s="138"/>
    </row>
    <row r="30" spans="1:12">
      <c r="A30" s="158">
        <f t="shared" si="1"/>
        <v>19</v>
      </c>
      <c r="B30" s="158" t="s">
        <v>270</v>
      </c>
      <c r="C30" s="129">
        <v>7607340.4100000001</v>
      </c>
      <c r="D30" s="158" t="s">
        <v>262</v>
      </c>
      <c r="E30" s="158"/>
      <c r="F30" s="130">
        <v>2.2620000000000001E-2</v>
      </c>
      <c r="G30" s="131">
        <f t="shared" si="2"/>
        <v>172078</v>
      </c>
      <c r="H30" s="138"/>
      <c r="I30" s="138"/>
      <c r="J30" s="138"/>
      <c r="K30" s="138"/>
      <c r="L30" s="138"/>
    </row>
    <row r="31" spans="1:12">
      <c r="A31" s="158">
        <f t="shared" si="1"/>
        <v>20</v>
      </c>
      <c r="B31" s="158" t="s">
        <v>271</v>
      </c>
      <c r="C31" s="129">
        <v>7399513.0599999996</v>
      </c>
      <c r="D31" s="158" t="s">
        <v>262</v>
      </c>
      <c r="E31" s="158"/>
      <c r="F31" s="130">
        <v>2.81E-2</v>
      </c>
      <c r="G31" s="131">
        <f t="shared" si="2"/>
        <v>207926</v>
      </c>
      <c r="H31" s="138"/>
      <c r="I31" s="138"/>
      <c r="J31" s="138"/>
      <c r="K31" s="138"/>
      <c r="L31" s="138"/>
    </row>
    <row r="32" spans="1:12">
      <c r="A32" s="158">
        <f t="shared" si="1"/>
        <v>21</v>
      </c>
      <c r="B32" s="158" t="s">
        <v>272</v>
      </c>
      <c r="C32" s="129">
        <v>7423688.3300000001</v>
      </c>
      <c r="D32" s="158" t="s">
        <v>262</v>
      </c>
      <c r="E32" s="158"/>
      <c r="F32" s="130">
        <v>3.0520000000000002E-2</v>
      </c>
      <c r="G32" s="131">
        <f t="shared" si="2"/>
        <v>226571</v>
      </c>
      <c r="H32" s="138"/>
      <c r="I32" s="138"/>
      <c r="J32" s="138"/>
      <c r="K32" s="138"/>
      <c r="L32" s="138"/>
    </row>
    <row r="33" spans="1:12">
      <c r="A33" s="158">
        <f t="shared" si="1"/>
        <v>22</v>
      </c>
      <c r="B33" s="158" t="s">
        <v>273</v>
      </c>
      <c r="C33" s="129">
        <v>7420830.2400000002</v>
      </c>
      <c r="D33" s="158" t="s">
        <v>262</v>
      </c>
      <c r="E33" s="158"/>
      <c r="F33" s="130">
        <v>2.5690000000000001E-2</v>
      </c>
      <c r="G33" s="131">
        <f t="shared" si="2"/>
        <v>190641</v>
      </c>
      <c r="H33" s="138"/>
      <c r="I33" s="138"/>
      <c r="J33" s="138"/>
      <c r="K33" s="138"/>
      <c r="L33" s="138"/>
    </row>
    <row r="34" spans="1:12">
      <c r="A34" s="158">
        <f t="shared" si="1"/>
        <v>23</v>
      </c>
      <c r="B34" s="158" t="s">
        <v>546</v>
      </c>
      <c r="C34" s="129">
        <v>7418497.0199999996</v>
      </c>
      <c r="D34" s="158" t="s">
        <v>262</v>
      </c>
      <c r="E34" s="158"/>
      <c r="F34" s="130">
        <v>1.252E-2</v>
      </c>
      <c r="G34" s="131">
        <f t="shared" si="2"/>
        <v>92880</v>
      </c>
      <c r="H34" s="138"/>
      <c r="I34" s="138"/>
      <c r="J34" s="138"/>
      <c r="K34" s="138"/>
      <c r="L34" s="138"/>
    </row>
    <row r="35" spans="1:12">
      <c r="A35" s="158">
        <f t="shared" si="1"/>
        <v>24</v>
      </c>
      <c r="B35" s="158" t="s">
        <v>547</v>
      </c>
      <c r="C35" s="125">
        <v>8750000</v>
      </c>
      <c r="D35" s="158" t="s">
        <v>262</v>
      </c>
      <c r="E35" s="158"/>
      <c r="F35" s="130">
        <v>3.7880000000000004E-2</v>
      </c>
      <c r="G35" s="126">
        <f t="shared" si="2"/>
        <v>331450</v>
      </c>
      <c r="H35" s="138"/>
      <c r="I35" s="138"/>
      <c r="J35" s="138"/>
      <c r="K35" s="138"/>
      <c r="L35" s="138"/>
    </row>
    <row r="36" spans="1:12">
      <c r="A36" s="158">
        <f t="shared" si="1"/>
        <v>25</v>
      </c>
      <c r="B36" s="158"/>
      <c r="C36" s="187">
        <f>SUM(C23:C35)</f>
        <v>87840987.829999983</v>
      </c>
      <c r="D36" s="182" t="s">
        <v>274</v>
      </c>
      <c r="E36" s="182"/>
      <c r="F36" s="193"/>
      <c r="G36" s="191">
        <f>SUM(G23:G35)</f>
        <v>2388623</v>
      </c>
      <c r="H36" s="192">
        <v>2136771.2999999998</v>
      </c>
      <c r="I36" s="190">
        <f>G36-H36</f>
        <v>251851.70000000019</v>
      </c>
      <c r="J36" s="138"/>
      <c r="K36" s="138"/>
      <c r="L36" s="138"/>
    </row>
    <row r="37" spans="1:12">
      <c r="A37" s="158">
        <f t="shared" si="1"/>
        <v>26</v>
      </c>
      <c r="B37" s="158"/>
      <c r="C37" s="132"/>
      <c r="D37" s="182"/>
      <c r="E37" s="182"/>
      <c r="F37" s="193"/>
      <c r="G37" s="128"/>
      <c r="H37" s="138"/>
      <c r="I37" s="138"/>
      <c r="J37" s="138"/>
      <c r="K37" s="138"/>
      <c r="L37" s="138"/>
    </row>
    <row r="38" spans="1:12">
      <c r="A38" s="158">
        <f t="shared" si="1"/>
        <v>27</v>
      </c>
      <c r="B38" s="158" t="s">
        <v>548</v>
      </c>
      <c r="C38" s="129">
        <v>987738.27</v>
      </c>
      <c r="D38" s="158" t="s">
        <v>275</v>
      </c>
      <c r="E38" s="158"/>
      <c r="F38" s="193">
        <v>6.3500000000000001E-2</v>
      </c>
      <c r="G38" s="131">
        <f t="shared" ref="G38:G44" si="3">ROUND(C38*F38,0)</f>
        <v>62721</v>
      </c>
      <c r="H38" s="138"/>
      <c r="I38" s="138"/>
      <c r="J38" s="138"/>
      <c r="K38" s="138"/>
      <c r="L38" s="138"/>
    </row>
    <row r="39" spans="1:12">
      <c r="A39" s="158">
        <f t="shared" si="1"/>
        <v>28</v>
      </c>
      <c r="B39" s="158" t="s">
        <v>549</v>
      </c>
      <c r="C39" s="135">
        <v>488642.77</v>
      </c>
      <c r="D39" s="158" t="s">
        <v>275</v>
      </c>
      <c r="E39" s="158"/>
      <c r="F39" s="193">
        <v>2.9700000000000001E-2</v>
      </c>
      <c r="G39" s="136">
        <f t="shared" si="3"/>
        <v>14513</v>
      </c>
      <c r="H39" s="138"/>
      <c r="I39" s="138"/>
      <c r="J39" s="138"/>
      <c r="K39" s="138"/>
      <c r="L39" s="138"/>
    </row>
    <row r="40" spans="1:12">
      <c r="A40" s="158">
        <f t="shared" si="1"/>
        <v>29</v>
      </c>
      <c r="B40" s="158" t="s">
        <v>550</v>
      </c>
      <c r="C40" s="135">
        <v>602952.72</v>
      </c>
      <c r="D40" s="158" t="s">
        <v>275</v>
      </c>
      <c r="E40" s="158"/>
      <c r="F40" s="193">
        <v>2.4400000000000002E-2</v>
      </c>
      <c r="G40" s="136">
        <f t="shared" si="3"/>
        <v>14712</v>
      </c>
      <c r="H40" s="138"/>
      <c r="I40" s="138"/>
      <c r="J40" s="138"/>
      <c r="K40" s="138"/>
      <c r="L40" s="138"/>
    </row>
    <row r="41" spans="1:12">
      <c r="A41" s="158">
        <f t="shared" si="1"/>
        <v>30</v>
      </c>
      <c r="B41" s="158" t="s">
        <v>551</v>
      </c>
      <c r="C41" s="135">
        <v>328023</v>
      </c>
      <c r="D41" s="158" t="s">
        <v>275</v>
      </c>
      <c r="E41" s="158"/>
      <c r="F41" s="193">
        <v>5.3600000000000002E-2</v>
      </c>
      <c r="G41" s="136">
        <f t="shared" si="3"/>
        <v>17582</v>
      </c>
      <c r="H41" s="138"/>
      <c r="I41" s="138"/>
      <c r="J41" s="138"/>
      <c r="K41" s="138"/>
      <c r="L41" s="138"/>
    </row>
    <row r="42" spans="1:12">
      <c r="A42" s="158">
        <f t="shared" si="1"/>
        <v>31</v>
      </c>
      <c r="B42" s="158" t="s">
        <v>552</v>
      </c>
      <c r="C42" s="135">
        <v>983022.9</v>
      </c>
      <c r="D42" s="158" t="s">
        <v>275</v>
      </c>
      <c r="E42" s="158"/>
      <c r="F42" s="193">
        <v>6.3E-2</v>
      </c>
      <c r="G42" s="136">
        <f t="shared" si="3"/>
        <v>61930</v>
      </c>
      <c r="H42" s="138"/>
      <c r="I42" s="138"/>
      <c r="J42" s="138"/>
      <c r="K42" s="138"/>
      <c r="L42" s="138"/>
    </row>
    <row r="43" spans="1:12">
      <c r="A43" s="158">
        <f t="shared" si="1"/>
        <v>32</v>
      </c>
      <c r="B43" s="158" t="s">
        <v>553</v>
      </c>
      <c r="C43" s="135">
        <v>118366.02</v>
      </c>
      <c r="D43" s="158" t="s">
        <v>275</v>
      </c>
      <c r="E43" s="158"/>
      <c r="F43" s="193">
        <v>4.4999999999999998E-2</v>
      </c>
      <c r="G43" s="136">
        <f t="shared" si="3"/>
        <v>5326</v>
      </c>
      <c r="H43" s="138"/>
      <c r="I43" s="138"/>
      <c r="J43" s="138"/>
      <c r="K43" s="138"/>
      <c r="L43" s="138"/>
    </row>
    <row r="44" spans="1:12">
      <c r="A44" s="158">
        <f t="shared" si="1"/>
        <v>33</v>
      </c>
      <c r="B44" s="158" t="s">
        <v>554</v>
      </c>
      <c r="C44" s="135">
        <v>426769.76</v>
      </c>
      <c r="D44" s="158" t="s">
        <v>275</v>
      </c>
      <c r="E44" s="158"/>
      <c r="F44" s="193">
        <v>4.4999999999999998E-2</v>
      </c>
      <c r="G44" s="136">
        <f t="shared" si="3"/>
        <v>19205</v>
      </c>
      <c r="H44" s="138"/>
      <c r="I44" s="138"/>
      <c r="J44" s="138"/>
      <c r="K44" s="138"/>
      <c r="L44" s="138"/>
    </row>
    <row r="45" spans="1:12">
      <c r="A45" s="158">
        <f t="shared" si="1"/>
        <v>34</v>
      </c>
      <c r="B45" s="158"/>
      <c r="C45" s="194">
        <f>SUM(C38:C44)</f>
        <v>3935515.4399999995</v>
      </c>
      <c r="D45" s="182" t="s">
        <v>276</v>
      </c>
      <c r="E45" s="182"/>
      <c r="F45" s="193"/>
      <c r="G45" s="188">
        <f>SUM(G38:G44)</f>
        <v>195989</v>
      </c>
      <c r="H45" s="192">
        <v>157633.72</v>
      </c>
      <c r="I45" s="190">
        <f>G45-H45</f>
        <v>38355.279999999999</v>
      </c>
      <c r="J45" s="400"/>
      <c r="K45" s="400"/>
      <c r="L45" s="400"/>
    </row>
    <row r="46" spans="1:12">
      <c r="A46" s="158">
        <f t="shared" si="1"/>
        <v>35</v>
      </c>
      <c r="B46" s="158"/>
      <c r="C46" s="187"/>
      <c r="D46" s="182"/>
      <c r="E46" s="182"/>
      <c r="F46" s="193"/>
      <c r="G46" s="191"/>
      <c r="H46" s="138"/>
      <c r="I46" s="400"/>
      <c r="J46" s="400"/>
      <c r="K46" s="400"/>
      <c r="L46" s="400"/>
    </row>
    <row r="47" spans="1:12">
      <c r="A47" s="158">
        <f t="shared" si="1"/>
        <v>36</v>
      </c>
      <c r="B47" s="158">
        <v>4001</v>
      </c>
      <c r="C47" s="133">
        <v>20380061.120000001</v>
      </c>
      <c r="D47" s="182" t="s">
        <v>277</v>
      </c>
      <c r="E47" s="158"/>
      <c r="F47" s="137">
        <v>4.1000000000000002E-2</v>
      </c>
      <c r="G47" s="195">
        <f>ROUND(C47*F47,0)</f>
        <v>835583</v>
      </c>
      <c r="H47" s="192">
        <v>864032.38</v>
      </c>
      <c r="I47" s="190">
        <f>G47-H47</f>
        <v>-28449.380000000005</v>
      </c>
      <c r="J47" s="400"/>
      <c r="K47" s="400"/>
      <c r="L47" s="400"/>
    </row>
    <row r="48" spans="1:12">
      <c r="A48" s="158">
        <f t="shared" si="1"/>
        <v>37</v>
      </c>
      <c r="B48" s="158"/>
      <c r="C48" s="133"/>
      <c r="D48" s="182"/>
      <c r="E48" s="182"/>
      <c r="F48" s="137"/>
      <c r="G48" s="134"/>
      <c r="H48" s="138"/>
      <c r="I48" s="400"/>
      <c r="J48" s="400"/>
      <c r="K48" s="400"/>
      <c r="L48" s="400"/>
    </row>
    <row r="49" spans="1:12">
      <c r="A49" s="158">
        <f t="shared" si="1"/>
        <v>38</v>
      </c>
      <c r="C49" s="125">
        <v>-6375472.8600000003</v>
      </c>
      <c r="D49" s="202" t="s">
        <v>278</v>
      </c>
      <c r="E49" s="202"/>
      <c r="F49" s="202"/>
      <c r="G49" s="138"/>
      <c r="H49" s="138"/>
      <c r="I49" s="268"/>
      <c r="J49" s="268"/>
      <c r="K49" s="268"/>
      <c r="L49" s="268"/>
    </row>
    <row r="50" spans="1:12" ht="13.8" thickBot="1">
      <c r="A50" s="158">
        <f t="shared" si="1"/>
        <v>39</v>
      </c>
      <c r="C50" s="135"/>
      <c r="D50" s="158"/>
      <c r="E50" s="158"/>
      <c r="F50" s="139"/>
      <c r="G50" s="196">
        <f>G21+G36+G45+G47</f>
        <v>3946568</v>
      </c>
      <c r="H50" s="197">
        <f>SUM(H21:H47)</f>
        <v>3548790.34</v>
      </c>
      <c r="I50" s="198">
        <f>G50-H50</f>
        <v>397777.66000000015</v>
      </c>
      <c r="J50" s="199"/>
      <c r="K50" s="200"/>
      <c r="L50" s="199"/>
    </row>
    <row r="51" spans="1:12" ht="13.8" thickTop="1">
      <c r="A51" s="158">
        <f t="shared" si="1"/>
        <v>40</v>
      </c>
      <c r="C51" s="398"/>
      <c r="H51" s="262"/>
    </row>
    <row r="52" spans="1:12" ht="13.8" thickBot="1">
      <c r="A52" s="158">
        <f t="shared" si="1"/>
        <v>41</v>
      </c>
      <c r="C52" s="201">
        <f>+C21+C36+C45+C47+C49</f>
        <v>133655713.86999999</v>
      </c>
      <c r="D52" s="202" t="s">
        <v>279</v>
      </c>
      <c r="E52" s="202"/>
      <c r="F52" s="202"/>
      <c r="G52" s="140"/>
      <c r="H52" s="141"/>
      <c r="I52" s="327"/>
      <c r="J52" s="327"/>
      <c r="K52" s="327"/>
      <c r="L52" s="327"/>
    </row>
    <row r="53" spans="1:12" ht="13.8" thickTop="1">
      <c r="A53" s="158">
        <f t="shared" si="1"/>
        <v>42</v>
      </c>
      <c r="C53" s="136"/>
      <c r="D53" s="202"/>
      <c r="E53" s="202"/>
      <c r="F53" s="158"/>
      <c r="G53" s="141"/>
      <c r="H53" s="141"/>
      <c r="I53" s="327"/>
      <c r="J53" s="327"/>
      <c r="K53" s="327"/>
      <c r="L53" s="327"/>
    </row>
    <row r="54" spans="1:12">
      <c r="A54" s="158">
        <f t="shared" si="1"/>
        <v>43</v>
      </c>
      <c r="C54" s="136"/>
      <c r="F54" s="202"/>
      <c r="G54" s="313" t="s">
        <v>478</v>
      </c>
      <c r="H54" s="141">
        <v>1542017</v>
      </c>
      <c r="I54" s="327"/>
      <c r="J54" s="327"/>
      <c r="K54" s="327"/>
      <c r="L54" s="327"/>
    </row>
    <row r="55" spans="1:12">
      <c r="A55" s="158">
        <f t="shared" si="1"/>
        <v>44</v>
      </c>
      <c r="C55" s="202"/>
      <c r="D55" s="158"/>
      <c r="E55" s="158"/>
      <c r="F55" s="202"/>
      <c r="G55" s="313" t="s">
        <v>480</v>
      </c>
      <c r="H55" s="141">
        <v>345041677</v>
      </c>
      <c r="I55" s="327"/>
      <c r="J55" s="327"/>
      <c r="K55" s="327"/>
      <c r="L55" s="327"/>
    </row>
    <row r="56" spans="1:12">
      <c r="A56" s="158">
        <f t="shared" si="1"/>
        <v>45</v>
      </c>
      <c r="D56" s="158"/>
      <c r="E56" s="158"/>
      <c r="F56" s="158"/>
      <c r="G56" s="313" t="s">
        <v>482</v>
      </c>
      <c r="H56" s="324">
        <f>H54/H55</f>
        <v>4.4690746155862208E-3</v>
      </c>
      <c r="I56" s="169">
        <f>I50*H56</f>
        <v>1777.6980429532871</v>
      </c>
      <c r="J56" s="327"/>
      <c r="K56" s="327"/>
      <c r="L56" s="327"/>
    </row>
    <row r="57" spans="1:12">
      <c r="A57" s="158"/>
      <c r="D57" s="158"/>
      <c r="E57" s="158"/>
      <c r="F57" s="158"/>
      <c r="G57" s="141"/>
      <c r="H57" s="141"/>
      <c r="I57" s="327"/>
      <c r="J57" s="327"/>
      <c r="K57" s="327"/>
      <c r="L57" s="327"/>
    </row>
    <row r="58" spans="1:12">
      <c r="A58" s="158"/>
      <c r="C58" s="401"/>
      <c r="D58" s="158"/>
      <c r="E58" s="158"/>
      <c r="F58" s="158"/>
      <c r="G58" s="141"/>
      <c r="H58" s="141"/>
      <c r="I58" s="327"/>
      <c r="J58" s="327"/>
      <c r="K58" s="327"/>
      <c r="L58" s="327"/>
    </row>
    <row r="59" spans="1:12">
      <c r="A59" s="158"/>
      <c r="D59" s="158"/>
      <c r="E59" s="158"/>
      <c r="F59" s="158"/>
      <c r="G59" s="141"/>
      <c r="H59" s="141"/>
      <c r="I59" s="327"/>
      <c r="J59" s="327"/>
      <c r="K59" s="327"/>
      <c r="L59" s="327"/>
    </row>
    <row r="60" spans="1:12">
      <c r="C60" s="136"/>
      <c r="D60" s="158"/>
      <c r="E60" s="158"/>
      <c r="F60" s="158"/>
      <c r="G60" s="141"/>
      <c r="H60" s="141"/>
      <c r="I60" s="327"/>
      <c r="J60" s="327"/>
      <c r="K60" s="327"/>
      <c r="L60" s="327"/>
    </row>
    <row r="61" spans="1:12">
      <c r="C61" s="402"/>
      <c r="D61" s="307"/>
      <c r="E61" s="307"/>
      <c r="F61" s="307"/>
      <c r="G61" s="403"/>
      <c r="H61" s="403"/>
      <c r="I61" s="327"/>
      <c r="J61" s="327"/>
      <c r="K61" s="327"/>
      <c r="L61" s="327"/>
    </row>
    <row r="62" spans="1:12">
      <c r="C62" s="136"/>
      <c r="D62" s="158"/>
      <c r="E62" s="158"/>
      <c r="F62" s="158"/>
      <c r="G62" s="141"/>
      <c r="H62" s="141"/>
      <c r="I62" s="327"/>
      <c r="J62" s="327"/>
      <c r="K62" s="327"/>
      <c r="L62" s="327"/>
    </row>
    <row r="63" spans="1:12">
      <c r="C63" s="136"/>
      <c r="D63" s="158"/>
      <c r="E63" s="158"/>
      <c r="F63" s="158"/>
      <c r="G63" s="141"/>
      <c r="H63" s="141"/>
      <c r="I63" s="327"/>
      <c r="J63" s="327"/>
      <c r="K63" s="327"/>
      <c r="L63" s="327"/>
    </row>
    <row r="64" spans="1:12">
      <c r="C64" s="136"/>
      <c r="D64" s="158"/>
      <c r="E64" s="158"/>
      <c r="F64" s="158"/>
      <c r="G64" s="141"/>
      <c r="H64" s="141"/>
      <c r="I64" s="327"/>
      <c r="J64" s="327"/>
      <c r="K64" s="327"/>
      <c r="L64" s="327"/>
    </row>
    <row r="65" spans="3:12">
      <c r="C65" s="136"/>
      <c r="D65" s="158"/>
      <c r="E65" s="158"/>
      <c r="F65" s="158"/>
      <c r="G65" s="141"/>
      <c r="H65" s="141"/>
      <c r="I65" s="327"/>
      <c r="J65" s="327"/>
      <c r="K65" s="327"/>
      <c r="L65" s="327"/>
    </row>
    <row r="66" spans="3:12">
      <c r="C66" s="136"/>
      <c r="D66" s="158"/>
      <c r="E66" s="158"/>
      <c r="F66" s="158"/>
      <c r="G66" s="141"/>
      <c r="H66" s="141"/>
      <c r="I66" s="327"/>
      <c r="J66" s="327"/>
      <c r="K66" s="327"/>
      <c r="L66" s="327"/>
    </row>
    <row r="67" spans="3:12">
      <c r="C67" s="136"/>
      <c r="D67" s="158"/>
      <c r="E67" s="158"/>
      <c r="F67" s="158"/>
      <c r="G67" s="141"/>
      <c r="H67" s="141"/>
      <c r="I67" s="327"/>
      <c r="J67" s="327"/>
      <c r="K67" s="327"/>
      <c r="L67" s="327"/>
    </row>
    <row r="68" spans="3:12">
      <c r="C68" s="136"/>
      <c r="F68" s="158"/>
      <c r="G68" s="141"/>
      <c r="H68" s="141"/>
      <c r="I68" s="327"/>
      <c r="J68" s="327"/>
      <c r="K68" s="327"/>
      <c r="L68" s="327"/>
    </row>
    <row r="69" spans="3:12">
      <c r="C69" s="136"/>
      <c r="F69" s="158"/>
      <c r="I69" s="327"/>
      <c r="J69" s="327"/>
      <c r="K69" s="327"/>
      <c r="L69" s="327"/>
    </row>
    <row r="70" spans="3:12">
      <c r="F70" s="158"/>
    </row>
  </sheetData>
  <mergeCells count="3">
    <mergeCell ref="A3:I3"/>
    <mergeCell ref="A4:I4"/>
    <mergeCell ref="A6:I6"/>
  </mergeCells>
  <pageMargins left="0.85" right="0.33" top="0.71" bottom="0.59" header="0.5" footer="0.5"/>
  <pageSetup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AFD7-524D-4F7F-BF2E-7881C78745DE}">
  <sheetPr>
    <pageSetUpPr fitToPage="1"/>
  </sheetPr>
  <dimension ref="A1:I36"/>
  <sheetViews>
    <sheetView view="pageBreakPreview" zoomScale="60" zoomScaleNormal="100" workbookViewId="0">
      <selection activeCell="F2" sqref="F2"/>
    </sheetView>
  </sheetViews>
  <sheetFormatPr defaultRowHeight="13.2"/>
  <cols>
    <col min="1" max="1" width="8.88671875" style="156"/>
    <col min="2" max="2" width="13.88671875" style="156" customWidth="1"/>
    <col min="3" max="3" width="11.33203125" style="156" bestFit="1" customWidth="1"/>
    <col min="4" max="4" width="12.44140625" style="156" bestFit="1" customWidth="1"/>
    <col min="5" max="5" width="10.6640625" style="156" bestFit="1" customWidth="1"/>
    <col min="6" max="6" width="12.109375" style="156" bestFit="1" customWidth="1"/>
    <col min="7" max="9" width="12.109375" style="156" customWidth="1"/>
    <col min="10" max="16384" width="8.88671875" style="156"/>
  </cols>
  <sheetData>
    <row r="1" spans="1:9" s="8" customFormat="1">
      <c r="F1" s="4" t="s">
        <v>693</v>
      </c>
    </row>
    <row r="2" spans="1:9" s="8" customFormat="1" ht="20.25" customHeight="1">
      <c r="E2" s="4"/>
    </row>
    <row r="3" spans="1:9" s="8" customFormat="1">
      <c r="A3" s="432" t="str">
        <f>RevReq!A1</f>
        <v>KENERGY CORP.</v>
      </c>
      <c r="B3" s="432"/>
      <c r="C3" s="432"/>
      <c r="D3" s="432"/>
      <c r="E3" s="432"/>
      <c r="F3" s="432"/>
    </row>
    <row r="4" spans="1:9" s="8" customFormat="1">
      <c r="A4" s="432" t="str">
        <f>RevReq!A3</f>
        <v>For the 12 Months Ended February 28, 2023</v>
      </c>
      <c r="B4" s="432"/>
      <c r="C4" s="432"/>
      <c r="D4" s="432"/>
      <c r="E4" s="432"/>
      <c r="F4" s="432"/>
    </row>
    <row r="5" spans="1:9" s="8" customFormat="1"/>
    <row r="6" spans="1:9" s="5" customFormat="1" ht="15" customHeight="1">
      <c r="A6" s="429" t="str">
        <f>'Adj List'!C17</f>
        <v>Other Interest Expense</v>
      </c>
      <c r="B6" s="429"/>
      <c r="C6" s="429"/>
      <c r="D6" s="429"/>
      <c r="E6" s="429"/>
      <c r="F6" s="429"/>
    </row>
    <row r="8" spans="1:9">
      <c r="A8" s="182" t="s">
        <v>0</v>
      </c>
      <c r="B8" s="157" t="s">
        <v>282</v>
      </c>
      <c r="C8" s="158" t="s">
        <v>283</v>
      </c>
      <c r="D8" s="158" t="s">
        <v>284</v>
      </c>
      <c r="E8" s="158" t="s">
        <v>285</v>
      </c>
      <c r="F8" s="158" t="s">
        <v>302</v>
      </c>
      <c r="G8" s="157"/>
      <c r="H8" s="157"/>
      <c r="I8" s="157"/>
    </row>
    <row r="9" spans="1:9">
      <c r="A9" s="182" t="s">
        <v>386</v>
      </c>
      <c r="B9" s="157"/>
      <c r="C9" s="182"/>
      <c r="D9" s="157"/>
      <c r="E9" s="157"/>
      <c r="F9" s="157"/>
      <c r="G9" s="157"/>
      <c r="H9" s="157"/>
      <c r="I9" s="157"/>
    </row>
    <row r="10" spans="1:9">
      <c r="A10" s="182"/>
      <c r="B10" s="182" t="s">
        <v>555</v>
      </c>
      <c r="C10" s="182"/>
      <c r="D10" s="157"/>
      <c r="E10" s="157"/>
      <c r="F10" s="157"/>
      <c r="G10" s="157"/>
      <c r="H10" s="157"/>
      <c r="I10" s="157"/>
    </row>
    <row r="11" spans="1:9">
      <c r="A11" s="157"/>
      <c r="B11" s="182" t="s">
        <v>556</v>
      </c>
      <c r="C11" s="182"/>
      <c r="D11" s="182" t="s">
        <v>369</v>
      </c>
      <c r="E11" s="182" t="s">
        <v>544</v>
      </c>
    </row>
    <row r="12" spans="1:9">
      <c r="A12" s="157"/>
      <c r="B12" s="183" t="s">
        <v>545</v>
      </c>
      <c r="C12" s="184" t="s">
        <v>91</v>
      </c>
      <c r="D12" s="183" t="s">
        <v>250</v>
      </c>
      <c r="E12" s="183" t="s">
        <v>250</v>
      </c>
      <c r="F12" s="183" t="s">
        <v>15</v>
      </c>
      <c r="G12" s="182"/>
      <c r="H12" s="182"/>
      <c r="I12" s="182"/>
    </row>
    <row r="13" spans="1:9" ht="14.4">
      <c r="A13" s="157">
        <v>1</v>
      </c>
      <c r="B13" s="124">
        <v>5087962</v>
      </c>
      <c r="C13" s="185">
        <v>4.3400000000000001E-2</v>
      </c>
      <c r="D13" s="124">
        <f>ROUND(B13*C13,0)</f>
        <v>220818</v>
      </c>
      <c r="E13" s="124">
        <v>40613</v>
      </c>
      <c r="F13" s="124">
        <f>D13-E13</f>
        <v>180205</v>
      </c>
      <c r="G13" s="170"/>
      <c r="H13" s="170"/>
      <c r="I13" s="170"/>
    </row>
    <row r="14" spans="1:9" ht="14.4">
      <c r="A14" s="157">
        <f>A13+1</f>
        <v>2</v>
      </c>
      <c r="B14" s="124"/>
      <c r="C14" s="185"/>
      <c r="D14" s="124"/>
      <c r="E14" s="124"/>
      <c r="F14" s="124"/>
      <c r="G14" s="170"/>
      <c r="H14" s="170"/>
      <c r="I14" s="170"/>
    </row>
    <row r="15" spans="1:9" ht="14.4">
      <c r="A15" s="157">
        <f t="shared" ref="A15:A22" si="0">A14+1</f>
        <v>3</v>
      </c>
      <c r="B15" s="124"/>
      <c r="C15" s="185"/>
      <c r="D15" s="124"/>
      <c r="E15" s="124"/>
      <c r="F15" s="124"/>
      <c r="G15" s="170"/>
      <c r="H15" s="170"/>
      <c r="I15" s="170"/>
    </row>
    <row r="16" spans="1:9" ht="14.4">
      <c r="A16" s="157">
        <f t="shared" si="0"/>
        <v>4</v>
      </c>
      <c r="B16" s="124"/>
      <c r="C16" s="185"/>
      <c r="D16" s="124"/>
      <c r="E16" s="124"/>
      <c r="F16" s="124"/>
      <c r="G16" s="170"/>
      <c r="H16" s="170"/>
      <c r="I16" s="170"/>
    </row>
    <row r="17" spans="1:9">
      <c r="A17" s="157">
        <f t="shared" si="0"/>
        <v>5</v>
      </c>
      <c r="B17" s="203"/>
      <c r="C17" s="157"/>
      <c r="D17" s="199"/>
      <c r="E17" s="199"/>
      <c r="F17" s="199"/>
    </row>
    <row r="18" spans="1:9">
      <c r="A18" s="157">
        <f t="shared" si="0"/>
        <v>6</v>
      </c>
      <c r="B18" s="206" t="s">
        <v>557</v>
      </c>
      <c r="C18" s="157"/>
    </row>
    <row r="19" spans="1:9" ht="14.4">
      <c r="A19" s="157">
        <f t="shared" si="0"/>
        <v>7</v>
      </c>
      <c r="B19" s="162">
        <v>1176967</v>
      </c>
      <c r="C19" s="185">
        <v>4.3400000000000001E-2</v>
      </c>
      <c r="D19" s="124">
        <f>ROUND(B19*C19,0)</f>
        <v>51080</v>
      </c>
      <c r="E19" s="124">
        <v>9568</v>
      </c>
      <c r="F19" s="124">
        <f>D19-E19</f>
        <v>41512</v>
      </c>
      <c r="G19" s="170"/>
      <c r="H19" s="170"/>
      <c r="I19" s="170"/>
    </row>
    <row r="20" spans="1:9" ht="14.4">
      <c r="A20" s="157">
        <f t="shared" si="0"/>
        <v>8</v>
      </c>
      <c r="B20" s="204"/>
      <c r="C20" s="155"/>
      <c r="D20" s="186"/>
      <c r="E20" s="186"/>
      <c r="F20" s="170"/>
      <c r="G20" s="170"/>
      <c r="H20" s="170"/>
      <c r="I20" s="170"/>
    </row>
    <row r="21" spans="1:9" ht="14.4">
      <c r="A21" s="157">
        <f t="shared" si="0"/>
        <v>9</v>
      </c>
      <c r="B21" s="206" t="s">
        <v>558</v>
      </c>
      <c r="C21" s="157"/>
      <c r="D21" s="186"/>
      <c r="E21" s="186"/>
      <c r="F21" s="170"/>
      <c r="G21" s="170"/>
      <c r="H21" s="170"/>
      <c r="I21" s="170"/>
    </row>
    <row r="22" spans="1:9" ht="14.4">
      <c r="A22" s="157">
        <f t="shared" si="0"/>
        <v>10</v>
      </c>
      <c r="B22" s="162">
        <f>B13-B19</f>
        <v>3910995</v>
      </c>
      <c r="C22" s="185">
        <v>4.3400000000000001E-2</v>
      </c>
      <c r="D22" s="124">
        <f>D13-D19</f>
        <v>169738</v>
      </c>
      <c r="E22" s="124">
        <f>E13-E19</f>
        <v>31045</v>
      </c>
      <c r="F22" s="124">
        <f>F13-F19</f>
        <v>138693</v>
      </c>
      <c r="G22" s="170"/>
      <c r="H22" s="170"/>
      <c r="I22" s="170"/>
    </row>
    <row r="23" spans="1:9" ht="14.4">
      <c r="B23" s="162"/>
      <c r="C23" s="157"/>
      <c r="D23" s="186"/>
      <c r="E23" s="186"/>
      <c r="F23" s="170"/>
      <c r="G23" s="170"/>
      <c r="H23" s="170"/>
      <c r="I23" s="170"/>
    </row>
    <row r="24" spans="1:9" ht="14.4">
      <c r="B24" s="162"/>
      <c r="C24" s="157"/>
      <c r="D24" s="186"/>
      <c r="E24" s="186"/>
      <c r="F24" s="170"/>
      <c r="G24" s="170"/>
      <c r="H24" s="170"/>
      <c r="I24" s="170"/>
    </row>
    <row r="25" spans="1:9" ht="14.4">
      <c r="B25" s="162"/>
      <c r="C25" s="157"/>
      <c r="D25" s="186"/>
      <c r="E25" s="186"/>
      <c r="F25" s="170"/>
      <c r="G25" s="170"/>
      <c r="H25" s="170"/>
      <c r="I25" s="170"/>
    </row>
    <row r="26" spans="1:9" ht="14.4">
      <c r="B26" s="162"/>
      <c r="C26" s="157"/>
      <c r="D26" s="186"/>
      <c r="E26" s="186"/>
      <c r="F26" s="170"/>
      <c r="G26" s="170"/>
      <c r="H26" s="170"/>
      <c r="I26" s="170"/>
    </row>
    <row r="27" spans="1:9" ht="14.4">
      <c r="B27" s="162"/>
      <c r="C27" s="157"/>
      <c r="D27" s="186"/>
      <c r="E27" s="186"/>
      <c r="F27" s="170"/>
      <c r="G27" s="170"/>
      <c r="H27" s="170"/>
      <c r="I27" s="170"/>
    </row>
    <row r="28" spans="1:9" ht="14.4">
      <c r="B28" s="162"/>
      <c r="C28" s="157"/>
      <c r="D28" s="205"/>
      <c r="E28" s="205"/>
      <c r="F28" s="170"/>
      <c r="G28" s="170"/>
      <c r="H28" s="170"/>
      <c r="I28" s="170"/>
    </row>
    <row r="29" spans="1:9" ht="14.4">
      <c r="C29" s="157"/>
      <c r="D29" s="186"/>
      <c r="E29" s="186"/>
      <c r="F29" s="170"/>
      <c r="G29" s="170"/>
      <c r="H29" s="170"/>
      <c r="I29" s="170"/>
    </row>
    <row r="30" spans="1:9" ht="14.4">
      <c r="D30" s="186"/>
      <c r="E30" s="186"/>
      <c r="F30" s="170"/>
      <c r="G30" s="170"/>
      <c r="H30" s="170"/>
      <c r="I30" s="170"/>
    </row>
    <row r="31" spans="1:9" ht="14.4">
      <c r="D31" s="186"/>
      <c r="E31" s="186"/>
      <c r="F31" s="170"/>
      <c r="G31" s="170"/>
      <c r="H31" s="170"/>
      <c r="I31" s="170"/>
    </row>
    <row r="32" spans="1:9" ht="14.4">
      <c r="D32" s="186"/>
      <c r="E32" s="186"/>
      <c r="F32" s="170"/>
      <c r="G32" s="170"/>
      <c r="H32" s="170"/>
      <c r="I32" s="170"/>
    </row>
    <row r="33" spans="4:9" ht="14.4">
      <c r="D33" s="186"/>
      <c r="E33" s="186"/>
      <c r="F33" s="170"/>
      <c r="G33" s="170"/>
      <c r="H33" s="170"/>
      <c r="I33" s="170"/>
    </row>
    <row r="34" spans="4:9" ht="14.4">
      <c r="D34" s="186"/>
      <c r="E34" s="186"/>
      <c r="F34" s="170"/>
      <c r="G34" s="170"/>
      <c r="H34" s="170"/>
      <c r="I34" s="170"/>
    </row>
    <row r="35" spans="4:9" ht="14.4">
      <c r="D35" s="186"/>
      <c r="E35" s="186"/>
      <c r="F35" s="170"/>
      <c r="G35" s="170"/>
      <c r="H35" s="170"/>
      <c r="I35" s="170"/>
    </row>
    <row r="36" spans="4:9" ht="14.4">
      <c r="F36" s="170"/>
      <c r="G36" s="170"/>
      <c r="H36" s="170"/>
      <c r="I36" s="170"/>
    </row>
  </sheetData>
  <mergeCells count="3">
    <mergeCell ref="A3:F3"/>
    <mergeCell ref="A4:F4"/>
    <mergeCell ref="A6:F6"/>
  </mergeCells>
  <printOptions horizontalCentered="1"/>
  <pageMargins left="0.85" right="0.33" top="0.71" bottom="0.59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16A7-FD46-4650-9ABB-3A75EDA8CB61}">
  <sheetPr>
    <pageSetUpPr fitToPage="1"/>
  </sheetPr>
  <dimension ref="A1:K59"/>
  <sheetViews>
    <sheetView view="pageBreakPreview" zoomScaleNormal="100" zoomScaleSheetLayoutView="100" workbookViewId="0">
      <selection sqref="A1:I6"/>
    </sheetView>
  </sheetViews>
  <sheetFormatPr defaultRowHeight="13.2"/>
  <cols>
    <col min="1" max="1" width="6" style="164" customWidth="1"/>
    <col min="2" max="2" width="3.6640625" style="164" customWidth="1"/>
    <col min="3" max="3" width="35.33203125" style="164" customWidth="1"/>
    <col min="4" max="4" width="5.5546875" style="164" customWidth="1"/>
    <col min="5" max="5" width="18.88671875" style="164" bestFit="1" customWidth="1"/>
    <col min="6" max="6" width="5.88671875" style="164" customWidth="1"/>
    <col min="7" max="7" width="14.44140625" style="164" bestFit="1" customWidth="1"/>
    <col min="8" max="8" width="5.88671875" style="164" customWidth="1"/>
    <col min="9" max="9" width="16.5546875" style="164" bestFit="1" customWidth="1"/>
    <col min="10" max="10" width="10" style="164" customWidth="1"/>
    <col min="11" max="11" width="10.109375" style="164" customWidth="1"/>
    <col min="12" max="16384" width="8.88671875" style="164"/>
  </cols>
  <sheetData>
    <row r="1" spans="1:11" s="8" customFormat="1">
      <c r="I1" s="4" t="s">
        <v>685</v>
      </c>
    </row>
    <row r="2" spans="1:11" s="8" customFormat="1" ht="20.25" customHeight="1">
      <c r="E2" s="4"/>
    </row>
    <row r="3" spans="1:11" s="8" customFormat="1">
      <c r="A3" s="432" t="str">
        <f>RevReq!A1</f>
        <v>KENERGY CORP.</v>
      </c>
      <c r="B3" s="432"/>
      <c r="C3" s="432"/>
      <c r="D3" s="432"/>
      <c r="E3" s="432"/>
      <c r="F3" s="432"/>
      <c r="G3" s="432"/>
      <c r="H3" s="432"/>
      <c r="I3" s="432"/>
    </row>
    <row r="4" spans="1:11" s="8" customFormat="1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  <c r="H4" s="432"/>
      <c r="I4" s="432"/>
    </row>
    <row r="5" spans="1:11" s="8" customFormat="1"/>
    <row r="6" spans="1:11" s="5" customFormat="1" ht="15" customHeight="1">
      <c r="A6" s="429" t="str">
        <f>'Adj List'!C18</f>
        <v>Non Operating Margins - Interest</v>
      </c>
      <c r="B6" s="429"/>
      <c r="C6" s="429"/>
      <c r="D6" s="429"/>
      <c r="E6" s="429"/>
      <c r="F6" s="429"/>
      <c r="G6" s="429"/>
      <c r="H6" s="429"/>
      <c r="I6" s="429"/>
    </row>
    <row r="8" spans="1:11">
      <c r="C8" s="262" t="s">
        <v>282</v>
      </c>
      <c r="D8" s="262"/>
      <c r="E8" s="262" t="s">
        <v>283</v>
      </c>
      <c r="F8" s="262"/>
      <c r="G8" s="262" t="s">
        <v>284</v>
      </c>
      <c r="H8" s="262"/>
      <c r="I8" s="262" t="s">
        <v>285</v>
      </c>
    </row>
    <row r="9" spans="1:11">
      <c r="C9" s="263"/>
      <c r="D9" s="263"/>
      <c r="E9" s="263"/>
      <c r="F9" s="263"/>
      <c r="G9" s="263"/>
      <c r="H9" s="263"/>
      <c r="I9" s="263"/>
    </row>
    <row r="10" spans="1:11">
      <c r="A10" s="313">
        <v>1</v>
      </c>
      <c r="B10" s="313"/>
      <c r="E10" s="160" t="s">
        <v>286</v>
      </c>
      <c r="F10" s="160"/>
      <c r="G10" s="160" t="s">
        <v>287</v>
      </c>
      <c r="H10" s="160"/>
      <c r="I10" s="160" t="s">
        <v>288</v>
      </c>
      <c r="K10" s="377"/>
    </row>
    <row r="11" spans="1:11">
      <c r="A11" s="313">
        <f>A10+1</f>
        <v>2</v>
      </c>
      <c r="B11" s="313"/>
      <c r="K11" s="377"/>
    </row>
    <row r="12" spans="1:11">
      <c r="A12" s="313">
        <f t="shared" ref="A12:A44" si="0">A11+1</f>
        <v>3</v>
      </c>
      <c r="B12" s="313"/>
      <c r="C12" s="164" t="s">
        <v>289</v>
      </c>
      <c r="D12" s="263"/>
      <c r="E12" s="377">
        <v>1267</v>
      </c>
      <c r="F12" s="377"/>
      <c r="G12" s="377">
        <v>0</v>
      </c>
      <c r="H12" s="404"/>
      <c r="I12" s="377">
        <f>G12-E12</f>
        <v>-1267</v>
      </c>
      <c r="K12" s="377"/>
    </row>
    <row r="13" spans="1:11">
      <c r="A13" s="313">
        <f t="shared" si="0"/>
        <v>4</v>
      </c>
      <c r="B13" s="313"/>
      <c r="C13" s="164" t="s">
        <v>290</v>
      </c>
      <c r="E13" s="377">
        <v>81414</v>
      </c>
      <c r="F13" s="377"/>
      <c r="G13" s="377">
        <f>E13</f>
        <v>81414</v>
      </c>
      <c r="H13" s="311"/>
      <c r="I13" s="377">
        <f t="shared" ref="I13:I15" si="1">G13-E13</f>
        <v>0</v>
      </c>
      <c r="K13" s="377"/>
    </row>
    <row r="14" spans="1:11">
      <c r="A14" s="313">
        <f t="shared" si="0"/>
        <v>5</v>
      </c>
      <c r="B14" s="313"/>
      <c r="C14" s="164" t="s">
        <v>291</v>
      </c>
      <c r="E14" s="377">
        <f>128848+142383</f>
        <v>271231</v>
      </c>
      <c r="F14" s="377"/>
      <c r="G14" s="377">
        <f>E25</f>
        <v>358416</v>
      </c>
      <c r="H14" s="404">
        <v>-1</v>
      </c>
      <c r="I14" s="377">
        <f t="shared" si="1"/>
        <v>87185</v>
      </c>
      <c r="K14" s="377"/>
    </row>
    <row r="15" spans="1:11">
      <c r="A15" s="313">
        <f t="shared" si="0"/>
        <v>6</v>
      </c>
      <c r="B15" s="313"/>
      <c r="C15" s="164" t="s">
        <v>292</v>
      </c>
      <c r="E15" s="405">
        <f>97+279+1</f>
        <v>377</v>
      </c>
      <c r="F15" s="377"/>
      <c r="G15" s="405">
        <f>E15</f>
        <v>377</v>
      </c>
      <c r="H15" s="311"/>
      <c r="I15" s="405">
        <f t="shared" si="1"/>
        <v>0</v>
      </c>
      <c r="K15" s="377"/>
    </row>
    <row r="16" spans="1:11" ht="13.8" thickBot="1">
      <c r="A16" s="313">
        <f t="shared" si="0"/>
        <v>7</v>
      </c>
      <c r="B16" s="313"/>
      <c r="E16" s="406">
        <f>SUM(E12:E15)</f>
        <v>354289</v>
      </c>
      <c r="F16" s="377"/>
      <c r="G16" s="406">
        <f>SUM(G12:G15)</f>
        <v>440207</v>
      </c>
      <c r="H16" s="311"/>
      <c r="I16" s="414">
        <f>SUM(I12:I15)</f>
        <v>85918</v>
      </c>
      <c r="J16" s="262"/>
      <c r="K16" s="377"/>
    </row>
    <row r="17" spans="1:11" ht="13.8" thickTop="1">
      <c r="A17" s="313">
        <f t="shared" si="0"/>
        <v>8</v>
      </c>
      <c r="B17" s="313"/>
      <c r="E17" s="377"/>
      <c r="F17" s="377"/>
      <c r="G17" s="377"/>
      <c r="I17" s="377"/>
      <c r="K17" s="377"/>
    </row>
    <row r="18" spans="1:11">
      <c r="A18" s="313">
        <f t="shared" si="0"/>
        <v>9</v>
      </c>
      <c r="B18" s="313"/>
      <c r="E18" s="377"/>
      <c r="F18" s="377"/>
      <c r="G18" s="377"/>
      <c r="H18" s="311"/>
      <c r="I18" s="377"/>
      <c r="K18" s="377"/>
    </row>
    <row r="19" spans="1:11">
      <c r="A19" s="313">
        <f t="shared" si="0"/>
        <v>10</v>
      </c>
      <c r="B19" s="313"/>
      <c r="E19" s="377"/>
      <c r="F19" s="377"/>
      <c r="G19" s="377"/>
      <c r="H19" s="311"/>
      <c r="I19" s="377"/>
      <c r="K19" s="377"/>
    </row>
    <row r="20" spans="1:11">
      <c r="A20" s="313">
        <f t="shared" si="0"/>
        <v>11</v>
      </c>
      <c r="B20" s="313"/>
      <c r="E20" s="377"/>
      <c r="F20" s="377"/>
      <c r="G20" s="377"/>
      <c r="H20" s="311"/>
      <c r="I20" s="377"/>
      <c r="K20" s="377"/>
    </row>
    <row r="21" spans="1:11">
      <c r="A21" s="313">
        <f t="shared" si="0"/>
        <v>12</v>
      </c>
      <c r="B21" s="313"/>
      <c r="C21" s="164" t="s">
        <v>534</v>
      </c>
      <c r="E21" s="377"/>
      <c r="F21" s="377"/>
      <c r="G21" s="377"/>
      <c r="H21" s="311"/>
      <c r="I21" s="377"/>
      <c r="K21" s="377"/>
    </row>
    <row r="22" spans="1:11">
      <c r="A22" s="313">
        <f t="shared" si="0"/>
        <v>13</v>
      </c>
      <c r="B22" s="313"/>
      <c r="C22" s="164" t="s">
        <v>535</v>
      </c>
      <c r="F22" s="377"/>
      <c r="G22" s="377"/>
      <c r="H22" s="311"/>
      <c r="I22" s="377"/>
      <c r="K22" s="377"/>
    </row>
    <row r="23" spans="1:11">
      <c r="A23" s="313">
        <f t="shared" si="0"/>
        <v>14</v>
      </c>
      <c r="B23" s="313"/>
      <c r="C23" s="164" t="s">
        <v>536</v>
      </c>
      <c r="D23" s="262" t="s">
        <v>293</v>
      </c>
      <c r="E23" s="377">
        <v>8433306</v>
      </c>
      <c r="F23" s="377"/>
      <c r="G23" s="377"/>
      <c r="H23" s="311"/>
      <c r="I23" s="377"/>
      <c r="K23" s="377"/>
    </row>
    <row r="24" spans="1:11">
      <c r="A24" s="313">
        <f t="shared" si="0"/>
        <v>15</v>
      </c>
      <c r="B24" s="313"/>
      <c r="C24" s="164" t="s">
        <v>537</v>
      </c>
      <c r="E24" s="407">
        <v>4.2500000000000003E-2</v>
      </c>
      <c r="F24" s="377"/>
      <c r="G24" s="377"/>
      <c r="H24" s="311"/>
      <c r="I24" s="377"/>
      <c r="K24" s="377"/>
    </row>
    <row r="25" spans="1:11" ht="13.8" thickBot="1">
      <c r="A25" s="313">
        <f t="shared" si="0"/>
        <v>16</v>
      </c>
      <c r="B25" s="313"/>
      <c r="C25" s="164" t="s">
        <v>294</v>
      </c>
      <c r="E25" s="408">
        <f>ROUND(E23*E24,0)</f>
        <v>358416</v>
      </c>
      <c r="F25" s="377"/>
      <c r="G25" s="377"/>
      <c r="H25" s="311"/>
      <c r="I25" s="377"/>
      <c r="K25" s="372"/>
    </row>
    <row r="26" spans="1:11" ht="13.8" thickTop="1">
      <c r="A26" s="313">
        <f t="shared" si="0"/>
        <v>17</v>
      </c>
      <c r="B26" s="313"/>
    </row>
    <row r="27" spans="1:11">
      <c r="A27" s="313">
        <f t="shared" si="0"/>
        <v>18</v>
      </c>
      <c r="B27" s="313"/>
      <c r="E27" s="377"/>
    </row>
    <row r="28" spans="1:11">
      <c r="A28" s="313">
        <f t="shared" si="0"/>
        <v>19</v>
      </c>
      <c r="B28" s="313"/>
      <c r="G28" s="377"/>
    </row>
    <row r="29" spans="1:11">
      <c r="A29" s="313">
        <f t="shared" si="0"/>
        <v>20</v>
      </c>
      <c r="B29" s="313"/>
      <c r="C29" s="409" t="s">
        <v>538</v>
      </c>
      <c r="D29" s="409"/>
      <c r="E29" s="409" t="s">
        <v>539</v>
      </c>
      <c r="F29" s="377"/>
    </row>
    <row r="30" spans="1:11">
      <c r="A30" s="313">
        <f t="shared" si="0"/>
        <v>21</v>
      </c>
      <c r="B30" s="313"/>
      <c r="C30" s="164" t="s">
        <v>540</v>
      </c>
      <c r="E30" s="410">
        <f>3475359+4000000</f>
        <v>7475359</v>
      </c>
      <c r="F30" s="411"/>
      <c r="G30" s="313"/>
      <c r="H30" s="267"/>
      <c r="I30" s="267"/>
    </row>
    <row r="31" spans="1:11">
      <c r="A31" s="313">
        <f t="shared" si="0"/>
        <v>22</v>
      </c>
      <c r="B31" s="313"/>
      <c r="C31" s="412">
        <v>44651</v>
      </c>
      <c r="D31" s="412"/>
      <c r="E31" s="413">
        <f>4030709+6600000</f>
        <v>10630709</v>
      </c>
      <c r="F31" s="314"/>
      <c r="H31" s="377"/>
    </row>
    <row r="32" spans="1:11">
      <c r="A32" s="313">
        <f t="shared" si="0"/>
        <v>23</v>
      </c>
      <c r="B32" s="313"/>
      <c r="C32" s="412">
        <v>44681</v>
      </c>
      <c r="D32" s="412"/>
      <c r="E32" s="413">
        <f>1606079+6900000</f>
        <v>8506079</v>
      </c>
    </row>
    <row r="33" spans="1:9">
      <c r="A33" s="313">
        <f t="shared" si="0"/>
        <v>24</v>
      </c>
      <c r="B33" s="313"/>
      <c r="C33" s="412">
        <v>44712</v>
      </c>
      <c r="D33" s="412"/>
      <c r="E33" s="413">
        <f>2397583+8700000</f>
        <v>11097583</v>
      </c>
      <c r="F33" s="377"/>
      <c r="G33" s="313"/>
      <c r="H33" s="267"/>
      <c r="I33" s="267"/>
    </row>
    <row r="34" spans="1:9">
      <c r="A34" s="313">
        <f t="shared" si="0"/>
        <v>25</v>
      </c>
      <c r="B34" s="313"/>
      <c r="C34" s="412">
        <v>44742</v>
      </c>
      <c r="D34" s="412"/>
      <c r="E34" s="413">
        <f>4448269+6500000</f>
        <v>10948269</v>
      </c>
      <c r="H34" s="377"/>
    </row>
    <row r="35" spans="1:9">
      <c r="A35" s="313">
        <f t="shared" si="0"/>
        <v>26</v>
      </c>
      <c r="B35" s="313"/>
      <c r="C35" s="412">
        <v>44773</v>
      </c>
      <c r="D35" s="412"/>
      <c r="E35" s="413">
        <f>2570648+8900000</f>
        <v>11470648</v>
      </c>
      <c r="F35" s="377"/>
    </row>
    <row r="36" spans="1:9">
      <c r="A36" s="313">
        <f t="shared" si="0"/>
        <v>27</v>
      </c>
      <c r="B36" s="313"/>
      <c r="C36" s="412">
        <v>44804</v>
      </c>
      <c r="D36" s="412"/>
      <c r="E36" s="413">
        <f>2853301+7400000</f>
        <v>10253301</v>
      </c>
      <c r="F36" s="411"/>
    </row>
    <row r="37" spans="1:9">
      <c r="A37" s="313">
        <f t="shared" si="0"/>
        <v>28</v>
      </c>
      <c r="B37" s="313"/>
      <c r="C37" s="412">
        <v>44834</v>
      </c>
      <c r="D37" s="412"/>
      <c r="E37" s="413">
        <f>1329968+7500000</f>
        <v>8829968</v>
      </c>
      <c r="F37" s="314"/>
    </row>
    <row r="38" spans="1:9">
      <c r="A38" s="313">
        <f t="shared" si="0"/>
        <v>29</v>
      </c>
      <c r="B38" s="313"/>
      <c r="C38" s="412">
        <v>44865</v>
      </c>
      <c r="D38" s="412"/>
      <c r="E38" s="413">
        <f>1322508+6000000</f>
        <v>7322508</v>
      </c>
    </row>
    <row r="39" spans="1:9">
      <c r="A39" s="313">
        <f t="shared" si="0"/>
        <v>30</v>
      </c>
      <c r="B39" s="313"/>
      <c r="C39" s="412">
        <v>44895</v>
      </c>
      <c r="D39" s="412"/>
      <c r="E39" s="413">
        <v>3713483</v>
      </c>
    </row>
    <row r="40" spans="1:9">
      <c r="A40" s="313">
        <f t="shared" si="0"/>
        <v>31</v>
      </c>
      <c r="B40" s="313"/>
      <c r="C40" s="412">
        <v>44926</v>
      </c>
      <c r="D40" s="412"/>
      <c r="E40" s="413">
        <v>9477202</v>
      </c>
    </row>
    <row r="41" spans="1:9">
      <c r="A41" s="313">
        <f t="shared" si="0"/>
        <v>32</v>
      </c>
      <c r="B41" s="313"/>
      <c r="C41" s="412">
        <v>44957</v>
      </c>
      <c r="D41" s="412"/>
      <c r="E41" s="413">
        <v>6134693</v>
      </c>
    </row>
    <row r="42" spans="1:9">
      <c r="A42" s="313">
        <f t="shared" si="0"/>
        <v>33</v>
      </c>
      <c r="B42" s="313"/>
      <c r="C42" s="412">
        <v>44985</v>
      </c>
      <c r="D42" s="412"/>
      <c r="E42" s="413">
        <v>3773176</v>
      </c>
    </row>
    <row r="43" spans="1:9">
      <c r="A43" s="313">
        <f t="shared" si="0"/>
        <v>34</v>
      </c>
      <c r="B43" s="313"/>
      <c r="C43" s="412"/>
      <c r="D43" s="412"/>
      <c r="E43" s="413"/>
    </row>
    <row r="44" spans="1:9">
      <c r="A44" s="313">
        <f t="shared" si="0"/>
        <v>35</v>
      </c>
      <c r="B44" s="313"/>
      <c r="C44" s="164" t="s">
        <v>541</v>
      </c>
      <c r="E44" s="410">
        <f>AVERAGE(E30:E42)</f>
        <v>8433306</v>
      </c>
    </row>
    <row r="45" spans="1:9">
      <c r="A45" s="313"/>
      <c r="B45" s="313"/>
      <c r="C45" s="307"/>
      <c r="D45" s="307"/>
      <c r="E45" s="307"/>
      <c r="F45" s="307"/>
      <c r="G45" s="307"/>
    </row>
    <row r="46" spans="1:9">
      <c r="A46" s="313"/>
      <c r="B46" s="313"/>
    </row>
    <row r="47" spans="1:9">
      <c r="A47" s="313"/>
      <c r="B47" s="313"/>
    </row>
    <row r="48" spans="1:9">
      <c r="A48" s="313"/>
      <c r="B48" s="313"/>
    </row>
    <row r="49" spans="1:7">
      <c r="A49" s="313"/>
      <c r="B49" s="313"/>
    </row>
    <row r="50" spans="1:7">
      <c r="A50" s="313"/>
      <c r="B50" s="313"/>
    </row>
    <row r="51" spans="1:7">
      <c r="A51" s="313"/>
      <c r="B51" s="313"/>
    </row>
    <row r="52" spans="1:7">
      <c r="A52" s="313"/>
      <c r="B52" s="313"/>
    </row>
    <row r="53" spans="1:7">
      <c r="A53" s="313"/>
      <c r="B53" s="313"/>
    </row>
    <row r="54" spans="1:7">
      <c r="A54" s="313"/>
    </row>
    <row r="55" spans="1:7">
      <c r="A55" s="313"/>
    </row>
    <row r="56" spans="1:7">
      <c r="A56" s="313"/>
    </row>
    <row r="57" spans="1:7">
      <c r="A57" s="313"/>
    </row>
    <row r="58" spans="1:7">
      <c r="A58" s="313"/>
    </row>
    <row r="59" spans="1:7">
      <c r="A59" s="313"/>
      <c r="D59" s="307"/>
      <c r="E59" s="307"/>
      <c r="F59" s="307"/>
      <c r="G59" s="307"/>
    </row>
  </sheetData>
  <mergeCells count="3">
    <mergeCell ref="A3:I3"/>
    <mergeCell ref="A4:I4"/>
    <mergeCell ref="A6:I6"/>
  </mergeCells>
  <pageMargins left="0.68" right="0.5" top="1" bottom="1" header="0.5" footer="0.5"/>
  <pageSetup scale="83" orientation="portrait" r:id="rId1"/>
  <headerFooter alignWithMargins="0"/>
  <ignoredErrors>
    <ignoredError sqref="G1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9959C-BD65-4E25-AF1C-5D7CEA43791A}">
  <sheetPr>
    <pageSetUpPr fitToPage="1"/>
  </sheetPr>
  <dimension ref="A1:Q57"/>
  <sheetViews>
    <sheetView view="pageBreakPreview" zoomScale="60" zoomScaleNormal="100" workbookViewId="0">
      <selection activeCell="L2" sqref="L2"/>
    </sheetView>
  </sheetViews>
  <sheetFormatPr defaultRowHeight="13.2"/>
  <cols>
    <col min="1" max="1" width="9" style="156" bestFit="1" customWidth="1"/>
    <col min="2" max="2" width="11.5546875" style="156" bestFit="1" customWidth="1"/>
    <col min="3" max="3" width="26.109375" style="156" customWidth="1"/>
    <col min="4" max="4" width="17.44140625" style="156" customWidth="1"/>
    <col min="5" max="5" width="18.88671875" style="156" bestFit="1" customWidth="1"/>
    <col min="6" max="6" width="11" style="156" bestFit="1" customWidth="1"/>
    <col min="7" max="7" width="12.33203125" style="156" bestFit="1" customWidth="1"/>
    <col min="8" max="8" width="4.6640625" style="156" customWidth="1"/>
    <col min="9" max="9" width="19.33203125" style="156" customWidth="1"/>
    <col min="10" max="10" width="17.6640625" style="156" customWidth="1"/>
    <col min="11" max="11" width="16.5546875" style="156" bestFit="1" customWidth="1"/>
    <col min="12" max="13" width="12.88671875" style="156" bestFit="1" customWidth="1"/>
    <col min="14" max="16" width="14" style="156" bestFit="1" customWidth="1"/>
    <col min="17" max="17" width="12.33203125" style="156" customWidth="1"/>
    <col min="18" max="16384" width="8.88671875" style="156"/>
  </cols>
  <sheetData>
    <row r="1" spans="1:17" ht="17.399999999999999" customHeight="1">
      <c r="A1" s="8"/>
      <c r="B1" s="8"/>
      <c r="C1" s="8"/>
      <c r="D1" s="8"/>
      <c r="E1" s="8"/>
      <c r="F1" s="8"/>
      <c r="G1" s="8"/>
      <c r="H1" s="8"/>
      <c r="J1" s="154"/>
      <c r="K1" s="181"/>
      <c r="L1" s="4" t="s">
        <v>694</v>
      </c>
    </row>
    <row r="2" spans="1:17" ht="15.6">
      <c r="A2" s="8"/>
      <c r="B2" s="8"/>
      <c r="C2" s="8"/>
      <c r="D2" s="8"/>
      <c r="E2" s="4"/>
      <c r="F2" s="8"/>
      <c r="G2" s="8"/>
      <c r="H2" s="8"/>
      <c r="I2" s="8"/>
      <c r="J2" s="154"/>
      <c r="K2" s="181"/>
      <c r="L2" s="173"/>
    </row>
    <row r="3" spans="1:17" ht="15.6" customHeight="1">
      <c r="A3" s="432" t="str">
        <f>RevReq!A1</f>
        <v>KENERGY CORP.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7" ht="15.6" customHeight="1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</row>
    <row r="5" spans="1:17" ht="15.6">
      <c r="A5" s="8"/>
      <c r="B5" s="8"/>
      <c r="C5" s="8"/>
      <c r="D5" s="8"/>
      <c r="E5" s="8"/>
      <c r="F5" s="8"/>
      <c r="G5" s="8"/>
      <c r="H5" s="8"/>
      <c r="I5" s="8"/>
      <c r="J5" s="154"/>
      <c r="K5" s="181"/>
      <c r="L5" s="173"/>
    </row>
    <row r="6" spans="1:17" ht="15" customHeight="1">
      <c r="A6" s="429" t="str">
        <f>'Adj List'!C19</f>
        <v>Labor Expenses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N6" s="157"/>
    </row>
    <row r="7" spans="1:17" ht="15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73"/>
      <c r="L7" s="173"/>
      <c r="N7" s="157"/>
    </row>
    <row r="8" spans="1:17" ht="15">
      <c r="A8" s="207" t="s">
        <v>282</v>
      </c>
      <c r="B8" s="207" t="s">
        <v>283</v>
      </c>
      <c r="C8" s="207" t="s">
        <v>284</v>
      </c>
      <c r="D8" s="207" t="s">
        <v>285</v>
      </c>
      <c r="E8" s="207" t="s">
        <v>302</v>
      </c>
      <c r="F8" s="207" t="s">
        <v>303</v>
      </c>
      <c r="G8" s="207" t="s">
        <v>304</v>
      </c>
      <c r="H8" s="207" t="s">
        <v>305</v>
      </c>
      <c r="I8" s="207" t="s">
        <v>306</v>
      </c>
      <c r="J8" s="207" t="s">
        <v>307</v>
      </c>
      <c r="K8" s="207" t="s">
        <v>308</v>
      </c>
      <c r="L8" s="173"/>
      <c r="O8" s="157">
        <v>2021</v>
      </c>
    </row>
    <row r="9" spans="1:17" ht="15">
      <c r="A9" s="207" t="s">
        <v>559</v>
      </c>
      <c r="B9" s="173"/>
      <c r="C9" s="173"/>
      <c r="D9" s="173"/>
      <c r="F9" s="173"/>
      <c r="G9" s="173"/>
      <c r="H9" s="173"/>
      <c r="I9" s="173"/>
      <c r="J9" s="174"/>
      <c r="K9" s="173"/>
      <c r="L9" s="173"/>
      <c r="O9" s="158" t="s">
        <v>560</v>
      </c>
    </row>
    <row r="10" spans="1:17" ht="15">
      <c r="A10" s="207">
        <v>1</v>
      </c>
      <c r="B10" s="173" t="s">
        <v>339</v>
      </c>
      <c r="C10" s="173"/>
      <c r="D10" s="173"/>
      <c r="E10" s="207" t="s">
        <v>286</v>
      </c>
      <c r="F10" s="207"/>
      <c r="G10" s="208"/>
      <c r="H10" s="208"/>
      <c r="I10" s="173"/>
      <c r="J10" s="207" t="s">
        <v>287</v>
      </c>
      <c r="K10" s="173" t="s">
        <v>288</v>
      </c>
      <c r="L10" s="173"/>
      <c r="N10" s="157" t="s">
        <v>561</v>
      </c>
      <c r="O10" s="157" t="s">
        <v>562</v>
      </c>
      <c r="P10" s="158" t="s">
        <v>563</v>
      </c>
    </row>
    <row r="11" spans="1:17" ht="15">
      <c r="A11" s="207">
        <f>A10+1</f>
        <v>2</v>
      </c>
      <c r="B11" s="173" t="s">
        <v>340</v>
      </c>
      <c r="C11" s="173"/>
      <c r="D11" s="209" t="s">
        <v>341</v>
      </c>
      <c r="E11" s="207"/>
      <c r="F11" s="207"/>
      <c r="G11" s="173"/>
      <c r="H11" s="173"/>
      <c r="I11" s="210"/>
      <c r="J11" s="211" t="s">
        <v>342</v>
      </c>
      <c r="K11" s="175" t="s">
        <v>343</v>
      </c>
      <c r="L11" s="173"/>
      <c r="N11" s="157">
        <v>2023</v>
      </c>
      <c r="O11" s="157">
        <v>131</v>
      </c>
      <c r="P11" s="158" t="s">
        <v>564</v>
      </c>
    </row>
    <row r="12" spans="1:17" ht="15.6">
      <c r="A12" s="207">
        <f t="shared" ref="A12:A55" si="0">A11+1</f>
        <v>3</v>
      </c>
      <c r="B12" s="212">
        <v>259830.64</v>
      </c>
      <c r="C12" s="173" t="s">
        <v>344</v>
      </c>
      <c r="D12" s="213">
        <f>(E12/B12)</f>
        <v>39.9630996559913</v>
      </c>
      <c r="E12" s="214">
        <v>10383637.76</v>
      </c>
      <c r="F12" s="212">
        <v>266240</v>
      </c>
      <c r="G12" s="207" t="s">
        <v>344</v>
      </c>
      <c r="H12" s="174" t="s">
        <v>18</v>
      </c>
      <c r="I12" s="215">
        <v>41.097043999999997</v>
      </c>
      <c r="J12" s="216">
        <f>ROUND(F12*I12,0)</f>
        <v>10941677</v>
      </c>
      <c r="K12" s="180">
        <f>J12-E12</f>
        <v>558039.24000000022</v>
      </c>
      <c r="L12" s="173"/>
      <c r="N12" s="217">
        <f>I12</f>
        <v>41.097043999999997</v>
      </c>
      <c r="O12" s="186">
        <f>O11*2080</f>
        <v>272480</v>
      </c>
      <c r="P12" s="186">
        <f>N12*O12</f>
        <v>11198122.54912</v>
      </c>
      <c r="Q12" s="168">
        <f>P12-J12</f>
        <v>256445.54911999963</v>
      </c>
    </row>
    <row r="13" spans="1:17" ht="15">
      <c r="A13" s="207">
        <f t="shared" si="0"/>
        <v>4</v>
      </c>
      <c r="B13" s="212"/>
      <c r="C13" s="173"/>
      <c r="D13" s="218"/>
      <c r="E13" s="214"/>
      <c r="F13" s="219"/>
      <c r="G13" s="181"/>
      <c r="H13" s="174"/>
      <c r="I13" s="220"/>
      <c r="J13" s="216"/>
      <c r="K13" s="173"/>
      <c r="L13" s="173"/>
      <c r="Q13" s="168"/>
    </row>
    <row r="14" spans="1:17" ht="15">
      <c r="A14" s="207">
        <f t="shared" si="0"/>
        <v>5</v>
      </c>
      <c r="B14" s="221" t="s">
        <v>345</v>
      </c>
      <c r="C14" s="173"/>
      <c r="D14" s="218"/>
      <c r="E14" s="214"/>
      <c r="F14" s="216"/>
      <c r="G14" s="207"/>
      <c r="H14" s="173"/>
      <c r="I14" s="220"/>
      <c r="J14" s="216"/>
      <c r="K14" s="173"/>
      <c r="L14" s="173"/>
      <c r="Q14" s="168"/>
    </row>
    <row r="15" spans="1:17" ht="15.6">
      <c r="A15" s="207">
        <f t="shared" si="0"/>
        <v>6</v>
      </c>
      <c r="B15" s="222">
        <v>25007.32</v>
      </c>
      <c r="C15" s="173" t="s">
        <v>344</v>
      </c>
      <c r="D15" s="213">
        <f>ROUND(E15/B15,6)</f>
        <v>54.283593000000003</v>
      </c>
      <c r="E15" s="223">
        <v>1357487.19</v>
      </c>
      <c r="F15" s="222">
        <f>+B15</f>
        <v>25007.32</v>
      </c>
      <c r="G15" s="207" t="s">
        <v>344</v>
      </c>
      <c r="H15" s="174" t="s">
        <v>20</v>
      </c>
      <c r="I15" s="215">
        <v>58.503326999999999</v>
      </c>
      <c r="J15" s="216">
        <f>ROUND(F15*I15,0)</f>
        <v>1463011</v>
      </c>
      <c r="K15" s="180">
        <f>J15-E15</f>
        <v>105523.81000000006</v>
      </c>
      <c r="L15" s="173"/>
      <c r="N15" s="217">
        <f>(N12/I12)*I15</f>
        <v>58.503326999999999</v>
      </c>
      <c r="O15" s="224">
        <f>F15</f>
        <v>25007.32</v>
      </c>
      <c r="P15" s="186">
        <f>N15*O15</f>
        <v>1463011.4193536399</v>
      </c>
      <c r="Q15" s="168">
        <f>P15-J15</f>
        <v>0.4193536399397999</v>
      </c>
    </row>
    <row r="16" spans="1:17" ht="15">
      <c r="A16" s="207">
        <f t="shared" si="0"/>
        <v>7</v>
      </c>
      <c r="B16" s="222"/>
      <c r="C16" s="173"/>
      <c r="D16" s="213"/>
      <c r="E16" s="223"/>
      <c r="F16" s="222"/>
      <c r="G16" s="207"/>
      <c r="H16" s="174"/>
      <c r="I16" s="225"/>
      <c r="J16" s="216"/>
      <c r="K16" s="180"/>
      <c r="L16" s="173"/>
      <c r="Q16" s="168"/>
    </row>
    <row r="17" spans="1:17" ht="15">
      <c r="A17" s="207">
        <f t="shared" si="0"/>
        <v>8</v>
      </c>
      <c r="B17" s="221" t="s">
        <v>346</v>
      </c>
      <c r="C17" s="173"/>
      <c r="D17" s="218"/>
      <c r="E17" s="214"/>
      <c r="F17" s="216"/>
      <c r="G17" s="207"/>
      <c r="H17" s="173"/>
      <c r="I17" s="220"/>
      <c r="J17" s="216"/>
      <c r="K17" s="173"/>
      <c r="L17" s="173"/>
      <c r="Q17" s="168"/>
    </row>
    <row r="18" spans="1:17" ht="15.6">
      <c r="A18" s="207">
        <f t="shared" si="0"/>
        <v>9</v>
      </c>
      <c r="B18" s="222">
        <v>1766.67</v>
      </c>
      <c r="C18" s="173" t="s">
        <v>344</v>
      </c>
      <c r="D18" s="213">
        <f>ROUND(E18/B18,6)</f>
        <v>72.993502000000007</v>
      </c>
      <c r="E18" s="223">
        <v>128955.43</v>
      </c>
      <c r="F18" s="222">
        <f>+B18</f>
        <v>1766.67</v>
      </c>
      <c r="G18" s="207" t="s">
        <v>344</v>
      </c>
      <c r="H18" s="174" t="s">
        <v>19</v>
      </c>
      <c r="I18" s="213">
        <v>78.577590999999998</v>
      </c>
      <c r="J18" s="216">
        <f>ROUND(F18*I18,0)</f>
        <v>138821</v>
      </c>
      <c r="K18" s="180">
        <f>J18-E18</f>
        <v>9865.570000000007</v>
      </c>
      <c r="L18" s="173"/>
      <c r="N18" s="217">
        <f>(N12/I12)*I18</f>
        <v>78.577590999999998</v>
      </c>
      <c r="O18" s="224">
        <f>F18</f>
        <v>1766.67</v>
      </c>
      <c r="P18" s="186">
        <f>N18*O18</f>
        <v>138820.67269197002</v>
      </c>
      <c r="Q18" s="168">
        <f>P18-J18</f>
        <v>-0.327308029984124</v>
      </c>
    </row>
    <row r="19" spans="1:17" ht="15">
      <c r="A19" s="207">
        <f t="shared" si="0"/>
        <v>10</v>
      </c>
      <c r="B19" s="212"/>
      <c r="C19" s="173"/>
      <c r="D19" s="173"/>
      <c r="E19" s="223"/>
      <c r="F19" s="207"/>
      <c r="G19" s="207"/>
      <c r="H19" s="174"/>
      <c r="I19" s="225"/>
      <c r="J19" s="225"/>
      <c r="K19" s="225"/>
      <c r="L19" s="225"/>
      <c r="Q19" s="168"/>
    </row>
    <row r="20" spans="1:17" ht="15.6">
      <c r="A20" s="207">
        <f t="shared" si="0"/>
        <v>11</v>
      </c>
      <c r="B20" s="212">
        <v>96.26</v>
      </c>
      <c r="C20" s="173" t="s">
        <v>347</v>
      </c>
      <c r="D20" s="173"/>
      <c r="E20" s="223">
        <v>3745.48</v>
      </c>
      <c r="F20" s="173"/>
      <c r="G20" s="173"/>
      <c r="H20" s="174" t="s">
        <v>25</v>
      </c>
      <c r="I20" s="173"/>
      <c r="J20" s="216">
        <v>0</v>
      </c>
      <c r="K20" s="180">
        <f>J20-E20</f>
        <v>-3745.48</v>
      </c>
      <c r="L20" s="173"/>
      <c r="M20" s="170"/>
      <c r="N20" s="226" t="s">
        <v>565</v>
      </c>
      <c r="O20" s="227"/>
      <c r="P20" s="227"/>
      <c r="Q20" s="228">
        <f>SUM(Q12:Q19)</f>
        <v>256445.64116560959</v>
      </c>
    </row>
    <row r="21" spans="1:17" ht="15">
      <c r="A21" s="207">
        <f t="shared" si="0"/>
        <v>12</v>
      </c>
      <c r="B21" s="212"/>
      <c r="C21" s="173" t="s">
        <v>566</v>
      </c>
      <c r="D21" s="173"/>
      <c r="E21" s="223">
        <v>42282.69</v>
      </c>
      <c r="F21" s="173"/>
      <c r="G21" s="173"/>
      <c r="H21" s="174" t="s">
        <v>47</v>
      </c>
      <c r="I21" s="173"/>
      <c r="J21" s="216">
        <f>+E21</f>
        <v>42282.69</v>
      </c>
      <c r="K21" s="180">
        <f t="shared" ref="K21:K26" si="1">J21-E21</f>
        <v>0</v>
      </c>
      <c r="L21" s="173"/>
    </row>
    <row r="22" spans="1:17" ht="15">
      <c r="A22" s="207">
        <f t="shared" si="0"/>
        <v>13</v>
      </c>
      <c r="B22" s="212"/>
      <c r="C22" s="173" t="s">
        <v>348</v>
      </c>
      <c r="D22" s="173"/>
      <c r="E22" s="223">
        <v>18600</v>
      </c>
      <c r="F22" s="173"/>
      <c r="G22" s="173"/>
      <c r="H22" s="174" t="s">
        <v>48</v>
      </c>
      <c r="I22" s="173"/>
      <c r="J22" s="216">
        <v>0</v>
      </c>
      <c r="K22" s="180">
        <f t="shared" si="1"/>
        <v>-18600</v>
      </c>
      <c r="L22" s="173"/>
    </row>
    <row r="23" spans="1:17" ht="15.6">
      <c r="A23" s="207">
        <f t="shared" si="0"/>
        <v>14</v>
      </c>
      <c r="B23" s="212"/>
      <c r="C23" s="173" t="s">
        <v>567</v>
      </c>
      <c r="D23" s="173"/>
      <c r="E23" s="223">
        <f>14500+15500</f>
        <v>30000</v>
      </c>
      <c r="F23" s="173"/>
      <c r="G23" s="173"/>
      <c r="H23" s="174" t="s">
        <v>49</v>
      </c>
      <c r="I23" s="173"/>
      <c r="J23" s="216">
        <v>27500</v>
      </c>
      <c r="K23" s="180">
        <f t="shared" si="1"/>
        <v>-2500</v>
      </c>
      <c r="L23" s="173"/>
      <c r="N23" s="170"/>
      <c r="O23" s="170"/>
    </row>
    <row r="24" spans="1:17" ht="15.6">
      <c r="A24" s="207">
        <f t="shared" si="0"/>
        <v>15</v>
      </c>
      <c r="B24" s="212"/>
      <c r="C24" s="173" t="s">
        <v>349</v>
      </c>
      <c r="D24" s="173"/>
      <c r="E24" s="223">
        <v>52605.49</v>
      </c>
      <c r="F24" s="173"/>
      <c r="G24" s="173"/>
      <c r="H24" s="174" t="s">
        <v>50</v>
      </c>
      <c r="I24" s="173"/>
      <c r="J24" s="216">
        <v>0</v>
      </c>
      <c r="K24" s="180">
        <f t="shared" si="1"/>
        <v>-52605.49</v>
      </c>
      <c r="L24" s="173"/>
      <c r="N24" s="170"/>
      <c r="O24" s="170"/>
    </row>
    <row r="25" spans="1:17" ht="15.6">
      <c r="A25" s="207">
        <f t="shared" si="0"/>
        <v>16</v>
      </c>
      <c r="B25" s="212"/>
      <c r="C25" s="173" t="s">
        <v>350</v>
      </c>
      <c r="D25" s="173"/>
      <c r="E25" s="223">
        <v>1714.59</v>
      </c>
      <c r="F25" s="173"/>
      <c r="G25" s="173"/>
      <c r="H25" s="174" t="s">
        <v>245</v>
      </c>
      <c r="I25" s="173"/>
      <c r="J25" s="216">
        <v>0</v>
      </c>
      <c r="K25" s="180">
        <f t="shared" si="1"/>
        <v>-1714.59</v>
      </c>
      <c r="L25" s="173"/>
      <c r="N25" s="170"/>
      <c r="O25" s="170"/>
    </row>
    <row r="26" spans="1:17" ht="15.6">
      <c r="A26" s="207">
        <f t="shared" si="0"/>
        <v>17</v>
      </c>
      <c r="B26" s="212"/>
      <c r="C26" s="173" t="s">
        <v>351</v>
      </c>
      <c r="D26" s="173"/>
      <c r="E26" s="229">
        <v>-3297.94</v>
      </c>
      <c r="F26" s="173"/>
      <c r="G26" s="173"/>
      <c r="H26" s="174" t="s">
        <v>352</v>
      </c>
      <c r="I26" s="173"/>
      <c r="J26" s="216">
        <v>0</v>
      </c>
      <c r="K26" s="180">
        <f t="shared" si="1"/>
        <v>3297.94</v>
      </c>
      <c r="L26" s="173"/>
      <c r="N26" s="170"/>
      <c r="O26" s="170"/>
    </row>
    <row r="27" spans="1:17" ht="15.6">
      <c r="A27" s="207">
        <f t="shared" si="0"/>
        <v>18</v>
      </c>
      <c r="B27" s="212"/>
      <c r="C27" s="173" t="s">
        <v>353</v>
      </c>
      <c r="D27" s="173"/>
      <c r="E27" s="230">
        <f>E12+E15+E18+SUM(E20:E26)</f>
        <v>12015730.689999999</v>
      </c>
      <c r="F27" s="173"/>
      <c r="G27" s="173"/>
      <c r="H27" s="174"/>
      <c r="I27" s="173"/>
      <c r="J27" s="216"/>
      <c r="K27" s="180"/>
      <c r="L27" s="173"/>
      <c r="N27" s="170"/>
      <c r="O27" s="170"/>
    </row>
    <row r="28" spans="1:17" ht="15.6">
      <c r="A28" s="207">
        <f t="shared" si="0"/>
        <v>19</v>
      </c>
      <c r="B28" s="212"/>
      <c r="C28" s="173"/>
      <c r="D28" s="173"/>
      <c r="E28" s="223"/>
      <c r="F28" s="173"/>
      <c r="G28" s="173"/>
      <c r="H28" s="174"/>
      <c r="I28" s="173"/>
      <c r="J28" s="216"/>
      <c r="K28" s="180"/>
      <c r="L28" s="173"/>
      <c r="N28" s="170"/>
      <c r="O28" s="170"/>
    </row>
    <row r="29" spans="1:17" ht="15.6">
      <c r="A29" s="207">
        <f t="shared" si="0"/>
        <v>20</v>
      </c>
      <c r="B29" s="231"/>
      <c r="C29" s="173" t="s">
        <v>354</v>
      </c>
      <c r="D29" s="173"/>
      <c r="E29" s="229">
        <v>159842.59</v>
      </c>
      <c r="F29" s="232"/>
      <c r="G29" s="173"/>
      <c r="H29" s="174" t="s">
        <v>25</v>
      </c>
      <c r="I29" s="173"/>
      <c r="J29" s="233">
        <v>0</v>
      </c>
      <c r="K29" s="180">
        <f>J29-E29</f>
        <v>-159842.59</v>
      </c>
      <c r="L29" s="173"/>
      <c r="N29" s="170"/>
      <c r="O29" s="170"/>
    </row>
    <row r="30" spans="1:17" ht="16.2" thickBot="1">
      <c r="A30" s="207">
        <f t="shared" si="0"/>
        <v>21</v>
      </c>
      <c r="B30" s="234">
        <f>B12+B15+B18+SUM(B20:B29)</f>
        <v>286700.89</v>
      </c>
      <c r="C30" s="173" t="s">
        <v>355</v>
      </c>
      <c r="D30" s="173"/>
      <c r="E30" s="235">
        <f>SUM(E27:E29)</f>
        <v>12175573.279999999</v>
      </c>
      <c r="F30" s="236">
        <f>F12+F15+F18</f>
        <v>293013.99</v>
      </c>
      <c r="G30" s="181" t="s">
        <v>356</v>
      </c>
      <c r="H30" s="181"/>
      <c r="I30" s="181"/>
      <c r="J30" s="237">
        <f>SUM(J12:J29)</f>
        <v>12613291.689999999</v>
      </c>
      <c r="K30" s="179">
        <f>J30-E30</f>
        <v>437718.41000000015</v>
      </c>
      <c r="L30" s="173"/>
      <c r="M30" s="168"/>
      <c r="N30" s="170"/>
      <c r="O30" s="170"/>
    </row>
    <row r="31" spans="1:17" ht="16.2" thickTop="1">
      <c r="A31" s="207">
        <f t="shared" si="0"/>
        <v>22</v>
      </c>
      <c r="B31" s="221"/>
      <c r="C31" s="173"/>
      <c r="D31" s="173"/>
      <c r="E31" s="233"/>
      <c r="F31" s="232"/>
      <c r="G31" s="181"/>
      <c r="H31" s="181"/>
      <c r="I31" s="181"/>
      <c r="J31" s="233"/>
      <c r="K31" s="180"/>
      <c r="L31" s="173"/>
      <c r="M31" s="168"/>
      <c r="N31" s="170"/>
      <c r="O31" s="170"/>
    </row>
    <row r="32" spans="1:17" ht="15.6">
      <c r="A32" s="207">
        <f t="shared" si="0"/>
        <v>23</v>
      </c>
      <c r="B32" s="221"/>
      <c r="C32" s="173"/>
      <c r="D32" s="174"/>
      <c r="E32" s="238"/>
      <c r="F32" s="173"/>
      <c r="G32" s="173"/>
      <c r="H32" s="173"/>
      <c r="I32" s="173"/>
      <c r="J32" s="175" t="s">
        <v>357</v>
      </c>
      <c r="K32" s="173"/>
      <c r="L32" s="173"/>
      <c r="N32" s="170"/>
      <c r="O32" s="170"/>
    </row>
    <row r="33" spans="1:15" ht="15.6">
      <c r="A33" s="207">
        <f t="shared" si="0"/>
        <v>24</v>
      </c>
      <c r="B33" s="173"/>
      <c r="C33" s="173" t="s">
        <v>358</v>
      </c>
      <c r="D33" s="239">
        <v>0.27304838222685318</v>
      </c>
      <c r="E33" s="214">
        <f>ROUND(+$E$30*D33,0)</f>
        <v>3324521</v>
      </c>
      <c r="F33" s="423"/>
      <c r="G33" s="173"/>
      <c r="H33" s="173"/>
      <c r="I33" s="173"/>
      <c r="J33" s="216">
        <f>ROUND($J$30*D33,0)</f>
        <v>3444039</v>
      </c>
      <c r="K33" s="180">
        <f>J33-E33</f>
        <v>119518</v>
      </c>
      <c r="L33" s="173"/>
      <c r="N33" s="170"/>
      <c r="O33" s="170"/>
    </row>
    <row r="34" spans="1:15" ht="15.6">
      <c r="A34" s="207">
        <f t="shared" si="0"/>
        <v>25</v>
      </c>
      <c r="B34" s="173"/>
      <c r="C34" s="173" t="s">
        <v>359</v>
      </c>
      <c r="D34" s="239">
        <v>1.4397103630552412E-2</v>
      </c>
      <c r="E34" s="214">
        <f>ROUND(+$E$30*D34,0)</f>
        <v>175293</v>
      </c>
      <c r="F34" s="216"/>
      <c r="G34" s="173"/>
      <c r="H34" s="173"/>
      <c r="I34" s="173"/>
      <c r="J34" s="216">
        <f t="shared" ref="J34:J37" si="2">ROUND($J$30*D34,0)</f>
        <v>181595</v>
      </c>
      <c r="K34" s="180">
        <f t="shared" ref="K34:K37" si="3">J34-E34</f>
        <v>6302</v>
      </c>
      <c r="L34" s="173"/>
      <c r="N34" s="170"/>
      <c r="O34" s="170"/>
    </row>
    <row r="35" spans="1:15" ht="15.6">
      <c r="A35" s="207">
        <f t="shared" si="0"/>
        <v>26</v>
      </c>
      <c r="B35" s="173"/>
      <c r="C35" s="173" t="s">
        <v>360</v>
      </c>
      <c r="D35" s="239">
        <v>5.2892786745640848E-6</v>
      </c>
      <c r="E35" s="214">
        <f>+E30-SUM(E33:E34)-SUM(E36:E38)</f>
        <v>64.279999999329448</v>
      </c>
      <c r="F35" s="216"/>
      <c r="G35" s="173"/>
      <c r="H35" s="173"/>
      <c r="I35" s="173"/>
      <c r="J35" s="216">
        <f t="shared" si="2"/>
        <v>67</v>
      </c>
      <c r="K35" s="180">
        <f t="shared" si="3"/>
        <v>2.7200000006705523</v>
      </c>
      <c r="L35" s="173"/>
      <c r="O35" s="170"/>
    </row>
    <row r="36" spans="1:15" ht="15.6">
      <c r="A36" s="207">
        <f t="shared" si="0"/>
        <v>27</v>
      </c>
      <c r="B36" s="173"/>
      <c r="C36" s="173" t="s">
        <v>568</v>
      </c>
      <c r="D36" s="239">
        <v>1.9518563512834666E-3</v>
      </c>
      <c r="E36" s="214">
        <f t="shared" ref="E36:E37" si="4">ROUND(+$E$30*D36,0)</f>
        <v>23765</v>
      </c>
      <c r="F36" s="216"/>
      <c r="G36" s="173"/>
      <c r="H36" s="173"/>
      <c r="I36" s="173"/>
      <c r="J36" s="216">
        <f t="shared" si="2"/>
        <v>24619</v>
      </c>
      <c r="K36" s="180">
        <f t="shared" si="3"/>
        <v>854</v>
      </c>
      <c r="L36" s="173"/>
      <c r="O36" s="170"/>
    </row>
    <row r="37" spans="1:15" ht="15.6">
      <c r="A37" s="207">
        <f t="shared" si="0"/>
        <v>28</v>
      </c>
      <c r="B37" s="173"/>
      <c r="C37" s="173" t="s">
        <v>569</v>
      </c>
      <c r="D37" s="239">
        <v>7.5149644323593037E-5</v>
      </c>
      <c r="E37" s="214">
        <f t="shared" si="4"/>
        <v>915</v>
      </c>
      <c r="F37" s="216"/>
      <c r="G37" s="173"/>
      <c r="H37" s="173"/>
      <c r="I37" s="173"/>
      <c r="J37" s="216">
        <f t="shared" si="2"/>
        <v>948</v>
      </c>
      <c r="K37" s="180">
        <f t="shared" si="3"/>
        <v>33</v>
      </c>
      <c r="L37" s="173"/>
      <c r="O37" s="170"/>
    </row>
    <row r="38" spans="1:15" ht="15.6">
      <c r="A38" s="207">
        <f t="shared" si="0"/>
        <v>29</v>
      </c>
      <c r="B38" s="173"/>
      <c r="C38" s="173" t="s">
        <v>361</v>
      </c>
      <c r="D38" s="239">
        <v>0.71052221886831279</v>
      </c>
      <c r="E38" s="214">
        <f>ROUND(+$E$30*D38,0)</f>
        <v>8651015</v>
      </c>
      <c r="F38" s="216"/>
      <c r="G38" s="173"/>
      <c r="H38" s="173"/>
      <c r="I38" s="173"/>
      <c r="J38" s="216">
        <f>ROUND($J$30*D38,0)</f>
        <v>8962024</v>
      </c>
      <c r="K38" s="180">
        <f>J38-E38</f>
        <v>311009</v>
      </c>
      <c r="L38" s="175"/>
      <c r="O38" s="170"/>
    </row>
    <row r="39" spans="1:15" ht="15.6" thickBot="1">
      <c r="A39" s="207">
        <f t="shared" si="0"/>
        <v>30</v>
      </c>
      <c r="B39" s="173"/>
      <c r="C39" s="173"/>
      <c r="D39" s="240">
        <f>SUM(D33:D38)</f>
        <v>1</v>
      </c>
      <c r="E39" s="237">
        <f>SUM(E33:E38)</f>
        <v>12175573.279999999</v>
      </c>
      <c r="F39" s="216"/>
      <c r="G39" s="173"/>
      <c r="H39" s="173"/>
      <c r="I39" s="173"/>
      <c r="J39" s="179">
        <f>SUM(J33:J38)</f>
        <v>12613292</v>
      </c>
      <c r="K39" s="179">
        <f>SUM(K33:K38)</f>
        <v>437718.72000000067</v>
      </c>
      <c r="L39" s="173"/>
    </row>
    <row r="40" spans="1:15" ht="15.6" thickTop="1">
      <c r="A40" s="207">
        <f t="shared" si="0"/>
        <v>31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N40" s="172"/>
      <c r="O40" s="172"/>
    </row>
    <row r="41" spans="1:15" ht="15">
      <c r="A41" s="207">
        <f t="shared" si="0"/>
        <v>32</v>
      </c>
      <c r="B41" s="175"/>
      <c r="C41" s="173"/>
      <c r="D41" s="173"/>
      <c r="E41" s="173"/>
      <c r="F41" s="173"/>
      <c r="G41" s="173"/>
      <c r="H41" s="173"/>
      <c r="I41" s="173"/>
      <c r="J41" s="241" t="s">
        <v>570</v>
      </c>
      <c r="K41" s="241"/>
      <c r="L41" s="241"/>
    </row>
    <row r="42" spans="1:15" ht="15">
      <c r="A42" s="207">
        <f t="shared" si="0"/>
        <v>33</v>
      </c>
      <c r="B42" s="175" t="s">
        <v>571</v>
      </c>
      <c r="C42" s="242"/>
      <c r="D42" s="242"/>
      <c r="E42" s="173"/>
      <c r="F42" s="173"/>
      <c r="G42" s="173"/>
      <c r="H42" s="173"/>
      <c r="I42" s="173"/>
      <c r="J42" s="221">
        <f>+ROUND($K$38*L42,2)</f>
        <v>72742.929999999993</v>
      </c>
      <c r="K42" s="207" t="s">
        <v>121</v>
      </c>
      <c r="L42" s="243">
        <v>0.23389334143745227</v>
      </c>
    </row>
    <row r="43" spans="1:15" ht="15">
      <c r="A43" s="207">
        <f t="shared" si="0"/>
        <v>34</v>
      </c>
      <c r="B43" s="175" t="s">
        <v>572</v>
      </c>
      <c r="C43" s="173"/>
      <c r="D43" s="173"/>
      <c r="E43" s="173"/>
      <c r="F43" s="173"/>
      <c r="G43" s="173"/>
      <c r="H43" s="173"/>
      <c r="I43" s="173"/>
      <c r="J43" s="221">
        <f>+ROUND($K$38*L43,2)</f>
        <v>117492.73</v>
      </c>
      <c r="K43" s="207" t="s">
        <v>123</v>
      </c>
      <c r="L43" s="243">
        <v>0.3777791868949858</v>
      </c>
    </row>
    <row r="44" spans="1:15" ht="15">
      <c r="A44" s="207">
        <f t="shared" si="0"/>
        <v>35</v>
      </c>
      <c r="B44" s="173" t="s">
        <v>573</v>
      </c>
      <c r="C44" s="173"/>
      <c r="D44" s="173"/>
      <c r="E44" s="173"/>
      <c r="F44" s="173"/>
      <c r="G44" s="173"/>
      <c r="H44" s="173"/>
      <c r="I44" s="173"/>
      <c r="J44" s="221">
        <f>+ROUND($K$38*L44,2)</f>
        <v>46853.760000000002</v>
      </c>
      <c r="K44" s="207" t="s">
        <v>362</v>
      </c>
      <c r="L44" s="243">
        <v>0.15065081102412564</v>
      </c>
    </row>
    <row r="45" spans="1:15" ht="15">
      <c r="A45" s="207">
        <f t="shared" si="0"/>
        <v>36</v>
      </c>
      <c r="B45" s="173" t="s">
        <v>574</v>
      </c>
      <c r="C45" s="173"/>
      <c r="D45" s="173"/>
      <c r="E45" s="173"/>
      <c r="F45" s="173"/>
      <c r="G45" s="173"/>
      <c r="H45" s="173"/>
      <c r="I45" s="173"/>
      <c r="J45" s="221">
        <f t="shared" ref="J45:J46" si="5">+ROUND($K$38*L45,2)</f>
        <v>3116.2</v>
      </c>
      <c r="K45" s="207" t="s">
        <v>363</v>
      </c>
      <c r="L45" s="243">
        <v>1.0019633069633755E-2</v>
      </c>
    </row>
    <row r="46" spans="1:15" ht="15">
      <c r="A46" s="207">
        <f t="shared" si="0"/>
        <v>37</v>
      </c>
      <c r="B46" s="175" t="s">
        <v>575</v>
      </c>
      <c r="C46" s="173"/>
      <c r="D46" s="173"/>
      <c r="E46" s="173"/>
      <c r="F46" s="173"/>
      <c r="G46" s="173"/>
      <c r="H46" s="173"/>
      <c r="I46" s="173"/>
      <c r="J46" s="221">
        <f t="shared" si="5"/>
        <v>70803.38</v>
      </c>
      <c r="K46" s="207" t="s">
        <v>80</v>
      </c>
      <c r="L46" s="243">
        <v>0.22765702757380255</v>
      </c>
    </row>
    <row r="47" spans="1:15" ht="15.6" thickBot="1">
      <c r="A47" s="207">
        <f t="shared" si="0"/>
        <v>38</v>
      </c>
      <c r="B47" s="173" t="s">
        <v>576</v>
      </c>
      <c r="C47" s="173"/>
      <c r="D47" s="173"/>
      <c r="E47" s="173"/>
      <c r="F47" s="173"/>
      <c r="G47" s="173"/>
      <c r="H47" s="173"/>
      <c r="I47" s="173"/>
      <c r="J47" s="244">
        <f>SUM(J42:J46)</f>
        <v>311009</v>
      </c>
      <c r="K47" s="173"/>
      <c r="L47" s="245">
        <f>SUM(L42:L46)</f>
        <v>0.99999999999999989</v>
      </c>
    </row>
    <row r="48" spans="1:15" ht="15.6" thickTop="1">
      <c r="A48" s="207">
        <f t="shared" si="0"/>
        <v>39</v>
      </c>
      <c r="B48" s="173" t="s">
        <v>577</v>
      </c>
      <c r="C48" s="173"/>
      <c r="D48" s="173"/>
      <c r="E48" s="173"/>
      <c r="F48" s="173"/>
      <c r="G48" s="173"/>
      <c r="H48" s="173"/>
      <c r="I48" s="173"/>
      <c r="J48" s="174"/>
      <c r="K48" s="173"/>
      <c r="L48" s="173"/>
    </row>
    <row r="49" spans="1:12" ht="15">
      <c r="A49" s="207">
        <f t="shared" si="0"/>
        <v>40</v>
      </c>
      <c r="B49" s="175" t="s">
        <v>364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</row>
    <row r="50" spans="1:12" ht="15">
      <c r="A50" s="207">
        <f t="shared" si="0"/>
        <v>41</v>
      </c>
      <c r="B50" s="246" t="s">
        <v>365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</row>
    <row r="51" spans="1:12" ht="15">
      <c r="A51" s="207">
        <f t="shared" si="0"/>
        <v>42</v>
      </c>
      <c r="B51" s="246" t="s">
        <v>366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</row>
    <row r="52" spans="1:12" ht="15">
      <c r="A52" s="207">
        <f t="shared" si="0"/>
        <v>43</v>
      </c>
      <c r="B52" s="246" t="s">
        <v>578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</row>
    <row r="53" spans="1:12" ht="15">
      <c r="A53" s="207">
        <f t="shared" si="0"/>
        <v>44</v>
      </c>
      <c r="B53" s="246" t="s">
        <v>367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</row>
    <row r="54" spans="1:12" ht="15">
      <c r="A54" s="207">
        <f t="shared" si="0"/>
        <v>45</v>
      </c>
      <c r="B54" s="246" t="s">
        <v>579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</row>
    <row r="55" spans="1:12" ht="15">
      <c r="A55" s="207">
        <f t="shared" si="0"/>
        <v>46</v>
      </c>
      <c r="B55" s="246" t="s">
        <v>580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</row>
    <row r="56" spans="1:12" ht="15">
      <c r="A56" s="207"/>
      <c r="B56" s="175"/>
      <c r="C56" s="181"/>
      <c r="D56" s="181"/>
      <c r="E56" s="181"/>
      <c r="F56" s="181"/>
      <c r="G56" s="181"/>
      <c r="H56" s="181"/>
      <c r="I56" s="181"/>
      <c r="J56" s="181"/>
      <c r="K56" s="181"/>
      <c r="L56" s="181"/>
    </row>
    <row r="57" spans="1:12" ht="15">
      <c r="A57" s="173"/>
      <c r="C57" s="181"/>
      <c r="D57" s="181"/>
      <c r="E57" s="181"/>
      <c r="F57" s="181"/>
      <c r="G57" s="181"/>
      <c r="H57" s="181"/>
      <c r="I57" s="181"/>
      <c r="J57" s="181"/>
      <c r="K57" s="181"/>
      <c r="L57" s="181"/>
    </row>
  </sheetData>
  <mergeCells count="3">
    <mergeCell ref="A3:L3"/>
    <mergeCell ref="A4:L4"/>
    <mergeCell ref="A6:L6"/>
  </mergeCells>
  <printOptions horizontalCentered="1"/>
  <pageMargins left="0" right="0.57999999999999996" top="0.34" bottom="0.53" header="0.27" footer="0.5"/>
  <pageSetup scale="64" pageOrder="overThenDown" orientation="landscape" r:id="rId1"/>
  <headerFooter alignWithMargins="0"/>
  <ignoredErrors>
    <ignoredError sqref="H12:H27 H2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58FFE-1E15-4830-AB33-5AC808782D0C}">
  <sheetPr>
    <pageSetUpPr fitToPage="1"/>
  </sheetPr>
  <dimension ref="A1:L72"/>
  <sheetViews>
    <sheetView view="pageBreakPreview" zoomScale="60" zoomScaleNormal="100" workbookViewId="0">
      <selection activeCell="J2" sqref="J2"/>
    </sheetView>
  </sheetViews>
  <sheetFormatPr defaultRowHeight="13.2"/>
  <cols>
    <col min="1" max="1" width="9.109375" style="156" bestFit="1" customWidth="1"/>
    <col min="2" max="2" width="23" style="156" bestFit="1" customWidth="1"/>
    <col min="3" max="3" width="24.88671875" style="156" customWidth="1"/>
    <col min="4" max="4" width="14" style="156" customWidth="1"/>
    <col min="5" max="5" width="17.44140625" style="156" customWidth="1"/>
    <col min="6" max="6" width="3.33203125" style="156" customWidth="1"/>
    <col min="7" max="7" width="16.109375" style="156" customWidth="1"/>
    <col min="8" max="8" width="4.6640625" style="156" customWidth="1"/>
    <col min="9" max="9" width="12.5546875" style="156" customWidth="1"/>
    <col min="10" max="10" width="10.33203125" style="156" bestFit="1" customWidth="1"/>
    <col min="11" max="11" width="21.88671875" style="156" customWidth="1"/>
    <col min="12" max="13" width="13" style="156" bestFit="1" customWidth="1"/>
    <col min="14" max="14" width="12" style="156" customWidth="1"/>
    <col min="15" max="15" width="10.88671875" style="156" customWidth="1"/>
    <col min="16" max="16" width="9.5546875" style="156" bestFit="1" customWidth="1"/>
    <col min="17" max="17" width="11.109375" style="156" customWidth="1"/>
    <col min="18" max="16384" width="8.88671875" style="156"/>
  </cols>
  <sheetData>
    <row r="1" spans="1:12" ht="17.399999999999999" customHeight="1">
      <c r="A1" s="8"/>
      <c r="B1" s="8"/>
      <c r="C1" s="8"/>
      <c r="D1" s="8"/>
      <c r="E1" s="8"/>
      <c r="F1" s="8"/>
      <c r="G1" s="8"/>
      <c r="H1" s="8"/>
      <c r="J1" s="4" t="s">
        <v>695</v>
      </c>
      <c r="K1" s="181"/>
    </row>
    <row r="2" spans="1:12" ht="17.399999999999999" customHeight="1">
      <c r="A2" s="8"/>
      <c r="B2" s="8"/>
      <c r="C2" s="8"/>
      <c r="D2" s="8"/>
      <c r="E2" s="4"/>
      <c r="F2" s="8"/>
      <c r="G2" s="8"/>
      <c r="H2" s="8"/>
      <c r="I2" s="8"/>
      <c r="J2" s="154"/>
      <c r="K2" s="181"/>
      <c r="L2" s="173"/>
    </row>
    <row r="3" spans="1:12" ht="17.399999999999999" customHeight="1">
      <c r="A3" s="432" t="str">
        <f>RevReq!A1</f>
        <v>KENERGY CORP.</v>
      </c>
      <c r="B3" s="432"/>
      <c r="C3" s="432"/>
      <c r="D3" s="432"/>
      <c r="E3" s="432"/>
      <c r="F3" s="432"/>
      <c r="G3" s="432"/>
      <c r="H3" s="432"/>
      <c r="I3" s="432"/>
      <c r="J3" s="432"/>
      <c r="K3" s="438"/>
      <c r="L3" s="438"/>
    </row>
    <row r="4" spans="1:12" ht="17.399999999999999" customHeight="1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  <c r="H4" s="432"/>
      <c r="I4" s="432"/>
      <c r="J4" s="432"/>
      <c r="K4" s="438"/>
      <c r="L4" s="438"/>
    </row>
    <row r="5" spans="1:12" ht="17.399999999999999" customHeight="1">
      <c r="A5" s="8"/>
      <c r="B5" s="8"/>
      <c r="C5" s="8"/>
      <c r="D5" s="8"/>
      <c r="E5" s="8"/>
      <c r="F5" s="8"/>
      <c r="G5" s="8"/>
      <c r="H5" s="8"/>
      <c r="I5" s="8"/>
      <c r="J5" s="154"/>
      <c r="K5" s="438"/>
      <c r="L5" s="438"/>
    </row>
    <row r="6" spans="1:12" ht="17.399999999999999" customHeight="1">
      <c r="A6" s="429" t="str">
        <f>'Adj List'!C20</f>
        <v>Labor Overhead Expenses</v>
      </c>
      <c r="B6" s="429"/>
      <c r="C6" s="429"/>
      <c r="D6" s="429"/>
      <c r="E6" s="429"/>
      <c r="F6" s="429"/>
      <c r="G6" s="429"/>
      <c r="H6" s="429"/>
      <c r="I6" s="429"/>
      <c r="J6" s="429"/>
      <c r="K6" s="438"/>
      <c r="L6" s="438"/>
    </row>
    <row r="7" spans="1:12" ht="15">
      <c r="A7" s="181"/>
      <c r="B7" s="181"/>
      <c r="C7" s="181"/>
      <c r="D7" s="181"/>
      <c r="E7" s="181"/>
      <c r="F7" s="181"/>
      <c r="G7" s="181"/>
      <c r="H7" s="181"/>
      <c r="I7" s="173"/>
      <c r="J7" s="173"/>
      <c r="K7" s="438"/>
      <c r="L7" s="438"/>
    </row>
    <row r="8" spans="1:12" ht="15">
      <c r="A8" s="207" t="s">
        <v>282</v>
      </c>
      <c r="B8" s="207" t="s">
        <v>283</v>
      </c>
      <c r="C8" s="207" t="s">
        <v>284</v>
      </c>
      <c r="D8" s="207" t="s">
        <v>285</v>
      </c>
      <c r="E8" s="207" t="s">
        <v>302</v>
      </c>
      <c r="F8" s="207"/>
      <c r="G8" s="207" t="s">
        <v>303</v>
      </c>
      <c r="H8" s="207"/>
      <c r="I8" s="207"/>
      <c r="J8" s="173"/>
      <c r="K8" s="438"/>
      <c r="L8" s="438"/>
    </row>
    <row r="9" spans="1:12" ht="15">
      <c r="A9" s="181" t="s">
        <v>559</v>
      </c>
      <c r="B9" s="177" t="s">
        <v>40</v>
      </c>
      <c r="C9" s="177"/>
      <c r="D9" s="177" t="s">
        <v>368</v>
      </c>
      <c r="E9" s="177" t="s">
        <v>369</v>
      </c>
      <c r="F9" s="177"/>
      <c r="G9" s="177" t="s">
        <v>370</v>
      </c>
      <c r="H9" s="207"/>
      <c r="I9" s="207"/>
      <c r="J9" s="173"/>
      <c r="K9" s="438"/>
      <c r="L9" s="438"/>
    </row>
    <row r="10" spans="1:12" ht="15">
      <c r="A10" s="181"/>
      <c r="B10" s="207"/>
      <c r="C10" s="207"/>
      <c r="D10" s="207"/>
      <c r="E10" s="207"/>
      <c r="F10" s="207"/>
      <c r="G10" s="207"/>
      <c r="H10" s="207"/>
      <c r="I10" s="207"/>
      <c r="J10" s="173"/>
      <c r="K10" s="438"/>
      <c r="L10" s="438"/>
    </row>
    <row r="11" spans="1:12" ht="15">
      <c r="A11" s="207">
        <v>1</v>
      </c>
      <c r="B11" s="173" t="s">
        <v>371</v>
      </c>
      <c r="C11" s="173"/>
      <c r="D11" s="214">
        <v>1998006.0900000003</v>
      </c>
      <c r="E11" s="216">
        <v>1686348</v>
      </c>
      <c r="F11" s="247"/>
      <c r="G11" s="216">
        <f>E11-D11</f>
        <v>-311658.09000000032</v>
      </c>
      <c r="H11" s="233"/>
      <c r="I11" s="248"/>
      <c r="J11" s="173"/>
      <c r="K11" s="438"/>
      <c r="L11" s="438"/>
    </row>
    <row r="12" spans="1:12" ht="15">
      <c r="A12" s="207">
        <f>A11+1</f>
        <v>2</v>
      </c>
      <c r="B12" s="173" t="s">
        <v>372</v>
      </c>
      <c r="C12" s="173"/>
      <c r="D12" s="214">
        <v>100532.67</v>
      </c>
      <c r="E12" s="216">
        <v>100211</v>
      </c>
      <c r="F12" s="247"/>
      <c r="G12" s="216">
        <f t="shared" ref="G12:G19" si="0">E12-D12</f>
        <v>-321.66999999999825</v>
      </c>
      <c r="H12" s="233"/>
      <c r="I12" s="248"/>
      <c r="J12" s="173"/>
      <c r="K12" s="438"/>
      <c r="L12" s="438"/>
    </row>
    <row r="13" spans="1:12" ht="15">
      <c r="A13" s="207">
        <f t="shared" ref="A13:A40" si="1">A12+1</f>
        <v>3</v>
      </c>
      <c r="B13" s="173" t="s">
        <v>373</v>
      </c>
      <c r="C13" s="173"/>
      <c r="D13" s="214">
        <v>17833.47</v>
      </c>
      <c r="E13" s="214">
        <v>19046</v>
      </c>
      <c r="F13" s="247"/>
      <c r="G13" s="216">
        <f t="shared" si="0"/>
        <v>1212.5299999999988</v>
      </c>
      <c r="H13" s="233"/>
      <c r="I13" s="248"/>
      <c r="J13" s="173"/>
      <c r="K13" s="438"/>
      <c r="L13" s="438"/>
    </row>
    <row r="14" spans="1:12" ht="15">
      <c r="A14" s="207">
        <f t="shared" si="1"/>
        <v>4</v>
      </c>
      <c r="B14" s="173" t="s">
        <v>374</v>
      </c>
      <c r="C14" s="173"/>
      <c r="D14" s="214">
        <v>76373.98</v>
      </c>
      <c r="E14" s="214">
        <v>81548</v>
      </c>
      <c r="F14" s="247"/>
      <c r="G14" s="216">
        <f t="shared" si="0"/>
        <v>5174.0200000000041</v>
      </c>
      <c r="H14" s="233"/>
      <c r="I14" s="248"/>
      <c r="J14" s="173"/>
      <c r="K14" s="438"/>
      <c r="L14" s="438"/>
    </row>
    <row r="15" spans="1:12" ht="15">
      <c r="A15" s="207">
        <f t="shared" si="1"/>
        <v>5</v>
      </c>
      <c r="B15" s="173" t="s">
        <v>375</v>
      </c>
      <c r="C15" s="173"/>
      <c r="D15" s="223">
        <v>78902.540000000008</v>
      </c>
      <c r="E15" s="214">
        <v>92656</v>
      </c>
      <c r="F15" s="247"/>
      <c r="G15" s="216">
        <f t="shared" si="0"/>
        <v>13753.459999999992</v>
      </c>
      <c r="H15" s="233"/>
      <c r="I15" s="248"/>
      <c r="J15" s="173"/>
      <c r="K15" s="438"/>
      <c r="L15" s="438"/>
    </row>
    <row r="16" spans="1:12" ht="15">
      <c r="A16" s="207">
        <f t="shared" si="1"/>
        <v>6</v>
      </c>
      <c r="B16" s="173" t="s">
        <v>376</v>
      </c>
      <c r="C16" s="173"/>
      <c r="D16" s="233">
        <v>2475500.3800000004</v>
      </c>
      <c r="E16" s="223">
        <v>2664169</v>
      </c>
      <c r="F16" s="247"/>
      <c r="G16" s="216">
        <f t="shared" si="0"/>
        <v>188668.61999999965</v>
      </c>
      <c r="H16" s="249"/>
      <c r="I16" s="248"/>
      <c r="J16" s="175"/>
      <c r="K16" s="438"/>
      <c r="L16" s="438"/>
    </row>
    <row r="17" spans="1:12" ht="15">
      <c r="A17" s="207">
        <f t="shared" si="1"/>
        <v>7</v>
      </c>
      <c r="B17" s="173" t="s">
        <v>377</v>
      </c>
      <c r="C17" s="173"/>
      <c r="D17" s="223">
        <v>871051.44000000006</v>
      </c>
      <c r="E17" s="214">
        <v>924937</v>
      </c>
      <c r="F17" s="247"/>
      <c r="G17" s="216">
        <f t="shared" si="0"/>
        <v>53885.559999999939</v>
      </c>
      <c r="H17" s="233"/>
      <c r="I17" s="248"/>
      <c r="J17" s="173"/>
      <c r="K17" s="438"/>
      <c r="L17" s="438"/>
    </row>
    <row r="18" spans="1:12" ht="15">
      <c r="A18" s="207">
        <f t="shared" si="1"/>
        <v>8</v>
      </c>
      <c r="B18" s="173" t="s">
        <v>378</v>
      </c>
      <c r="C18" s="173"/>
      <c r="D18" s="223">
        <v>142014.21000000002</v>
      </c>
      <c r="E18" s="223">
        <v>148448</v>
      </c>
      <c r="F18" s="247"/>
      <c r="G18" s="233">
        <f t="shared" si="0"/>
        <v>6433.789999999979</v>
      </c>
      <c r="H18" s="233"/>
      <c r="I18" s="248"/>
      <c r="J18" s="173"/>
      <c r="K18" s="438"/>
      <c r="L18" s="438"/>
    </row>
    <row r="19" spans="1:12" ht="15">
      <c r="A19" s="207">
        <f t="shared" si="1"/>
        <v>9</v>
      </c>
      <c r="B19" s="173" t="s">
        <v>379</v>
      </c>
      <c r="C19" s="173"/>
      <c r="D19" s="214">
        <v>256870.80000000002</v>
      </c>
      <c r="E19" s="223">
        <v>265797</v>
      </c>
      <c r="F19" s="247"/>
      <c r="G19" s="216">
        <f t="shared" si="0"/>
        <v>8926.1999999999825</v>
      </c>
      <c r="H19" s="233"/>
      <c r="I19" s="248"/>
      <c r="J19" s="173"/>
      <c r="K19" s="438"/>
      <c r="L19" s="438"/>
    </row>
    <row r="20" spans="1:12" ht="15">
      <c r="A20" s="207">
        <f t="shared" si="1"/>
        <v>10</v>
      </c>
      <c r="B20" s="173" t="s">
        <v>380</v>
      </c>
      <c r="C20" s="173"/>
      <c r="D20" s="214">
        <v>2929.4</v>
      </c>
      <c r="E20" s="223">
        <v>3041.28</v>
      </c>
      <c r="F20" s="247"/>
      <c r="G20" s="216">
        <f>E20-D20</f>
        <v>111.88000000000011</v>
      </c>
      <c r="H20" s="233"/>
      <c r="I20" s="248"/>
      <c r="J20" s="173"/>
      <c r="K20" s="438"/>
      <c r="L20" s="438"/>
    </row>
    <row r="21" spans="1:12" ht="15.6" thickBot="1">
      <c r="A21" s="207">
        <f t="shared" si="1"/>
        <v>11</v>
      </c>
      <c r="B21" s="173"/>
      <c r="C21" s="173"/>
      <c r="D21" s="237">
        <f>SUM(D11:D20)</f>
        <v>6020014.9800000014</v>
      </c>
      <c r="E21" s="237">
        <f>SUM(E11:E20)</f>
        <v>5986201.2800000003</v>
      </c>
      <c r="F21" s="237"/>
      <c r="G21" s="237">
        <f t="shared" ref="G21" si="2">SUM(G11:G20)</f>
        <v>-33813.700000000805</v>
      </c>
      <c r="H21" s="233"/>
      <c r="I21" s="248"/>
      <c r="J21" s="173"/>
      <c r="K21" s="438"/>
      <c r="L21" s="438"/>
    </row>
    <row r="22" spans="1:12" ht="15.6" thickTop="1">
      <c r="A22" s="207">
        <f t="shared" si="1"/>
        <v>12</v>
      </c>
      <c r="B22" s="173"/>
      <c r="C22" s="173"/>
      <c r="D22" s="173"/>
      <c r="E22" s="173"/>
      <c r="F22" s="173"/>
      <c r="G22" s="173"/>
      <c r="H22" s="173"/>
      <c r="I22" s="173"/>
      <c r="J22" s="173"/>
      <c r="K22" s="438"/>
      <c r="L22" s="438"/>
    </row>
    <row r="23" spans="1:12" ht="15">
      <c r="A23" s="207">
        <f t="shared" si="1"/>
        <v>13</v>
      </c>
      <c r="B23" s="173"/>
      <c r="C23" s="251"/>
      <c r="D23" s="252"/>
      <c r="E23" s="174"/>
      <c r="F23" s="173"/>
      <c r="G23" s="252"/>
      <c r="H23" s="252"/>
      <c r="I23" s="173"/>
      <c r="J23" s="173"/>
      <c r="K23" s="438"/>
      <c r="L23" s="438"/>
    </row>
    <row r="24" spans="1:12" ht="15">
      <c r="A24" s="207">
        <f t="shared" si="1"/>
        <v>14</v>
      </c>
      <c r="B24" s="173"/>
      <c r="D24" s="207" t="s">
        <v>368</v>
      </c>
      <c r="E24" s="207" t="s">
        <v>369</v>
      </c>
      <c r="F24" s="173"/>
      <c r="G24" s="207" t="s">
        <v>15</v>
      </c>
      <c r="H24" s="252"/>
      <c r="I24" s="173"/>
      <c r="J24" s="173"/>
      <c r="K24" s="438"/>
      <c r="L24" s="438"/>
    </row>
    <row r="25" spans="1:12" ht="15">
      <c r="A25" s="207">
        <f t="shared" si="1"/>
        <v>15</v>
      </c>
      <c r="B25" s="176" t="str">
        <f>'1.13 Labor'!C33</f>
        <v>Capitalized</v>
      </c>
      <c r="C25" s="253">
        <f>D25/$D$31</f>
        <v>0.32577727365553144</v>
      </c>
      <c r="D25" s="216">
        <v>1961184.1199999999</v>
      </c>
      <c r="E25" s="216">
        <v>1950168.3326000001</v>
      </c>
      <c r="F25" s="216"/>
      <c r="G25" s="216">
        <f>E25-D25</f>
        <v>-11015.787399999797</v>
      </c>
      <c r="H25" s="216"/>
      <c r="I25" s="173"/>
      <c r="J25" s="173"/>
      <c r="K25" s="438"/>
      <c r="L25" s="438"/>
    </row>
    <row r="26" spans="1:12" ht="15">
      <c r="A26" s="207">
        <f t="shared" si="1"/>
        <v>16</v>
      </c>
      <c r="B26" s="176" t="str">
        <f>'1.13 Labor'!C34</f>
        <v>Accounts Receivable</v>
      </c>
      <c r="C26" s="253">
        <f>D26/$D$31</f>
        <v>1.7089377284009721E-2</v>
      </c>
      <c r="D26" s="216">
        <v>102878.31</v>
      </c>
      <c r="E26" s="216">
        <v>102300.4522</v>
      </c>
      <c r="F26" s="216"/>
      <c r="G26" s="216">
        <f t="shared" ref="G26:G30" si="3">E26-D26</f>
        <v>-577.85779999999795</v>
      </c>
      <c r="H26" s="216"/>
      <c r="I26" s="173"/>
      <c r="J26" s="173"/>
      <c r="K26" s="438"/>
      <c r="L26" s="438"/>
    </row>
    <row r="27" spans="1:12" ht="15">
      <c r="A27" s="207">
        <f t="shared" si="1"/>
        <v>17</v>
      </c>
      <c r="B27" s="176" t="str">
        <f>'1.13 Labor'!C35</f>
        <v>Non-Operating</v>
      </c>
      <c r="C27" s="253">
        <f>D27/$D$31</f>
        <v>0</v>
      </c>
      <c r="D27" s="216">
        <v>0</v>
      </c>
      <c r="E27" s="216">
        <v>0</v>
      </c>
      <c r="F27" s="216"/>
      <c r="G27" s="216">
        <f t="shared" si="3"/>
        <v>0</v>
      </c>
      <c r="H27" s="216"/>
      <c r="I27" s="173"/>
      <c r="J27" s="173"/>
      <c r="K27" s="438"/>
      <c r="L27" s="438"/>
    </row>
    <row r="28" spans="1:12" ht="15">
      <c r="A28" s="207">
        <f t="shared" si="1"/>
        <v>18</v>
      </c>
      <c r="B28" s="176" t="s">
        <v>568</v>
      </c>
      <c r="C28" s="253">
        <f t="shared" ref="C28:C29" si="4">D28/$D$31</f>
        <v>1.9264619321328711E-3</v>
      </c>
      <c r="D28" s="216">
        <v>11597.33</v>
      </c>
      <c r="E28" s="216">
        <v>11532.188899999999</v>
      </c>
      <c r="F28" s="216"/>
      <c r="G28" s="216">
        <f t="shared" si="3"/>
        <v>-65.141100000000733</v>
      </c>
      <c r="H28" s="216"/>
      <c r="I28" s="173"/>
      <c r="J28" s="173"/>
      <c r="K28" s="438"/>
      <c r="L28" s="438"/>
    </row>
    <row r="29" spans="1:12" ht="15">
      <c r="A29" s="207">
        <f t="shared" si="1"/>
        <v>19</v>
      </c>
      <c r="B29" s="176" t="s">
        <v>569</v>
      </c>
      <c r="C29" s="253">
        <f t="shared" si="4"/>
        <v>7.8662592852106572E-5</v>
      </c>
      <c r="D29" s="216">
        <v>473.55</v>
      </c>
      <c r="E29" s="216">
        <v>470.89010000000002</v>
      </c>
      <c r="F29" s="216"/>
      <c r="G29" s="216">
        <f t="shared" si="3"/>
        <v>-2.6598999999999933</v>
      </c>
      <c r="H29" s="216"/>
      <c r="I29" s="173"/>
      <c r="J29" s="173"/>
      <c r="K29" s="438"/>
      <c r="L29" s="438"/>
    </row>
    <row r="30" spans="1:12" ht="15">
      <c r="A30" s="207">
        <f t="shared" si="1"/>
        <v>20</v>
      </c>
      <c r="B30" s="176" t="str">
        <f>'1.13 Labor'!C38</f>
        <v>Electric-Expensed</v>
      </c>
      <c r="C30" s="253">
        <f>D30/$D$31</f>
        <v>0.65512822453547381</v>
      </c>
      <c r="D30" s="216">
        <v>3943881.8310000002</v>
      </c>
      <c r="E30" s="216">
        <v>3921729.4163000002</v>
      </c>
      <c r="F30" s="216"/>
      <c r="G30" s="216">
        <f t="shared" si="3"/>
        <v>-22152.414700000081</v>
      </c>
      <c r="H30" s="247"/>
      <c r="I30" s="173"/>
      <c r="J30" s="173"/>
      <c r="K30" s="438"/>
      <c r="L30" s="438"/>
    </row>
    <row r="31" spans="1:12" ht="15.6" thickBot="1">
      <c r="A31" s="207">
        <f t="shared" si="1"/>
        <v>21</v>
      </c>
      <c r="B31" s="173"/>
      <c r="C31" s="254">
        <f>SUM(C25:C30)</f>
        <v>1</v>
      </c>
      <c r="D31" s="237">
        <f>SUM(D25:D30)</f>
        <v>6020015.1410000008</v>
      </c>
      <c r="E31" s="237">
        <f>SUM(E25:E30)</f>
        <v>5986201.2801000001</v>
      </c>
      <c r="F31" s="237"/>
      <c r="G31" s="237">
        <f>SUM(G25:G30)</f>
        <v>-33813.860899999876</v>
      </c>
      <c r="H31" s="233"/>
      <c r="I31" s="173"/>
      <c r="J31" s="173"/>
      <c r="K31" s="438"/>
      <c r="L31" s="438"/>
    </row>
    <row r="32" spans="1:12" ht="15.6" thickTop="1">
      <c r="A32" s="207">
        <f t="shared" si="1"/>
        <v>22</v>
      </c>
      <c r="C32" s="173"/>
      <c r="D32" s="173"/>
      <c r="E32" s="173"/>
      <c r="F32" s="173"/>
      <c r="G32" s="173"/>
      <c r="H32" s="173"/>
      <c r="I32" s="173"/>
      <c r="J32" s="173"/>
      <c r="K32" s="438"/>
      <c r="L32" s="438"/>
    </row>
    <row r="33" spans="1:12" ht="15">
      <c r="A33" s="207">
        <f t="shared" si="1"/>
        <v>23</v>
      </c>
      <c r="B33" s="173"/>
      <c r="C33" s="173"/>
      <c r="D33" s="173"/>
      <c r="E33" s="173"/>
      <c r="F33" s="173"/>
      <c r="G33" s="241" t="s">
        <v>581</v>
      </c>
      <c r="H33" s="241"/>
      <c r="I33" s="241"/>
      <c r="J33" s="241"/>
      <c r="K33" s="438"/>
      <c r="L33" s="438"/>
    </row>
    <row r="34" spans="1:12" ht="15">
      <c r="A34" s="207">
        <f t="shared" si="1"/>
        <v>24</v>
      </c>
      <c r="B34" s="175"/>
      <c r="C34" s="173"/>
      <c r="D34" s="173"/>
      <c r="E34" s="173"/>
      <c r="F34" s="173"/>
      <c r="G34" s="255">
        <f>+ROUND($G$30*J34,0)</f>
        <v>-5872</v>
      </c>
      <c r="H34" s="255"/>
      <c r="I34" s="207" t="s">
        <v>121</v>
      </c>
      <c r="J34" s="256">
        <v>0.26507339023824356</v>
      </c>
    </row>
    <row r="35" spans="1:12" ht="15">
      <c r="A35" s="207">
        <f t="shared" si="1"/>
        <v>25</v>
      </c>
      <c r="B35" s="175"/>
      <c r="C35" s="173"/>
      <c r="D35" s="173"/>
      <c r="E35" s="173"/>
      <c r="F35" s="173"/>
      <c r="G35" s="255">
        <f t="shared" ref="G35:G39" si="5">+ROUND($G$30*J35,0)</f>
        <v>-7081</v>
      </c>
      <c r="H35" s="255"/>
      <c r="I35" s="207" t="s">
        <v>123</v>
      </c>
      <c r="J35" s="256">
        <v>0.31963829969105279</v>
      </c>
    </row>
    <row r="36" spans="1:12" ht="15">
      <c r="A36" s="207">
        <f t="shared" si="1"/>
        <v>26</v>
      </c>
      <c r="B36" s="173"/>
      <c r="C36" s="181"/>
      <c r="D36" s="181"/>
      <c r="E36" s="181"/>
      <c r="F36" s="181"/>
      <c r="G36" s="255">
        <f t="shared" si="5"/>
        <v>-4017</v>
      </c>
      <c r="H36" s="255"/>
      <c r="I36" s="207" t="s">
        <v>381</v>
      </c>
      <c r="J36" s="256">
        <v>0.18132792370345951</v>
      </c>
    </row>
    <row r="37" spans="1:12" ht="15">
      <c r="A37" s="207">
        <f t="shared" si="1"/>
        <v>27</v>
      </c>
      <c r="B37" s="173"/>
      <c r="C37" s="173"/>
      <c r="D37" s="173"/>
      <c r="E37" s="173"/>
      <c r="F37" s="173"/>
      <c r="G37" s="255">
        <f t="shared" si="5"/>
        <v>-307</v>
      </c>
      <c r="H37" s="255"/>
      <c r="I37" s="207" t="s">
        <v>363</v>
      </c>
      <c r="J37" s="256">
        <v>1.3869045438448673E-2</v>
      </c>
    </row>
    <row r="38" spans="1:12" ht="15">
      <c r="A38" s="207">
        <f t="shared" si="1"/>
        <v>28</v>
      </c>
      <c r="B38" s="173"/>
      <c r="C38" s="173"/>
      <c r="D38" s="173"/>
      <c r="E38" s="173"/>
      <c r="F38" s="173"/>
      <c r="G38" s="255">
        <f t="shared" si="5"/>
        <v>0</v>
      </c>
      <c r="H38" s="255"/>
      <c r="I38" s="207" t="s">
        <v>105</v>
      </c>
      <c r="J38" s="256">
        <v>0</v>
      </c>
    </row>
    <row r="39" spans="1:12" ht="15">
      <c r="A39" s="207">
        <f t="shared" si="1"/>
        <v>29</v>
      </c>
      <c r="B39" s="173"/>
      <c r="C39" s="173"/>
      <c r="D39" s="173"/>
      <c r="E39" s="173"/>
      <c r="F39" s="173"/>
      <c r="G39" s="255">
        <f t="shared" si="5"/>
        <v>-4876</v>
      </c>
      <c r="H39" s="255"/>
      <c r="I39" s="207" t="s">
        <v>80</v>
      </c>
      <c r="J39" s="256">
        <v>0.22009134092879562</v>
      </c>
    </row>
    <row r="40" spans="1:12" ht="15.6" thickBot="1">
      <c r="A40" s="207">
        <f t="shared" si="1"/>
        <v>30</v>
      </c>
      <c r="B40" s="173"/>
      <c r="C40" s="173"/>
      <c r="D40" s="173"/>
      <c r="E40" s="173"/>
      <c r="F40" s="173"/>
      <c r="G40" s="244">
        <f>SUM(G34:G39)</f>
        <v>-22153</v>
      </c>
      <c r="H40" s="178"/>
      <c r="I40" s="173"/>
      <c r="J40" s="257">
        <f>SUM(J34:J39)</f>
        <v>1.0000000000000002</v>
      </c>
    </row>
    <row r="41" spans="1:12" ht="15.6" thickTop="1">
      <c r="A41" s="207"/>
      <c r="B41" s="173"/>
      <c r="C41" s="173"/>
      <c r="D41" s="173"/>
      <c r="E41" s="173"/>
      <c r="F41" s="173"/>
      <c r="G41" s="258"/>
      <c r="H41" s="178"/>
      <c r="I41" s="173"/>
      <c r="J41" s="173"/>
    </row>
    <row r="42" spans="1:12" ht="15.6">
      <c r="A42" s="207"/>
      <c r="B42" s="173"/>
      <c r="C42" s="173"/>
      <c r="D42" s="173"/>
      <c r="E42" s="173"/>
      <c r="F42" s="173"/>
      <c r="G42" s="415"/>
      <c r="H42" s="178"/>
      <c r="I42" s="173"/>
      <c r="J42" s="173"/>
    </row>
    <row r="43" spans="1:12" ht="15">
      <c r="A43" s="207"/>
      <c r="B43" s="173"/>
      <c r="C43" s="173"/>
      <c r="D43" s="173"/>
      <c r="E43" s="173"/>
      <c r="F43" s="173"/>
      <c r="G43" s="178"/>
      <c r="H43" s="178"/>
      <c r="I43" s="173"/>
      <c r="J43" s="173"/>
    </row>
    <row r="44" spans="1:12" ht="15">
      <c r="A44" s="207"/>
      <c r="B44" s="173"/>
      <c r="C44" s="173"/>
      <c r="D44" s="173"/>
      <c r="E44" s="173"/>
      <c r="F44" s="173"/>
      <c r="G44" s="178"/>
      <c r="H44" s="178"/>
      <c r="I44" s="173"/>
      <c r="J44" s="173"/>
    </row>
    <row r="45" spans="1:12" ht="15">
      <c r="A45" s="181"/>
      <c r="B45" s="181"/>
      <c r="C45" s="181"/>
      <c r="D45" s="181"/>
      <c r="E45" s="181"/>
      <c r="F45" s="181"/>
      <c r="G45" s="181"/>
      <c r="H45" s="181"/>
      <c r="I45" s="181"/>
      <c r="J45" s="181"/>
    </row>
    <row r="46" spans="1:12">
      <c r="A46" s="157"/>
    </row>
    <row r="47" spans="1:12">
      <c r="A47" s="157"/>
      <c r="B47" s="259"/>
    </row>
    <row r="48" spans="1:12">
      <c r="B48" s="155"/>
      <c r="C48" s="155"/>
      <c r="D48" s="155"/>
      <c r="E48" s="155"/>
      <c r="F48" s="155"/>
      <c r="G48" s="155"/>
      <c r="H48" s="155"/>
      <c r="I48" s="155"/>
      <c r="J48" s="155"/>
    </row>
    <row r="49" spans="1:1">
      <c r="A49" s="157"/>
    </row>
    <row r="50" spans="1:1">
      <c r="A50" s="157"/>
    </row>
    <row r="51" spans="1:1">
      <c r="A51" s="157"/>
    </row>
    <row r="52" spans="1:1">
      <c r="A52" s="157"/>
    </row>
    <row r="53" spans="1:1">
      <c r="A53" s="157"/>
    </row>
    <row r="54" spans="1:1">
      <c r="A54" s="157"/>
    </row>
    <row r="55" spans="1:1">
      <c r="A55" s="157"/>
    </row>
    <row r="56" spans="1:1">
      <c r="A56" s="157"/>
    </row>
    <row r="57" spans="1:1">
      <c r="A57" s="157"/>
    </row>
    <row r="58" spans="1:1">
      <c r="A58" s="157"/>
    </row>
    <row r="59" spans="1:1">
      <c r="A59" s="157"/>
    </row>
    <row r="60" spans="1:1">
      <c r="A60" s="157"/>
    </row>
    <row r="61" spans="1:1">
      <c r="A61" s="157"/>
    </row>
    <row r="62" spans="1:1">
      <c r="A62" s="157"/>
    </row>
    <row r="63" spans="1:1">
      <c r="A63" s="157"/>
    </row>
    <row r="64" spans="1:1">
      <c r="A64" s="157"/>
    </row>
    <row r="65" spans="1:1">
      <c r="A65" s="157"/>
    </row>
    <row r="66" spans="1:1">
      <c r="A66" s="157"/>
    </row>
    <row r="67" spans="1:1">
      <c r="A67" s="157"/>
    </row>
    <row r="68" spans="1:1">
      <c r="A68" s="157"/>
    </row>
    <row r="69" spans="1:1">
      <c r="A69" s="157"/>
    </row>
    <row r="70" spans="1:1">
      <c r="A70" s="157"/>
    </row>
    <row r="71" spans="1:1">
      <c r="A71" s="157"/>
    </row>
    <row r="72" spans="1:1">
      <c r="A72" s="157"/>
    </row>
  </sheetData>
  <mergeCells count="3">
    <mergeCell ref="A4:J4"/>
    <mergeCell ref="A6:J6"/>
    <mergeCell ref="A3:J3"/>
  </mergeCells>
  <printOptions horizontalCentered="1"/>
  <pageMargins left="0" right="0.57999999999999996" top="0.34" bottom="0.53" header="0.27" footer="0.5"/>
  <pageSetup scale="88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7"/>
  <sheetViews>
    <sheetView view="pageBreakPreview" zoomScaleNormal="100" zoomScaleSheetLayoutView="100" workbookViewId="0">
      <selection activeCell="C18" sqref="C18"/>
    </sheetView>
  </sheetViews>
  <sheetFormatPr defaultColWidth="9.109375" defaultRowHeight="13.2"/>
  <cols>
    <col min="1" max="1" width="3.5546875" style="8" customWidth="1"/>
    <col min="2" max="2" width="10.109375" style="7" customWidth="1"/>
    <col min="3" max="3" width="37.44140625" style="8" bestFit="1" customWidth="1"/>
    <col min="4" max="5" width="13.5546875" style="8" bestFit="1" customWidth="1"/>
    <col min="6" max="6" width="11.88671875" style="8" customWidth="1"/>
    <col min="7" max="7" width="12.44140625" style="8" customWidth="1"/>
    <col min="8" max="8" width="9.109375" style="8"/>
    <col min="9" max="9" width="11.6640625" style="8" bestFit="1" customWidth="1"/>
    <col min="10" max="16384" width="9.109375" style="8"/>
  </cols>
  <sheetData>
    <row r="1" spans="1:14">
      <c r="A1" s="426" t="str">
        <f>RevReq!A1</f>
        <v>KENERGY CORP.</v>
      </c>
      <c r="B1" s="426"/>
      <c r="C1" s="426"/>
      <c r="D1" s="426"/>
      <c r="E1" s="426"/>
      <c r="F1" s="426"/>
      <c r="G1" s="426"/>
    </row>
    <row r="2" spans="1:14">
      <c r="A2" s="426" t="s">
        <v>134</v>
      </c>
      <c r="B2" s="426"/>
      <c r="C2" s="426"/>
      <c r="D2" s="426"/>
      <c r="E2" s="426"/>
      <c r="F2" s="426"/>
      <c r="G2" s="426"/>
    </row>
    <row r="4" spans="1:14" ht="47.25" customHeight="1">
      <c r="B4" s="28" t="s">
        <v>139</v>
      </c>
      <c r="C4" s="22" t="s">
        <v>40</v>
      </c>
      <c r="D4" s="22" t="s">
        <v>23</v>
      </c>
      <c r="E4" s="22" t="s">
        <v>24</v>
      </c>
      <c r="F4" s="22" t="s">
        <v>136</v>
      </c>
      <c r="G4" s="22" t="s">
        <v>137</v>
      </c>
    </row>
    <row r="5" spans="1:14">
      <c r="B5" s="29" t="s">
        <v>21</v>
      </c>
      <c r="C5" s="30">
        <v>1</v>
      </c>
      <c r="D5" s="30">
        <f>C5+1</f>
        <v>2</v>
      </c>
      <c r="E5" s="30">
        <f>D5+1</f>
        <v>3</v>
      </c>
      <c r="F5" s="30">
        <f>E5+1</f>
        <v>4</v>
      </c>
      <c r="G5" s="30">
        <f>F5+1</f>
        <v>5</v>
      </c>
    </row>
    <row r="6" spans="1:14">
      <c r="B6" s="8"/>
      <c r="C6" s="36"/>
      <c r="D6" s="36"/>
      <c r="E6" s="36"/>
      <c r="F6" s="36"/>
      <c r="G6" s="36"/>
    </row>
    <row r="7" spans="1:14">
      <c r="B7" s="21">
        <v>1.01</v>
      </c>
      <c r="C7" s="1" t="s">
        <v>135</v>
      </c>
      <c r="D7" s="27">
        <f>'1.01 FAC'!F32</f>
        <v>-21167623.870000001</v>
      </c>
      <c r="E7" s="27">
        <f>'1.01 FAC'!H32</f>
        <v>-21167623.870000001</v>
      </c>
      <c r="F7" s="27"/>
      <c r="G7" s="27">
        <f>D7-E7+F7</f>
        <v>0</v>
      </c>
    </row>
    <row r="8" spans="1:14">
      <c r="B8" s="21">
        <v>1.02</v>
      </c>
      <c r="C8" s="1" t="s">
        <v>117</v>
      </c>
      <c r="D8" s="27">
        <f>'1.02 ES'!F32</f>
        <v>-5648911.2999999998</v>
      </c>
      <c r="E8" s="27">
        <f>'1.02 ES'!H32</f>
        <v>-5648911.2999999998</v>
      </c>
      <c r="F8" s="27"/>
      <c r="G8" s="27">
        <f t="shared" ref="G8:G26" si="0">D8-E8+F8</f>
        <v>0</v>
      </c>
    </row>
    <row r="9" spans="1:14">
      <c r="B9" s="21">
        <v>1.03</v>
      </c>
      <c r="C9" s="1" t="s">
        <v>211</v>
      </c>
      <c r="D9" s="27">
        <f>'1.03 MRSM'!F32</f>
        <v>6788174.54</v>
      </c>
      <c r="E9" s="27">
        <f>'1.03 MRSM'!H32</f>
        <v>6788174.54</v>
      </c>
      <c r="F9" s="27"/>
      <c r="G9" s="27">
        <f t="shared" si="0"/>
        <v>0</v>
      </c>
    </row>
    <row r="10" spans="1:14">
      <c r="B10" s="21">
        <v>1.04</v>
      </c>
      <c r="C10" s="1" t="s">
        <v>212</v>
      </c>
      <c r="D10" s="27">
        <f>'1.04 NFPPA'!F32</f>
        <v>-4644272.45</v>
      </c>
      <c r="E10" s="27">
        <f>'1.04 NFPPA'!H32</f>
        <v>-4644272.46</v>
      </c>
      <c r="F10" s="27"/>
      <c r="G10" s="27">
        <f t="shared" si="0"/>
        <v>9.9999997764825821E-3</v>
      </c>
    </row>
    <row r="11" spans="1:14">
      <c r="B11" s="21">
        <v>1.05</v>
      </c>
      <c r="C11" s="1" t="s">
        <v>30</v>
      </c>
      <c r="D11" s="27"/>
      <c r="E11" s="27">
        <f>'1.05 RC'!E25</f>
        <v>26333.33</v>
      </c>
      <c r="F11" s="27"/>
      <c r="G11" s="27">
        <f t="shared" si="0"/>
        <v>-26333.33</v>
      </c>
      <c r="N11" s="153"/>
    </row>
    <row r="12" spans="1:14">
      <c r="B12" s="21">
        <v>1.06</v>
      </c>
      <c r="C12" s="1" t="s">
        <v>192</v>
      </c>
      <c r="D12" s="27">
        <f>'1.06 CUST'!F48</f>
        <v>260452.23</v>
      </c>
      <c r="E12" s="27">
        <f>'1.06 CUST'!G48</f>
        <v>173479.8</v>
      </c>
      <c r="F12" s="27"/>
      <c r="G12" s="27">
        <f t="shared" si="0"/>
        <v>86972.430000000022</v>
      </c>
      <c r="N12" s="153"/>
    </row>
    <row r="13" spans="1:14">
      <c r="B13" s="21">
        <v>1.07</v>
      </c>
      <c r="C13" s="1" t="s">
        <v>191</v>
      </c>
      <c r="D13" s="27"/>
      <c r="E13" s="27">
        <f>'1.07 Depr-Dist'!J34+'1.07 Depr-Gen'!F128</f>
        <v>245814.53965187783</v>
      </c>
      <c r="F13" s="27"/>
      <c r="G13" s="27">
        <f t="shared" si="0"/>
        <v>-245814.53965187783</v>
      </c>
      <c r="I13" s="1"/>
      <c r="N13" s="153"/>
    </row>
    <row r="14" spans="1:14">
      <c r="B14" s="21">
        <v>1.08</v>
      </c>
      <c r="C14" s="1" t="s">
        <v>301</v>
      </c>
      <c r="D14" s="27"/>
      <c r="E14" s="27">
        <f>'1.08 Disallowed'!S43</f>
        <v>-399863.31900000008</v>
      </c>
      <c r="F14" s="27"/>
      <c r="G14" s="27">
        <f t="shared" si="0"/>
        <v>399863.31900000008</v>
      </c>
      <c r="I14" s="1"/>
      <c r="K14" s="145"/>
      <c r="N14" s="153"/>
    </row>
    <row r="15" spans="1:14">
      <c r="B15" s="21">
        <v>1.0900000000000001</v>
      </c>
      <c r="C15" s="1" t="s">
        <v>453</v>
      </c>
      <c r="D15" s="27"/>
      <c r="E15" s="27">
        <f>'1.09 Broadband'!G20</f>
        <v>-109738.56999999999</v>
      </c>
      <c r="F15" s="27"/>
      <c r="G15" s="27">
        <f t="shared" si="0"/>
        <v>109738.56999999999</v>
      </c>
      <c r="I15" s="1"/>
      <c r="N15" s="153"/>
    </row>
    <row r="16" spans="1:14">
      <c r="B16" s="419">
        <v>1.1000000000000001</v>
      </c>
      <c r="C16" s="1" t="s">
        <v>70</v>
      </c>
      <c r="D16" s="27"/>
      <c r="E16" s="27">
        <f>'1.10 Int LTD'!I50</f>
        <v>397777.66000000015</v>
      </c>
      <c r="F16" s="27"/>
      <c r="G16" s="27">
        <f t="shared" si="0"/>
        <v>-397777.66000000015</v>
      </c>
      <c r="I16" s="1"/>
      <c r="N16" s="153"/>
    </row>
    <row r="17" spans="2:14">
      <c r="B17" s="21">
        <v>1.1100000000000001</v>
      </c>
      <c r="C17" s="1" t="s">
        <v>684</v>
      </c>
      <c r="D17" s="27"/>
      <c r="E17" s="27">
        <f>'1.11 Int-Other'!F13</f>
        <v>180205</v>
      </c>
      <c r="F17" s="27"/>
      <c r="G17" s="27">
        <f t="shared" si="0"/>
        <v>-180205</v>
      </c>
      <c r="I17" s="1"/>
      <c r="N17" s="153"/>
    </row>
    <row r="18" spans="2:14" s="35" customFormat="1">
      <c r="B18" s="21">
        <v>1.1200000000000001</v>
      </c>
      <c r="C18" s="1" t="s">
        <v>683</v>
      </c>
      <c r="D18" s="27"/>
      <c r="E18" s="27"/>
      <c r="F18" s="27">
        <f>'1.12 NonOperMarg-Int'!I16</f>
        <v>85918</v>
      </c>
      <c r="G18" s="27">
        <f t="shared" si="0"/>
        <v>85918</v>
      </c>
      <c r="I18" s="416"/>
      <c r="J18" s="8"/>
      <c r="K18" s="8"/>
      <c r="L18" s="8"/>
      <c r="N18" s="153"/>
    </row>
    <row r="19" spans="2:14">
      <c r="B19" s="21">
        <v>1.1299999999999999</v>
      </c>
      <c r="C19" s="1" t="s">
        <v>337</v>
      </c>
      <c r="D19" s="27"/>
      <c r="E19" s="27">
        <f>'1.13 Labor'!K35+'1.13 Labor'!K36+'1.13 Labor'!K37+'1.13 Labor'!K38</f>
        <v>311898.72000000067</v>
      </c>
      <c r="F19" s="27"/>
      <c r="G19" s="27">
        <f t="shared" si="0"/>
        <v>-311898.72000000067</v>
      </c>
      <c r="I19" s="1"/>
      <c r="N19" s="153"/>
    </row>
    <row r="20" spans="2:14">
      <c r="B20" s="21">
        <v>1.1399999999999999</v>
      </c>
      <c r="C20" s="1" t="s">
        <v>338</v>
      </c>
      <c r="D20" s="27"/>
      <c r="E20" s="27">
        <f>'1.14 LaborOH'!G30+'1.14 LaborOH'!G29+'1.14 LaborOH'!G28</f>
        <v>-22220.215700000081</v>
      </c>
      <c r="F20" s="27"/>
      <c r="G20" s="27">
        <f t="shared" si="0"/>
        <v>22220.215700000081</v>
      </c>
      <c r="I20" s="1"/>
      <c r="N20" s="153"/>
    </row>
    <row r="21" spans="2:14">
      <c r="B21" s="21">
        <v>1.1499999999999999</v>
      </c>
      <c r="C21" s="1" t="s">
        <v>382</v>
      </c>
      <c r="D21" s="27">
        <v>-5410</v>
      </c>
      <c r="E21" s="27"/>
      <c r="F21" s="27"/>
      <c r="G21" s="27">
        <f t="shared" si="0"/>
        <v>-5410</v>
      </c>
      <c r="I21" s="1"/>
      <c r="N21" s="153"/>
    </row>
    <row r="22" spans="2:14">
      <c r="B22" s="21">
        <v>1.1599999999999999</v>
      </c>
      <c r="C22" s="1" t="s">
        <v>654</v>
      </c>
      <c r="D22" s="27"/>
      <c r="E22" s="27">
        <f>'1.16 NonRecur'!E14</f>
        <v>-54950.31</v>
      </c>
      <c r="F22" s="27"/>
      <c r="G22" s="27">
        <f t="shared" si="0"/>
        <v>54950.31</v>
      </c>
      <c r="I22" s="1"/>
    </row>
    <row r="23" spans="2:14">
      <c r="B23" s="21">
        <v>1.17</v>
      </c>
      <c r="C23" s="1" t="s">
        <v>336</v>
      </c>
      <c r="D23" s="27"/>
      <c r="E23" s="27">
        <f>'1.17 PSCtax'!I45</f>
        <v>21270.988433693186</v>
      </c>
      <c r="F23" s="27"/>
      <c r="G23" s="27">
        <f t="shared" si="0"/>
        <v>-21270.988433693186</v>
      </c>
      <c r="I23" s="1"/>
    </row>
    <row r="24" spans="2:14" hidden="1">
      <c r="C24" s="8" t="s">
        <v>454</v>
      </c>
      <c r="D24" s="118"/>
      <c r="E24" s="118"/>
      <c r="F24" s="118"/>
      <c r="G24" s="27">
        <f t="shared" si="0"/>
        <v>0</v>
      </c>
    </row>
    <row r="25" spans="2:14" hidden="1">
      <c r="C25" s="8" t="s">
        <v>454</v>
      </c>
      <c r="D25" s="118"/>
      <c r="E25" s="118"/>
      <c r="F25" s="118"/>
      <c r="G25" s="27">
        <f t="shared" si="0"/>
        <v>0</v>
      </c>
    </row>
    <row r="26" spans="2:14" hidden="1">
      <c r="C26" s="1" t="s">
        <v>454</v>
      </c>
      <c r="D26" s="118"/>
      <c r="E26" s="118"/>
      <c r="F26" s="118"/>
      <c r="G26" s="27">
        <f t="shared" si="0"/>
        <v>0</v>
      </c>
    </row>
    <row r="27" spans="2:14" ht="18.75" customHeight="1" thickBot="1">
      <c r="B27" s="60"/>
      <c r="C27" s="61" t="s">
        <v>43</v>
      </c>
      <c r="D27" s="62">
        <f>SUM(D7:D26)</f>
        <v>-24417590.850000001</v>
      </c>
      <c r="E27" s="62">
        <f t="shared" ref="E27:G27" si="1">SUM(E7:E26)</f>
        <v>-23902625.466614433</v>
      </c>
      <c r="F27" s="62">
        <f t="shared" si="1"/>
        <v>85918</v>
      </c>
      <c r="G27" s="62">
        <f t="shared" si="1"/>
        <v>-429047.38338557188</v>
      </c>
    </row>
    <row r="28" spans="2:14" ht="13.8" thickTop="1">
      <c r="D28" s="23"/>
      <c r="E28" s="23"/>
      <c r="F28" s="23"/>
      <c r="G28" s="17"/>
    </row>
    <row r="29" spans="2:14">
      <c r="D29" s="17"/>
      <c r="F29" s="17"/>
      <c r="G29" s="17"/>
    </row>
    <row r="30" spans="2:14">
      <c r="D30" s="20"/>
      <c r="E30" s="20"/>
      <c r="F30" s="20"/>
      <c r="G30" s="20"/>
    </row>
    <row r="31" spans="2:14">
      <c r="D31" s="8" t="s">
        <v>432</v>
      </c>
      <c r="E31" s="17">
        <f>E27-D27</f>
        <v>514965.38338556886</v>
      </c>
    </row>
    <row r="32" spans="2:14">
      <c r="B32" s="7" t="s">
        <v>197</v>
      </c>
    </row>
    <row r="33" spans="3:7">
      <c r="C33" s="8" t="s">
        <v>198</v>
      </c>
      <c r="D33" s="17">
        <f>RevReq!F10</f>
        <v>-24417590.850000001</v>
      </c>
      <c r="E33" s="17">
        <f>RevReq!F28</f>
        <v>-23908625.597601596</v>
      </c>
      <c r="F33" s="17">
        <f>RevReq!F32+RevReq!F33+RevReq!F34+RevReq!F35+RevReq!F36</f>
        <v>79918.454312836824</v>
      </c>
      <c r="G33" s="17">
        <f>RevReq!F38</f>
        <v>-429046.79808556841</v>
      </c>
    </row>
    <row r="34" spans="3:7" ht="13.8">
      <c r="C34" s="8" t="s">
        <v>133</v>
      </c>
      <c r="D34" s="33">
        <f>D33-D27</f>
        <v>0</v>
      </c>
      <c r="E34" s="33">
        <f>E33-E27</f>
        <v>-6000.1309871636331</v>
      </c>
      <c r="F34" s="33">
        <f t="shared" ref="F34" si="2">F33-F27</f>
        <v>-5999.5456871631759</v>
      </c>
      <c r="G34" s="33">
        <f>G33-G27</f>
        <v>0.58530000346945599</v>
      </c>
    </row>
    <row r="36" spans="3:7">
      <c r="C36" s="8" t="s">
        <v>199</v>
      </c>
      <c r="D36" s="85">
        <f>'Adj IS'!U12</f>
        <v>-24417590.850000001</v>
      </c>
      <c r="E36" s="85">
        <f>'Adj IS'!U31</f>
        <v>-23902625.466614433</v>
      </c>
      <c r="F36" s="85">
        <f>'Adj IS'!U40</f>
        <v>85918</v>
      </c>
      <c r="G36" s="85">
        <f>'Adj IS'!U42</f>
        <v>-429047.38338557188</v>
      </c>
    </row>
    <row r="37" spans="3:7" ht="13.8">
      <c r="C37" s="8" t="s">
        <v>133</v>
      </c>
      <c r="D37" s="33">
        <f>D36-D27</f>
        <v>0</v>
      </c>
      <c r="E37" s="33">
        <f>E36-E27</f>
        <v>0</v>
      </c>
      <c r="F37" s="33">
        <f>F36-F27</f>
        <v>0</v>
      </c>
      <c r="G37" s="33">
        <f>G36-G27</f>
        <v>0</v>
      </c>
    </row>
  </sheetData>
  <mergeCells count="2">
    <mergeCell ref="A1:G1"/>
    <mergeCell ref="A2:G2"/>
  </mergeCells>
  <conditionalFormatting sqref="D34:G34">
    <cfRule type="cellIs" dxfId="15" priority="5" operator="notEqual">
      <formula>0</formula>
    </cfRule>
    <cfRule type="cellIs" dxfId="14" priority="6" operator="equal">
      <formula>0</formula>
    </cfRule>
  </conditionalFormatting>
  <conditionalFormatting sqref="D37:G37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1" right="0.75" top="0.75" bottom="0.5" header="0.5" footer="0.5"/>
  <pageSetup orientation="landscape" r:id="rId1"/>
  <headerFooter alignWithMargins="0">
    <oddFooter>&amp;RExhibit JW-2
Page &amp;P of &amp;N</oddFooter>
  </headerFooter>
  <ignoredErrors>
    <ignoredError sqref="F27:G27 F34:G37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8992-0BA7-4040-BFE8-EA4911BD4641}">
  <sheetPr>
    <pageSetUpPr fitToPage="1"/>
  </sheetPr>
  <dimension ref="A1:AS145"/>
  <sheetViews>
    <sheetView view="pageBreakPreview" topLeftCell="A55" zoomScaleNormal="110" zoomScaleSheetLayoutView="100" workbookViewId="0">
      <selection activeCell="K75" sqref="K75"/>
    </sheetView>
  </sheetViews>
  <sheetFormatPr defaultRowHeight="13.2"/>
  <cols>
    <col min="1" max="1" width="6.5546875" style="156" bestFit="1" customWidth="1"/>
    <col min="2" max="2" width="8.88671875" style="156"/>
    <col min="3" max="3" width="39.88671875" style="156" bestFit="1" customWidth="1"/>
    <col min="4" max="4" width="9.44140625" style="156" bestFit="1" customWidth="1"/>
    <col min="5" max="5" width="10.6640625" style="156" customWidth="1"/>
    <col min="6" max="6" width="10.33203125" style="156" bestFit="1" customWidth="1"/>
    <col min="7" max="7" width="9.109375" style="156" customWidth="1"/>
    <col min="8" max="8" width="11.44140625" style="156" bestFit="1" customWidth="1"/>
    <col min="9" max="9" width="10.33203125" style="156" bestFit="1" customWidth="1"/>
    <col min="10" max="10" width="10.109375" style="156" bestFit="1" customWidth="1"/>
    <col min="11" max="11" width="1.6640625" style="156" customWidth="1"/>
    <col min="12" max="12" width="10.109375" style="156" bestFit="1" customWidth="1"/>
    <col min="13" max="13" width="1.5546875" style="156" customWidth="1"/>
    <col min="14" max="14" width="10.109375" style="156" bestFit="1" customWidth="1"/>
    <col min="15" max="15" width="1.5546875" style="156" customWidth="1"/>
    <col min="16" max="16" width="9.109375" style="156" bestFit="1" customWidth="1"/>
    <col min="17" max="17" width="1.33203125" style="156" customWidth="1"/>
    <col min="18" max="18" width="8.88671875" style="156"/>
    <col min="19" max="19" width="12.33203125" style="156" bestFit="1" customWidth="1"/>
    <col min="20" max="20" width="14.33203125" style="156" bestFit="1" customWidth="1"/>
    <col min="21" max="21" width="26" style="156" bestFit="1" customWidth="1"/>
    <col min="22" max="22" width="12.33203125" style="156" bestFit="1" customWidth="1"/>
    <col min="23" max="23" width="8.88671875" style="156"/>
    <col min="24" max="24" width="12.33203125" style="156" bestFit="1" customWidth="1"/>
    <col min="25" max="25" width="8.88671875" style="156"/>
    <col min="26" max="26" width="12.5546875" style="156" bestFit="1" customWidth="1"/>
    <col min="27" max="27" width="8.88671875" style="156"/>
    <col min="28" max="28" width="12.5546875" style="156" bestFit="1" customWidth="1"/>
    <col min="29" max="29" width="9.5546875" style="156" bestFit="1" customWidth="1"/>
    <col min="30" max="30" width="12.5546875" style="156" bestFit="1" customWidth="1"/>
    <col min="31" max="31" width="10.5546875" style="156" bestFit="1" customWidth="1"/>
    <col min="32" max="32" width="12.5546875" style="156" bestFit="1" customWidth="1"/>
    <col min="33" max="33" width="13.109375" style="156" bestFit="1" customWidth="1"/>
    <col min="34" max="34" width="12.5546875" style="156" bestFit="1" customWidth="1"/>
    <col min="35" max="35" width="10.5546875" style="156" bestFit="1" customWidth="1"/>
    <col min="36" max="38" width="12.5546875" style="156" bestFit="1" customWidth="1"/>
    <col min="39" max="39" width="9.6640625" style="156" bestFit="1" customWidth="1"/>
    <col min="40" max="40" width="12.5546875" style="156" bestFit="1" customWidth="1"/>
    <col min="41" max="41" width="8.88671875" style="156"/>
    <col min="42" max="42" width="12.5546875" style="156" bestFit="1" customWidth="1"/>
    <col min="43" max="43" width="8.88671875" style="156"/>
    <col min="44" max="44" width="12.5546875" style="156" bestFit="1" customWidth="1"/>
    <col min="45" max="45" width="7.6640625" style="156" customWidth="1"/>
    <col min="46" max="16384" width="8.88671875" style="156"/>
  </cols>
  <sheetData>
    <row r="1" spans="1:45" ht="15.6">
      <c r="A1" s="8"/>
      <c r="B1" s="8"/>
      <c r="C1" s="8"/>
      <c r="D1" s="8"/>
      <c r="E1" s="8"/>
      <c r="F1" s="8"/>
      <c r="G1" s="8"/>
      <c r="H1" s="8"/>
      <c r="J1" s="154"/>
      <c r="K1" s="181"/>
      <c r="M1" s="439"/>
      <c r="N1" s="439"/>
      <c r="O1" s="439"/>
      <c r="P1" s="439"/>
      <c r="Q1" s="439"/>
      <c r="R1" s="4" t="s">
        <v>696</v>
      </c>
      <c r="S1" s="260"/>
    </row>
    <row r="2" spans="1:45" ht="15.6">
      <c r="A2" s="8"/>
      <c r="B2" s="8"/>
      <c r="C2" s="8"/>
      <c r="D2" s="8"/>
      <c r="E2" s="4"/>
      <c r="F2" s="8"/>
      <c r="G2" s="8"/>
      <c r="H2" s="8"/>
      <c r="I2" s="8"/>
      <c r="J2" s="154"/>
      <c r="K2" s="181"/>
      <c r="L2" s="173"/>
      <c r="M2" s="182"/>
      <c r="N2" s="182"/>
      <c r="O2" s="182"/>
      <c r="P2" s="182"/>
      <c r="Q2" s="182"/>
      <c r="R2" s="182"/>
      <c r="S2" s="260"/>
    </row>
    <row r="3" spans="1:45">
      <c r="A3" s="432" t="str">
        <f>RevReq!A1</f>
        <v>KENERGY CORP.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260"/>
    </row>
    <row r="4" spans="1:45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260"/>
    </row>
    <row r="5" spans="1:45" ht="15.6">
      <c r="A5" s="8"/>
      <c r="B5" s="8"/>
      <c r="C5" s="8"/>
      <c r="D5" s="8"/>
      <c r="E5" s="8"/>
      <c r="F5" s="8"/>
      <c r="G5" s="8"/>
      <c r="H5" s="8"/>
      <c r="I5" s="8"/>
      <c r="J5" s="154"/>
      <c r="K5" s="181"/>
      <c r="L5" s="173"/>
      <c r="M5" s="182"/>
      <c r="N5" s="182"/>
      <c r="O5" s="182"/>
      <c r="P5" s="182"/>
      <c r="Q5" s="182"/>
      <c r="R5" s="182"/>
      <c r="S5" s="260"/>
    </row>
    <row r="6" spans="1:45">
      <c r="A6" s="429" t="str">
        <f>'Adj List'!C21</f>
        <v>Miscellaneous Revenues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161"/>
    </row>
    <row r="7" spans="1:45">
      <c r="A7" s="440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V7" s="156">
        <v>2023</v>
      </c>
      <c r="Z7" s="156">
        <v>2022</v>
      </c>
    </row>
    <row r="8" spans="1:4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T8" s="156" t="s">
        <v>584</v>
      </c>
      <c r="U8" s="156" t="s">
        <v>584</v>
      </c>
      <c r="V8" s="156" t="s">
        <v>585</v>
      </c>
      <c r="W8" s="156" t="s">
        <v>585</v>
      </c>
      <c r="X8" s="156" t="s">
        <v>586</v>
      </c>
      <c r="Y8" s="156" t="s">
        <v>586</v>
      </c>
      <c r="Z8" s="156" t="s">
        <v>587</v>
      </c>
      <c r="AA8" s="156" t="s">
        <v>587</v>
      </c>
      <c r="AB8" s="156" t="s">
        <v>588</v>
      </c>
      <c r="AC8" s="156" t="s">
        <v>588</v>
      </c>
      <c r="AD8" s="156" t="s">
        <v>589</v>
      </c>
      <c r="AE8" s="156" t="s">
        <v>589</v>
      </c>
      <c r="AF8" s="156" t="s">
        <v>590</v>
      </c>
      <c r="AG8" s="156" t="s">
        <v>590</v>
      </c>
      <c r="AH8" s="156" t="s">
        <v>591</v>
      </c>
      <c r="AI8" s="156" t="s">
        <v>591</v>
      </c>
      <c r="AJ8" s="156" t="s">
        <v>592</v>
      </c>
      <c r="AK8" s="156" t="s">
        <v>592</v>
      </c>
      <c r="AL8" s="156" t="s">
        <v>593</v>
      </c>
      <c r="AM8" s="156" t="s">
        <v>593</v>
      </c>
      <c r="AN8" s="156" t="s">
        <v>594</v>
      </c>
      <c r="AO8" s="156" t="s">
        <v>594</v>
      </c>
      <c r="AP8" s="156" t="s">
        <v>595</v>
      </c>
      <c r="AQ8" s="156" t="s">
        <v>595</v>
      </c>
      <c r="AR8" s="156" t="s">
        <v>596</v>
      </c>
      <c r="AS8" s="156" t="s">
        <v>596</v>
      </c>
    </row>
    <row r="9" spans="1:45">
      <c r="A9" s="261" t="s">
        <v>597</v>
      </c>
      <c r="B9" s="164"/>
      <c r="C9" s="262" t="s">
        <v>282</v>
      </c>
      <c r="D9" s="262" t="s">
        <v>283</v>
      </c>
      <c r="E9" s="262" t="s">
        <v>284</v>
      </c>
      <c r="F9" s="262" t="s">
        <v>285</v>
      </c>
      <c r="G9" s="262" t="s">
        <v>302</v>
      </c>
      <c r="H9" s="262" t="s">
        <v>303</v>
      </c>
      <c r="I9" s="262" t="s">
        <v>304</v>
      </c>
      <c r="J9" s="262" t="s">
        <v>305</v>
      </c>
      <c r="K9" s="164"/>
      <c r="L9" s="262" t="s">
        <v>306</v>
      </c>
      <c r="M9" s="164"/>
      <c r="N9" s="263" t="s">
        <v>307</v>
      </c>
      <c r="O9" s="164"/>
      <c r="P9" s="262" t="s">
        <v>308</v>
      </c>
      <c r="Q9" s="164"/>
      <c r="R9" s="262" t="s">
        <v>309</v>
      </c>
    </row>
    <row r="10" spans="1:45">
      <c r="A10" s="261" t="s">
        <v>386</v>
      </c>
      <c r="B10" s="182" t="s">
        <v>383</v>
      </c>
      <c r="C10" s="182" t="s">
        <v>1</v>
      </c>
      <c r="D10" s="264" t="s">
        <v>368</v>
      </c>
      <c r="E10" s="264" t="s">
        <v>384</v>
      </c>
      <c r="F10" s="182" t="s">
        <v>369</v>
      </c>
      <c r="G10" s="433" t="s">
        <v>385</v>
      </c>
      <c r="H10" s="433"/>
      <c r="I10" s="433"/>
      <c r="J10" s="433" t="s">
        <v>23</v>
      </c>
      <c r="K10" s="433"/>
      <c r="L10" s="433"/>
      <c r="M10" s="433"/>
      <c r="N10" s="433"/>
      <c r="O10" s="182"/>
      <c r="P10" s="433" t="s">
        <v>15</v>
      </c>
      <c r="Q10" s="433"/>
      <c r="R10" s="433"/>
    </row>
    <row r="11" spans="1:45">
      <c r="A11" s="164"/>
      <c r="B11" s="182" t="s">
        <v>386</v>
      </c>
      <c r="C11" s="158"/>
      <c r="D11" s="182" t="s">
        <v>386</v>
      </c>
      <c r="E11" s="182" t="s">
        <v>386</v>
      </c>
      <c r="F11" s="182" t="s">
        <v>386</v>
      </c>
      <c r="G11" s="182" t="s">
        <v>368</v>
      </c>
      <c r="H11" s="264" t="s">
        <v>384</v>
      </c>
      <c r="I11" s="182" t="s">
        <v>369</v>
      </c>
      <c r="J11" s="182" t="s">
        <v>368</v>
      </c>
      <c r="K11" s="182"/>
      <c r="L11" s="264" t="s">
        <v>384</v>
      </c>
      <c r="M11" s="182"/>
      <c r="N11" s="182" t="s">
        <v>369</v>
      </c>
      <c r="O11" s="264"/>
      <c r="P11" s="182" t="s">
        <v>583</v>
      </c>
      <c r="Q11" s="182"/>
      <c r="R11" s="182" t="s">
        <v>598</v>
      </c>
    </row>
    <row r="12" spans="1:45" ht="14.4">
      <c r="A12" s="158">
        <v>1</v>
      </c>
      <c r="B12" s="265">
        <v>450</v>
      </c>
      <c r="C12" s="164" t="s">
        <v>387</v>
      </c>
      <c r="D12" s="158"/>
      <c r="E12" s="158"/>
      <c r="F12" s="266"/>
      <c r="G12" s="267">
        <v>0.05</v>
      </c>
      <c r="H12" s="267">
        <v>0.05</v>
      </c>
      <c r="I12" s="267">
        <v>0.05</v>
      </c>
      <c r="J12" s="268">
        <f>T12</f>
        <v>686579.91999999993</v>
      </c>
      <c r="K12" s="268"/>
      <c r="L12" s="268">
        <f>J12</f>
        <v>686579.91999999993</v>
      </c>
      <c r="M12" s="268"/>
      <c r="N12" s="268">
        <f>L12</f>
        <v>686579.91999999993</v>
      </c>
      <c r="O12" s="268"/>
      <c r="P12" s="268">
        <f>N12-J12</f>
        <v>0</v>
      </c>
      <c r="Q12" s="269"/>
      <c r="R12" s="144">
        <f>IF(L12=0,0,+P12/L12)</f>
        <v>0</v>
      </c>
      <c r="T12" s="270">
        <f>V12+X12+Z12+AB12+AD12+AF12+AH12+AJ12+AL12+AN12+AP12+AR12</f>
        <v>686579.91999999993</v>
      </c>
      <c r="V12" s="147">
        <v>11966.67</v>
      </c>
      <c r="W12" s="147"/>
      <c r="X12" s="147">
        <v>57845.85</v>
      </c>
      <c r="Z12" s="147">
        <v>67719.070000000007</v>
      </c>
      <c r="AB12" s="156">
        <v>50417.25</v>
      </c>
      <c r="AD12" s="156">
        <v>68014.95</v>
      </c>
      <c r="AF12" s="156">
        <v>75659.03</v>
      </c>
      <c r="AH12" s="156">
        <v>76776.45</v>
      </c>
      <c r="AJ12" s="156">
        <v>66972.55</v>
      </c>
      <c r="AL12" s="156">
        <v>55474</v>
      </c>
      <c r="AN12" s="156">
        <v>44031.72</v>
      </c>
      <c r="AP12" s="156">
        <v>47882.57</v>
      </c>
      <c r="AR12" s="156">
        <v>63819.81</v>
      </c>
    </row>
    <row r="13" spans="1:45">
      <c r="A13" s="158">
        <f>A12+1</f>
        <v>2</v>
      </c>
      <c r="B13" s="265">
        <v>450.23</v>
      </c>
      <c r="C13" s="164" t="s">
        <v>388</v>
      </c>
      <c r="D13" s="158"/>
      <c r="E13" s="158"/>
      <c r="F13" s="266"/>
      <c r="G13" s="267">
        <v>0.05</v>
      </c>
      <c r="H13" s="267">
        <v>0.05</v>
      </c>
      <c r="I13" s="267">
        <v>0.05</v>
      </c>
      <c r="J13" s="268">
        <v>0</v>
      </c>
      <c r="K13" s="268"/>
      <c r="L13" s="268">
        <v>0</v>
      </c>
      <c r="M13" s="268"/>
      <c r="N13" s="268">
        <v>0</v>
      </c>
      <c r="O13" s="268"/>
      <c r="P13" s="268">
        <f t="shared" ref="P13:P15" si="0">N13-J13</f>
        <v>0</v>
      </c>
      <c r="Q13" s="269"/>
      <c r="R13" s="144">
        <f t="shared" ref="R13:R15" si="1">IF(L13=0,0,+P13/L13)</f>
        <v>0</v>
      </c>
      <c r="W13" s="167"/>
    </row>
    <row r="14" spans="1:45">
      <c r="A14" s="158">
        <f t="shared" ref="A14:A70" si="2">A13+1</f>
        <v>3</v>
      </c>
      <c r="B14" s="265">
        <v>450.24</v>
      </c>
      <c r="C14" s="164" t="s">
        <v>389</v>
      </c>
      <c r="D14" s="158"/>
      <c r="E14" s="158"/>
      <c r="F14" s="266"/>
      <c r="G14" s="267">
        <v>0.05</v>
      </c>
      <c r="H14" s="267">
        <v>0.05</v>
      </c>
      <c r="I14" s="267">
        <v>0.05</v>
      </c>
      <c r="J14" s="271">
        <v>0</v>
      </c>
      <c r="K14" s="271"/>
      <c r="L14" s="271">
        <v>0</v>
      </c>
      <c r="M14" s="271"/>
      <c r="N14" s="271">
        <v>0</v>
      </c>
      <c r="O14" s="271"/>
      <c r="P14" s="268">
        <f t="shared" si="0"/>
        <v>0</v>
      </c>
      <c r="Q14" s="269"/>
      <c r="R14" s="144">
        <f t="shared" si="1"/>
        <v>0</v>
      </c>
      <c r="W14" s="167"/>
    </row>
    <row r="15" spans="1:45">
      <c r="A15" s="158">
        <f t="shared" si="2"/>
        <v>4</v>
      </c>
      <c r="B15" s="265"/>
      <c r="C15" s="164" t="s">
        <v>390</v>
      </c>
      <c r="D15" s="158"/>
      <c r="E15" s="158"/>
      <c r="F15" s="266"/>
      <c r="G15" s="267"/>
      <c r="H15" s="267"/>
      <c r="I15" s="267"/>
      <c r="J15" s="272">
        <f>SUM(J12:J14)</f>
        <v>686579.91999999993</v>
      </c>
      <c r="K15" s="272"/>
      <c r="L15" s="272">
        <f>SUM(L12:L14)</f>
        <v>686579.91999999993</v>
      </c>
      <c r="M15" s="272"/>
      <c r="N15" s="272">
        <f>SUM(N12:N14)</f>
        <v>686579.91999999993</v>
      </c>
      <c r="O15" s="272"/>
      <c r="P15" s="268">
        <f t="shared" si="0"/>
        <v>0</v>
      </c>
      <c r="Q15" s="269"/>
      <c r="R15" s="144">
        <f t="shared" si="1"/>
        <v>0</v>
      </c>
      <c r="S15" s="270"/>
      <c r="W15" s="167"/>
    </row>
    <row r="16" spans="1:45">
      <c r="A16" s="158">
        <f t="shared" si="2"/>
        <v>5</v>
      </c>
      <c r="B16" s="265"/>
      <c r="C16" s="164" t="s">
        <v>391</v>
      </c>
      <c r="D16" s="158"/>
      <c r="E16" s="158"/>
      <c r="F16" s="266"/>
      <c r="G16" s="267"/>
      <c r="H16" s="267"/>
      <c r="I16" s="267"/>
      <c r="J16" s="268"/>
      <c r="K16" s="268"/>
      <c r="L16" s="268"/>
      <c r="M16" s="268"/>
      <c r="N16" s="268"/>
      <c r="O16" s="268"/>
      <c r="P16" s="268"/>
      <c r="Q16" s="269"/>
      <c r="R16" s="144"/>
      <c r="T16" s="156" t="s">
        <v>599</v>
      </c>
    </row>
    <row r="17" spans="1:45" ht="14.4">
      <c r="A17" s="158">
        <f t="shared" si="2"/>
        <v>6</v>
      </c>
      <c r="B17" s="265">
        <v>451</v>
      </c>
      <c r="C17" s="164" t="s">
        <v>600</v>
      </c>
      <c r="D17" s="273">
        <f t="shared" ref="D17:D24" si="3">U17</f>
        <v>17</v>
      </c>
      <c r="E17" s="273">
        <v>17</v>
      </c>
      <c r="F17" s="273">
        <v>17</v>
      </c>
      <c r="G17" s="274">
        <v>5.75</v>
      </c>
      <c r="H17" s="274">
        <v>5.75</v>
      </c>
      <c r="I17" s="274">
        <v>6.5</v>
      </c>
      <c r="J17" s="275">
        <f t="shared" ref="J17:J24" si="4">D17*G17</f>
        <v>97.75</v>
      </c>
      <c r="K17" s="268"/>
      <c r="L17" s="268">
        <f t="shared" ref="L17:L29" si="5">E17*H17</f>
        <v>97.75</v>
      </c>
      <c r="M17" s="268"/>
      <c r="N17" s="268">
        <f t="shared" ref="N17:N29" si="6">F17*I17</f>
        <v>110.5</v>
      </c>
      <c r="O17" s="268"/>
      <c r="P17" s="268">
        <f>N17-J17</f>
        <v>12.75</v>
      </c>
      <c r="Q17" s="269"/>
      <c r="R17" s="144">
        <f t="shared" ref="R17:R35" si="7">IF(L17=0,0,+P17/L17)</f>
        <v>0.13043478260869565</v>
      </c>
      <c r="S17" s="270">
        <f>T17+T18</f>
        <v>104.25</v>
      </c>
      <c r="T17" s="270">
        <f t="shared" ref="T17:U31" si="8">V17+X17+Z17+AB17+AD17+AF17+AH17+AJ17+AL17+AN17+AP17+AR17</f>
        <v>97.75</v>
      </c>
      <c r="U17" s="270">
        <f t="shared" si="8"/>
        <v>17</v>
      </c>
      <c r="V17" s="156">
        <v>0</v>
      </c>
      <c r="W17" s="170">
        <f>V17/G17</f>
        <v>0</v>
      </c>
      <c r="X17" s="156">
        <v>11.5</v>
      </c>
      <c r="Y17" s="170">
        <f t="shared" ref="Y17:Y24" si="9">X17/G17</f>
        <v>2</v>
      </c>
      <c r="AA17" s="170">
        <f>Z17/G17</f>
        <v>0</v>
      </c>
      <c r="AB17" s="156">
        <f>32-3.25</f>
        <v>28.75</v>
      </c>
      <c r="AC17" s="170">
        <f>AB17/G17</f>
        <v>5</v>
      </c>
      <c r="AD17" s="156">
        <v>23</v>
      </c>
      <c r="AE17" s="170">
        <f>AD17/G17</f>
        <v>4</v>
      </c>
      <c r="AF17" s="156">
        <v>11.5</v>
      </c>
      <c r="AG17" s="170">
        <f>AF17/G17</f>
        <v>2</v>
      </c>
      <c r="AK17" s="170"/>
      <c r="AL17" s="156">
        <v>5.75</v>
      </c>
      <c r="AM17" s="170">
        <f>AL17/G17</f>
        <v>1</v>
      </c>
      <c r="AN17" s="156">
        <v>5.75</v>
      </c>
      <c r="AO17" s="170">
        <f>AN17/G17</f>
        <v>1</v>
      </c>
      <c r="AP17" s="156">
        <v>11.5</v>
      </c>
      <c r="AQ17" s="170">
        <f>AP17/G17</f>
        <v>2</v>
      </c>
      <c r="AR17" s="156">
        <v>0</v>
      </c>
      <c r="AS17" s="170">
        <f>AR17/G17</f>
        <v>0</v>
      </c>
    </row>
    <row r="18" spans="1:45" ht="14.4">
      <c r="A18" s="158">
        <f t="shared" si="2"/>
        <v>7</v>
      </c>
      <c r="B18" s="265">
        <v>451</v>
      </c>
      <c r="C18" s="164" t="s">
        <v>392</v>
      </c>
      <c r="D18" s="273">
        <f t="shared" si="3"/>
        <v>2</v>
      </c>
      <c r="E18" s="273">
        <v>2</v>
      </c>
      <c r="F18" s="273">
        <v>2</v>
      </c>
      <c r="G18" s="274">
        <v>3.25</v>
      </c>
      <c r="H18" s="274">
        <v>3.25</v>
      </c>
      <c r="I18" s="274">
        <v>3.25</v>
      </c>
      <c r="J18" s="275">
        <f t="shared" si="4"/>
        <v>6.5</v>
      </c>
      <c r="K18" s="268"/>
      <c r="L18" s="268">
        <f t="shared" si="5"/>
        <v>6.5</v>
      </c>
      <c r="M18" s="268"/>
      <c r="N18" s="268">
        <f>F18*I18</f>
        <v>6.5</v>
      </c>
      <c r="O18" s="268"/>
      <c r="P18" s="268">
        <f t="shared" ref="P18:P32" si="10">N18-J18</f>
        <v>0</v>
      </c>
      <c r="Q18" s="269"/>
      <c r="R18" s="144">
        <f t="shared" si="7"/>
        <v>0</v>
      </c>
      <c r="T18" s="270">
        <f t="shared" si="8"/>
        <v>6.5</v>
      </c>
      <c r="U18" s="270">
        <f t="shared" si="8"/>
        <v>2</v>
      </c>
      <c r="V18" s="156">
        <v>3.25</v>
      </c>
      <c r="W18" s="170">
        <f>V18/G18</f>
        <v>1</v>
      </c>
      <c r="Y18" s="170">
        <f t="shared" si="9"/>
        <v>0</v>
      </c>
      <c r="AA18" s="170"/>
      <c r="AB18" s="156">
        <v>3.25</v>
      </c>
      <c r="AC18" s="170">
        <f>AB18/G18</f>
        <v>1</v>
      </c>
      <c r="AE18" s="170"/>
      <c r="AG18" s="170"/>
      <c r="AI18" s="170"/>
      <c r="AK18" s="170"/>
      <c r="AM18" s="170"/>
      <c r="AO18" s="170"/>
      <c r="AQ18" s="170"/>
      <c r="AS18" s="172"/>
    </row>
    <row r="19" spans="1:45" ht="14.4">
      <c r="A19" s="158">
        <f t="shared" si="2"/>
        <v>8</v>
      </c>
      <c r="B19" s="265">
        <v>451.1</v>
      </c>
      <c r="C19" s="164" t="s">
        <v>393</v>
      </c>
      <c r="D19" s="273">
        <f t="shared" si="3"/>
        <v>57</v>
      </c>
      <c r="E19" s="273">
        <v>57</v>
      </c>
      <c r="F19" s="273">
        <v>57</v>
      </c>
      <c r="G19" s="274">
        <v>5.75</v>
      </c>
      <c r="H19" s="274">
        <v>5.75</v>
      </c>
      <c r="I19" s="274">
        <v>6.5</v>
      </c>
      <c r="J19" s="275">
        <f t="shared" si="4"/>
        <v>327.75</v>
      </c>
      <c r="K19" s="268"/>
      <c r="L19" s="268">
        <f t="shared" si="5"/>
        <v>327.75</v>
      </c>
      <c r="M19" s="268"/>
      <c r="N19" s="268">
        <f t="shared" si="6"/>
        <v>370.5</v>
      </c>
      <c r="O19" s="268"/>
      <c r="P19" s="268">
        <f t="shared" si="10"/>
        <v>42.75</v>
      </c>
      <c r="Q19" s="269"/>
      <c r="R19" s="144">
        <f t="shared" si="7"/>
        <v>0.13043478260869565</v>
      </c>
      <c r="T19" s="270">
        <f t="shared" si="8"/>
        <v>327.75</v>
      </c>
      <c r="U19" s="270">
        <f t="shared" si="8"/>
        <v>57</v>
      </c>
      <c r="V19" s="156">
        <f>5.75+5.75+5.75+5.75</f>
        <v>23</v>
      </c>
      <c r="W19" s="170">
        <f t="shared" ref="W19:W24" si="11">V19/G19</f>
        <v>4</v>
      </c>
      <c r="Y19" s="170">
        <f t="shared" si="9"/>
        <v>0</v>
      </c>
      <c r="Z19" s="147">
        <v>5.75</v>
      </c>
      <c r="AA19" s="170">
        <f>Z19/G19</f>
        <v>1</v>
      </c>
      <c r="AB19" s="156">
        <f>5*5.75</f>
        <v>28.75</v>
      </c>
      <c r="AC19" s="170">
        <f>AB19/G19</f>
        <v>5</v>
      </c>
      <c r="AD19" s="156">
        <f>3*5.75</f>
        <v>17.25</v>
      </c>
      <c r="AE19" s="170">
        <f>AD19/G19</f>
        <v>3</v>
      </c>
      <c r="AF19" s="156">
        <f>9*5.75</f>
        <v>51.75</v>
      </c>
      <c r="AG19" s="170">
        <f>AF19/G19</f>
        <v>9</v>
      </c>
      <c r="AH19" s="156">
        <f>4*5.75</f>
        <v>23</v>
      </c>
      <c r="AI19" s="170">
        <f>AH19/G19</f>
        <v>4</v>
      </c>
      <c r="AJ19" s="156">
        <f>5*5.75</f>
        <v>28.75</v>
      </c>
      <c r="AK19" s="170">
        <f>AJ19/G19</f>
        <v>5</v>
      </c>
      <c r="AL19" s="156">
        <f>5.75+5.75</f>
        <v>11.5</v>
      </c>
      <c r="AM19" s="170">
        <f>AL19/G19</f>
        <v>2</v>
      </c>
      <c r="AN19" s="156">
        <f>11*5.75</f>
        <v>63.25</v>
      </c>
      <c r="AO19" s="170">
        <f>AN19/G19</f>
        <v>11</v>
      </c>
      <c r="AP19" s="156">
        <f>11*5.75</f>
        <v>63.25</v>
      </c>
      <c r="AQ19" s="170">
        <f>AP19/G19</f>
        <v>11</v>
      </c>
      <c r="AR19" s="156">
        <f>2*5.75</f>
        <v>11.5</v>
      </c>
      <c r="AS19" s="170">
        <f t="shared" ref="AS19:AS24" si="12">AR19/G19</f>
        <v>2</v>
      </c>
    </row>
    <row r="20" spans="1:45" ht="14.4">
      <c r="A20" s="158">
        <f t="shared" si="2"/>
        <v>9</v>
      </c>
      <c r="B20" s="265">
        <v>451.1</v>
      </c>
      <c r="C20" s="164" t="s">
        <v>394</v>
      </c>
      <c r="D20" s="273">
        <f t="shared" si="3"/>
        <v>1380</v>
      </c>
      <c r="E20" s="273">
        <v>1380</v>
      </c>
      <c r="F20" s="273">
        <v>1380</v>
      </c>
      <c r="G20" s="274">
        <v>3.25</v>
      </c>
      <c r="H20" s="274">
        <v>3.25</v>
      </c>
      <c r="I20" s="274">
        <v>3.25</v>
      </c>
      <c r="J20" s="275">
        <f t="shared" si="4"/>
        <v>4485</v>
      </c>
      <c r="K20" s="268"/>
      <c r="L20" s="268">
        <f t="shared" si="5"/>
        <v>4485</v>
      </c>
      <c r="M20" s="268"/>
      <c r="N20" s="268">
        <f t="shared" si="6"/>
        <v>4485</v>
      </c>
      <c r="O20" s="268"/>
      <c r="P20" s="268">
        <f t="shared" si="10"/>
        <v>0</v>
      </c>
      <c r="Q20" s="269"/>
      <c r="R20" s="144">
        <f t="shared" si="7"/>
        <v>0</v>
      </c>
      <c r="S20" s="270">
        <f>T20+T21+T22+T19</f>
        <v>22436.07</v>
      </c>
      <c r="T20" s="270">
        <f t="shared" si="8"/>
        <v>4485</v>
      </c>
      <c r="U20" s="270">
        <f t="shared" si="8"/>
        <v>1380</v>
      </c>
      <c r="V20" s="156">
        <f>247.25-5.75-5.75-5.75-5.75</f>
        <v>224.25</v>
      </c>
      <c r="W20" s="170">
        <f t="shared" si="11"/>
        <v>69</v>
      </c>
      <c r="X20" s="276">
        <v>299</v>
      </c>
      <c r="Y20" s="170">
        <f t="shared" si="9"/>
        <v>92</v>
      </c>
      <c r="Z20" s="277">
        <f>230-5.75</f>
        <v>224.25</v>
      </c>
      <c r="AA20" s="170">
        <f>Z20/G20</f>
        <v>69</v>
      </c>
      <c r="AB20" s="156">
        <f>327.75-5.75-5.75-5.75-5.75-5.75</f>
        <v>299</v>
      </c>
      <c r="AC20" s="170">
        <f>AB20/G20</f>
        <v>92</v>
      </c>
      <c r="AD20" s="156">
        <f>540.5-5.75-5.75-5.75</f>
        <v>523.25</v>
      </c>
      <c r="AE20" s="170">
        <f t="shared" ref="AE20:AE21" si="13">AD20/G20</f>
        <v>161</v>
      </c>
      <c r="AF20" s="156">
        <f>575-5.75-5.75-5.75-5.75-5.75-5.75-5.75-5.75-5.75</f>
        <v>523.25</v>
      </c>
      <c r="AG20" s="170">
        <f t="shared" ref="AG20:AG21" si="14">AF20/G20</f>
        <v>161</v>
      </c>
      <c r="AH20" s="156">
        <f>621-5.75-5.75-5.75-5.75</f>
        <v>598</v>
      </c>
      <c r="AI20" s="170">
        <f t="shared" ref="AI20:AI21" si="15">AH20/G20</f>
        <v>184</v>
      </c>
      <c r="AJ20" s="156">
        <f>402.5-5.75-5.75-5.75-5.75-5.75</f>
        <v>373.75</v>
      </c>
      <c r="AK20" s="170">
        <f t="shared" ref="AK20:AK21" si="16">AJ20/G20</f>
        <v>115</v>
      </c>
      <c r="AL20" s="156">
        <f>310.5-5.75-5.75</f>
        <v>299</v>
      </c>
      <c r="AM20" s="170">
        <f t="shared" ref="AM20:AM21" si="17">AL20/G20</f>
        <v>92</v>
      </c>
      <c r="AN20" s="156">
        <f>287.5-5.75-5.75-5.75-5.75-5.75-5.75-5.75-5.75-5.75-5.75-5.75</f>
        <v>224.25</v>
      </c>
      <c r="AO20" s="170">
        <f t="shared" ref="AO20:AO21" si="18">AN20/G20</f>
        <v>69</v>
      </c>
      <c r="AP20" s="156">
        <f>437-5.75-5.75-5.75-5.75-5.75-5.75-5.75-5.75-5.75-5.75-5.75</f>
        <v>373.75</v>
      </c>
      <c r="AQ20" s="170">
        <f>AP20/G20</f>
        <v>115</v>
      </c>
      <c r="AR20" s="156">
        <f>534.75-5.75-5.75</f>
        <v>523.25</v>
      </c>
      <c r="AS20" s="170">
        <f t="shared" si="12"/>
        <v>161</v>
      </c>
    </row>
    <row r="21" spans="1:45" ht="14.4">
      <c r="A21" s="158">
        <f t="shared" si="2"/>
        <v>10</v>
      </c>
      <c r="B21" s="265">
        <v>451.1</v>
      </c>
      <c r="C21" s="164" t="s">
        <v>395</v>
      </c>
      <c r="D21" s="273">
        <f t="shared" si="3"/>
        <v>13</v>
      </c>
      <c r="E21" s="273">
        <v>13</v>
      </c>
      <c r="F21" s="273">
        <v>13</v>
      </c>
      <c r="G21" s="274">
        <v>95.14</v>
      </c>
      <c r="H21" s="274">
        <v>95.14</v>
      </c>
      <c r="I21" s="274">
        <v>156</v>
      </c>
      <c r="J21" s="275">
        <f t="shared" si="4"/>
        <v>1236.82</v>
      </c>
      <c r="K21" s="268"/>
      <c r="L21" s="268">
        <f t="shared" si="5"/>
        <v>1236.82</v>
      </c>
      <c r="M21" s="268"/>
      <c r="N21" s="268">
        <f t="shared" si="6"/>
        <v>2028</v>
      </c>
      <c r="O21" s="268"/>
      <c r="P21" s="268">
        <f t="shared" si="10"/>
        <v>791.18000000000006</v>
      </c>
      <c r="Q21" s="269"/>
      <c r="R21" s="144">
        <f t="shared" si="7"/>
        <v>0.63968887954593234</v>
      </c>
      <c r="T21" s="270">
        <f>V21+X21+Z21+AB21+AD21+AF21+AH21+AJ21+AL21+AN21+AP21+AR21</f>
        <v>1236.82</v>
      </c>
      <c r="U21" s="270">
        <f t="shared" si="8"/>
        <v>13</v>
      </c>
      <c r="V21" s="156">
        <v>95.14</v>
      </c>
      <c r="W21" s="170">
        <f t="shared" si="11"/>
        <v>1</v>
      </c>
      <c r="Y21" s="170">
        <f>X21/G21</f>
        <v>0</v>
      </c>
      <c r="AA21" s="170"/>
      <c r="AC21" s="170"/>
      <c r="AD21" s="156">
        <v>190.28</v>
      </c>
      <c r="AE21" s="170">
        <f t="shared" si="13"/>
        <v>2</v>
      </c>
      <c r="AF21" s="156">
        <v>95.14</v>
      </c>
      <c r="AG21" s="170">
        <f t="shared" si="14"/>
        <v>1</v>
      </c>
      <c r="AH21" s="156">
        <v>95.14</v>
      </c>
      <c r="AI21" s="170">
        <f t="shared" si="15"/>
        <v>1</v>
      </c>
      <c r="AJ21" s="156">
        <v>95.14</v>
      </c>
      <c r="AK21" s="170">
        <f t="shared" si="16"/>
        <v>1</v>
      </c>
      <c r="AL21" s="156">
        <v>95.14</v>
      </c>
      <c r="AM21" s="170">
        <f t="shared" si="17"/>
        <v>1</v>
      </c>
      <c r="AN21" s="156">
        <v>190.28</v>
      </c>
      <c r="AO21" s="170">
        <f t="shared" si="18"/>
        <v>2</v>
      </c>
      <c r="AQ21" s="170"/>
      <c r="AR21" s="156">
        <f>380.56</f>
        <v>380.56</v>
      </c>
      <c r="AS21" s="170">
        <f t="shared" si="12"/>
        <v>4</v>
      </c>
    </row>
    <row r="22" spans="1:45" ht="14.4">
      <c r="A22" s="158">
        <f t="shared" si="2"/>
        <v>11</v>
      </c>
      <c r="B22" s="265">
        <v>451.1</v>
      </c>
      <c r="C22" s="164" t="s">
        <v>394</v>
      </c>
      <c r="D22" s="273">
        <f t="shared" si="3"/>
        <v>5042</v>
      </c>
      <c r="E22" s="273">
        <v>5042</v>
      </c>
      <c r="F22" s="273">
        <v>5042</v>
      </c>
      <c r="G22" s="274">
        <v>3.25</v>
      </c>
      <c r="H22" s="274">
        <v>3.25</v>
      </c>
      <c r="I22" s="274">
        <v>3.25</v>
      </c>
      <c r="J22" s="275">
        <f t="shared" si="4"/>
        <v>16386.5</v>
      </c>
      <c r="K22" s="268"/>
      <c r="L22" s="268">
        <f t="shared" si="5"/>
        <v>16386.5</v>
      </c>
      <c r="M22" s="268"/>
      <c r="N22" s="268">
        <f>F22*I22</f>
        <v>16386.5</v>
      </c>
      <c r="O22" s="268"/>
      <c r="P22" s="268">
        <f t="shared" si="10"/>
        <v>0</v>
      </c>
      <c r="Q22" s="269"/>
      <c r="R22" s="144">
        <f t="shared" si="7"/>
        <v>0</v>
      </c>
      <c r="T22" s="270">
        <f t="shared" si="8"/>
        <v>16386.5</v>
      </c>
      <c r="U22" s="270">
        <f t="shared" si="8"/>
        <v>5042</v>
      </c>
      <c r="V22" s="156">
        <v>1423.5</v>
      </c>
      <c r="W22" s="170">
        <f t="shared" si="11"/>
        <v>438</v>
      </c>
      <c r="X22" s="156">
        <v>1329.25</v>
      </c>
      <c r="Y22" s="170">
        <f t="shared" si="9"/>
        <v>409</v>
      </c>
      <c r="Z22" s="147">
        <v>1017.25</v>
      </c>
      <c r="AA22" s="170">
        <f>Z22/G22</f>
        <v>313</v>
      </c>
      <c r="AB22" s="156">
        <v>1231.75</v>
      </c>
      <c r="AC22" s="170">
        <f>AB22/G22</f>
        <v>379</v>
      </c>
      <c r="AD22" s="156">
        <v>1651</v>
      </c>
      <c r="AE22" s="170">
        <f>AD22/G22</f>
        <v>508</v>
      </c>
      <c r="AF22" s="156">
        <v>1618.5</v>
      </c>
      <c r="AG22" s="170">
        <f>AF22/G22</f>
        <v>498</v>
      </c>
      <c r="AH22" s="156">
        <v>1816.75</v>
      </c>
      <c r="AI22" s="170">
        <f>AH22/G22</f>
        <v>559</v>
      </c>
      <c r="AJ22" s="156">
        <f>1225.25</f>
        <v>1225.25</v>
      </c>
      <c r="AK22" s="170">
        <f>AJ22/G22</f>
        <v>377</v>
      </c>
      <c r="AL22" s="156">
        <v>1085.5</v>
      </c>
      <c r="AM22" s="170">
        <f>AL22/G22</f>
        <v>334</v>
      </c>
      <c r="AN22" s="156">
        <v>1160.25</v>
      </c>
      <c r="AO22" s="170">
        <f>AN22/G22</f>
        <v>357</v>
      </c>
      <c r="AP22" s="156">
        <v>1287</v>
      </c>
      <c r="AQ22" s="170">
        <f>AP22/G22</f>
        <v>396</v>
      </c>
      <c r="AR22" s="156">
        <v>1540.5</v>
      </c>
      <c r="AS22" s="170">
        <f t="shared" si="12"/>
        <v>474</v>
      </c>
    </row>
    <row r="23" spans="1:45" ht="14.4">
      <c r="A23" s="158">
        <f t="shared" si="2"/>
        <v>12</v>
      </c>
      <c r="B23" s="265">
        <v>451.2</v>
      </c>
      <c r="C23" s="164" t="s">
        <v>396</v>
      </c>
      <c r="D23" s="273">
        <f t="shared" si="3"/>
        <v>1425</v>
      </c>
      <c r="E23" s="273">
        <v>1425</v>
      </c>
      <c r="F23" s="273">
        <v>1425</v>
      </c>
      <c r="G23" s="274">
        <v>5.75</v>
      </c>
      <c r="H23" s="274">
        <v>5.75</v>
      </c>
      <c r="I23" s="274">
        <v>6.5</v>
      </c>
      <c r="J23" s="275">
        <f t="shared" si="4"/>
        <v>8193.75</v>
      </c>
      <c r="K23" s="268"/>
      <c r="L23" s="268">
        <f t="shared" si="5"/>
        <v>8193.75</v>
      </c>
      <c r="M23" s="268"/>
      <c r="N23" s="268">
        <f t="shared" si="6"/>
        <v>9262.5</v>
      </c>
      <c r="O23" s="268"/>
      <c r="P23" s="268">
        <f t="shared" si="10"/>
        <v>1068.75</v>
      </c>
      <c r="Q23" s="269"/>
      <c r="R23" s="144">
        <f t="shared" si="7"/>
        <v>0.13043478260869565</v>
      </c>
      <c r="S23" s="270">
        <f>T23+T24</f>
        <v>27612.5</v>
      </c>
      <c r="T23" s="270">
        <f t="shared" si="8"/>
        <v>8193.75</v>
      </c>
      <c r="U23" s="270">
        <f t="shared" si="8"/>
        <v>1425</v>
      </c>
      <c r="V23" s="156">
        <f>333.5+115+40.25</f>
        <v>488.75</v>
      </c>
      <c r="W23" s="170">
        <f t="shared" si="11"/>
        <v>85</v>
      </c>
      <c r="X23" s="156">
        <f>339.25+115+34.5</f>
        <v>488.75</v>
      </c>
      <c r="Y23" s="170">
        <f t="shared" si="9"/>
        <v>85</v>
      </c>
      <c r="Z23" s="147">
        <f>258.75+57.5+23</f>
        <v>339.25</v>
      </c>
      <c r="AA23" s="170">
        <f>Z23/G23</f>
        <v>59</v>
      </c>
      <c r="AB23" s="156">
        <f>350.75+63.25+28.75</f>
        <v>442.75</v>
      </c>
      <c r="AC23" s="170">
        <f>AB23/G23</f>
        <v>77</v>
      </c>
      <c r="AD23" s="156">
        <f>626.75+172.5+86.25</f>
        <v>885.5</v>
      </c>
      <c r="AE23" s="170">
        <f>AD23/G23</f>
        <v>154</v>
      </c>
      <c r="AF23" s="156">
        <f>667+184+46</f>
        <v>897</v>
      </c>
      <c r="AG23" s="170">
        <f>AF23/G23</f>
        <v>156</v>
      </c>
      <c r="AH23" s="156">
        <f>707.25+235.75+74.75</f>
        <v>1017.75</v>
      </c>
      <c r="AI23" s="170">
        <f>AH23/G23</f>
        <v>177</v>
      </c>
      <c r="AJ23" s="156">
        <f>483+201.25+69</f>
        <v>753.25</v>
      </c>
      <c r="AK23" s="170">
        <f>AJ23/G23</f>
        <v>131</v>
      </c>
      <c r="AL23" s="156">
        <f>356.5+166.75+34.5</f>
        <v>557.75</v>
      </c>
      <c r="AM23" s="170">
        <f>AL23/G23</f>
        <v>97</v>
      </c>
      <c r="AN23" s="156">
        <f>333.5+247.25+63.25</f>
        <v>644</v>
      </c>
      <c r="AO23" s="170">
        <f>AN23/G23</f>
        <v>112</v>
      </c>
      <c r="AP23" s="156">
        <f>483+212.75+28.75</f>
        <v>724.5</v>
      </c>
      <c r="AQ23" s="170">
        <f>AP23/G23</f>
        <v>126</v>
      </c>
      <c r="AR23" s="156">
        <f>684.25+218.5+51.75</f>
        <v>954.5</v>
      </c>
      <c r="AS23" s="170">
        <f t="shared" si="12"/>
        <v>166</v>
      </c>
    </row>
    <row r="24" spans="1:45" ht="14.4">
      <c r="A24" s="158">
        <f t="shared" si="2"/>
        <v>13</v>
      </c>
      <c r="B24" s="265">
        <v>451.2</v>
      </c>
      <c r="C24" s="164" t="s">
        <v>397</v>
      </c>
      <c r="D24" s="273">
        <f t="shared" si="3"/>
        <v>5975</v>
      </c>
      <c r="E24" s="273">
        <v>5975</v>
      </c>
      <c r="F24" s="273">
        <v>5975</v>
      </c>
      <c r="G24" s="274">
        <v>3.25</v>
      </c>
      <c r="H24" s="274">
        <v>3.25</v>
      </c>
      <c r="I24" s="274">
        <v>3.25</v>
      </c>
      <c r="J24" s="275">
        <f t="shared" si="4"/>
        <v>19418.75</v>
      </c>
      <c r="K24" s="268"/>
      <c r="L24" s="268">
        <f t="shared" si="5"/>
        <v>19418.75</v>
      </c>
      <c r="M24" s="268"/>
      <c r="N24" s="268">
        <f>F24*I24</f>
        <v>19418.75</v>
      </c>
      <c r="O24" s="268"/>
      <c r="P24" s="268">
        <f t="shared" si="10"/>
        <v>0</v>
      </c>
      <c r="Q24" s="269"/>
      <c r="R24" s="144">
        <f t="shared" si="7"/>
        <v>0</v>
      </c>
      <c r="T24" s="270">
        <f t="shared" si="8"/>
        <v>19418.75</v>
      </c>
      <c r="U24" s="270">
        <f t="shared" si="8"/>
        <v>5975</v>
      </c>
      <c r="V24" s="156">
        <v>1823.25</v>
      </c>
      <c r="W24" s="170">
        <f t="shared" si="11"/>
        <v>561</v>
      </c>
      <c r="X24" s="156">
        <v>1576.25</v>
      </c>
      <c r="Y24" s="170">
        <f t="shared" si="9"/>
        <v>485</v>
      </c>
      <c r="Z24" s="147">
        <v>1189.5</v>
      </c>
      <c r="AA24" s="170">
        <f>Z24/G24</f>
        <v>366</v>
      </c>
      <c r="AB24" s="156">
        <v>1413.75</v>
      </c>
      <c r="AC24" s="170">
        <f>AB24/G24</f>
        <v>435</v>
      </c>
      <c r="AD24" s="156">
        <v>1807</v>
      </c>
      <c r="AE24" s="170">
        <f>AD24/G24</f>
        <v>556</v>
      </c>
      <c r="AF24" s="156">
        <v>1829.75</v>
      </c>
      <c r="AG24" s="170">
        <f>AF24/G24</f>
        <v>563</v>
      </c>
      <c r="AH24" s="156">
        <v>2177.5</v>
      </c>
      <c r="AI24" s="170">
        <f>AH24/G24</f>
        <v>670</v>
      </c>
      <c r="AJ24" s="156">
        <v>1387.75</v>
      </c>
      <c r="AK24" s="170">
        <f>AJ24/G24</f>
        <v>427</v>
      </c>
      <c r="AL24" s="156">
        <v>1267.5</v>
      </c>
      <c r="AM24" s="170">
        <f>AL24/G24</f>
        <v>390</v>
      </c>
      <c r="AN24" s="156">
        <v>1436.5</v>
      </c>
      <c r="AO24" s="170">
        <f>AN24/G24</f>
        <v>442</v>
      </c>
      <c r="AP24" s="156">
        <v>1556.75</v>
      </c>
      <c r="AQ24" s="170">
        <f>AP24/G24</f>
        <v>479</v>
      </c>
      <c r="AR24" s="156">
        <v>1953.25</v>
      </c>
      <c r="AS24" s="170">
        <f t="shared" si="12"/>
        <v>601</v>
      </c>
    </row>
    <row r="25" spans="1:45" ht="14.4">
      <c r="A25" s="158">
        <f t="shared" si="2"/>
        <v>14</v>
      </c>
      <c r="B25" s="265">
        <v>451.24</v>
      </c>
      <c r="C25" s="164" t="s">
        <v>398</v>
      </c>
      <c r="D25" s="273"/>
      <c r="E25" s="273"/>
      <c r="F25" s="273"/>
      <c r="G25" s="274"/>
      <c r="H25" s="274"/>
      <c r="I25" s="274"/>
      <c r="J25" s="275"/>
      <c r="K25" s="268"/>
      <c r="L25" s="268">
        <f>J25</f>
        <v>0</v>
      </c>
      <c r="M25" s="268"/>
      <c r="N25" s="268">
        <f>L25</f>
        <v>0</v>
      </c>
      <c r="O25" s="268"/>
      <c r="P25" s="268">
        <f t="shared" si="10"/>
        <v>0</v>
      </c>
      <c r="Q25" s="269"/>
      <c r="R25" s="144">
        <f t="shared" si="7"/>
        <v>0</v>
      </c>
      <c r="S25" s="147"/>
      <c r="T25" s="270">
        <f t="shared" si="8"/>
        <v>0</v>
      </c>
      <c r="U25" s="270">
        <f t="shared" si="8"/>
        <v>0</v>
      </c>
      <c r="W25" s="167"/>
      <c r="Y25" s="170"/>
      <c r="AA25" s="170"/>
      <c r="AC25" s="170"/>
      <c r="AE25" s="170"/>
      <c r="AG25" s="170"/>
      <c r="AI25" s="170"/>
      <c r="AK25" s="170"/>
      <c r="AM25" s="170"/>
      <c r="AO25" s="170"/>
      <c r="AQ25" s="170"/>
      <c r="AS25" s="172"/>
    </row>
    <row r="26" spans="1:45" ht="14.4">
      <c r="A26" s="158">
        <f t="shared" si="2"/>
        <v>15</v>
      </c>
      <c r="B26" s="265">
        <v>451.3</v>
      </c>
      <c r="C26" s="164" t="s">
        <v>399</v>
      </c>
      <c r="D26" s="273">
        <v>0</v>
      </c>
      <c r="E26" s="273">
        <v>0</v>
      </c>
      <c r="F26" s="273">
        <v>0</v>
      </c>
      <c r="G26" s="274">
        <v>3.25</v>
      </c>
      <c r="H26" s="274">
        <v>3.25</v>
      </c>
      <c r="I26" s="274">
        <v>3.25</v>
      </c>
      <c r="J26" s="275">
        <v>0</v>
      </c>
      <c r="K26" s="268"/>
      <c r="L26" s="268">
        <f t="shared" si="5"/>
        <v>0</v>
      </c>
      <c r="M26" s="268"/>
      <c r="N26" s="268">
        <f t="shared" si="6"/>
        <v>0</v>
      </c>
      <c r="O26" s="268"/>
      <c r="P26" s="268">
        <f t="shared" si="10"/>
        <v>0</v>
      </c>
      <c r="Q26" s="269"/>
      <c r="R26" s="144">
        <f t="shared" si="7"/>
        <v>0</v>
      </c>
      <c r="T26" s="270">
        <f t="shared" si="8"/>
        <v>0</v>
      </c>
      <c r="U26" s="270">
        <f t="shared" si="8"/>
        <v>0</v>
      </c>
      <c r="W26" s="167"/>
      <c r="Y26" s="170"/>
      <c r="AA26" s="170"/>
      <c r="AC26" s="170"/>
      <c r="AE26" s="170"/>
      <c r="AG26" s="170"/>
      <c r="AI26" s="170"/>
      <c r="AK26" s="170"/>
      <c r="AM26" s="170"/>
      <c r="AO26" s="170"/>
      <c r="AQ26" s="170"/>
      <c r="AS26" s="172"/>
    </row>
    <row r="27" spans="1:45" ht="14.4">
      <c r="A27" s="158">
        <f t="shared" si="2"/>
        <v>16</v>
      </c>
      <c r="B27" s="265">
        <v>451.4</v>
      </c>
      <c r="C27" s="164" t="s">
        <v>400</v>
      </c>
      <c r="D27" s="273">
        <f>U27</f>
        <v>8</v>
      </c>
      <c r="E27" s="273">
        <v>8</v>
      </c>
      <c r="F27" s="273">
        <v>8</v>
      </c>
      <c r="G27" s="274">
        <v>79</v>
      </c>
      <c r="H27" s="274">
        <v>79</v>
      </c>
      <c r="I27" s="274">
        <v>74</v>
      </c>
      <c r="J27" s="275">
        <f t="shared" ref="J27:J32" si="19">D27*G27</f>
        <v>632</v>
      </c>
      <c r="K27" s="278"/>
      <c r="L27" s="268">
        <f t="shared" si="5"/>
        <v>632</v>
      </c>
      <c r="M27" s="268"/>
      <c r="N27" s="268">
        <f t="shared" si="6"/>
        <v>592</v>
      </c>
      <c r="O27" s="268"/>
      <c r="P27" s="268">
        <f t="shared" si="10"/>
        <v>-40</v>
      </c>
      <c r="Q27" s="269"/>
      <c r="R27" s="144">
        <f t="shared" si="7"/>
        <v>-6.3291139240506333E-2</v>
      </c>
      <c r="S27" s="270">
        <f>T27</f>
        <v>632</v>
      </c>
      <c r="T27" s="270">
        <f t="shared" si="8"/>
        <v>632</v>
      </c>
      <c r="U27" s="270">
        <f t="shared" si="8"/>
        <v>8</v>
      </c>
      <c r="V27" s="156">
        <v>158</v>
      </c>
      <c r="W27" s="170">
        <f>V27/G27</f>
        <v>2</v>
      </c>
      <c r="Y27" s="170">
        <f>X27/G27</f>
        <v>0</v>
      </c>
      <c r="AA27" s="170">
        <f>Z27/G27</f>
        <v>0</v>
      </c>
      <c r="AC27" s="170"/>
      <c r="AD27" s="156">
        <v>79</v>
      </c>
      <c r="AE27" s="170">
        <f>AD27/G27</f>
        <v>1</v>
      </c>
      <c r="AG27" s="170"/>
      <c r="AI27" s="170"/>
      <c r="AJ27" s="156">
        <v>79</v>
      </c>
      <c r="AK27" s="170">
        <f>AJ27/G27</f>
        <v>1</v>
      </c>
      <c r="AL27" s="156">
        <v>79</v>
      </c>
      <c r="AM27" s="170">
        <f>AL27/G27</f>
        <v>1</v>
      </c>
      <c r="AO27" s="170"/>
      <c r="AP27" s="156">
        <v>79</v>
      </c>
      <c r="AQ27" s="170">
        <f>AP27/G27</f>
        <v>1</v>
      </c>
      <c r="AR27" s="156">
        <v>158</v>
      </c>
      <c r="AS27" s="170">
        <f>AR27/G27</f>
        <v>2</v>
      </c>
    </row>
    <row r="28" spans="1:45" ht="14.4">
      <c r="A28" s="158">
        <f t="shared" si="2"/>
        <v>17</v>
      </c>
      <c r="B28" s="265">
        <v>451.5</v>
      </c>
      <c r="C28" s="164" t="s">
        <v>401</v>
      </c>
      <c r="D28" s="273">
        <f>U28</f>
        <v>0</v>
      </c>
      <c r="E28" s="273">
        <v>0</v>
      </c>
      <c r="F28" s="273">
        <v>0</v>
      </c>
      <c r="G28" s="274">
        <v>0</v>
      </c>
      <c r="H28" s="274">
        <v>0</v>
      </c>
      <c r="I28" s="274">
        <v>0</v>
      </c>
      <c r="J28" s="275">
        <f t="shared" si="19"/>
        <v>0</v>
      </c>
      <c r="K28" s="268" t="s">
        <v>402</v>
      </c>
      <c r="L28" s="268">
        <f t="shared" si="5"/>
        <v>0</v>
      </c>
      <c r="M28" s="268"/>
      <c r="N28" s="268">
        <f t="shared" si="6"/>
        <v>0</v>
      </c>
      <c r="O28" s="268"/>
      <c r="P28" s="268">
        <f t="shared" si="10"/>
        <v>0</v>
      </c>
      <c r="Q28" s="269"/>
      <c r="R28" s="144">
        <f t="shared" si="7"/>
        <v>0</v>
      </c>
      <c r="S28" s="270">
        <f>T28</f>
        <v>0</v>
      </c>
      <c r="T28" s="270">
        <f t="shared" si="8"/>
        <v>0</v>
      </c>
      <c r="U28" s="270"/>
      <c r="W28" s="170"/>
      <c r="Y28" s="170"/>
      <c r="AA28" s="170"/>
      <c r="AC28" s="170"/>
      <c r="AE28" s="170"/>
      <c r="AG28" s="170"/>
      <c r="AI28" s="170"/>
      <c r="AK28" s="170"/>
      <c r="AM28" s="170"/>
      <c r="AO28" s="170"/>
      <c r="AQ28" s="170"/>
      <c r="AS28" s="170"/>
    </row>
    <row r="29" spans="1:45" ht="14.4">
      <c r="A29" s="158">
        <f t="shared" si="2"/>
        <v>18</v>
      </c>
      <c r="B29" s="265">
        <v>451.6</v>
      </c>
      <c r="C29" s="164" t="s">
        <v>403</v>
      </c>
      <c r="D29" s="273">
        <f>U29</f>
        <v>0</v>
      </c>
      <c r="E29" s="273">
        <v>0</v>
      </c>
      <c r="F29" s="273">
        <v>0</v>
      </c>
      <c r="G29" s="274"/>
      <c r="H29" s="274"/>
      <c r="I29" s="274"/>
      <c r="J29" s="275">
        <f t="shared" si="19"/>
        <v>0</v>
      </c>
      <c r="K29" s="278"/>
      <c r="L29" s="268">
        <f t="shared" si="5"/>
        <v>0</v>
      </c>
      <c r="M29" s="268"/>
      <c r="N29" s="268">
        <f t="shared" si="6"/>
        <v>0</v>
      </c>
      <c r="O29" s="268"/>
      <c r="P29" s="268">
        <f t="shared" si="10"/>
        <v>0</v>
      </c>
      <c r="Q29" s="269"/>
      <c r="R29" s="144">
        <f t="shared" si="7"/>
        <v>0</v>
      </c>
      <c r="S29" s="270">
        <f>T29</f>
        <v>0</v>
      </c>
      <c r="T29" s="270">
        <f t="shared" si="8"/>
        <v>0</v>
      </c>
      <c r="U29" s="270">
        <f t="shared" si="8"/>
        <v>0</v>
      </c>
      <c r="W29" s="167"/>
      <c r="AA29" s="170"/>
      <c r="AE29" s="170"/>
      <c r="AG29" s="170"/>
      <c r="AI29" s="170"/>
      <c r="AS29" s="172"/>
    </row>
    <row r="30" spans="1:45" ht="14.4">
      <c r="A30" s="158">
        <f t="shared" si="2"/>
        <v>19</v>
      </c>
      <c r="B30" s="265">
        <v>451.6</v>
      </c>
      <c r="C30" s="164" t="s">
        <v>404</v>
      </c>
      <c r="D30" s="273">
        <f t="shared" ref="D30:D31" si="20">U30</f>
        <v>2</v>
      </c>
      <c r="E30" s="273">
        <v>2</v>
      </c>
      <c r="F30" s="273">
        <v>2</v>
      </c>
      <c r="G30" s="274">
        <v>95.14</v>
      </c>
      <c r="H30" s="274">
        <v>95.14</v>
      </c>
      <c r="I30" s="274">
        <v>156</v>
      </c>
      <c r="J30" s="275">
        <f t="shared" si="19"/>
        <v>190.28</v>
      </c>
      <c r="K30" s="268" t="s">
        <v>402</v>
      </c>
      <c r="L30" s="268">
        <f>E30*H30</f>
        <v>190.28</v>
      </c>
      <c r="M30" s="268"/>
      <c r="N30" s="268">
        <f>F30*I30</f>
        <v>312</v>
      </c>
      <c r="O30" s="268"/>
      <c r="P30" s="268">
        <f t="shared" si="10"/>
        <v>121.72</v>
      </c>
      <c r="Q30" s="269"/>
      <c r="R30" s="144">
        <f t="shared" si="7"/>
        <v>0.63968887954593234</v>
      </c>
      <c r="S30" s="270">
        <f>T30</f>
        <v>190.28</v>
      </c>
      <c r="T30" s="270">
        <f>V30+X30+Z30+AB30+AD30+AF30+AH30+AJ30+AL30+AN30+AP30+AR30</f>
        <v>190.28</v>
      </c>
      <c r="U30" s="270">
        <f t="shared" si="8"/>
        <v>2</v>
      </c>
      <c r="W30" s="167"/>
      <c r="X30" s="156">
        <v>95.14</v>
      </c>
      <c r="Y30" s="170">
        <f>X30/G30</f>
        <v>1</v>
      </c>
      <c r="AE30" s="170"/>
      <c r="AF30" s="156">
        <v>95.14</v>
      </c>
      <c r="AG30" s="170">
        <f>AF30/G30</f>
        <v>1</v>
      </c>
      <c r="AS30" s="172"/>
    </row>
    <row r="31" spans="1:45" ht="14.4">
      <c r="A31" s="158">
        <f t="shared" si="2"/>
        <v>20</v>
      </c>
      <c r="B31" s="265">
        <v>451.7</v>
      </c>
      <c r="C31" s="164" t="s">
        <v>405</v>
      </c>
      <c r="D31" s="273">
        <f t="shared" si="20"/>
        <v>1</v>
      </c>
      <c r="E31" s="273">
        <v>1</v>
      </c>
      <c r="F31" s="273">
        <v>1</v>
      </c>
      <c r="G31" s="274">
        <v>50</v>
      </c>
      <c r="H31" s="274">
        <v>50</v>
      </c>
      <c r="I31" s="274">
        <v>50</v>
      </c>
      <c r="J31" s="275">
        <f t="shared" si="19"/>
        <v>50</v>
      </c>
      <c r="K31" s="268"/>
      <c r="L31" s="268">
        <f>E31*H31</f>
        <v>50</v>
      </c>
      <c r="M31" s="268"/>
      <c r="N31" s="268">
        <f>F31*I31</f>
        <v>50</v>
      </c>
      <c r="O31" s="268"/>
      <c r="P31" s="268">
        <f t="shared" si="10"/>
        <v>0</v>
      </c>
      <c r="Q31" s="269"/>
      <c r="R31" s="144">
        <f t="shared" si="7"/>
        <v>0</v>
      </c>
      <c r="S31" s="270">
        <f>T31</f>
        <v>50</v>
      </c>
      <c r="T31" s="270">
        <f t="shared" si="8"/>
        <v>50</v>
      </c>
      <c r="U31" s="270">
        <f t="shared" si="8"/>
        <v>1</v>
      </c>
      <c r="W31" s="167"/>
      <c r="AE31" s="170"/>
      <c r="AH31" s="156">
        <v>50</v>
      </c>
      <c r="AI31" s="170">
        <f>AH31/G31</f>
        <v>1</v>
      </c>
      <c r="AS31" s="170"/>
    </row>
    <row r="32" spans="1:45" ht="14.4">
      <c r="A32" s="158">
        <f t="shared" si="2"/>
        <v>21</v>
      </c>
      <c r="B32" s="265">
        <v>451.7</v>
      </c>
      <c r="C32" s="164" t="s">
        <v>405</v>
      </c>
      <c r="D32" s="273"/>
      <c r="E32" s="273"/>
      <c r="F32" s="273"/>
      <c r="G32" s="274"/>
      <c r="H32" s="274"/>
      <c r="I32" s="274"/>
      <c r="J32" s="275">
        <f t="shared" si="19"/>
        <v>0</v>
      </c>
      <c r="K32" s="268"/>
      <c r="L32" s="268">
        <f>E32*H32</f>
        <v>0</v>
      </c>
      <c r="M32" s="268"/>
      <c r="N32" s="268">
        <f>F32*I32</f>
        <v>0</v>
      </c>
      <c r="O32" s="268"/>
      <c r="P32" s="268">
        <f t="shared" si="10"/>
        <v>0</v>
      </c>
      <c r="Q32" s="269"/>
      <c r="R32" s="144">
        <f t="shared" si="7"/>
        <v>0</v>
      </c>
      <c r="S32" s="270"/>
      <c r="T32" s="270"/>
      <c r="U32" s="270"/>
      <c r="W32" s="167"/>
      <c r="AE32" s="170"/>
      <c r="AS32" s="170"/>
    </row>
    <row r="33" spans="1:44" ht="14.4">
      <c r="A33" s="158">
        <f t="shared" si="2"/>
        <v>22</v>
      </c>
      <c r="B33" s="265"/>
      <c r="C33" s="164" t="s">
        <v>406</v>
      </c>
      <c r="D33" s="279">
        <f>SUM(D17:D32)</f>
        <v>13922</v>
      </c>
      <c r="E33" s="279">
        <f>SUM(E17:E32)</f>
        <v>13922</v>
      </c>
      <c r="F33" s="279">
        <f>SUM(F17:F32)</f>
        <v>13922</v>
      </c>
      <c r="G33" s="275"/>
      <c r="H33" s="275"/>
      <c r="I33" s="275"/>
      <c r="J33" s="280">
        <f>SUM(J17:J32)</f>
        <v>51025.1</v>
      </c>
      <c r="K33" s="272"/>
      <c r="L33" s="272">
        <f>SUM(L17:L32)</f>
        <v>51025.1</v>
      </c>
      <c r="M33" s="272"/>
      <c r="N33" s="272">
        <f>SUM(N17:N32)</f>
        <v>53022.25</v>
      </c>
      <c r="O33" s="272"/>
      <c r="P33" s="272">
        <f>SUM(P17:P32)</f>
        <v>1997.15</v>
      </c>
      <c r="Q33" s="269"/>
      <c r="R33" s="144">
        <f t="shared" si="7"/>
        <v>3.9140540635883125E-2</v>
      </c>
      <c r="S33" s="270">
        <f>SUM(S17:S31)</f>
        <v>51025.1</v>
      </c>
      <c r="T33" s="270">
        <f t="shared" ref="T33" si="21">V33+X33+Z33+AB33+AD33+AF33+AH33+AJ33+AL33+AN33+AP33+AR33</f>
        <v>51025.099999999991</v>
      </c>
      <c r="U33" s="170">
        <f>SUM(U17:U31)</f>
        <v>13922</v>
      </c>
      <c r="V33" s="270">
        <f>SUM(V17:V31)</f>
        <v>4239.1399999999994</v>
      </c>
      <c r="W33" s="167"/>
      <c r="X33" s="270">
        <f>SUM(X17:X31)</f>
        <v>3799.89</v>
      </c>
      <c r="Z33" s="270">
        <f>SUM(Z17:Z31)</f>
        <v>2776</v>
      </c>
      <c r="AB33" s="270">
        <f>SUM(AB17:AB31)</f>
        <v>3448</v>
      </c>
      <c r="AD33" s="270">
        <f>SUM(AD17:AD31)</f>
        <v>5176.28</v>
      </c>
      <c r="AF33" s="270">
        <f>SUM(AF17:AF31)</f>
        <v>5122.03</v>
      </c>
      <c r="AH33" s="270">
        <f>SUM(AH17:AH31)</f>
        <v>5778.1399999999994</v>
      </c>
      <c r="AJ33" s="270">
        <f>SUM(AJ17:AJ31)</f>
        <v>3942.89</v>
      </c>
      <c r="AL33" s="270">
        <f>SUM(AL17:AL31)</f>
        <v>3401.14</v>
      </c>
      <c r="AN33" s="270">
        <f>SUM(AN17:AN31)</f>
        <v>3724.2799999999997</v>
      </c>
      <c r="AP33" s="270">
        <f>SUM(AP17:AP31)</f>
        <v>4095.75</v>
      </c>
      <c r="AR33" s="270">
        <f>SUM(AR17:AR31)</f>
        <v>5521.5599999999995</v>
      </c>
    </row>
    <row r="34" spans="1:44">
      <c r="A34" s="158">
        <f t="shared" si="2"/>
        <v>23</v>
      </c>
      <c r="B34" s="265">
        <v>454</v>
      </c>
      <c r="C34" s="164" t="s">
        <v>407</v>
      </c>
      <c r="D34" s="279"/>
      <c r="E34" s="279"/>
      <c r="F34" s="279"/>
      <c r="G34" s="275"/>
      <c r="H34" s="275"/>
      <c r="I34" s="275"/>
      <c r="J34" s="268">
        <f>AB76*10+AM76*2</f>
        <v>741539.0033333333</v>
      </c>
      <c r="K34" s="268"/>
      <c r="L34" s="268">
        <f>AM75</f>
        <v>722996.62</v>
      </c>
      <c r="M34" s="268">
        <v>688206</v>
      </c>
      <c r="N34" s="268">
        <f>L34</f>
        <v>722996.62</v>
      </c>
      <c r="O34" s="268"/>
      <c r="P34" s="268">
        <f>N34-J34</f>
        <v>-18542.383333333302</v>
      </c>
      <c r="Q34" s="164"/>
      <c r="R34" s="144">
        <f t="shared" si="7"/>
        <v>-2.5646569873775209E-2</v>
      </c>
      <c r="X34" s="270"/>
      <c r="Z34" s="270"/>
      <c r="AB34" s="270"/>
      <c r="AD34" s="270"/>
      <c r="AF34" s="270"/>
      <c r="AH34" s="270"/>
      <c r="AJ34" s="270"/>
      <c r="AL34" s="270"/>
      <c r="AN34" s="270"/>
      <c r="AP34" s="270"/>
      <c r="AR34" s="270"/>
    </row>
    <row r="35" spans="1:44">
      <c r="A35" s="158">
        <f t="shared" si="2"/>
        <v>24</v>
      </c>
      <c r="B35" s="265"/>
      <c r="C35" s="164"/>
      <c r="D35" s="279"/>
      <c r="E35" s="279"/>
      <c r="F35" s="279"/>
      <c r="G35" s="275"/>
      <c r="H35" s="275"/>
      <c r="I35" s="275"/>
      <c r="J35" s="272">
        <f>J34</f>
        <v>741539.0033333333</v>
      </c>
      <c r="K35" s="272"/>
      <c r="L35" s="272">
        <f>L34</f>
        <v>722996.62</v>
      </c>
      <c r="M35" s="272">
        <f>M34</f>
        <v>688206</v>
      </c>
      <c r="N35" s="272">
        <f>N34</f>
        <v>722996.62</v>
      </c>
      <c r="O35" s="272">
        <f>O34</f>
        <v>0</v>
      </c>
      <c r="P35" s="272">
        <f>P34</f>
        <v>-18542.383333333302</v>
      </c>
      <c r="Q35" s="164"/>
      <c r="R35" s="144">
        <f t="shared" si="7"/>
        <v>-2.5646569873775209E-2</v>
      </c>
      <c r="T35" s="270">
        <f t="shared" ref="T35" si="22">V35+X35+Z35+AB35+AD35+AF35+AH35+AJ35+AL35+AN35+AP35+AR35</f>
        <v>741538.99999999988</v>
      </c>
      <c r="V35" s="156">
        <v>60249.72</v>
      </c>
      <c r="X35" s="156">
        <v>60249.72</v>
      </c>
      <c r="Z35" s="156">
        <v>62103.92</v>
      </c>
      <c r="AB35" s="156">
        <v>62103.96</v>
      </c>
      <c r="AD35" s="156">
        <v>62103.96</v>
      </c>
      <c r="AF35" s="156">
        <v>62103.96</v>
      </c>
      <c r="AH35" s="156">
        <v>62103.96</v>
      </c>
      <c r="AJ35" s="156">
        <v>62103.96</v>
      </c>
      <c r="AL35" s="156">
        <v>62103.96</v>
      </c>
      <c r="AN35" s="156">
        <v>62103.96</v>
      </c>
      <c r="AP35" s="156">
        <v>62103.96</v>
      </c>
      <c r="AR35" s="156">
        <v>62103.96</v>
      </c>
    </row>
    <row r="36" spans="1:44">
      <c r="A36" s="158">
        <f t="shared" si="2"/>
        <v>25</v>
      </c>
      <c r="B36" s="265"/>
      <c r="C36" s="164" t="s">
        <v>408</v>
      </c>
      <c r="D36" s="279"/>
      <c r="E36" s="279"/>
      <c r="F36" s="279"/>
      <c r="G36" s="281"/>
      <c r="H36" s="281"/>
      <c r="I36" s="281"/>
      <c r="J36" s="268"/>
      <c r="K36" s="268"/>
      <c r="L36" s="268"/>
      <c r="M36" s="268"/>
      <c r="N36" s="268"/>
      <c r="O36" s="268"/>
      <c r="P36" s="268"/>
      <c r="Q36" s="164"/>
      <c r="R36" s="282"/>
      <c r="W36" s="167"/>
    </row>
    <row r="37" spans="1:44">
      <c r="A37" s="158">
        <f t="shared" si="2"/>
        <v>26</v>
      </c>
      <c r="B37" s="265">
        <v>454.1</v>
      </c>
      <c r="C37" s="164" t="s">
        <v>409</v>
      </c>
      <c r="D37" s="279"/>
      <c r="E37" s="279"/>
      <c r="F37" s="279"/>
      <c r="G37" s="283"/>
      <c r="H37" s="283"/>
      <c r="I37" s="283"/>
      <c r="J37" s="271">
        <f>T38</f>
        <v>206960.4</v>
      </c>
      <c r="K37" s="271"/>
      <c r="L37" s="271">
        <f>J37</f>
        <v>206960.4</v>
      </c>
      <c r="M37" s="271"/>
      <c r="N37" s="271">
        <f>L37</f>
        <v>206960.4</v>
      </c>
      <c r="O37" s="271"/>
      <c r="P37" s="268">
        <f>N37-J37</f>
        <v>0</v>
      </c>
      <c r="Q37" s="164"/>
      <c r="R37" s="144">
        <f t="shared" ref="R37:R38" si="23">IF(L37=0,0,+P37/L37)</f>
        <v>0</v>
      </c>
      <c r="W37" s="167"/>
    </row>
    <row r="38" spans="1:44">
      <c r="A38" s="158">
        <f t="shared" si="2"/>
        <v>27</v>
      </c>
      <c r="B38" s="265"/>
      <c r="C38" s="164" t="s">
        <v>410</v>
      </c>
      <c r="D38" s="279"/>
      <c r="E38" s="279"/>
      <c r="F38" s="279"/>
      <c r="G38" s="283"/>
      <c r="H38" s="283"/>
      <c r="I38" s="283"/>
      <c r="J38" s="272">
        <f>SUM(J37)</f>
        <v>206960.4</v>
      </c>
      <c r="K38" s="272"/>
      <c r="L38" s="272">
        <f>SUM(L37)</f>
        <v>206960.4</v>
      </c>
      <c r="M38" s="272"/>
      <c r="N38" s="272">
        <f>SUM(N37)</f>
        <v>206960.4</v>
      </c>
      <c r="O38" s="272"/>
      <c r="P38" s="271">
        <f>SUM(P37)</f>
        <v>0</v>
      </c>
      <c r="Q38" s="164"/>
      <c r="R38" s="144">
        <f t="shared" si="23"/>
        <v>0</v>
      </c>
      <c r="T38" s="270">
        <f t="shared" ref="T38" si="24">V38+X38+Z38+AB38+AD38+AF38+AH38+AJ38+AL38+AN38+AP38+AR38</f>
        <v>206960.4</v>
      </c>
      <c r="V38" s="156">
        <v>17184.599999999999</v>
      </c>
      <c r="X38" s="156">
        <v>17184.599999999999</v>
      </c>
      <c r="Z38" s="156">
        <v>21283.200000000001</v>
      </c>
      <c r="AB38" s="156">
        <v>16812</v>
      </c>
      <c r="AD38" s="156">
        <v>16812</v>
      </c>
      <c r="AF38" s="156">
        <v>16812</v>
      </c>
      <c r="AH38" s="156">
        <v>16812</v>
      </c>
      <c r="AJ38" s="156">
        <v>16812</v>
      </c>
      <c r="AL38" s="156">
        <v>16812</v>
      </c>
      <c r="AN38" s="156">
        <v>16812</v>
      </c>
      <c r="AP38" s="156">
        <v>16812</v>
      </c>
      <c r="AR38" s="156">
        <v>16812</v>
      </c>
    </row>
    <row r="39" spans="1:44">
      <c r="A39" s="158">
        <f t="shared" si="2"/>
        <v>28</v>
      </c>
      <c r="B39" s="265"/>
      <c r="C39" s="164" t="s">
        <v>411</v>
      </c>
      <c r="D39" s="279"/>
      <c r="E39" s="279"/>
      <c r="F39" s="279"/>
      <c r="G39" s="281"/>
      <c r="H39" s="281"/>
      <c r="I39" s="281"/>
      <c r="J39" s="268"/>
      <c r="K39" s="268"/>
      <c r="L39" s="268"/>
      <c r="M39" s="268"/>
      <c r="N39" s="268"/>
      <c r="O39" s="268"/>
      <c r="P39" s="268"/>
      <c r="Q39" s="164"/>
      <c r="R39" s="282"/>
      <c r="W39" s="167"/>
    </row>
    <row r="40" spans="1:44">
      <c r="A40" s="158">
        <f t="shared" si="2"/>
        <v>29</v>
      </c>
      <c r="B40" s="265">
        <v>454.11</v>
      </c>
      <c r="C40" s="164" t="s">
        <v>412</v>
      </c>
      <c r="D40" s="284">
        <f>J40/G40</f>
        <v>5961</v>
      </c>
      <c r="E40" s="279">
        <v>5961</v>
      </c>
      <c r="F40" s="279">
        <f>E40</f>
        <v>5961</v>
      </c>
      <c r="G40" s="275">
        <v>6.1</v>
      </c>
      <c r="H40" s="275">
        <f>G40</f>
        <v>6.1</v>
      </c>
      <c r="I40" s="275">
        <v>6.5</v>
      </c>
      <c r="J40" s="268">
        <f>AE84*2+AE112*10</f>
        <v>36362.1</v>
      </c>
      <c r="K40" s="268"/>
      <c r="L40" s="268">
        <f>E40*H40</f>
        <v>36362.1</v>
      </c>
      <c r="M40" s="268"/>
      <c r="N40" s="268">
        <f>F40*I40</f>
        <v>38746.5</v>
      </c>
      <c r="O40" s="268"/>
      <c r="P40" s="268">
        <f t="shared" ref="P40:P55" si="25">N40-J40</f>
        <v>2384.4000000000015</v>
      </c>
      <c r="Q40" s="269"/>
      <c r="R40" s="144">
        <f t="shared" ref="R40:R65" si="26">IF(L40=0,0,+P40/L40)</f>
        <v>6.5573770491803324E-2</v>
      </c>
      <c r="W40" s="167"/>
    </row>
    <row r="41" spans="1:44">
      <c r="A41" s="158">
        <f t="shared" si="2"/>
        <v>30</v>
      </c>
      <c r="B41" s="265">
        <v>454.11</v>
      </c>
      <c r="C41" s="164" t="s">
        <v>413</v>
      </c>
      <c r="D41" s="284">
        <f>J41/G41</f>
        <v>7290.9999999999991</v>
      </c>
      <c r="E41" s="279">
        <v>7291</v>
      </c>
      <c r="F41" s="279">
        <f>E41</f>
        <v>7291</v>
      </c>
      <c r="G41" s="275">
        <v>4.76</v>
      </c>
      <c r="H41" s="275">
        <f>G41</f>
        <v>4.76</v>
      </c>
      <c r="I41" s="275">
        <v>5.0599999999999996</v>
      </c>
      <c r="J41" s="268">
        <f>AI84*2+AI112*10</f>
        <v>34705.159999999996</v>
      </c>
      <c r="K41" s="268"/>
      <c r="L41" s="268">
        <f>E41*H41</f>
        <v>34705.159999999996</v>
      </c>
      <c r="M41" s="268"/>
      <c r="N41" s="268">
        <f>F41*I41</f>
        <v>36892.46</v>
      </c>
      <c r="O41" s="268"/>
      <c r="P41" s="268">
        <f t="shared" si="25"/>
        <v>2187.3000000000029</v>
      </c>
      <c r="Q41" s="269"/>
      <c r="R41" s="144">
        <f t="shared" si="26"/>
        <v>6.3025210084033709E-2</v>
      </c>
      <c r="T41" s="285"/>
    </row>
    <row r="42" spans="1:44">
      <c r="A42" s="158">
        <f t="shared" si="2"/>
        <v>31</v>
      </c>
      <c r="B42" s="265">
        <v>454.11</v>
      </c>
      <c r="C42" s="164" t="s">
        <v>414</v>
      </c>
      <c r="D42" s="279">
        <v>0</v>
      </c>
      <c r="E42" s="279">
        <f>D42</f>
        <v>0</v>
      </c>
      <c r="F42" s="279">
        <f>E42</f>
        <v>0</v>
      </c>
      <c r="G42" s="275"/>
      <c r="H42" s="275"/>
      <c r="I42" s="275"/>
      <c r="J42" s="268">
        <f>D42*G42</f>
        <v>0</v>
      </c>
      <c r="K42" s="268"/>
      <c r="L42" s="268">
        <v>0</v>
      </c>
      <c r="M42" s="268"/>
      <c r="N42" s="268">
        <v>0</v>
      </c>
      <c r="O42" s="268"/>
      <c r="P42" s="268">
        <f t="shared" si="25"/>
        <v>0</v>
      </c>
      <c r="Q42" s="269"/>
      <c r="R42" s="144">
        <f t="shared" si="26"/>
        <v>0</v>
      </c>
      <c r="T42" s="285"/>
      <c r="W42" s="167"/>
    </row>
    <row r="43" spans="1:44">
      <c r="A43" s="158">
        <f t="shared" si="2"/>
        <v>32</v>
      </c>
      <c r="B43" s="265">
        <v>454.11</v>
      </c>
      <c r="C43" s="164" t="s">
        <v>415</v>
      </c>
      <c r="D43" s="279">
        <v>0</v>
      </c>
      <c r="E43" s="279">
        <f>D43</f>
        <v>0</v>
      </c>
      <c r="F43" s="279">
        <f>E43</f>
        <v>0</v>
      </c>
      <c r="G43" s="275"/>
      <c r="H43" s="275"/>
      <c r="I43" s="275"/>
      <c r="J43" s="268">
        <f>D43*G43</f>
        <v>0</v>
      </c>
      <c r="K43" s="271"/>
      <c r="L43" s="268">
        <v>0</v>
      </c>
      <c r="M43" s="271"/>
      <c r="N43" s="271">
        <v>0</v>
      </c>
      <c r="O43" s="271"/>
      <c r="P43" s="268">
        <f t="shared" si="25"/>
        <v>0</v>
      </c>
      <c r="Q43" s="269"/>
      <c r="R43" s="144">
        <f t="shared" si="26"/>
        <v>0</v>
      </c>
      <c r="T43" s="285"/>
      <c r="W43" s="167"/>
    </row>
    <row r="44" spans="1:44">
      <c r="A44" s="158">
        <f t="shared" si="2"/>
        <v>33</v>
      </c>
      <c r="B44" s="265"/>
      <c r="C44" s="164" t="s">
        <v>416</v>
      </c>
      <c r="D44" s="279"/>
      <c r="E44" s="279"/>
      <c r="F44" s="279"/>
      <c r="G44" s="275"/>
      <c r="H44" s="275"/>
      <c r="I44" s="275"/>
      <c r="J44" s="272">
        <f>SUM(J39:J43)</f>
        <v>71067.259999999995</v>
      </c>
      <c r="K44" s="272"/>
      <c r="L44" s="272">
        <f>SUM(L40:L43)</f>
        <v>71067.259999999995</v>
      </c>
      <c r="M44" s="272"/>
      <c r="N44" s="272">
        <f>SUM(N40:N43)</f>
        <v>75638.959999999992</v>
      </c>
      <c r="O44" s="272"/>
      <c r="P44" s="272">
        <f>SUM(P40:P43)</f>
        <v>4571.7000000000044</v>
      </c>
      <c r="Q44" s="269"/>
      <c r="R44" s="144">
        <f t="shared" si="26"/>
        <v>6.4329200253393823E-2</v>
      </c>
      <c r="T44" s="285" t="s">
        <v>601</v>
      </c>
    </row>
    <row r="45" spans="1:44">
      <c r="A45" s="158">
        <f t="shared" si="2"/>
        <v>34</v>
      </c>
      <c r="B45" s="265">
        <v>454.11</v>
      </c>
      <c r="C45" s="164" t="s">
        <v>417</v>
      </c>
      <c r="D45" s="279">
        <f t="shared" ref="D45:D55" si="27">J45/G45</f>
        <v>443.99999999999994</v>
      </c>
      <c r="E45" s="279">
        <f>D45</f>
        <v>443.99999999999994</v>
      </c>
      <c r="F45" s="279">
        <f>E45</f>
        <v>443.99999999999994</v>
      </c>
      <c r="G45" s="275">
        <f>AB136</f>
        <v>23.218624999999999</v>
      </c>
      <c r="H45" s="275">
        <v>23.27</v>
      </c>
      <c r="I45" s="275">
        <v>23.27</v>
      </c>
      <c r="J45" s="268">
        <f>AE88*2+AE116*10</f>
        <v>10309.069499999998</v>
      </c>
      <c r="K45" s="268"/>
      <c r="L45" s="268">
        <f t="shared" ref="L45:L55" si="28">E45*H45</f>
        <v>10331.879999999999</v>
      </c>
      <c r="M45" s="268"/>
      <c r="N45" s="268">
        <f t="shared" ref="N45:N55" si="29">F45*I45</f>
        <v>10331.879999999999</v>
      </c>
      <c r="O45" s="268"/>
      <c r="P45" s="268">
        <f t="shared" si="25"/>
        <v>22.810500000001412</v>
      </c>
      <c r="Q45" s="269"/>
      <c r="R45" s="144">
        <f t="shared" si="26"/>
        <v>2.2077782552644256E-3</v>
      </c>
      <c r="T45" s="285"/>
    </row>
    <row r="46" spans="1:44">
      <c r="A46" s="158">
        <f t="shared" si="2"/>
        <v>35</v>
      </c>
      <c r="B46" s="265">
        <v>454.11</v>
      </c>
      <c r="C46" s="164" t="s">
        <v>418</v>
      </c>
      <c r="D46" s="279">
        <f t="shared" si="27"/>
        <v>601.00066361959375</v>
      </c>
      <c r="E46" s="279">
        <f>D46</f>
        <v>601.00066361959375</v>
      </c>
      <c r="F46" s="279">
        <f>E46</f>
        <v>601.00066361959375</v>
      </c>
      <c r="G46" s="275">
        <f>AB145</f>
        <v>29.894905323608</v>
      </c>
      <c r="H46" s="275">
        <v>29.96</v>
      </c>
      <c r="I46" s="275">
        <v>29.96</v>
      </c>
      <c r="J46" s="268">
        <f>AI88*2+AI116*10</f>
        <v>17966.857938333334</v>
      </c>
      <c r="K46" s="268"/>
      <c r="L46" s="268">
        <f t="shared" si="28"/>
        <v>18005.97988204303</v>
      </c>
      <c r="M46" s="268"/>
      <c r="N46" s="268">
        <f t="shared" si="29"/>
        <v>18005.97988204303</v>
      </c>
      <c r="O46" s="268"/>
      <c r="P46" s="268">
        <f t="shared" si="25"/>
        <v>39.121943709695188</v>
      </c>
      <c r="Q46" s="269"/>
      <c r="R46" s="144">
        <f t="shared" si="26"/>
        <v>2.1727195057410146E-3</v>
      </c>
      <c r="T46" s="285">
        <v>5</v>
      </c>
      <c r="W46" s="167"/>
    </row>
    <row r="47" spans="1:44">
      <c r="A47" s="158">
        <f t="shared" si="2"/>
        <v>36</v>
      </c>
      <c r="B47" s="265"/>
      <c r="C47" s="164" t="s">
        <v>419</v>
      </c>
      <c r="D47" s="279"/>
      <c r="E47" s="279"/>
      <c r="F47" s="279"/>
      <c r="G47" s="275"/>
      <c r="H47" s="275"/>
      <c r="I47" s="275"/>
      <c r="J47" s="272">
        <f>SUM(J45:J46)</f>
        <v>28275.927438333332</v>
      </c>
      <c r="K47" s="272"/>
      <c r="L47" s="272">
        <f t="shared" ref="L47:P47" si="30">SUM(L45:L46)</f>
        <v>28337.859882043027</v>
      </c>
      <c r="M47" s="272">
        <f t="shared" si="30"/>
        <v>0</v>
      </c>
      <c r="N47" s="272">
        <f t="shared" si="30"/>
        <v>28337.859882043027</v>
      </c>
      <c r="O47" s="272"/>
      <c r="P47" s="272">
        <f t="shared" si="30"/>
        <v>61.932443709696599</v>
      </c>
      <c r="Q47" s="269"/>
      <c r="R47" s="144">
        <f t="shared" si="26"/>
        <v>2.1855017975066491E-3</v>
      </c>
      <c r="T47" s="285"/>
      <c r="W47" s="167"/>
    </row>
    <row r="48" spans="1:44">
      <c r="A48" s="158">
        <f t="shared" si="2"/>
        <v>37</v>
      </c>
      <c r="B48" s="265">
        <v>454.11</v>
      </c>
      <c r="C48" s="164" t="s">
        <v>420</v>
      </c>
      <c r="D48" s="279">
        <f t="shared" si="27"/>
        <v>17.001124681933842</v>
      </c>
      <c r="E48" s="279">
        <f>D48</f>
        <v>17.001124681933842</v>
      </c>
      <c r="F48" s="279">
        <f>E48</f>
        <v>17.001124681933842</v>
      </c>
      <c r="G48" s="275">
        <f>AB133</f>
        <v>29.475000000000005</v>
      </c>
      <c r="H48" s="275">
        <v>29.55</v>
      </c>
      <c r="I48" s="275">
        <v>29.55</v>
      </c>
      <c r="J48" s="268">
        <f>AA93*2+AA121*10</f>
        <v>501.10815000000002</v>
      </c>
      <c r="K48" s="268"/>
      <c r="L48" s="268">
        <f t="shared" si="28"/>
        <v>502.38323435114506</v>
      </c>
      <c r="M48" s="268"/>
      <c r="N48" s="268">
        <f t="shared" si="29"/>
        <v>502.38323435114506</v>
      </c>
      <c r="O48" s="268"/>
      <c r="P48" s="268">
        <f t="shared" si="25"/>
        <v>1.2750843511450398</v>
      </c>
      <c r="Q48" s="269"/>
      <c r="R48" s="144">
        <f t="shared" si="26"/>
        <v>2.538071065989851E-3</v>
      </c>
      <c r="T48" s="285"/>
      <c r="W48" s="167"/>
    </row>
    <row r="49" spans="1:44">
      <c r="A49" s="158">
        <f t="shared" si="2"/>
        <v>38</v>
      </c>
      <c r="B49" s="265">
        <v>454.11</v>
      </c>
      <c r="C49" s="164" t="s">
        <v>421</v>
      </c>
      <c r="D49" s="279">
        <f t="shared" si="27"/>
        <v>245.99999999999997</v>
      </c>
      <c r="E49" s="279">
        <f>D49</f>
        <v>245.99999999999997</v>
      </c>
      <c r="F49" s="279">
        <f>E49</f>
        <v>245.99999999999997</v>
      </c>
      <c r="G49" s="275">
        <f>AB139</f>
        <v>16.413333333333334</v>
      </c>
      <c r="H49" s="275">
        <v>16.48</v>
      </c>
      <c r="I49" s="275">
        <v>16.48</v>
      </c>
      <c r="J49" s="268">
        <f>AE92*2+AE120*10</f>
        <v>4037.68</v>
      </c>
      <c r="K49" s="268"/>
      <c r="L49" s="268">
        <f t="shared" si="28"/>
        <v>4054.0799999999995</v>
      </c>
      <c r="M49" s="268"/>
      <c r="N49" s="268">
        <f t="shared" si="29"/>
        <v>4054.0799999999995</v>
      </c>
      <c r="O49" s="268"/>
      <c r="P49" s="268">
        <f t="shared" si="25"/>
        <v>16.399999999999636</v>
      </c>
      <c r="Q49" s="269"/>
      <c r="R49" s="144">
        <f t="shared" si="26"/>
        <v>4.045307443365607E-3</v>
      </c>
      <c r="T49" s="286"/>
      <c r="W49" s="167"/>
    </row>
    <row r="50" spans="1:44">
      <c r="A50" s="158">
        <f t="shared" si="2"/>
        <v>39</v>
      </c>
      <c r="B50" s="265">
        <v>454.11</v>
      </c>
      <c r="C50" s="164" t="s">
        <v>421</v>
      </c>
      <c r="D50" s="279">
        <f t="shared" si="27"/>
        <v>80.334110764848134</v>
      </c>
      <c r="E50" s="279">
        <v>82</v>
      </c>
      <c r="F50" s="279">
        <f t="shared" ref="F50:F55" si="31">E50</f>
        <v>82</v>
      </c>
      <c r="G50" s="275">
        <f>AB142</f>
        <v>19.346997104204004</v>
      </c>
      <c r="H50" s="275">
        <v>19.39</v>
      </c>
      <c r="I50" s="275">
        <v>19.39</v>
      </c>
      <c r="J50" s="268">
        <f>AE93*2+AE121*10</f>
        <v>1554.2238083363204</v>
      </c>
      <c r="K50" s="268"/>
      <c r="L50" s="268">
        <f t="shared" si="28"/>
        <v>1589.98</v>
      </c>
      <c r="M50" s="268"/>
      <c r="N50" s="268">
        <f t="shared" si="29"/>
        <v>1589.98</v>
      </c>
      <c r="O50" s="268"/>
      <c r="P50" s="268">
        <f t="shared" si="25"/>
        <v>35.756191663679601</v>
      </c>
      <c r="Q50" s="269"/>
      <c r="R50" s="144">
        <f t="shared" si="26"/>
        <v>2.2488453731291966E-2</v>
      </c>
      <c r="T50" s="286"/>
      <c r="W50" s="167"/>
    </row>
    <row r="51" spans="1:44">
      <c r="A51" s="158">
        <f t="shared" si="2"/>
        <v>40</v>
      </c>
      <c r="B51" s="265">
        <v>454.11</v>
      </c>
      <c r="C51" s="164" t="s">
        <v>421</v>
      </c>
      <c r="D51" s="279">
        <f t="shared" si="27"/>
        <v>19.999999999999996</v>
      </c>
      <c r="E51" s="279">
        <f>D51</f>
        <v>19.999999999999996</v>
      </c>
      <c r="F51" s="279">
        <f t="shared" si="31"/>
        <v>19.999999999999996</v>
      </c>
      <c r="G51" s="275">
        <f>AB145</f>
        <v>29.894905323608</v>
      </c>
      <c r="H51" s="275">
        <v>29.96</v>
      </c>
      <c r="I51" s="275">
        <v>29.96</v>
      </c>
      <c r="J51" s="268">
        <f>AE95*2+AE123*10</f>
        <v>597.89810647215995</v>
      </c>
      <c r="K51" s="268"/>
      <c r="L51" s="268">
        <f t="shared" si="28"/>
        <v>599.19999999999993</v>
      </c>
      <c r="M51" s="268"/>
      <c r="N51" s="268">
        <f t="shared" si="29"/>
        <v>599.19999999999993</v>
      </c>
      <c r="O51" s="268"/>
      <c r="P51" s="268">
        <f t="shared" si="25"/>
        <v>1.3018935278399795</v>
      </c>
      <c r="Q51" s="269"/>
      <c r="R51" s="144">
        <f t="shared" si="26"/>
        <v>2.1727195057409539E-3</v>
      </c>
      <c r="T51" s="286"/>
      <c r="W51" s="167"/>
    </row>
    <row r="52" spans="1:44">
      <c r="A52" s="158">
        <f t="shared" si="2"/>
        <v>41</v>
      </c>
      <c r="B52" s="265">
        <v>454.11</v>
      </c>
      <c r="C52" s="164" t="s">
        <v>422</v>
      </c>
      <c r="D52" s="279">
        <f t="shared" si="27"/>
        <v>635.67908709827668</v>
      </c>
      <c r="E52" s="279">
        <f>D52</f>
        <v>635.67908709827668</v>
      </c>
      <c r="F52" s="279">
        <f t="shared" si="31"/>
        <v>635.67908709827668</v>
      </c>
      <c r="G52" s="275">
        <f>AJ136</f>
        <v>14.313333333333333</v>
      </c>
      <c r="H52" s="275">
        <v>14.58</v>
      </c>
      <c r="I52" s="275">
        <v>14.58</v>
      </c>
      <c r="J52" s="268">
        <f>AI92*2+AI99*2+AI102*2+AI120*10+AI127*10</f>
        <v>9098.6866666666665</v>
      </c>
      <c r="K52" s="268"/>
      <c r="L52" s="268">
        <f t="shared" si="28"/>
        <v>9268.2010898928747</v>
      </c>
      <c r="M52" s="268"/>
      <c r="N52" s="268">
        <f t="shared" si="29"/>
        <v>9268.2010898928747</v>
      </c>
      <c r="O52" s="268"/>
      <c r="P52" s="268">
        <f t="shared" si="25"/>
        <v>169.51442322620824</v>
      </c>
      <c r="Q52" s="269"/>
      <c r="R52" s="144">
        <f t="shared" si="26"/>
        <v>1.8289894833104829E-2</v>
      </c>
      <c r="T52" s="286"/>
      <c r="W52" s="167"/>
    </row>
    <row r="53" spans="1:44">
      <c r="A53" s="158">
        <f t="shared" si="2"/>
        <v>42</v>
      </c>
      <c r="B53" s="265"/>
      <c r="C53" s="164" t="s">
        <v>422</v>
      </c>
      <c r="D53" s="279">
        <f t="shared" si="27"/>
        <v>99.002332238217534</v>
      </c>
      <c r="E53" s="279">
        <f>104</f>
        <v>104</v>
      </c>
      <c r="F53" s="279">
        <f t="shared" si="31"/>
        <v>104</v>
      </c>
      <c r="G53" s="275">
        <f>AJ142</f>
        <v>10.844877163015999</v>
      </c>
      <c r="H53" s="275">
        <v>10.87</v>
      </c>
      <c r="I53" s="275">
        <v>10.87</v>
      </c>
      <c r="J53" s="268">
        <f>AI93*2+AI121*10</f>
        <v>1073.668131975568</v>
      </c>
      <c r="K53" s="268"/>
      <c r="L53" s="268">
        <f t="shared" si="28"/>
        <v>1130.48</v>
      </c>
      <c r="M53" s="268"/>
      <c r="N53" s="268">
        <f t="shared" si="29"/>
        <v>1130.48</v>
      </c>
      <c r="O53" s="268"/>
      <c r="P53" s="268">
        <f t="shared" si="25"/>
        <v>56.811868024431988</v>
      </c>
      <c r="Q53" s="269"/>
      <c r="R53" s="144">
        <f t="shared" si="26"/>
        <v>5.0254642297459476E-2</v>
      </c>
      <c r="T53" s="286"/>
      <c r="W53" s="167"/>
    </row>
    <row r="54" spans="1:44">
      <c r="A54" s="158">
        <f t="shared" si="2"/>
        <v>43</v>
      </c>
      <c r="B54" s="265"/>
      <c r="C54" s="164" t="s">
        <v>422</v>
      </c>
      <c r="D54" s="279">
        <f t="shared" si="27"/>
        <v>53.999940373679713</v>
      </c>
      <c r="E54" s="279">
        <f>D54</f>
        <v>53.999940373679713</v>
      </c>
      <c r="F54" s="279">
        <f t="shared" si="31"/>
        <v>53.999940373679713</v>
      </c>
      <c r="G54" s="275">
        <f>AJ133</f>
        <v>29.894938333333332</v>
      </c>
      <c r="H54" s="275">
        <v>29.96</v>
      </c>
      <c r="I54" s="275">
        <v>29.96</v>
      </c>
      <c r="J54" s="268">
        <f>AI95*2+AI123*10</f>
        <v>1614.3248874748319</v>
      </c>
      <c r="K54" s="268"/>
      <c r="L54" s="268">
        <f t="shared" si="28"/>
        <v>1617.8382135954444</v>
      </c>
      <c r="M54" s="268"/>
      <c r="N54" s="268">
        <f t="shared" si="29"/>
        <v>1617.8382135954444</v>
      </c>
      <c r="O54" s="268"/>
      <c r="P54" s="268">
        <f t="shared" si="25"/>
        <v>3.5133261206124189</v>
      </c>
      <c r="Q54" s="269"/>
      <c r="R54" s="144">
        <f t="shared" si="26"/>
        <v>2.1716177125056827E-3</v>
      </c>
      <c r="T54" s="286"/>
      <c r="W54" s="167"/>
    </row>
    <row r="55" spans="1:44">
      <c r="A55" s="158">
        <f t="shared" si="2"/>
        <v>44</v>
      </c>
      <c r="B55" s="265"/>
      <c r="C55" s="164" t="s">
        <v>422</v>
      </c>
      <c r="D55" s="279">
        <f t="shared" si="27"/>
        <v>1884.4677931505823</v>
      </c>
      <c r="E55" s="279">
        <v>1924</v>
      </c>
      <c r="F55" s="279">
        <f t="shared" si="31"/>
        <v>1924</v>
      </c>
      <c r="G55" s="275">
        <f>AJ139</f>
        <v>40.888585000000006</v>
      </c>
      <c r="H55" s="275">
        <v>43.28</v>
      </c>
      <c r="I55" s="275">
        <v>43.28</v>
      </c>
      <c r="J55" s="268">
        <f>AI100*2+AI128*10</f>
        <v>77053.221540000013</v>
      </c>
      <c r="K55" s="268"/>
      <c r="L55" s="268">
        <f t="shared" si="28"/>
        <v>83270.720000000001</v>
      </c>
      <c r="M55" s="268"/>
      <c r="N55" s="268">
        <f t="shared" si="29"/>
        <v>83270.720000000001</v>
      </c>
      <c r="O55" s="268"/>
      <c r="P55" s="268">
        <f t="shared" si="25"/>
        <v>6217.498459999988</v>
      </c>
      <c r="Q55" s="269"/>
      <c r="R55" s="144">
        <f t="shared" si="26"/>
        <v>7.4666082627843106E-2</v>
      </c>
      <c r="T55" s="286"/>
      <c r="W55" s="167"/>
    </row>
    <row r="56" spans="1:44">
      <c r="A56" s="158">
        <f t="shared" si="2"/>
        <v>45</v>
      </c>
      <c r="B56" s="265"/>
      <c r="C56" s="164" t="s">
        <v>423</v>
      </c>
      <c r="D56" s="279"/>
      <c r="E56" s="279"/>
      <c r="F56" s="279"/>
      <c r="G56" s="275"/>
      <c r="H56" s="275"/>
      <c r="I56" s="275"/>
      <c r="J56" s="272">
        <f>SUM(J48:J55)</f>
        <v>95530.811290925558</v>
      </c>
      <c r="K56" s="272"/>
      <c r="L56" s="272">
        <f>SUM(L48:L55)</f>
        <v>102032.88253783947</v>
      </c>
      <c r="M56" s="272">
        <f t="shared" ref="M56" si="32">SUM(M48:M54)</f>
        <v>0</v>
      </c>
      <c r="N56" s="272">
        <f>SUM(N48:N55)</f>
        <v>102032.88253783947</v>
      </c>
      <c r="O56" s="272"/>
      <c r="P56" s="272">
        <f>SUM(P48:P55)</f>
        <v>6502.0712469139053</v>
      </c>
      <c r="Q56" s="269"/>
      <c r="R56" s="144">
        <f t="shared" si="26"/>
        <v>6.3725252930128443E-2</v>
      </c>
      <c r="T56" s="270">
        <f t="shared" ref="T56" si="33">V56+X56+Z56+AB56+AD56+AF56+AH56+AJ56+AL56+AN56+AP56+AR56</f>
        <v>194873.99000000002</v>
      </c>
      <c r="V56" s="156">
        <v>16790.82</v>
      </c>
      <c r="W56" s="167"/>
      <c r="X56" s="156">
        <v>16790.82</v>
      </c>
      <c r="Z56" s="156">
        <v>16129.28</v>
      </c>
      <c r="AB56" s="156">
        <v>16129.23</v>
      </c>
      <c r="AD56" s="156">
        <v>16129.23</v>
      </c>
      <c r="AF56" s="156">
        <v>16129.23</v>
      </c>
      <c r="AH56" s="156">
        <v>16129.23</v>
      </c>
      <c r="AJ56" s="156">
        <v>16129.23</v>
      </c>
      <c r="AL56" s="156">
        <v>16129.23</v>
      </c>
      <c r="AN56" s="156">
        <v>16129.23</v>
      </c>
      <c r="AP56" s="156">
        <v>16129.23</v>
      </c>
      <c r="AR56" s="156">
        <v>16129.23</v>
      </c>
    </row>
    <row r="57" spans="1:44">
      <c r="A57" s="158">
        <f t="shared" si="2"/>
        <v>46</v>
      </c>
      <c r="B57" s="265"/>
      <c r="C57" s="164" t="s">
        <v>424</v>
      </c>
      <c r="D57" s="279"/>
      <c r="E57" s="279"/>
      <c r="F57" s="279"/>
      <c r="G57" s="275"/>
      <c r="H57" s="275"/>
      <c r="I57" s="275"/>
      <c r="J57" s="272">
        <f>J44+J47+J56</f>
        <v>194873.99872925889</v>
      </c>
      <c r="K57" s="272"/>
      <c r="L57" s="272">
        <f t="shared" ref="L57:P57" si="34">L44+L47+L56</f>
        <v>201438.00241988248</v>
      </c>
      <c r="M57" s="272">
        <f t="shared" si="34"/>
        <v>0</v>
      </c>
      <c r="N57" s="272">
        <f t="shared" si="34"/>
        <v>206009.70241988249</v>
      </c>
      <c r="O57" s="272"/>
      <c r="P57" s="272">
        <f t="shared" si="34"/>
        <v>11135.703690623606</v>
      </c>
      <c r="Q57" s="269"/>
      <c r="R57" s="144">
        <f t="shared" si="26"/>
        <v>5.5281047055917798E-2</v>
      </c>
      <c r="T57" s="286"/>
      <c r="W57" s="167"/>
    </row>
    <row r="58" spans="1:44">
      <c r="A58" s="158">
        <f t="shared" si="2"/>
        <v>47</v>
      </c>
      <c r="B58" s="265"/>
      <c r="C58" s="164"/>
      <c r="D58" s="279"/>
      <c r="E58" s="279"/>
      <c r="F58" s="279"/>
      <c r="G58" s="275"/>
      <c r="H58" s="275"/>
      <c r="I58" s="275"/>
      <c r="J58" s="268"/>
      <c r="K58" s="268"/>
      <c r="L58" s="268"/>
      <c r="M58" s="268"/>
      <c r="O58" s="268"/>
      <c r="P58" s="268"/>
      <c r="Q58" s="269"/>
      <c r="R58" s="144"/>
      <c r="T58" s="286"/>
      <c r="W58" s="167"/>
    </row>
    <row r="59" spans="1:44">
      <c r="A59" s="158">
        <f t="shared" si="2"/>
        <v>48</v>
      </c>
      <c r="B59" s="265"/>
      <c r="C59" s="164" t="s">
        <v>425</v>
      </c>
      <c r="D59" s="279"/>
      <c r="E59" s="279"/>
      <c r="F59" s="279"/>
      <c r="G59" s="275"/>
      <c r="H59" s="275"/>
      <c r="I59" s="275"/>
      <c r="J59" s="268"/>
      <c r="K59" s="268"/>
      <c r="L59" s="268"/>
      <c r="M59" s="268"/>
      <c r="O59" s="268"/>
      <c r="P59" s="268"/>
      <c r="Q59" s="269"/>
      <c r="R59" s="144"/>
      <c r="T59" s="286"/>
      <c r="W59" s="167"/>
    </row>
    <row r="60" spans="1:44">
      <c r="A60" s="158">
        <f t="shared" si="2"/>
        <v>49</v>
      </c>
      <c r="B60" s="265">
        <v>454.12</v>
      </c>
      <c r="C60" s="164" t="s">
        <v>426</v>
      </c>
      <c r="D60" s="279"/>
      <c r="E60" s="279"/>
      <c r="F60" s="279"/>
      <c r="G60" s="275"/>
      <c r="H60" s="275"/>
      <c r="I60" s="275"/>
      <c r="J60" s="271">
        <v>0</v>
      </c>
      <c r="K60" s="271"/>
      <c r="L60" s="271">
        <v>0</v>
      </c>
      <c r="M60" s="271"/>
      <c r="N60" s="271">
        <v>0</v>
      </c>
      <c r="O60" s="271"/>
      <c r="P60" s="268">
        <f t="shared" ref="P60" si="35">N60-J60</f>
        <v>0</v>
      </c>
      <c r="Q60" s="164"/>
      <c r="R60" s="144">
        <f t="shared" si="26"/>
        <v>0</v>
      </c>
    </row>
    <row r="61" spans="1:44">
      <c r="A61" s="158">
        <f t="shared" si="2"/>
        <v>50</v>
      </c>
      <c r="B61" s="265"/>
      <c r="C61" s="164" t="s">
        <v>427</v>
      </c>
      <c r="D61" s="158"/>
      <c r="E61" s="158"/>
      <c r="F61" s="158"/>
      <c r="G61" s="281"/>
      <c r="H61" s="281"/>
      <c r="I61" s="281"/>
      <c r="J61" s="272">
        <f>SUM(J60:J60)</f>
        <v>0</v>
      </c>
      <c r="K61" s="272"/>
      <c r="L61" s="272">
        <f>SUM(L60:L60)</f>
        <v>0</v>
      </c>
      <c r="M61" s="272"/>
      <c r="N61" s="272">
        <f>SUM(N60:N60)</f>
        <v>0</v>
      </c>
      <c r="O61" s="272"/>
      <c r="P61" s="272">
        <f>SUM(P60:P60)</f>
        <v>0</v>
      </c>
      <c r="Q61" s="164"/>
      <c r="R61" s="144">
        <f t="shared" si="26"/>
        <v>0</v>
      </c>
      <c r="W61" s="167"/>
    </row>
    <row r="62" spans="1:44">
      <c r="A62" s="158">
        <f t="shared" si="2"/>
        <v>51</v>
      </c>
      <c r="B62" s="265"/>
      <c r="C62" s="164"/>
      <c r="D62" s="158"/>
      <c r="E62" s="158"/>
      <c r="F62" s="158"/>
      <c r="G62" s="281"/>
      <c r="H62" s="281"/>
      <c r="I62" s="281"/>
      <c r="J62" s="268"/>
      <c r="K62" s="268"/>
      <c r="L62" s="268"/>
      <c r="M62" s="268"/>
      <c r="N62" s="268"/>
      <c r="O62" s="268"/>
      <c r="P62" s="268"/>
      <c r="Q62" s="269"/>
      <c r="R62" s="144"/>
      <c r="W62" s="167"/>
    </row>
    <row r="63" spans="1:44">
      <c r="A63" s="158">
        <f t="shared" si="2"/>
        <v>52</v>
      </c>
      <c r="B63" s="265">
        <v>454.2</v>
      </c>
      <c r="C63" s="164" t="s">
        <v>428</v>
      </c>
      <c r="D63" s="158"/>
      <c r="E63" s="158"/>
      <c r="F63" s="158"/>
      <c r="G63" s="281"/>
      <c r="H63" s="281"/>
      <c r="I63" s="281"/>
      <c r="J63" s="268">
        <v>0</v>
      </c>
      <c r="K63" s="268"/>
      <c r="L63" s="268">
        <v>0</v>
      </c>
      <c r="M63" s="268"/>
      <c r="N63" s="268">
        <v>0</v>
      </c>
      <c r="O63" s="268"/>
      <c r="P63" s="268">
        <f t="shared" ref="P63:P65" si="36">N63-J63</f>
        <v>0</v>
      </c>
      <c r="Q63" s="269"/>
      <c r="R63" s="144">
        <f t="shared" si="26"/>
        <v>0</v>
      </c>
      <c r="W63" s="167"/>
    </row>
    <row r="64" spans="1:44">
      <c r="A64" s="158">
        <f t="shared" si="2"/>
        <v>53</v>
      </c>
      <c r="B64" s="265">
        <v>454.3</v>
      </c>
      <c r="C64" s="164" t="s">
        <v>429</v>
      </c>
      <c r="D64" s="158"/>
      <c r="E64" s="158"/>
      <c r="F64" s="158"/>
      <c r="G64" s="281"/>
      <c r="H64" s="281"/>
      <c r="I64" s="281"/>
      <c r="J64" s="268">
        <v>0</v>
      </c>
      <c r="K64" s="268"/>
      <c r="L64" s="268">
        <v>0</v>
      </c>
      <c r="M64" s="268">
        <v>0</v>
      </c>
      <c r="N64" s="268">
        <v>0</v>
      </c>
      <c r="O64" s="268"/>
      <c r="P64" s="268">
        <f t="shared" si="36"/>
        <v>0</v>
      </c>
      <c r="Q64" s="269"/>
      <c r="R64" s="144">
        <f t="shared" si="26"/>
        <v>0</v>
      </c>
    </row>
    <row r="65" spans="1:44">
      <c r="A65" s="158">
        <f t="shared" si="2"/>
        <v>54</v>
      </c>
      <c r="B65" s="265">
        <v>456</v>
      </c>
      <c r="C65" s="164" t="s">
        <v>430</v>
      </c>
      <c r="D65" s="158"/>
      <c r="E65" s="158"/>
      <c r="F65" s="158"/>
      <c r="G65" s="283"/>
      <c r="H65" s="283"/>
      <c r="I65" s="283"/>
      <c r="J65" s="268">
        <f>T65</f>
        <v>600.52</v>
      </c>
      <c r="K65" s="268"/>
      <c r="L65" s="268">
        <f>J65</f>
        <v>600.52</v>
      </c>
      <c r="M65" s="268"/>
      <c r="N65" s="268">
        <f>L65</f>
        <v>600.52</v>
      </c>
      <c r="O65" s="268"/>
      <c r="P65" s="268">
        <f t="shared" si="36"/>
        <v>0</v>
      </c>
      <c r="Q65" s="269"/>
      <c r="R65" s="144">
        <f t="shared" si="26"/>
        <v>0</v>
      </c>
      <c r="T65" s="270">
        <f t="shared" ref="T65:T67" si="37">V65+X65+Z65+AB65+AD65+AF65+AH65+AJ65+AL65+AN65+AP65+AR65</f>
        <v>600.52</v>
      </c>
      <c r="V65" s="156">
        <v>50.52</v>
      </c>
      <c r="X65" s="156">
        <v>50</v>
      </c>
      <c r="Z65" s="156">
        <v>50</v>
      </c>
      <c r="AB65" s="156">
        <v>50</v>
      </c>
      <c r="AD65" s="156">
        <v>50</v>
      </c>
      <c r="AF65" s="156">
        <v>50</v>
      </c>
      <c r="AH65" s="156">
        <v>50</v>
      </c>
      <c r="AJ65" s="156">
        <v>50</v>
      </c>
      <c r="AL65" s="156">
        <v>50</v>
      </c>
      <c r="AN65" s="156">
        <v>50</v>
      </c>
      <c r="AP65" s="156">
        <v>50</v>
      </c>
      <c r="AR65" s="156">
        <v>50</v>
      </c>
    </row>
    <row r="66" spans="1:44">
      <c r="A66" s="158">
        <f t="shared" si="2"/>
        <v>55</v>
      </c>
      <c r="B66" s="287"/>
      <c r="C66" s="164"/>
      <c r="D66" s="158"/>
      <c r="E66" s="158"/>
      <c r="F66" s="158"/>
      <c r="G66" s="283"/>
      <c r="H66" s="283"/>
      <c r="I66" s="283"/>
      <c r="J66" s="268"/>
      <c r="K66" s="148"/>
      <c r="L66" s="148"/>
      <c r="M66" s="148"/>
      <c r="N66" s="268"/>
      <c r="O66" s="268"/>
      <c r="P66" s="268"/>
      <c r="Q66" s="269"/>
      <c r="R66" s="146"/>
    </row>
    <row r="67" spans="1:44">
      <c r="A67" s="158">
        <f t="shared" si="2"/>
        <v>56</v>
      </c>
      <c r="B67" s="265"/>
      <c r="C67" s="164"/>
      <c r="D67" s="158"/>
      <c r="E67" s="158"/>
      <c r="F67" s="158"/>
      <c r="G67" s="164"/>
      <c r="H67" s="164"/>
      <c r="I67" s="164"/>
      <c r="J67" s="268"/>
      <c r="K67" s="268"/>
      <c r="L67" s="268"/>
      <c r="M67" s="268"/>
      <c r="N67" s="268"/>
      <c r="O67" s="268"/>
      <c r="P67" s="268"/>
      <c r="Q67" s="164"/>
      <c r="R67" s="282"/>
      <c r="T67" s="270">
        <f t="shared" si="37"/>
        <v>1881578.93</v>
      </c>
      <c r="V67" s="270">
        <f>V12+V33+V35+V38+V56+V65</f>
        <v>110481.47000000002</v>
      </c>
      <c r="X67" s="270">
        <f>X12+X33+X35+X38+X56+X65</f>
        <v>155920.88</v>
      </c>
      <c r="Z67" s="270">
        <f>Z12+Z33+Z35+Z38+Z56+Z65</f>
        <v>170061.47</v>
      </c>
      <c r="AB67" s="270">
        <f>AB12+AB33+AB35+AB38+AB56+AB65</f>
        <v>148960.44</v>
      </c>
      <c r="AD67" s="270">
        <f>AD12+AD33+AD35+AD38+AD56+AD65</f>
        <v>168286.42</v>
      </c>
      <c r="AF67" s="270">
        <f>AF12+AF33+AF35+AF38+AF56+AF65</f>
        <v>175876.25</v>
      </c>
      <c r="AH67" s="270">
        <f>AH12+AH33+AH35+AH38+AH56+AH65</f>
        <v>177649.78</v>
      </c>
      <c r="AJ67" s="270">
        <f>AJ12+AJ33+AJ35+AJ38+AJ56+AJ65</f>
        <v>166010.63</v>
      </c>
      <c r="AL67" s="270">
        <f>AL12+AL33+AL35+AL38+AL56+AL65</f>
        <v>153970.33000000002</v>
      </c>
      <c r="AN67" s="270">
        <f>AN12+AN33+AN35+AN38+AN56+AN65</f>
        <v>142851.19</v>
      </c>
      <c r="AP67" s="270">
        <f>AP12+AP33+AP35+AP38+AP56+AP65</f>
        <v>147073.51</v>
      </c>
      <c r="AR67" s="270">
        <f>AR12+AR33+AR35+AR38+AR56+AR65</f>
        <v>164436.56</v>
      </c>
    </row>
    <row r="68" spans="1:44">
      <c r="A68" s="158">
        <f t="shared" si="2"/>
        <v>57</v>
      </c>
      <c r="B68" s="164"/>
      <c r="C68" s="164" t="s">
        <v>14</v>
      </c>
      <c r="D68" s="158"/>
      <c r="E68" s="158"/>
      <c r="F68" s="158"/>
      <c r="G68" s="288"/>
      <c r="H68" s="288"/>
      <c r="I68" s="288"/>
      <c r="J68" s="268">
        <f>J15+J33+J35+J38+J57+J61+J63+J64+J65</f>
        <v>1881578.9420625921</v>
      </c>
      <c r="K68" s="268"/>
      <c r="L68" s="268">
        <f>L15+L33+L35+L38+L57+L61+L63+L64+L65</f>
        <v>1869600.5624198823</v>
      </c>
      <c r="M68" s="268"/>
      <c r="N68" s="268">
        <f>N15+N33+N35+N38+N57+N61+N63+N64+N65</f>
        <v>1876169.4124198824</v>
      </c>
      <c r="O68" s="268"/>
      <c r="P68" s="268">
        <f>P15+P33+P35+P38+P57+P61+P63+P64+P65</f>
        <v>-5409.5296427096946</v>
      </c>
      <c r="Q68" s="164"/>
      <c r="R68" s="144">
        <f>+P68/L68</f>
        <v>-2.8934146423811361E-3</v>
      </c>
      <c r="V68" s="156" t="s">
        <v>602</v>
      </c>
      <c r="AF68" s="164"/>
      <c r="AG68" s="263" t="s">
        <v>603</v>
      </c>
      <c r="AH68" s="164"/>
      <c r="AI68" s="164"/>
      <c r="AJ68" s="164"/>
      <c r="AK68" s="164"/>
      <c r="AL68" s="164"/>
      <c r="AM68" s="164"/>
      <c r="AN68" s="164"/>
      <c r="AO68" s="164"/>
    </row>
    <row r="69" spans="1:44">
      <c r="A69" s="158">
        <f t="shared" si="2"/>
        <v>58</v>
      </c>
      <c r="I69" s="277"/>
      <c r="J69" s="167"/>
      <c r="L69" s="167"/>
      <c r="N69" s="167"/>
      <c r="P69" s="167"/>
      <c r="U69" s="156" t="s">
        <v>604</v>
      </c>
      <c r="Y69" s="156" t="s">
        <v>605</v>
      </c>
      <c r="AF69" s="164" t="s">
        <v>604</v>
      </c>
      <c r="AG69" s="164"/>
      <c r="AH69" s="164"/>
      <c r="AI69" s="164"/>
      <c r="AJ69" s="164" t="s">
        <v>605</v>
      </c>
      <c r="AK69" s="164"/>
      <c r="AL69" s="164"/>
      <c r="AM69" s="164"/>
      <c r="AN69" s="164"/>
      <c r="AO69" s="164"/>
    </row>
    <row r="70" spans="1:44">
      <c r="A70" s="158">
        <f t="shared" si="2"/>
        <v>59</v>
      </c>
      <c r="J70" s="167"/>
      <c r="N70" s="167"/>
      <c r="P70" s="167"/>
      <c r="U70" s="156" t="s">
        <v>606</v>
      </c>
      <c r="Y70" s="156" t="s">
        <v>607</v>
      </c>
      <c r="AB70" s="156" t="s">
        <v>608</v>
      </c>
      <c r="AF70" s="164" t="s">
        <v>606</v>
      </c>
      <c r="AG70" s="268"/>
      <c r="AH70" s="164"/>
      <c r="AI70" s="164"/>
      <c r="AJ70" s="164" t="s">
        <v>607</v>
      </c>
      <c r="AK70" s="164"/>
      <c r="AL70" s="164"/>
      <c r="AM70" s="164" t="s">
        <v>608</v>
      </c>
      <c r="AN70" s="164"/>
      <c r="AO70" s="164"/>
    </row>
    <row r="71" spans="1:44">
      <c r="N71" s="167"/>
      <c r="U71" s="156">
        <v>359</v>
      </c>
      <c r="V71" s="156">
        <v>29.31</v>
      </c>
      <c r="W71" s="156">
        <v>10522.289999999999</v>
      </c>
      <c r="Y71" s="156">
        <v>10507</v>
      </c>
      <c r="Z71" s="156">
        <v>23.21</v>
      </c>
      <c r="AA71" s="156">
        <v>243867.47</v>
      </c>
      <c r="AB71" s="156">
        <v>233345.18</v>
      </c>
      <c r="AC71" s="156" t="s">
        <v>609</v>
      </c>
      <c r="AF71" s="164">
        <v>359</v>
      </c>
      <c r="AG71" s="164">
        <v>29.39</v>
      </c>
      <c r="AH71" s="164">
        <f>AF71*AG71</f>
        <v>10551.01</v>
      </c>
      <c r="AI71" s="164"/>
      <c r="AJ71" s="164">
        <v>10508</v>
      </c>
      <c r="AK71" s="164">
        <v>23.28</v>
      </c>
      <c r="AL71" s="164">
        <f>AJ71*AK71</f>
        <v>244626.24000000002</v>
      </c>
      <c r="AM71" s="164">
        <f>AL71-AH71</f>
        <v>234075.23</v>
      </c>
      <c r="AN71" s="263" t="s">
        <v>609</v>
      </c>
      <c r="AO71" s="164"/>
    </row>
    <row r="72" spans="1:44">
      <c r="U72" s="156">
        <v>1356</v>
      </c>
      <c r="V72" s="156">
        <v>29.89</v>
      </c>
      <c r="W72" s="156">
        <v>40530.840000000004</v>
      </c>
      <c r="Y72" s="156">
        <v>17590</v>
      </c>
      <c r="Z72" s="156">
        <v>29.89</v>
      </c>
      <c r="AA72" s="156">
        <v>525765.1</v>
      </c>
      <c r="AB72" s="156">
        <v>485234.25999999995</v>
      </c>
      <c r="AC72" s="156" t="s">
        <v>610</v>
      </c>
      <c r="AF72" s="164">
        <v>1356</v>
      </c>
      <c r="AG72" s="164">
        <v>29.97</v>
      </c>
      <c r="AH72" s="164">
        <f>AF72*AG72</f>
        <v>40639.32</v>
      </c>
      <c r="AI72" s="164"/>
      <c r="AJ72" s="164">
        <v>17596</v>
      </c>
      <c r="AK72" s="164">
        <v>29.97</v>
      </c>
      <c r="AL72" s="164">
        <f>AJ72*AK72</f>
        <v>527352.12</v>
      </c>
      <c r="AM72" s="164">
        <f>AL72-AH72</f>
        <v>486712.8</v>
      </c>
      <c r="AN72" s="263" t="s">
        <v>610</v>
      </c>
      <c r="AO72" s="164"/>
    </row>
    <row r="73" spans="1:44">
      <c r="AB73" s="156">
        <v>718579.44</v>
      </c>
      <c r="AF73" s="164"/>
      <c r="AG73" s="164"/>
      <c r="AH73" s="164"/>
      <c r="AI73" s="164"/>
      <c r="AJ73" s="164"/>
      <c r="AK73" s="164"/>
      <c r="AL73" s="164"/>
      <c r="AM73" s="289">
        <f>AM71+AM72</f>
        <v>720788.03</v>
      </c>
      <c r="AN73" s="164"/>
      <c r="AO73" s="164"/>
    </row>
    <row r="74" spans="1:44">
      <c r="Z74" s="156" t="s">
        <v>611</v>
      </c>
      <c r="AB74" s="156">
        <v>26668.04</v>
      </c>
      <c r="AF74" s="164"/>
      <c r="AG74" s="164"/>
      <c r="AH74" s="164"/>
      <c r="AI74" s="164"/>
      <c r="AJ74" s="164"/>
      <c r="AK74" s="164" t="s">
        <v>612</v>
      </c>
      <c r="AL74" s="164"/>
      <c r="AM74" s="164">
        <v>2208.59</v>
      </c>
      <c r="AN74" s="164"/>
      <c r="AO74" s="164"/>
    </row>
    <row r="75" spans="1:44">
      <c r="L75" s="167"/>
      <c r="AB75" s="156">
        <v>745247.48</v>
      </c>
      <c r="AC75" s="156" t="s">
        <v>613</v>
      </c>
      <c r="AF75" s="164"/>
      <c r="AG75" s="164"/>
      <c r="AH75" s="164"/>
      <c r="AI75" s="164"/>
      <c r="AJ75" s="164"/>
      <c r="AK75" s="164"/>
      <c r="AL75" s="164"/>
      <c r="AM75" s="289">
        <f>AM73+AM74</f>
        <v>722996.62</v>
      </c>
      <c r="AN75" s="164" t="s">
        <v>614</v>
      </c>
      <c r="AO75" s="164"/>
    </row>
    <row r="76" spans="1:44">
      <c r="AB76" s="276">
        <f>AB75/12</f>
        <v>62103.956666666665</v>
      </c>
      <c r="AC76" s="156" t="s">
        <v>615</v>
      </c>
      <c r="AF76" s="164"/>
      <c r="AG76" s="164"/>
      <c r="AH76" s="164"/>
      <c r="AI76" s="164"/>
      <c r="AJ76" s="164"/>
      <c r="AK76" s="164"/>
      <c r="AL76" s="164"/>
      <c r="AM76" s="164">
        <f>AM75/12</f>
        <v>60249.718333333331</v>
      </c>
      <c r="AN76" s="164" t="s">
        <v>616</v>
      </c>
      <c r="AO76" s="164"/>
    </row>
    <row r="77" spans="1:44">
      <c r="S77" s="156">
        <v>2023</v>
      </c>
    </row>
    <row r="78" spans="1:44" ht="14.4">
      <c r="S78" s="157" t="s">
        <v>617</v>
      </c>
      <c r="T78" s="157" t="s">
        <v>618</v>
      </c>
      <c r="U78" s="157" t="s">
        <v>619</v>
      </c>
      <c r="V78" s="157" t="s">
        <v>620</v>
      </c>
      <c r="W78" s="157"/>
      <c r="X78" s="157" t="s">
        <v>621</v>
      </c>
      <c r="Y78" s="157" t="s">
        <v>622</v>
      </c>
      <c r="Z78" s="157" t="s">
        <v>219</v>
      </c>
      <c r="AA78" s="157"/>
      <c r="AB78" s="157" t="s">
        <v>623</v>
      </c>
      <c r="AC78" s="157" t="s">
        <v>622</v>
      </c>
      <c r="AD78" s="157" t="s">
        <v>219</v>
      </c>
      <c r="AE78" s="157"/>
      <c r="AF78" s="157" t="s">
        <v>624</v>
      </c>
      <c r="AG78" s="157" t="s">
        <v>622</v>
      </c>
      <c r="AH78" s="157" t="s">
        <v>219</v>
      </c>
      <c r="AI78" s="157"/>
      <c r="AJ78" s="290" t="s">
        <v>584</v>
      </c>
      <c r="AK78" s="290" t="s">
        <v>584</v>
      </c>
    </row>
    <row r="79" spans="1:44" ht="14.4">
      <c r="D79" s="156" t="s">
        <v>402</v>
      </c>
      <c r="S79" s="159"/>
      <c r="T79" s="159"/>
      <c r="U79" s="159"/>
      <c r="V79" s="159"/>
      <c r="W79" s="159"/>
      <c r="X79" s="159"/>
      <c r="Y79" s="159"/>
      <c r="Z79" s="159"/>
      <c r="AA79" s="159"/>
      <c r="AB79" s="159" t="s">
        <v>625</v>
      </c>
      <c r="AC79" s="159"/>
      <c r="AD79" s="159"/>
      <c r="AE79" s="159"/>
      <c r="AF79" s="159" t="s">
        <v>626</v>
      </c>
      <c r="AG79" s="159"/>
      <c r="AH79" s="159"/>
      <c r="AI79" s="159"/>
      <c r="AJ79" s="291" t="s">
        <v>627</v>
      </c>
      <c r="AK79" s="291" t="s">
        <v>628</v>
      </c>
    </row>
    <row r="80" spans="1:44" ht="14.4">
      <c r="S80" s="156" t="s">
        <v>629</v>
      </c>
      <c r="T80" s="157">
        <v>170</v>
      </c>
      <c r="U80" s="156" t="s">
        <v>630</v>
      </c>
      <c r="V80" s="156">
        <v>11068</v>
      </c>
      <c r="Y80" s="170"/>
      <c r="Z80" s="170">
        <f>+X80*Y80</f>
        <v>0</v>
      </c>
      <c r="AB80" s="292">
        <v>4763</v>
      </c>
      <c r="AC80" s="170">
        <v>6.1</v>
      </c>
      <c r="AD80" s="147">
        <f>+AB80*AC80</f>
        <v>29054.3</v>
      </c>
      <c r="AF80" s="156">
        <v>6000</v>
      </c>
      <c r="AG80" s="170">
        <v>4.76</v>
      </c>
      <c r="AH80" s="170">
        <f>+AF80*AG80</f>
        <v>28560</v>
      </c>
      <c r="AI80" s="170"/>
      <c r="AJ80" s="186">
        <f>+X80+AB80+AF80</f>
        <v>10763</v>
      </c>
      <c r="AK80" s="147">
        <f>+AH80+AD80+Z80</f>
        <v>57614.3</v>
      </c>
    </row>
    <row r="81" spans="19:38" ht="14.4">
      <c r="S81" s="156" t="s">
        <v>629</v>
      </c>
      <c r="T81" s="157">
        <v>160</v>
      </c>
      <c r="U81" s="156" t="s">
        <v>631</v>
      </c>
      <c r="V81" s="156">
        <v>11069</v>
      </c>
      <c r="Y81" s="170"/>
      <c r="Z81" s="170">
        <f t="shared" ref="Z81:Z100" si="38">+X81*Y81</f>
        <v>0</v>
      </c>
      <c r="AB81" s="292">
        <v>380</v>
      </c>
      <c r="AC81" s="170">
        <v>6.1</v>
      </c>
      <c r="AD81" s="147">
        <f t="shared" ref="AD81:AD100" si="39">+AB81*AC81</f>
        <v>2318</v>
      </c>
      <c r="AF81" s="156">
        <v>482</v>
      </c>
      <c r="AG81" s="170">
        <v>4.76</v>
      </c>
      <c r="AH81" s="170">
        <f t="shared" ref="AH81:AH102" si="40">+AF81*AG81</f>
        <v>2294.3199999999997</v>
      </c>
      <c r="AI81" s="170"/>
      <c r="AJ81" s="186">
        <f t="shared" ref="AJ81:AJ98" si="41">+X81+AB81+AF81</f>
        <v>862</v>
      </c>
      <c r="AK81" s="147">
        <f t="shared" ref="AK81:AK98" si="42">+AH81+AD81+Z81</f>
        <v>4612.32</v>
      </c>
    </row>
    <row r="82" spans="19:38" ht="14.4">
      <c r="S82" s="156" t="s">
        <v>629</v>
      </c>
      <c r="T82" s="157">
        <v>175</v>
      </c>
      <c r="U82" s="156" t="s">
        <v>632</v>
      </c>
      <c r="V82" s="156">
        <v>11070</v>
      </c>
      <c r="Y82" s="170"/>
      <c r="Z82" s="170">
        <f t="shared" si="38"/>
        <v>0</v>
      </c>
      <c r="AB82" s="292">
        <v>410</v>
      </c>
      <c r="AC82" s="170">
        <v>6.1</v>
      </c>
      <c r="AD82" s="147">
        <f t="shared" si="39"/>
        <v>2501</v>
      </c>
      <c r="AF82" s="156">
        <v>383</v>
      </c>
      <c r="AG82" s="170">
        <v>4.76</v>
      </c>
      <c r="AH82" s="170">
        <f t="shared" si="40"/>
        <v>1823.08</v>
      </c>
      <c r="AI82" s="170"/>
      <c r="AJ82" s="186">
        <f t="shared" si="41"/>
        <v>793</v>
      </c>
      <c r="AK82" s="147">
        <f t="shared" si="42"/>
        <v>4324.08</v>
      </c>
    </row>
    <row r="83" spans="19:38" ht="14.4">
      <c r="S83" s="156" t="s">
        <v>629</v>
      </c>
      <c r="T83" s="157">
        <v>163</v>
      </c>
      <c r="U83" s="156" t="s">
        <v>633</v>
      </c>
      <c r="V83" s="156">
        <v>11071</v>
      </c>
      <c r="Y83" s="170"/>
      <c r="Z83" s="170">
        <f t="shared" si="38"/>
        <v>0</v>
      </c>
      <c r="AB83" s="292">
        <v>408</v>
      </c>
      <c r="AC83" s="293">
        <v>6.1</v>
      </c>
      <c r="AD83" s="294">
        <f t="shared" si="39"/>
        <v>2488.7999999999997</v>
      </c>
      <c r="AF83" s="156">
        <v>426</v>
      </c>
      <c r="AG83" s="293">
        <v>4.76</v>
      </c>
      <c r="AH83" s="293">
        <f t="shared" si="40"/>
        <v>2027.76</v>
      </c>
      <c r="AI83" s="293"/>
      <c r="AJ83" s="295">
        <f t="shared" si="41"/>
        <v>834</v>
      </c>
      <c r="AK83" s="294">
        <f t="shared" si="42"/>
        <v>4516.5599999999995</v>
      </c>
    </row>
    <row r="84" spans="19:38" ht="14.4">
      <c r="T84" s="157"/>
      <c r="Y84" s="170"/>
      <c r="Z84" s="170"/>
      <c r="AB84" s="293">
        <f>SUM(AB80:AB83)</f>
        <v>5961</v>
      </c>
      <c r="AC84" s="293"/>
      <c r="AD84" s="294">
        <f>SUM(AD80:AD83)</f>
        <v>36362.100000000006</v>
      </c>
      <c r="AE84" s="270">
        <f>AD84/12</f>
        <v>3030.1750000000006</v>
      </c>
      <c r="AF84" s="293">
        <f>SUM(AF80:AF83)</f>
        <v>7291</v>
      </c>
      <c r="AG84" s="293"/>
      <c r="AH84" s="293">
        <f>SUM(AH80:AH83)</f>
        <v>34705.160000000003</v>
      </c>
      <c r="AI84" s="293">
        <f>AH84/12</f>
        <v>2892.0966666666668</v>
      </c>
      <c r="AJ84" s="295"/>
      <c r="AK84" s="294"/>
    </row>
    <row r="85" spans="19:38" ht="14.4">
      <c r="S85" s="156" t="s">
        <v>634</v>
      </c>
      <c r="T85" s="157">
        <v>174</v>
      </c>
      <c r="U85" s="156" t="s">
        <v>635</v>
      </c>
      <c r="V85" s="156">
        <v>11072</v>
      </c>
      <c r="Y85" s="170"/>
      <c r="Z85" s="170">
        <f t="shared" si="38"/>
        <v>0</v>
      </c>
      <c r="AB85" s="156">
        <v>71</v>
      </c>
      <c r="AC85" s="170">
        <v>23.272749999999998</v>
      </c>
      <c r="AD85" s="147">
        <f t="shared" si="39"/>
        <v>1652.3652499999998</v>
      </c>
      <c r="AF85" s="156">
        <v>78</v>
      </c>
      <c r="AG85" s="170">
        <v>29.96463</v>
      </c>
      <c r="AH85" s="170">
        <f t="shared" si="40"/>
        <v>2337.2411400000001</v>
      </c>
      <c r="AI85" s="170"/>
      <c r="AJ85" s="186">
        <f t="shared" si="41"/>
        <v>149</v>
      </c>
      <c r="AK85" s="147">
        <f t="shared" si="42"/>
        <v>3989.6063899999999</v>
      </c>
    </row>
    <row r="86" spans="19:38" ht="14.4">
      <c r="S86" s="156" t="s">
        <v>634</v>
      </c>
      <c r="T86" s="157">
        <v>169</v>
      </c>
      <c r="U86" s="156" t="s">
        <v>636</v>
      </c>
      <c r="V86" s="156">
        <v>11073</v>
      </c>
      <c r="Y86" s="170"/>
      <c r="Z86" s="170">
        <f t="shared" si="38"/>
        <v>0</v>
      </c>
      <c r="AB86" s="156">
        <v>288</v>
      </c>
      <c r="AC86" s="170">
        <v>23.272749999999998</v>
      </c>
      <c r="AD86" s="147">
        <f t="shared" si="39"/>
        <v>6702.5519999999997</v>
      </c>
      <c r="AE86" s="156" t="s">
        <v>402</v>
      </c>
      <c r="AF86" s="156">
        <v>392</v>
      </c>
      <c r="AG86" s="170">
        <v>29.96463</v>
      </c>
      <c r="AH86" s="170">
        <f t="shared" si="40"/>
        <v>11746.134959999999</v>
      </c>
      <c r="AI86" s="170"/>
      <c r="AJ86" s="295">
        <f t="shared" si="41"/>
        <v>680</v>
      </c>
      <c r="AK86" s="294">
        <f>+AH86+AD86+Z86</f>
        <v>18448.686959999999</v>
      </c>
    </row>
    <row r="87" spans="19:38" ht="14.4">
      <c r="S87" s="156" t="s">
        <v>634</v>
      </c>
      <c r="T87" s="157">
        <v>168</v>
      </c>
      <c r="U87" s="156" t="s">
        <v>637</v>
      </c>
      <c r="V87" s="156">
        <v>11074</v>
      </c>
      <c r="Y87" s="170"/>
      <c r="Z87" s="170">
        <f t="shared" si="38"/>
        <v>0</v>
      </c>
      <c r="AB87" s="156">
        <v>85</v>
      </c>
      <c r="AC87" s="170">
        <v>23.272749999999998</v>
      </c>
      <c r="AD87" s="147">
        <f t="shared" si="39"/>
        <v>1978.1837499999999</v>
      </c>
      <c r="AF87" s="156">
        <v>131</v>
      </c>
      <c r="AG87" s="170">
        <v>29.96463</v>
      </c>
      <c r="AH87" s="170">
        <f t="shared" si="40"/>
        <v>3925.3665299999998</v>
      </c>
      <c r="AI87" s="170"/>
      <c r="AJ87" s="186">
        <f t="shared" si="41"/>
        <v>216</v>
      </c>
      <c r="AK87" s="147">
        <f t="shared" si="42"/>
        <v>5903.5502799999995</v>
      </c>
    </row>
    <row r="88" spans="19:38" ht="14.4">
      <c r="T88" s="157"/>
      <c r="Y88" s="170"/>
      <c r="Z88" s="170"/>
      <c r="AB88" s="170">
        <f>SUM(AB85:AB87)</f>
        <v>444</v>
      </c>
      <c r="AC88" s="170"/>
      <c r="AD88" s="147">
        <f>SUM(AD85:AD87)</f>
        <v>10333.100999999999</v>
      </c>
      <c r="AE88" s="270">
        <f>AD88/12</f>
        <v>861.09174999999993</v>
      </c>
      <c r="AF88" s="170">
        <f>SUM(AF85:AF87)</f>
        <v>601</v>
      </c>
      <c r="AG88" s="170"/>
      <c r="AH88" s="147">
        <f>SUM(AH85:AH87)</f>
        <v>18008.742630000001</v>
      </c>
      <c r="AI88" s="270">
        <f>AH88/12</f>
        <v>1500.7285525</v>
      </c>
      <c r="AJ88" s="186"/>
      <c r="AK88" s="147"/>
    </row>
    <row r="89" spans="19:38" ht="14.4">
      <c r="S89" s="156" t="s">
        <v>522</v>
      </c>
      <c r="T89" s="157">
        <v>145</v>
      </c>
      <c r="U89" s="156" t="s">
        <v>638</v>
      </c>
      <c r="V89" s="156">
        <v>11075</v>
      </c>
      <c r="Y89" s="170"/>
      <c r="Z89" s="170">
        <f t="shared" si="38"/>
        <v>0</v>
      </c>
      <c r="AB89" s="156">
        <v>83</v>
      </c>
      <c r="AC89" s="170">
        <v>16.48</v>
      </c>
      <c r="AD89" s="147">
        <f t="shared" si="39"/>
        <v>1367.8400000000001</v>
      </c>
      <c r="AF89" s="156">
        <v>196</v>
      </c>
      <c r="AG89" s="170">
        <v>14.58</v>
      </c>
      <c r="AH89" s="170">
        <f t="shared" si="40"/>
        <v>2857.68</v>
      </c>
      <c r="AI89" s="170"/>
      <c r="AJ89" s="186">
        <f t="shared" si="41"/>
        <v>279</v>
      </c>
      <c r="AK89" s="147">
        <f t="shared" si="42"/>
        <v>4225.5200000000004</v>
      </c>
      <c r="AL89" s="156" t="s">
        <v>402</v>
      </c>
    </row>
    <row r="90" spans="19:38" ht="14.4">
      <c r="S90" s="156" t="s">
        <v>522</v>
      </c>
      <c r="T90" s="157">
        <v>153</v>
      </c>
      <c r="U90" s="156" t="s">
        <v>639</v>
      </c>
      <c r="V90" s="156">
        <v>11076</v>
      </c>
      <c r="Y90" s="170"/>
      <c r="Z90" s="170">
        <f t="shared" si="38"/>
        <v>0</v>
      </c>
      <c r="AB90" s="156">
        <v>13</v>
      </c>
      <c r="AC90" s="170">
        <v>16.48</v>
      </c>
      <c r="AD90" s="147">
        <f t="shared" si="39"/>
        <v>214.24</v>
      </c>
      <c r="AF90" s="156">
        <v>155</v>
      </c>
      <c r="AG90" s="170">
        <v>14.58</v>
      </c>
      <c r="AH90" s="170">
        <f t="shared" si="40"/>
        <v>2259.9</v>
      </c>
      <c r="AI90" s="170"/>
      <c r="AJ90" s="186">
        <f t="shared" si="41"/>
        <v>168</v>
      </c>
      <c r="AK90" s="147">
        <f t="shared" si="42"/>
        <v>2474.1400000000003</v>
      </c>
      <c r="AL90" s="156" t="s">
        <v>402</v>
      </c>
    </row>
    <row r="91" spans="19:38" ht="14.4">
      <c r="S91" s="156" t="s">
        <v>522</v>
      </c>
      <c r="T91" s="157">
        <v>164</v>
      </c>
      <c r="U91" s="156" t="s">
        <v>640</v>
      </c>
      <c r="V91" s="156">
        <v>11077</v>
      </c>
      <c r="Y91" s="170"/>
      <c r="Z91" s="170">
        <f t="shared" si="38"/>
        <v>0</v>
      </c>
      <c r="AB91" s="156">
        <v>150</v>
      </c>
      <c r="AC91" s="170">
        <v>16.48</v>
      </c>
      <c r="AD91" s="147">
        <f t="shared" si="39"/>
        <v>2472</v>
      </c>
      <c r="AF91" s="156">
        <v>216</v>
      </c>
      <c r="AG91" s="170">
        <v>14.58</v>
      </c>
      <c r="AH91" s="170">
        <f t="shared" si="40"/>
        <v>3149.28</v>
      </c>
      <c r="AI91" s="170"/>
      <c r="AJ91" s="186">
        <f t="shared" si="41"/>
        <v>366</v>
      </c>
      <c r="AK91" s="147">
        <f t="shared" si="42"/>
        <v>5621.2800000000007</v>
      </c>
      <c r="AL91" s="156" t="s">
        <v>402</v>
      </c>
    </row>
    <row r="92" spans="19:38" ht="14.4">
      <c r="T92" s="157"/>
      <c r="Y92" s="170"/>
      <c r="Z92" s="170"/>
      <c r="AB92" s="170">
        <f>SUM(AB89:AB91)</f>
        <v>246</v>
      </c>
      <c r="AC92" s="170"/>
      <c r="AD92" s="147">
        <f>SUM(AD89:AD91)</f>
        <v>4054.08</v>
      </c>
      <c r="AE92" s="270">
        <f>AD92/12</f>
        <v>337.84</v>
      </c>
      <c r="AF92" s="170">
        <f>SUM(AF89:AF91)</f>
        <v>567</v>
      </c>
      <c r="AG92" s="170"/>
      <c r="AH92" s="147">
        <f>SUM(AH89:AH91)</f>
        <v>8266.86</v>
      </c>
      <c r="AI92" s="270">
        <f>AH92/12</f>
        <v>688.90500000000009</v>
      </c>
      <c r="AJ92" s="186"/>
      <c r="AK92" s="147"/>
    </row>
    <row r="93" spans="19:38" ht="14.4">
      <c r="S93" s="156" t="s">
        <v>522</v>
      </c>
      <c r="T93" s="157">
        <v>167</v>
      </c>
      <c r="U93" s="156" t="s">
        <v>641</v>
      </c>
      <c r="V93" s="156">
        <v>11078</v>
      </c>
      <c r="X93" s="156">
        <v>17</v>
      </c>
      <c r="Y93" s="170">
        <v>29.5457</v>
      </c>
      <c r="Z93" s="170">
        <f t="shared" si="38"/>
        <v>502.27690000000001</v>
      </c>
      <c r="AA93" s="172">
        <f>Z93/12</f>
        <v>41.856408333333334</v>
      </c>
      <c r="AB93" s="156">
        <v>82</v>
      </c>
      <c r="AC93" s="170">
        <v>19.392119999999998</v>
      </c>
      <c r="AD93" s="147">
        <f t="shared" si="39"/>
        <v>1590.1538399999999</v>
      </c>
      <c r="AE93" s="270">
        <f>AD93/12</f>
        <v>132.51282</v>
      </c>
      <c r="AF93" s="156">
        <v>104</v>
      </c>
      <c r="AG93" s="170">
        <v>10.87017</v>
      </c>
      <c r="AH93" s="170">
        <f t="shared" si="40"/>
        <v>1130.4976799999999</v>
      </c>
      <c r="AI93" s="270">
        <f>AH93/12</f>
        <v>94.20814</v>
      </c>
      <c r="AJ93" s="186">
        <f t="shared" si="41"/>
        <v>203</v>
      </c>
      <c r="AK93" s="147">
        <f t="shared" si="42"/>
        <v>3222.9284199999997</v>
      </c>
      <c r="AL93" s="156" t="s">
        <v>402</v>
      </c>
    </row>
    <row r="94" spans="19:38" ht="14.4">
      <c r="T94" s="157"/>
      <c r="Y94" s="170"/>
      <c r="Z94" s="170"/>
      <c r="AC94" s="170"/>
      <c r="AD94" s="147"/>
      <c r="AG94" s="170"/>
      <c r="AH94" s="170"/>
      <c r="AI94" s="170"/>
      <c r="AJ94" s="186"/>
      <c r="AK94" s="147"/>
    </row>
    <row r="95" spans="19:38" ht="14.4">
      <c r="S95" s="156" t="s">
        <v>522</v>
      </c>
      <c r="T95" s="157">
        <v>173</v>
      </c>
      <c r="U95" s="156" t="s">
        <v>642</v>
      </c>
      <c r="V95" s="156">
        <v>11079</v>
      </c>
      <c r="Y95" s="170"/>
      <c r="Z95" s="170">
        <f t="shared" si="38"/>
        <v>0</v>
      </c>
      <c r="AB95" s="156">
        <v>20</v>
      </c>
      <c r="AC95" s="170">
        <v>29.96463</v>
      </c>
      <c r="AD95" s="147">
        <f t="shared" si="39"/>
        <v>599.29259999999999</v>
      </c>
      <c r="AE95" s="270">
        <f>AD95/12</f>
        <v>49.941049999999997</v>
      </c>
      <c r="AF95" s="186">
        <v>54</v>
      </c>
      <c r="AG95" s="170">
        <v>29.96463</v>
      </c>
      <c r="AH95" s="170">
        <f t="shared" si="40"/>
        <v>1618.0900200000001</v>
      </c>
      <c r="AI95" s="270">
        <f>AH95/12</f>
        <v>134.840835</v>
      </c>
      <c r="AJ95" s="186">
        <f>+X95+AB95+AF95</f>
        <v>74</v>
      </c>
      <c r="AK95" s="147">
        <f>+AH95+AD95+Z95</f>
        <v>2217.3826200000003</v>
      </c>
      <c r="AL95" s="156" t="s">
        <v>402</v>
      </c>
    </row>
    <row r="96" spans="19:38" ht="14.4">
      <c r="T96" s="157"/>
      <c r="Y96" s="170"/>
      <c r="Z96" s="170"/>
      <c r="AC96" s="170"/>
      <c r="AD96" s="147"/>
      <c r="AF96" s="186"/>
      <c r="AG96" s="170"/>
      <c r="AH96" s="170"/>
      <c r="AI96" s="170"/>
      <c r="AJ96" s="186"/>
      <c r="AK96" s="147"/>
    </row>
    <row r="97" spans="19:38" ht="14.4">
      <c r="S97" s="156" t="s">
        <v>522</v>
      </c>
      <c r="T97" s="157">
        <v>13</v>
      </c>
      <c r="U97" s="156" t="s">
        <v>643</v>
      </c>
      <c r="V97" s="156">
        <v>11080</v>
      </c>
      <c r="Y97" s="170"/>
      <c r="Z97" s="170">
        <f t="shared" si="38"/>
        <v>0</v>
      </c>
      <c r="AC97" s="170"/>
      <c r="AD97" s="147">
        <f t="shared" si="39"/>
        <v>0</v>
      </c>
      <c r="AF97" s="156">
        <v>7</v>
      </c>
      <c r="AG97" s="170">
        <v>14.58</v>
      </c>
      <c r="AH97" s="170">
        <f t="shared" si="40"/>
        <v>102.06</v>
      </c>
      <c r="AI97" s="170"/>
      <c r="AJ97" s="295">
        <f t="shared" si="41"/>
        <v>7</v>
      </c>
      <c r="AK97" s="294">
        <f t="shared" si="42"/>
        <v>102.06</v>
      </c>
    </row>
    <row r="98" spans="19:38" ht="14.4">
      <c r="S98" s="156" t="s">
        <v>522</v>
      </c>
      <c r="T98" s="157">
        <v>11</v>
      </c>
      <c r="U98" s="156" t="s">
        <v>644</v>
      </c>
      <c r="V98" s="156">
        <v>11081</v>
      </c>
      <c r="Y98" s="170"/>
      <c r="Z98" s="170">
        <f t="shared" si="38"/>
        <v>0</v>
      </c>
      <c r="AC98" s="170"/>
      <c r="AD98" s="147">
        <f t="shared" si="39"/>
        <v>0</v>
      </c>
      <c r="AF98" s="156">
        <v>61</v>
      </c>
      <c r="AG98" s="170">
        <v>14.58</v>
      </c>
      <c r="AH98" s="170">
        <f t="shared" si="40"/>
        <v>889.38</v>
      </c>
      <c r="AI98" s="170"/>
      <c r="AJ98" s="186">
        <f t="shared" si="41"/>
        <v>61</v>
      </c>
      <c r="AK98" s="147">
        <f t="shared" si="42"/>
        <v>889.38</v>
      </c>
    </row>
    <row r="99" spans="19:38" ht="14.4">
      <c r="T99" s="157"/>
      <c r="Y99" s="170"/>
      <c r="Z99" s="170"/>
      <c r="AC99" s="170"/>
      <c r="AD99" s="147"/>
      <c r="AF99" s="156">
        <f>SUM(AF97:AF98)</f>
        <v>68</v>
      </c>
      <c r="AG99" s="170"/>
      <c r="AH99" s="170">
        <f>SUM(AH97:AH98)</f>
        <v>991.44</v>
      </c>
      <c r="AI99" s="270">
        <f>AH99/12</f>
        <v>82.62</v>
      </c>
      <c r="AJ99" s="186"/>
      <c r="AK99" s="147"/>
    </row>
    <row r="100" spans="19:38" ht="14.4">
      <c r="S100" s="156" t="s">
        <v>522</v>
      </c>
      <c r="T100" s="157">
        <v>16</v>
      </c>
      <c r="U100" s="156" t="s">
        <v>645</v>
      </c>
      <c r="V100" s="156">
        <v>11082</v>
      </c>
      <c r="Y100" s="170"/>
      <c r="Z100" s="170">
        <f t="shared" si="38"/>
        <v>0</v>
      </c>
      <c r="AC100" s="170"/>
      <c r="AD100" s="147">
        <f t="shared" si="39"/>
        <v>0</v>
      </c>
      <c r="AF100" s="156">
        <v>1924</v>
      </c>
      <c r="AG100" s="170">
        <v>43.279510000000002</v>
      </c>
      <c r="AH100" s="170">
        <f t="shared" si="40"/>
        <v>83269.77724000001</v>
      </c>
      <c r="AI100" s="270">
        <f>AH100/12</f>
        <v>6939.1481033333339</v>
      </c>
      <c r="AJ100" s="250">
        <f>+X100+AB100+AF100</f>
        <v>1924</v>
      </c>
      <c r="AK100" s="296">
        <f>+AH100+AD100+Z100</f>
        <v>83269.77724000001</v>
      </c>
    </row>
    <row r="101" spans="19:38" ht="14.4">
      <c r="T101" s="157"/>
      <c r="Y101" s="170"/>
      <c r="Z101" s="170"/>
      <c r="AC101" s="170"/>
      <c r="AD101" s="147"/>
      <c r="AG101" s="170"/>
      <c r="AH101" s="170"/>
      <c r="AI101" s="170"/>
      <c r="AJ101" s="250"/>
      <c r="AK101" s="296"/>
    </row>
    <row r="102" spans="19:38" ht="14.4">
      <c r="S102" s="156" t="s">
        <v>522</v>
      </c>
      <c r="T102" s="297">
        <v>19</v>
      </c>
      <c r="U102" s="156" t="s">
        <v>646</v>
      </c>
      <c r="V102" s="156">
        <v>11083</v>
      </c>
      <c r="Y102" s="170"/>
      <c r="Z102" s="170"/>
      <c r="AC102" s="170"/>
      <c r="AD102" s="147"/>
      <c r="AF102" s="156">
        <v>4</v>
      </c>
      <c r="AG102" s="170">
        <v>14.58</v>
      </c>
      <c r="AH102" s="170">
        <f t="shared" si="40"/>
        <v>58.32</v>
      </c>
      <c r="AI102" s="270">
        <f>AH102/12</f>
        <v>4.8600000000000003</v>
      </c>
      <c r="AJ102" s="250">
        <f>+X102+AB102+AF102</f>
        <v>4</v>
      </c>
      <c r="AK102" s="296">
        <f>+AH102+AD102+Z102</f>
        <v>58.32</v>
      </c>
    </row>
    <row r="103" spans="19:38" ht="14.4">
      <c r="T103" s="297"/>
      <c r="Y103" s="170"/>
      <c r="Z103" s="170"/>
      <c r="AC103" s="170"/>
      <c r="AD103" s="147"/>
      <c r="AG103" s="170"/>
      <c r="AH103" s="170"/>
      <c r="AI103" s="170"/>
      <c r="AJ103" s="250"/>
      <c r="AK103" s="296"/>
    </row>
    <row r="104" spans="19:38" ht="14.4">
      <c r="AD104" s="147"/>
      <c r="AE104" s="270"/>
      <c r="AH104" s="147"/>
      <c r="AI104" s="270"/>
      <c r="AJ104" s="298">
        <f>SUM(AJ80:AJ102)</f>
        <v>17383</v>
      </c>
      <c r="AK104" s="299">
        <f>SUM(AK80:AK102)</f>
        <v>201489.89191000001</v>
      </c>
    </row>
    <row r="105" spans="19:38" ht="14.4">
      <c r="S105" s="156">
        <v>2022</v>
      </c>
      <c r="AK105" s="147">
        <f>AK104/12</f>
        <v>16790.824325833335</v>
      </c>
      <c r="AL105" s="156" t="s">
        <v>616</v>
      </c>
    </row>
    <row r="106" spans="19:38">
      <c r="S106" s="156" t="s">
        <v>617</v>
      </c>
      <c r="T106" s="156" t="s">
        <v>618</v>
      </c>
      <c r="U106" s="156" t="s">
        <v>619</v>
      </c>
      <c r="V106" s="156" t="s">
        <v>620</v>
      </c>
      <c r="X106" s="156" t="s">
        <v>621</v>
      </c>
      <c r="Y106" s="156" t="s">
        <v>622</v>
      </c>
      <c r="Z106" s="156" t="s">
        <v>219</v>
      </c>
      <c r="AB106" s="156" t="s">
        <v>623</v>
      </c>
      <c r="AC106" s="156" t="s">
        <v>622</v>
      </c>
      <c r="AD106" s="156" t="s">
        <v>219</v>
      </c>
      <c r="AF106" s="156" t="s">
        <v>624</v>
      </c>
      <c r="AG106" s="156" t="s">
        <v>622</v>
      </c>
      <c r="AH106" s="156" t="s">
        <v>219</v>
      </c>
      <c r="AJ106" s="156" t="s">
        <v>584</v>
      </c>
      <c r="AK106" s="156" t="s">
        <v>584</v>
      </c>
    </row>
    <row r="107" spans="19:38">
      <c r="AB107" s="156" t="s">
        <v>625</v>
      </c>
      <c r="AF107" s="156" t="s">
        <v>626</v>
      </c>
      <c r="AJ107" s="156" t="s">
        <v>627</v>
      </c>
      <c r="AK107" s="156" t="s">
        <v>628</v>
      </c>
    </row>
    <row r="108" spans="19:38" ht="14.4">
      <c r="S108" s="156" t="s">
        <v>629</v>
      </c>
      <c r="T108" s="156">
        <v>170</v>
      </c>
      <c r="U108" s="156" t="s">
        <v>630</v>
      </c>
      <c r="V108" s="156">
        <v>10177</v>
      </c>
      <c r="Z108" s="156">
        <v>0</v>
      </c>
      <c r="AB108" s="156">
        <v>4763</v>
      </c>
      <c r="AC108" s="276">
        <v>6.1</v>
      </c>
      <c r="AD108" s="147">
        <v>29054.3</v>
      </c>
      <c r="AF108" s="156">
        <v>6000</v>
      </c>
      <c r="AG108" s="156">
        <v>4.76</v>
      </c>
      <c r="AH108" s="147">
        <v>28560</v>
      </c>
      <c r="AJ108" s="156">
        <v>10763</v>
      </c>
      <c r="AK108" s="147">
        <v>57614.3</v>
      </c>
    </row>
    <row r="109" spans="19:38" ht="14.4">
      <c r="S109" s="156" t="s">
        <v>629</v>
      </c>
      <c r="T109" s="156">
        <v>160</v>
      </c>
      <c r="U109" s="156" t="s">
        <v>631</v>
      </c>
      <c r="V109" s="156">
        <v>10178</v>
      </c>
      <c r="Z109" s="156">
        <v>0</v>
      </c>
      <c r="AB109" s="156">
        <v>88</v>
      </c>
      <c r="AC109" s="276">
        <v>6.1</v>
      </c>
      <c r="AD109" s="147">
        <v>536.79999999999995</v>
      </c>
      <c r="AF109" s="156">
        <v>55</v>
      </c>
      <c r="AG109" s="156">
        <v>4.76</v>
      </c>
      <c r="AH109" s="147">
        <v>261.8</v>
      </c>
      <c r="AJ109" s="156">
        <v>143</v>
      </c>
      <c r="AK109" s="147">
        <v>798.59999999999991</v>
      </c>
    </row>
    <row r="110" spans="19:38" ht="14.4">
      <c r="S110" s="156" t="s">
        <v>629</v>
      </c>
      <c r="T110" s="156">
        <v>175</v>
      </c>
      <c r="U110" s="156" t="s">
        <v>632</v>
      </c>
      <c r="V110" s="156">
        <v>10179</v>
      </c>
      <c r="Z110" s="156">
        <v>0</v>
      </c>
      <c r="AB110" s="156">
        <v>410</v>
      </c>
      <c r="AC110" s="276">
        <v>6.1</v>
      </c>
      <c r="AD110" s="147">
        <v>2501</v>
      </c>
      <c r="AF110" s="156">
        <v>383</v>
      </c>
      <c r="AG110" s="156">
        <v>4.76</v>
      </c>
      <c r="AH110" s="147">
        <v>1823.08</v>
      </c>
      <c r="AJ110" s="156">
        <v>793</v>
      </c>
      <c r="AK110" s="147">
        <v>4324.08</v>
      </c>
    </row>
    <row r="111" spans="19:38" ht="14.4">
      <c r="S111" s="156" t="s">
        <v>629</v>
      </c>
      <c r="T111" s="156">
        <v>163</v>
      </c>
      <c r="U111" s="156" t="s">
        <v>633</v>
      </c>
      <c r="V111" s="156">
        <v>10180</v>
      </c>
      <c r="Z111" s="156">
        <v>0</v>
      </c>
      <c r="AB111" s="156">
        <v>700</v>
      </c>
      <c r="AC111" s="276">
        <v>6.1</v>
      </c>
      <c r="AD111" s="147">
        <v>4270</v>
      </c>
      <c r="AF111" s="156">
        <v>853</v>
      </c>
      <c r="AG111" s="156">
        <v>4.76</v>
      </c>
      <c r="AH111" s="147">
        <v>4060.2799999999997</v>
      </c>
      <c r="AJ111" s="156">
        <v>1553</v>
      </c>
      <c r="AK111" s="147">
        <v>8330.2799999999988</v>
      </c>
    </row>
    <row r="112" spans="19:38" ht="14.4">
      <c r="AB112" s="170">
        <f>SUM(AB108:AB111)</f>
        <v>5961</v>
      </c>
      <c r="AC112" s="276"/>
      <c r="AD112" s="147">
        <f>SUM(AD108:AD111)</f>
        <v>36362.1</v>
      </c>
      <c r="AE112" s="270">
        <f>AD112/12</f>
        <v>3030.1749999999997</v>
      </c>
      <c r="AF112" s="170">
        <f>SUM(AF108:AF111)</f>
        <v>7291</v>
      </c>
      <c r="AH112" s="147">
        <f>SUM(AH108:AH111)</f>
        <v>34705.159999999996</v>
      </c>
      <c r="AI112" s="270">
        <f>AH112/12</f>
        <v>2892.0966666666664</v>
      </c>
      <c r="AK112" s="147"/>
    </row>
    <row r="113" spans="19:37" ht="14.4">
      <c r="S113" s="156" t="s">
        <v>634</v>
      </c>
      <c r="T113" s="156">
        <v>174</v>
      </c>
      <c r="U113" s="156" t="s">
        <v>635</v>
      </c>
      <c r="V113" s="156">
        <v>10181</v>
      </c>
      <c r="Z113" s="156">
        <v>0</v>
      </c>
      <c r="AB113" s="156">
        <v>71</v>
      </c>
      <c r="AC113" s="276">
        <v>23.207799999999999</v>
      </c>
      <c r="AD113" s="147">
        <v>1647.7538</v>
      </c>
      <c r="AF113" s="156">
        <v>78</v>
      </c>
      <c r="AG113" s="276">
        <v>29.881</v>
      </c>
      <c r="AH113" s="147">
        <v>2330.7179999999998</v>
      </c>
      <c r="AJ113" s="156">
        <v>149</v>
      </c>
      <c r="AK113" s="147">
        <v>3978.4717999999998</v>
      </c>
    </row>
    <row r="114" spans="19:37" ht="14.4">
      <c r="S114" s="156" t="s">
        <v>634</v>
      </c>
      <c r="T114" s="156">
        <v>169</v>
      </c>
      <c r="U114" s="156" t="s">
        <v>636</v>
      </c>
      <c r="V114" s="156">
        <v>10182</v>
      </c>
      <c r="Z114" s="156">
        <v>0</v>
      </c>
      <c r="AB114" s="156">
        <v>288</v>
      </c>
      <c r="AC114" s="276">
        <v>23.207799999999999</v>
      </c>
      <c r="AD114" s="147">
        <v>6683.8463999999994</v>
      </c>
      <c r="AE114" s="156" t="s">
        <v>402</v>
      </c>
      <c r="AF114" s="156">
        <v>392</v>
      </c>
      <c r="AG114" s="276">
        <v>29.881</v>
      </c>
      <c r="AH114" s="147">
        <v>11713.352000000001</v>
      </c>
      <c r="AJ114" s="156">
        <v>680</v>
      </c>
      <c r="AK114" s="147">
        <v>18397.198400000001</v>
      </c>
    </row>
    <row r="115" spans="19:37" ht="14.4">
      <c r="S115" s="156" t="s">
        <v>634</v>
      </c>
      <c r="T115" s="156">
        <v>168</v>
      </c>
      <c r="U115" s="156" t="s">
        <v>637</v>
      </c>
      <c r="V115" s="156">
        <v>10183</v>
      </c>
      <c r="Z115" s="156">
        <v>0</v>
      </c>
      <c r="AB115" s="156">
        <v>85</v>
      </c>
      <c r="AC115" s="276">
        <v>23.207799999999999</v>
      </c>
      <c r="AD115" s="147">
        <v>1972.663</v>
      </c>
      <c r="AF115" s="156">
        <v>131</v>
      </c>
      <c r="AG115" s="276">
        <v>29.881</v>
      </c>
      <c r="AH115" s="147">
        <v>3914.4110000000001</v>
      </c>
      <c r="AJ115" s="156">
        <v>216</v>
      </c>
      <c r="AK115" s="147">
        <v>5887.0740000000005</v>
      </c>
    </row>
    <row r="116" spans="19:37" ht="14.4">
      <c r="AB116" s="170">
        <f>SUM(AB113:AB115)</f>
        <v>444</v>
      </c>
      <c r="AC116" s="276"/>
      <c r="AD116" s="147">
        <f>SUM(AD113:AD115)</f>
        <v>10304.263199999999</v>
      </c>
      <c r="AE116" s="270">
        <f>AD116/12</f>
        <v>858.68859999999995</v>
      </c>
      <c r="AF116" s="170">
        <f>SUM(AF113:AF115)</f>
        <v>601</v>
      </c>
      <c r="AG116" s="276"/>
      <c r="AH116" s="147">
        <f>SUM(AH113:AH115)</f>
        <v>17958.481</v>
      </c>
      <c r="AI116" s="270">
        <f>AH116/12</f>
        <v>1496.5400833333333</v>
      </c>
      <c r="AK116" s="147"/>
    </row>
    <row r="117" spans="19:37" ht="14.4">
      <c r="S117" s="156" t="s">
        <v>522</v>
      </c>
      <c r="T117" s="156">
        <v>145</v>
      </c>
      <c r="U117" s="156" t="s">
        <v>638</v>
      </c>
      <c r="V117" s="156">
        <v>10184</v>
      </c>
      <c r="Z117" s="156">
        <v>0</v>
      </c>
      <c r="AB117" s="156">
        <v>83</v>
      </c>
      <c r="AC117" s="276">
        <v>16.399999999999999</v>
      </c>
      <c r="AD117" s="147">
        <v>1361.1999999999998</v>
      </c>
      <c r="AF117" s="156">
        <v>196</v>
      </c>
      <c r="AG117" s="156">
        <v>14.26</v>
      </c>
      <c r="AH117" s="147">
        <v>2794.96</v>
      </c>
      <c r="AJ117" s="156">
        <v>279</v>
      </c>
      <c r="AK117" s="147">
        <v>4156.16</v>
      </c>
    </row>
    <row r="118" spans="19:37" ht="14.4">
      <c r="S118" s="156" t="s">
        <v>522</v>
      </c>
      <c r="T118" s="156">
        <v>153</v>
      </c>
      <c r="U118" s="156" t="s">
        <v>639</v>
      </c>
      <c r="V118" s="156">
        <v>10185</v>
      </c>
      <c r="Z118" s="156">
        <v>0</v>
      </c>
      <c r="AB118" s="156">
        <v>13</v>
      </c>
      <c r="AC118" s="276">
        <v>16.399999999999999</v>
      </c>
      <c r="AD118" s="147">
        <v>213.2</v>
      </c>
      <c r="AF118" s="156">
        <v>155</v>
      </c>
      <c r="AG118" s="156">
        <v>14.26</v>
      </c>
      <c r="AH118" s="147">
        <v>2210.3000000000002</v>
      </c>
      <c r="AJ118" s="156">
        <v>168</v>
      </c>
      <c r="AK118" s="147">
        <v>2423.5</v>
      </c>
    </row>
    <row r="119" spans="19:37" ht="14.4">
      <c r="S119" s="156" t="s">
        <v>522</v>
      </c>
      <c r="T119" s="156">
        <v>164</v>
      </c>
      <c r="U119" s="156" t="s">
        <v>640</v>
      </c>
      <c r="V119" s="156">
        <v>10186</v>
      </c>
      <c r="Z119" s="156">
        <v>0</v>
      </c>
      <c r="AB119" s="156">
        <v>150</v>
      </c>
      <c r="AC119" s="276">
        <v>16.399999999999999</v>
      </c>
      <c r="AD119" s="147">
        <v>2460</v>
      </c>
      <c r="AF119" s="156">
        <v>216</v>
      </c>
      <c r="AG119" s="156">
        <v>14.26</v>
      </c>
      <c r="AH119" s="147">
        <v>3080.16</v>
      </c>
      <c r="AJ119" s="156">
        <v>366</v>
      </c>
      <c r="AK119" s="147">
        <v>5540.16</v>
      </c>
    </row>
    <row r="120" spans="19:37" ht="14.4">
      <c r="AB120" s="170">
        <f>SUM(AB117:AB119)</f>
        <v>246</v>
      </c>
      <c r="AC120" s="276"/>
      <c r="AD120" s="147">
        <f>SUM(AD117:AD119)</f>
        <v>4034.3999999999996</v>
      </c>
      <c r="AE120" s="270">
        <f>AD120/12</f>
        <v>336.2</v>
      </c>
      <c r="AF120" s="170">
        <f>SUM(AF117:AF119)</f>
        <v>567</v>
      </c>
      <c r="AH120" s="147">
        <f>SUM(AH117:AH119)</f>
        <v>8085.42</v>
      </c>
      <c r="AI120" s="270">
        <f>AH120/12</f>
        <v>673.78499999999997</v>
      </c>
      <c r="AK120" s="147"/>
    </row>
    <row r="121" spans="19:37" ht="14.4">
      <c r="S121" s="156" t="s">
        <v>522</v>
      </c>
      <c r="T121" s="156">
        <v>167</v>
      </c>
      <c r="U121" s="156" t="s">
        <v>641</v>
      </c>
      <c r="V121" s="156">
        <v>10187</v>
      </c>
      <c r="X121" s="156">
        <v>17</v>
      </c>
      <c r="Y121" s="156">
        <v>29.463200000000001</v>
      </c>
      <c r="Z121" s="156">
        <v>500.87440000000004</v>
      </c>
      <c r="AA121" s="156">
        <f>Z121/12</f>
        <v>41.739533333333334</v>
      </c>
      <c r="AB121" s="156">
        <v>80</v>
      </c>
      <c r="AC121" s="276">
        <v>19.337972525044805</v>
      </c>
      <c r="AD121" s="147">
        <v>1547.0378020035844</v>
      </c>
      <c r="AE121" s="270">
        <f>AD121/12</f>
        <v>128.91981683363204</v>
      </c>
      <c r="AF121" s="156">
        <v>98</v>
      </c>
      <c r="AG121" s="276">
        <v>10.839818595619199</v>
      </c>
      <c r="AH121" s="147">
        <v>1062.3022223706816</v>
      </c>
      <c r="AI121" s="270">
        <f>AH121/12</f>
        <v>88.525185197556809</v>
      </c>
      <c r="AJ121" s="156">
        <v>195</v>
      </c>
      <c r="AK121" s="147">
        <v>3110.2144243742664</v>
      </c>
    </row>
    <row r="122" spans="19:37" ht="14.4">
      <c r="AC122" s="276"/>
      <c r="AD122" s="147"/>
      <c r="AG122" s="276"/>
      <c r="AH122" s="147"/>
      <c r="AK122" s="147"/>
    </row>
    <row r="123" spans="19:37" ht="14.4">
      <c r="S123" s="156" t="s">
        <v>522</v>
      </c>
      <c r="T123" s="156">
        <v>173</v>
      </c>
      <c r="U123" s="156" t="s">
        <v>642</v>
      </c>
      <c r="V123" s="156">
        <v>10188</v>
      </c>
      <c r="Z123" s="156">
        <v>0</v>
      </c>
      <c r="AB123" s="156">
        <v>20</v>
      </c>
      <c r="AC123" s="276">
        <v>29.880960388329601</v>
      </c>
      <c r="AD123" s="147">
        <v>597.61920776659201</v>
      </c>
      <c r="AE123" s="270">
        <f>AD123/12</f>
        <v>49.801600647215999</v>
      </c>
      <c r="AF123" s="156">
        <v>54</v>
      </c>
      <c r="AG123" s="276">
        <v>29.880960388329601</v>
      </c>
      <c r="AH123" s="147">
        <v>1613.5718609697985</v>
      </c>
      <c r="AI123" s="270">
        <f>AH123/12</f>
        <v>134.46432174748321</v>
      </c>
      <c r="AJ123" s="156">
        <v>74</v>
      </c>
      <c r="AK123" s="147">
        <v>2211.1910687363907</v>
      </c>
    </row>
    <row r="124" spans="19:37" ht="14.4">
      <c r="AC124" s="276"/>
      <c r="AD124" s="147"/>
      <c r="AG124" s="276"/>
      <c r="AH124" s="147"/>
      <c r="AK124" s="147"/>
    </row>
    <row r="125" spans="19:37" ht="14.4">
      <c r="S125" s="156" t="s">
        <v>522</v>
      </c>
      <c r="T125" s="156">
        <v>13</v>
      </c>
      <c r="U125" s="156" t="s">
        <v>643</v>
      </c>
      <c r="V125" s="156">
        <v>10189</v>
      </c>
      <c r="Z125" s="156">
        <v>0</v>
      </c>
      <c r="AC125" s="276"/>
      <c r="AD125" s="147">
        <v>0</v>
      </c>
      <c r="AF125" s="156">
        <v>7</v>
      </c>
      <c r="AG125" s="276">
        <v>14.26</v>
      </c>
      <c r="AH125" s="147">
        <v>99.82</v>
      </c>
      <c r="AJ125" s="156">
        <v>7</v>
      </c>
      <c r="AK125" s="147">
        <v>99.82</v>
      </c>
    </row>
    <row r="126" spans="19:37" ht="14.4">
      <c r="S126" s="156" t="s">
        <v>522</v>
      </c>
      <c r="T126" s="156">
        <v>11</v>
      </c>
      <c r="U126" s="156" t="s">
        <v>644</v>
      </c>
      <c r="V126" s="156">
        <v>10190</v>
      </c>
      <c r="Z126" s="156">
        <v>0</v>
      </c>
      <c r="AC126" s="276"/>
      <c r="AD126" s="147">
        <v>0</v>
      </c>
      <c r="AF126" s="156">
        <v>61</v>
      </c>
      <c r="AG126" s="276">
        <v>14.26</v>
      </c>
      <c r="AH126" s="147">
        <v>869.86</v>
      </c>
      <c r="AJ126" s="156">
        <v>61</v>
      </c>
      <c r="AK126" s="147">
        <v>869.86</v>
      </c>
    </row>
    <row r="127" spans="19:37" ht="14.4">
      <c r="AC127" s="276"/>
      <c r="AD127" s="147"/>
      <c r="AF127" s="156">
        <f>SUM(AF125:AF126)</f>
        <v>68</v>
      </c>
      <c r="AG127" s="276"/>
      <c r="AH127" s="147">
        <f>SUM(AH125:AH126)</f>
        <v>969.68000000000006</v>
      </c>
      <c r="AI127" s="270">
        <f>AH127/12</f>
        <v>80.806666666666672</v>
      </c>
      <c r="AK127" s="147"/>
    </row>
    <row r="128" spans="19:37" ht="14.4">
      <c r="S128" s="156" t="s">
        <v>522</v>
      </c>
      <c r="T128" s="156">
        <v>16</v>
      </c>
      <c r="U128" s="156" t="s">
        <v>645</v>
      </c>
      <c r="V128" s="156">
        <v>10191</v>
      </c>
      <c r="Z128" s="156">
        <v>0</v>
      </c>
      <c r="AD128" s="147">
        <v>0</v>
      </c>
      <c r="AF128" s="156">
        <v>1876</v>
      </c>
      <c r="AG128" s="276">
        <v>40.410400000000003</v>
      </c>
      <c r="AH128" s="147">
        <v>75809.910400000008</v>
      </c>
      <c r="AI128" s="270">
        <f>AH128/12</f>
        <v>6317.492533333334</v>
      </c>
      <c r="AJ128" s="156">
        <v>1876</v>
      </c>
      <c r="AK128" s="147">
        <v>75809.910400000008</v>
      </c>
    </row>
    <row r="129" spans="25:38" ht="14.4">
      <c r="AD129" s="270"/>
      <c r="AE129" s="270"/>
      <c r="AH129" s="270"/>
      <c r="AI129" s="270"/>
      <c r="AJ129" s="156">
        <v>17323</v>
      </c>
      <c r="AK129" s="147">
        <v>193550.82009311067</v>
      </c>
    </row>
    <row r="130" spans="25:38" ht="14.4">
      <c r="AK130" s="147">
        <f>AK129/12</f>
        <v>16129.235007759222</v>
      </c>
      <c r="AL130" s="156" t="s">
        <v>615</v>
      </c>
    </row>
    <row r="131" spans="25:38">
      <c r="Y131" s="156">
        <v>29.55</v>
      </c>
      <c r="Z131" s="156">
        <v>2</v>
      </c>
      <c r="AA131" s="156">
        <f>Y131*Z131</f>
        <v>59.1</v>
      </c>
      <c r="AG131" s="172">
        <f>AG85</f>
        <v>29.96463</v>
      </c>
      <c r="AH131" s="156">
        <v>2</v>
      </c>
      <c r="AI131" s="156">
        <f>AG131*AH131</f>
        <v>59.929259999999999</v>
      </c>
    </row>
    <row r="132" spans="25:38">
      <c r="Y132" s="156">
        <v>29.46</v>
      </c>
      <c r="Z132" s="156">
        <v>10</v>
      </c>
      <c r="AA132" s="156">
        <f>Y132*10</f>
        <v>294.60000000000002</v>
      </c>
      <c r="AG132" s="276">
        <f>AG113</f>
        <v>29.881</v>
      </c>
      <c r="AH132" s="156">
        <v>10</v>
      </c>
      <c r="AI132" s="156">
        <f>AG132*10</f>
        <v>298.81</v>
      </c>
    </row>
    <row r="133" spans="25:38">
      <c r="Z133" s="156">
        <f>Z131+Z132</f>
        <v>12</v>
      </c>
      <c r="AA133" s="156">
        <f>AA131+AA132</f>
        <v>353.70000000000005</v>
      </c>
      <c r="AB133" s="156">
        <f>AA133/Z133</f>
        <v>29.475000000000005</v>
      </c>
      <c r="AH133" s="156">
        <f>AH131+AH132</f>
        <v>12</v>
      </c>
      <c r="AI133" s="156">
        <f>AI131+AI132</f>
        <v>358.73926</v>
      </c>
      <c r="AJ133" s="156">
        <f>AI133/AH133</f>
        <v>29.894938333333332</v>
      </c>
    </row>
    <row r="134" spans="25:38">
      <c r="Y134" s="172">
        <f>AC85</f>
        <v>23.272749999999998</v>
      </c>
      <c r="Z134" s="156">
        <v>2</v>
      </c>
      <c r="AA134" s="156">
        <f>Y134*Z134</f>
        <v>46.545499999999997</v>
      </c>
      <c r="AG134" s="172">
        <f>AG89</f>
        <v>14.58</v>
      </c>
      <c r="AH134" s="156">
        <v>2</v>
      </c>
      <c r="AI134" s="156">
        <f>AG134*AH134</f>
        <v>29.16</v>
      </c>
    </row>
    <row r="135" spans="25:38">
      <c r="Y135" s="276">
        <f>AC113</f>
        <v>23.207799999999999</v>
      </c>
      <c r="Z135" s="156">
        <v>10</v>
      </c>
      <c r="AA135" s="156">
        <f>Y135*10</f>
        <v>232.07799999999997</v>
      </c>
      <c r="AG135" s="156">
        <f>AG117</f>
        <v>14.26</v>
      </c>
      <c r="AH135" s="156">
        <v>10</v>
      </c>
      <c r="AI135" s="156">
        <f>AG135*10</f>
        <v>142.6</v>
      </c>
    </row>
    <row r="136" spans="25:38">
      <c r="Z136" s="156">
        <f>Z134+Z135</f>
        <v>12</v>
      </c>
      <c r="AA136" s="156">
        <f>AA134+AA135</f>
        <v>278.62349999999998</v>
      </c>
      <c r="AB136" s="156">
        <f>AA136/Z136</f>
        <v>23.218624999999999</v>
      </c>
      <c r="AH136" s="156">
        <f>AH134+AH135</f>
        <v>12</v>
      </c>
      <c r="AI136" s="156">
        <f>AI134+AI135</f>
        <v>171.76</v>
      </c>
      <c r="AJ136" s="156">
        <f>AI136/AH136</f>
        <v>14.313333333333333</v>
      </c>
    </row>
    <row r="137" spans="25:38">
      <c r="Y137" s="172">
        <f>AC89</f>
        <v>16.48</v>
      </c>
      <c r="Z137" s="156">
        <v>2</v>
      </c>
      <c r="AA137" s="156">
        <f>Y137*Z137</f>
        <v>32.96</v>
      </c>
      <c r="AG137" s="172">
        <f>AG100</f>
        <v>43.279510000000002</v>
      </c>
      <c r="AH137" s="156">
        <v>2</v>
      </c>
      <c r="AI137" s="156">
        <f>AG137*AH137</f>
        <v>86.559020000000004</v>
      </c>
    </row>
    <row r="138" spans="25:38">
      <c r="Y138" s="276">
        <f>AC117</f>
        <v>16.399999999999999</v>
      </c>
      <c r="Z138" s="156">
        <v>10</v>
      </c>
      <c r="AA138" s="156">
        <f>Y138*10</f>
        <v>164</v>
      </c>
      <c r="AG138" s="276">
        <f>AG128</f>
        <v>40.410400000000003</v>
      </c>
      <c r="AH138" s="156">
        <v>10</v>
      </c>
      <c r="AI138" s="156">
        <f>AG138*10</f>
        <v>404.10400000000004</v>
      </c>
    </row>
    <row r="139" spans="25:38">
      <c r="Z139" s="156">
        <f>Z137+Z138</f>
        <v>12</v>
      </c>
      <c r="AA139" s="156">
        <f>AA137+AA138</f>
        <v>196.96</v>
      </c>
      <c r="AB139" s="156">
        <f>AA139/Z139</f>
        <v>16.413333333333334</v>
      </c>
      <c r="AH139" s="156">
        <f>AH137+AH138</f>
        <v>12</v>
      </c>
      <c r="AI139" s="156">
        <f>AI137+AI138</f>
        <v>490.66302000000007</v>
      </c>
      <c r="AJ139" s="156">
        <f>AI139/AH139</f>
        <v>40.888585000000006</v>
      </c>
    </row>
    <row r="140" spans="25:38">
      <c r="Y140" s="172">
        <f>AC93</f>
        <v>19.392119999999998</v>
      </c>
      <c r="Z140" s="156">
        <v>2</v>
      </c>
      <c r="AA140" s="156">
        <f>Y140*Z140</f>
        <v>38.784239999999997</v>
      </c>
      <c r="AG140" s="172">
        <f>AG93</f>
        <v>10.87017</v>
      </c>
      <c r="AH140" s="156">
        <v>2</v>
      </c>
      <c r="AI140" s="156">
        <f>AG140*AH140</f>
        <v>21.74034</v>
      </c>
    </row>
    <row r="141" spans="25:38">
      <c r="Y141" s="276">
        <f>AC121</f>
        <v>19.337972525044805</v>
      </c>
      <c r="Z141" s="156">
        <v>10</v>
      </c>
      <c r="AA141" s="156">
        <f>Y141*10</f>
        <v>193.37972525044805</v>
      </c>
      <c r="AG141" s="276">
        <f>AG121</f>
        <v>10.839818595619199</v>
      </c>
      <c r="AH141" s="156">
        <v>10</v>
      </c>
      <c r="AI141" s="156">
        <f>AG141*10</f>
        <v>108.39818595619199</v>
      </c>
    </row>
    <row r="142" spans="25:38">
      <c r="Z142" s="156">
        <f>Z140+Z141</f>
        <v>12</v>
      </c>
      <c r="AA142" s="156">
        <f>AA140+AA141</f>
        <v>232.16396525044803</v>
      </c>
      <c r="AB142" s="156">
        <f>AA142/Z142</f>
        <v>19.346997104204004</v>
      </c>
      <c r="AH142" s="156">
        <f>AH140+AH141</f>
        <v>12</v>
      </c>
      <c r="AI142" s="156">
        <f>AI140+AI141</f>
        <v>130.13852595619198</v>
      </c>
      <c r="AJ142" s="156">
        <f>AI142/AH142</f>
        <v>10.844877163015999</v>
      </c>
    </row>
    <row r="143" spans="25:38">
      <c r="Y143" s="276">
        <f>AC95</f>
        <v>29.96463</v>
      </c>
      <c r="Z143" s="156">
        <v>2</v>
      </c>
      <c r="AA143" s="156">
        <f>Y143*Z143</f>
        <v>59.929259999999999</v>
      </c>
    </row>
    <row r="144" spans="25:38">
      <c r="Y144" s="276">
        <f>AC123</f>
        <v>29.880960388329601</v>
      </c>
      <c r="Z144" s="156">
        <v>10</v>
      </c>
      <c r="AA144" s="156">
        <f>Y144*10</f>
        <v>298.80960388329601</v>
      </c>
    </row>
    <row r="145" spans="26:28">
      <c r="Z145" s="156">
        <f>Z143+Z144</f>
        <v>12</v>
      </c>
      <c r="AA145" s="156">
        <f>AA143+AA144</f>
        <v>358.73886388329601</v>
      </c>
      <c r="AB145" s="156">
        <f>AA145/Z145</f>
        <v>29.894905323608</v>
      </c>
    </row>
  </sheetData>
  <mergeCells count="6">
    <mergeCell ref="A6:R6"/>
    <mergeCell ref="G10:I10"/>
    <mergeCell ref="J10:N10"/>
    <mergeCell ref="P10:R10"/>
    <mergeCell ref="A3:R3"/>
    <mergeCell ref="A4:R4"/>
  </mergeCells>
  <printOptions horizontalCentered="1"/>
  <pageMargins left="0.25" right="0.25" top="0.5" bottom="0.5" header="0.3" footer="0.3"/>
  <pageSetup scale="58" orientation="landscape" r:id="rId1"/>
  <headerFooter alignWithMargins="0"/>
  <ignoredErrors>
    <ignoredError sqref="L25:N25 P33 L44:P47 E53 M5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439AA-2C62-4501-9A17-2910CE51993C}">
  <sheetPr>
    <pageSetUpPr fitToPage="1"/>
  </sheetPr>
  <dimension ref="A1:O61"/>
  <sheetViews>
    <sheetView view="pageBreakPreview" zoomScaleNormal="100" zoomScaleSheetLayoutView="100" workbookViewId="0">
      <selection activeCell="K17" sqref="K17"/>
    </sheetView>
  </sheetViews>
  <sheetFormatPr defaultRowHeight="13.2"/>
  <cols>
    <col min="1" max="1" width="6" style="164" customWidth="1"/>
    <col min="2" max="2" width="2.6640625" style="164" customWidth="1"/>
    <col min="3" max="3" width="38.109375" style="164" customWidth="1"/>
    <col min="4" max="4" width="3.33203125" style="164" customWidth="1"/>
    <col min="5" max="5" width="15.21875" style="164" bestFit="1" customWidth="1"/>
    <col min="6" max="6" width="4" style="164" customWidth="1"/>
    <col min="7" max="7" width="14.21875" style="164" bestFit="1" customWidth="1"/>
    <col min="8" max="8" width="10" style="164" hidden="1" customWidth="1"/>
    <col min="9" max="9" width="16" style="164" hidden="1" customWidth="1"/>
    <col min="10" max="10" width="10.6640625" style="164" customWidth="1"/>
    <col min="11" max="11" width="15.6640625" style="164" bestFit="1" customWidth="1"/>
    <col min="12" max="12" width="12.5546875" style="164" customWidth="1"/>
    <col min="13" max="14" width="13.6640625" style="164" bestFit="1" customWidth="1"/>
    <col min="15" max="15" width="9.33203125" style="164" bestFit="1" customWidth="1"/>
    <col min="16" max="16384" width="8.88671875" style="164"/>
  </cols>
  <sheetData>
    <row r="1" spans="1:15" s="8" customFormat="1">
      <c r="G1" s="4" t="s">
        <v>655</v>
      </c>
    </row>
    <row r="2" spans="1:15" s="8" customFormat="1" ht="20.25" customHeight="1">
      <c r="E2" s="4"/>
    </row>
    <row r="3" spans="1:15" s="8" customFormat="1">
      <c r="A3" s="432" t="str">
        <f>RevReq!A1</f>
        <v>KENERGY CORP.</v>
      </c>
      <c r="B3" s="432"/>
      <c r="C3" s="432"/>
      <c r="D3" s="432"/>
      <c r="E3" s="432"/>
      <c r="F3" s="432"/>
      <c r="G3" s="432"/>
    </row>
    <row r="4" spans="1:15" s="8" customFormat="1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</row>
    <row r="5" spans="1:15" s="8" customFormat="1"/>
    <row r="6" spans="1:15" s="5" customFormat="1" ht="15" customHeight="1">
      <c r="A6" s="429" t="str">
        <f>'Adj List'!C14</f>
        <v>Disallowed Expenses</v>
      </c>
      <c r="B6" s="429"/>
      <c r="C6" s="429"/>
      <c r="D6" s="429"/>
      <c r="E6" s="429"/>
      <c r="F6" s="429"/>
      <c r="G6" s="429"/>
    </row>
    <row r="7" spans="1:15">
      <c r="A7" s="158"/>
      <c r="B7" s="158"/>
      <c r="C7" s="158"/>
      <c r="D7" s="158"/>
      <c r="E7" s="158"/>
      <c r="F7" s="158"/>
      <c r="H7" s="158"/>
      <c r="I7" s="158"/>
      <c r="K7" s="158"/>
      <c r="L7" s="158"/>
      <c r="M7" s="158"/>
      <c r="N7" s="158"/>
      <c r="O7" s="158"/>
    </row>
    <row r="8" spans="1:15">
      <c r="C8" s="262" t="s">
        <v>282</v>
      </c>
      <c r="D8" s="262"/>
      <c r="E8" s="262" t="s">
        <v>283</v>
      </c>
      <c r="F8" s="262"/>
      <c r="G8" s="158" t="s">
        <v>383</v>
      </c>
      <c r="K8" s="158"/>
      <c r="L8" s="158"/>
      <c r="M8" s="158"/>
      <c r="N8" s="158"/>
      <c r="O8" s="158"/>
    </row>
    <row r="9" spans="1:15">
      <c r="C9" s="262"/>
      <c r="D9" s="262"/>
      <c r="E9" s="262"/>
      <c r="F9" s="262"/>
      <c r="G9" s="262"/>
    </row>
    <row r="10" spans="1:15">
      <c r="A10" s="313">
        <v>1</v>
      </c>
      <c r="B10" s="313"/>
      <c r="C10" s="164" t="s">
        <v>582</v>
      </c>
      <c r="D10" s="263"/>
      <c r="E10" s="375">
        <v>54950.31</v>
      </c>
      <c r="F10" s="262"/>
      <c r="G10" s="376">
        <v>923</v>
      </c>
      <c r="I10" s="377"/>
      <c r="M10" s="377"/>
    </row>
    <row r="11" spans="1:15">
      <c r="A11" s="313"/>
      <c r="B11" s="313"/>
      <c r="D11" s="263"/>
      <c r="E11" s="377"/>
      <c r="F11" s="262"/>
      <c r="G11" s="378"/>
      <c r="I11" s="377"/>
      <c r="M11" s="377"/>
    </row>
    <row r="12" spans="1:15">
      <c r="A12" s="313">
        <v>2</v>
      </c>
      <c r="B12" s="313"/>
      <c r="C12" s="164" t="s">
        <v>653</v>
      </c>
      <c r="D12" s="263"/>
      <c r="E12" s="377">
        <v>0</v>
      </c>
      <c r="F12" s="262"/>
      <c r="G12" s="378"/>
      <c r="I12" s="377"/>
      <c r="M12" s="377"/>
    </row>
    <row r="13" spans="1:15">
      <c r="A13" s="313"/>
      <c r="B13" s="313"/>
      <c r="D13" s="263"/>
      <c r="E13" s="377"/>
      <c r="F13" s="262"/>
      <c r="G13" s="378"/>
      <c r="I13" s="377"/>
      <c r="M13" s="377"/>
    </row>
    <row r="14" spans="1:15">
      <c r="A14" s="313">
        <v>3</v>
      </c>
      <c r="B14" s="313"/>
      <c r="C14" s="164" t="s">
        <v>15</v>
      </c>
      <c r="D14" s="263"/>
      <c r="E14" s="377">
        <f>E12-E10</f>
        <v>-54950.31</v>
      </c>
      <c r="F14" s="262"/>
      <c r="G14" s="377"/>
      <c r="I14" s="377"/>
      <c r="L14" s="377"/>
    </row>
    <row r="15" spans="1:15">
      <c r="A15" s="313"/>
      <c r="B15" s="313"/>
      <c r="D15" s="263"/>
      <c r="E15" s="377"/>
      <c r="F15" s="262"/>
      <c r="G15" s="378"/>
      <c r="I15" s="377"/>
      <c r="L15" s="377"/>
    </row>
    <row r="16" spans="1:15">
      <c r="A16" s="313"/>
      <c r="B16" s="313"/>
      <c r="D16" s="263"/>
      <c r="F16" s="379"/>
      <c r="G16" s="378"/>
      <c r="I16" s="377"/>
      <c r="N16" s="377"/>
    </row>
    <row r="17" spans="1:13">
      <c r="A17" s="313"/>
      <c r="B17" s="313"/>
      <c r="C17" s="164" t="s">
        <v>652</v>
      </c>
      <c r="D17" s="263"/>
      <c r="F17" s="377"/>
      <c r="G17" s="377"/>
      <c r="I17" s="377"/>
    </row>
    <row r="18" spans="1:13">
      <c r="A18" s="313"/>
      <c r="B18" s="313"/>
      <c r="F18" s="377"/>
      <c r="G18" s="377"/>
      <c r="H18" s="262"/>
      <c r="I18" s="377"/>
    </row>
    <row r="19" spans="1:13">
      <c r="A19" s="313"/>
      <c r="B19" s="313"/>
      <c r="D19" s="263"/>
      <c r="F19" s="375"/>
      <c r="G19" s="380"/>
      <c r="H19" s="262"/>
      <c r="I19" s="377"/>
      <c r="K19" s="377"/>
    </row>
    <row r="20" spans="1:13">
      <c r="A20" s="313"/>
      <c r="B20" s="313"/>
      <c r="D20" s="263"/>
      <c r="F20" s="381"/>
      <c r="G20" s="380"/>
      <c r="I20" s="377"/>
      <c r="M20" s="377"/>
    </row>
    <row r="21" spans="1:13">
      <c r="A21" s="313"/>
      <c r="B21" s="313"/>
      <c r="F21" s="377"/>
      <c r="G21" s="377"/>
      <c r="I21" s="377"/>
    </row>
    <row r="22" spans="1:13">
      <c r="A22" s="313"/>
      <c r="B22" s="313"/>
      <c r="F22" s="377"/>
    </row>
    <row r="23" spans="1:13">
      <c r="A23" s="313"/>
      <c r="B23" s="313"/>
      <c r="F23" s="377"/>
    </row>
    <row r="24" spans="1:13">
      <c r="A24" s="313"/>
      <c r="B24" s="313"/>
    </row>
    <row r="25" spans="1:13">
      <c r="A25" s="313"/>
      <c r="B25" s="313"/>
    </row>
    <row r="26" spans="1:13">
      <c r="A26" s="313"/>
      <c r="B26" s="313"/>
    </row>
    <row r="27" spans="1:13">
      <c r="A27" s="313"/>
      <c r="B27" s="313"/>
    </row>
    <row r="28" spans="1:13">
      <c r="A28" s="313"/>
      <c r="B28" s="313"/>
    </row>
    <row r="29" spans="1:13">
      <c r="A29" s="313"/>
      <c r="B29" s="313"/>
    </row>
    <row r="30" spans="1:13">
      <c r="A30" s="313"/>
      <c r="B30" s="313"/>
    </row>
    <row r="31" spans="1:13">
      <c r="A31" s="313"/>
      <c r="B31" s="313"/>
    </row>
    <row r="32" spans="1:13">
      <c r="A32" s="313"/>
      <c r="B32" s="313"/>
    </row>
    <row r="33" spans="1:2">
      <c r="A33" s="313"/>
      <c r="B33" s="313"/>
    </row>
    <row r="34" spans="1:2">
      <c r="A34" s="313"/>
      <c r="B34" s="313"/>
    </row>
    <row r="35" spans="1:2">
      <c r="A35" s="313"/>
      <c r="B35" s="313"/>
    </row>
    <row r="36" spans="1:2">
      <c r="A36" s="313"/>
      <c r="B36" s="313"/>
    </row>
    <row r="37" spans="1:2">
      <c r="A37" s="313"/>
      <c r="B37" s="313"/>
    </row>
    <row r="38" spans="1:2">
      <c r="A38" s="313"/>
      <c r="B38" s="313"/>
    </row>
    <row r="39" spans="1:2">
      <c r="A39" s="313"/>
      <c r="B39" s="313"/>
    </row>
    <row r="40" spans="1:2">
      <c r="A40" s="313"/>
    </row>
    <row r="41" spans="1:2">
      <c r="A41" s="313"/>
    </row>
    <row r="42" spans="1:2">
      <c r="A42" s="313"/>
    </row>
    <row r="43" spans="1:2">
      <c r="A43" s="313"/>
    </row>
    <row r="44" spans="1:2">
      <c r="A44" s="313"/>
    </row>
    <row r="45" spans="1:2">
      <c r="A45" s="313"/>
    </row>
    <row r="46" spans="1:2">
      <c r="A46" s="313"/>
    </row>
    <row r="47" spans="1:2">
      <c r="A47" s="313"/>
    </row>
    <row r="48" spans="1:2">
      <c r="A48" s="313"/>
    </row>
    <row r="49" spans="1:1">
      <c r="A49" s="313"/>
    </row>
    <row r="50" spans="1:1">
      <c r="A50" s="313"/>
    </row>
    <row r="51" spans="1:1">
      <c r="A51" s="313"/>
    </row>
    <row r="52" spans="1:1">
      <c r="A52" s="313"/>
    </row>
    <row r="53" spans="1:1">
      <c r="A53" s="313"/>
    </row>
    <row r="54" spans="1:1">
      <c r="A54" s="313"/>
    </row>
    <row r="55" spans="1:1">
      <c r="A55" s="313"/>
    </row>
    <row r="56" spans="1:1">
      <c r="A56" s="313"/>
    </row>
    <row r="57" spans="1:1">
      <c r="A57" s="313"/>
    </row>
    <row r="58" spans="1:1">
      <c r="A58" s="313"/>
    </row>
    <row r="59" spans="1:1">
      <c r="A59" s="313"/>
    </row>
    <row r="60" spans="1:1">
      <c r="A60" s="313"/>
    </row>
    <row r="61" spans="1:1">
      <c r="A61" s="313"/>
    </row>
  </sheetData>
  <mergeCells count="3">
    <mergeCell ref="A3:G3"/>
    <mergeCell ref="A4:G4"/>
    <mergeCell ref="A6:G6"/>
  </mergeCells>
  <printOptions horizontalCentered="1"/>
  <pageMargins left="0.63" right="0.49" top="0.75" bottom="0.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FDCFA-AE08-445B-8C94-C7A5A2C632BC}">
  <sheetPr>
    <pageSetUpPr fitToPage="1"/>
  </sheetPr>
  <dimension ref="A1:L71"/>
  <sheetViews>
    <sheetView view="pageBreakPreview" topLeftCell="D1" zoomScaleNormal="100" zoomScaleSheetLayoutView="100" workbookViewId="0">
      <selection activeCell="L2" sqref="L2"/>
    </sheetView>
  </sheetViews>
  <sheetFormatPr defaultRowHeight="13.2"/>
  <cols>
    <col min="1" max="1" width="8.88671875" style="385"/>
    <col min="2" max="3" width="8.88671875" style="285"/>
    <col min="4" max="4" width="11.88671875" style="285" bestFit="1" customWidth="1"/>
    <col min="5" max="6" width="20.33203125" style="285" bestFit="1" customWidth="1"/>
    <col min="7" max="7" width="19" style="285" bestFit="1" customWidth="1"/>
    <col min="8" max="8" width="20.33203125" style="285" bestFit="1" customWidth="1"/>
    <col min="9" max="9" width="22.44140625" style="285" bestFit="1" customWidth="1"/>
    <col min="10" max="10" width="14.33203125" style="285" bestFit="1" customWidth="1"/>
    <col min="11" max="11" width="12.33203125" style="285" bestFit="1" customWidth="1"/>
    <col min="12" max="12" width="11.33203125" style="285" bestFit="1" customWidth="1"/>
    <col min="13" max="13" width="9.6640625" style="285" bestFit="1" customWidth="1"/>
    <col min="14" max="16384" width="8.88671875" style="285"/>
  </cols>
  <sheetData>
    <row r="1" spans="1:12" ht="15">
      <c r="A1" s="8"/>
      <c r="B1" s="8"/>
      <c r="C1" s="8"/>
      <c r="D1" s="8"/>
      <c r="E1" s="8"/>
      <c r="F1" s="8"/>
      <c r="G1" s="8"/>
      <c r="H1" s="8"/>
      <c r="I1" s="156"/>
      <c r="K1" s="181"/>
      <c r="L1" s="4" t="s">
        <v>697</v>
      </c>
    </row>
    <row r="2" spans="1:12" ht="15.6">
      <c r="A2" s="8"/>
      <c r="B2" s="8"/>
      <c r="C2" s="8"/>
      <c r="D2" s="8"/>
      <c r="E2" s="4"/>
      <c r="F2" s="8"/>
      <c r="G2" s="8"/>
      <c r="H2" s="8"/>
      <c r="I2" s="8"/>
      <c r="J2" s="154"/>
      <c r="K2" s="181"/>
      <c r="L2" s="173"/>
    </row>
    <row r="3" spans="1:12">
      <c r="A3" s="432" t="str">
        <f>RevReq!A1</f>
        <v>KENERGY CORP.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>
      <c r="A4" s="432" t="str">
        <f>RevReq!A3</f>
        <v>For the 12 Months Ended February 28, 2023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</row>
    <row r="5" spans="1:12" ht="15.6">
      <c r="A5" s="8"/>
      <c r="B5" s="8"/>
      <c r="C5" s="8"/>
      <c r="D5" s="8"/>
      <c r="E5" s="8"/>
      <c r="F5" s="8"/>
      <c r="G5" s="8"/>
      <c r="H5" s="8"/>
      <c r="I5" s="8"/>
      <c r="J5" s="154"/>
      <c r="K5" s="181"/>
      <c r="L5" s="173"/>
    </row>
    <row r="6" spans="1:12">
      <c r="A6" s="429" t="str">
        <f>'Adj List'!C23</f>
        <v>PSC Assessment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8" spans="1:12">
      <c r="A8" s="385" t="s">
        <v>0</v>
      </c>
      <c r="E8" s="386" t="s">
        <v>282</v>
      </c>
      <c r="F8" s="385"/>
      <c r="G8" s="386" t="s">
        <v>283</v>
      </c>
      <c r="H8" s="386" t="s">
        <v>284</v>
      </c>
      <c r="I8" s="386" t="s">
        <v>285</v>
      </c>
      <c r="J8" s="386" t="s">
        <v>304</v>
      </c>
    </row>
    <row r="9" spans="1:12">
      <c r="A9" s="387" t="s">
        <v>386</v>
      </c>
      <c r="E9" s="388"/>
      <c r="H9" s="386"/>
      <c r="I9" s="385"/>
      <c r="J9" s="385" t="s">
        <v>656</v>
      </c>
    </row>
    <row r="10" spans="1:12">
      <c r="H10" s="385" t="s">
        <v>384</v>
      </c>
      <c r="I10" s="385"/>
      <c r="J10" s="385" t="s">
        <v>189</v>
      </c>
    </row>
    <row r="11" spans="1:12">
      <c r="A11" s="385">
        <v>1</v>
      </c>
      <c r="B11" s="285" t="s">
        <v>433</v>
      </c>
      <c r="G11" s="385"/>
      <c r="H11" s="389">
        <v>588632589.60565066</v>
      </c>
      <c r="J11" s="389">
        <v>4870117</v>
      </c>
      <c r="L11" s="389"/>
    </row>
    <row r="12" spans="1:12">
      <c r="A12" s="385">
        <f>A11+1</f>
        <v>2</v>
      </c>
      <c r="G12" s="385"/>
    </row>
    <row r="13" spans="1:12">
      <c r="A13" s="385">
        <f t="shared" ref="A13:A39" si="0">A12+1</f>
        <v>3</v>
      </c>
      <c r="B13" s="285" t="s">
        <v>434</v>
      </c>
      <c r="G13" s="385"/>
    </row>
    <row r="14" spans="1:12">
      <c r="A14" s="385">
        <f t="shared" si="0"/>
        <v>4</v>
      </c>
      <c r="G14" s="385"/>
      <c r="H14" s="124">
        <v>0</v>
      </c>
      <c r="J14" s="124">
        <v>0</v>
      </c>
    </row>
    <row r="15" spans="1:12" ht="14.4">
      <c r="A15" s="385">
        <f t="shared" si="0"/>
        <v>5</v>
      </c>
      <c r="D15" s="285" t="s">
        <v>657</v>
      </c>
      <c r="G15" s="385"/>
      <c r="H15" s="162">
        <v>53551470.488649994</v>
      </c>
      <c r="J15" s="162"/>
    </row>
    <row r="16" spans="1:12" ht="14.4">
      <c r="A16" s="385">
        <f t="shared" si="0"/>
        <v>6</v>
      </c>
      <c r="D16" s="285" t="s">
        <v>658</v>
      </c>
      <c r="G16" s="385"/>
      <c r="H16" s="162">
        <v>16720218.734499998</v>
      </c>
      <c r="J16" s="162"/>
    </row>
    <row r="17" spans="1:10" ht="14.4">
      <c r="A17" s="385">
        <f t="shared" si="0"/>
        <v>7</v>
      </c>
      <c r="D17" s="285" t="s">
        <v>659</v>
      </c>
      <c r="G17" s="385"/>
      <c r="H17" s="166">
        <v>109832667.90695721</v>
      </c>
      <c r="J17" s="166">
        <v>0</v>
      </c>
    </row>
    <row r="18" spans="1:10">
      <c r="A18" s="385">
        <f t="shared" si="0"/>
        <v>8</v>
      </c>
      <c r="H18" s="390">
        <f>SUM(H14:H17)</f>
        <v>180104357.13010719</v>
      </c>
      <c r="J18" s="390">
        <f>SUM(J14:J17)</f>
        <v>0</v>
      </c>
    </row>
    <row r="19" spans="1:10" ht="14.4">
      <c r="A19" s="385">
        <f t="shared" si="0"/>
        <v>9</v>
      </c>
      <c r="H19" s="166">
        <f>-H18*0.5</f>
        <v>-90052178.565053597</v>
      </c>
      <c r="I19" s="391"/>
      <c r="J19" s="166">
        <f>-J18*0.5</f>
        <v>0</v>
      </c>
    </row>
    <row r="20" spans="1:10">
      <c r="A20" s="385">
        <f t="shared" si="0"/>
        <v>10</v>
      </c>
      <c r="D20" s="285" t="s">
        <v>435</v>
      </c>
      <c r="H20" s="390">
        <f>H18+H19</f>
        <v>90052178.565053597</v>
      </c>
      <c r="J20" s="390">
        <f>J18+J19</f>
        <v>0</v>
      </c>
    </row>
    <row r="21" spans="1:10">
      <c r="A21" s="385">
        <f t="shared" si="0"/>
        <v>11</v>
      </c>
      <c r="D21" s="285" t="s">
        <v>660</v>
      </c>
      <c r="H21" s="390">
        <f>H11-H20</f>
        <v>498580411.04059708</v>
      </c>
      <c r="J21" s="390">
        <f>J11-J20</f>
        <v>4870117</v>
      </c>
    </row>
    <row r="22" spans="1:10">
      <c r="A22" s="385">
        <f t="shared" si="0"/>
        <v>12</v>
      </c>
      <c r="D22" s="285" t="s">
        <v>436</v>
      </c>
      <c r="G22" s="386" t="s">
        <v>18</v>
      </c>
      <c r="H22" s="392">
        <f>F29</f>
        <v>1.4996074415873086E-3</v>
      </c>
      <c r="J22" s="392">
        <f>F29</f>
        <v>1.4996074415873086E-3</v>
      </c>
    </row>
    <row r="23" spans="1:10">
      <c r="A23" s="385">
        <f t="shared" si="0"/>
        <v>13</v>
      </c>
      <c r="H23" s="390">
        <f>H21*H22</f>
        <v>747674.8946261385</v>
      </c>
      <c r="J23" s="390">
        <f>J21*J22</f>
        <v>7303.2636946008588</v>
      </c>
    </row>
    <row r="24" spans="1:10" ht="14.4">
      <c r="A24" s="385">
        <f t="shared" si="0"/>
        <v>14</v>
      </c>
      <c r="F24" s="285" t="s">
        <v>661</v>
      </c>
      <c r="G24" s="386" t="s">
        <v>20</v>
      </c>
      <c r="H24" s="166">
        <f>E39</f>
        <v>589498.89</v>
      </c>
      <c r="J24" s="393"/>
    </row>
    <row r="25" spans="1:10" ht="15" thickBot="1">
      <c r="A25" s="385">
        <f t="shared" si="0"/>
        <v>15</v>
      </c>
      <c r="F25" s="285" t="s">
        <v>662</v>
      </c>
      <c r="H25" s="394">
        <f>H23-H24</f>
        <v>158176.00462613849</v>
      </c>
      <c r="I25" s="395"/>
      <c r="J25" s="394">
        <f>J23-J24</f>
        <v>7303.2636946008588</v>
      </c>
    </row>
    <row r="26" spans="1:10" ht="13.8" thickTop="1">
      <c r="A26" s="385">
        <f t="shared" si="0"/>
        <v>16</v>
      </c>
    </row>
    <row r="27" spans="1:10" ht="14.4">
      <c r="A27" s="385">
        <f t="shared" si="0"/>
        <v>17</v>
      </c>
      <c r="D27" s="285" t="s">
        <v>663</v>
      </c>
      <c r="F27" s="162">
        <v>595871.9</v>
      </c>
    </row>
    <row r="28" spans="1:10" ht="14.4">
      <c r="A28" s="385">
        <f t="shared" si="0"/>
        <v>18</v>
      </c>
      <c r="D28" s="285" t="s">
        <v>437</v>
      </c>
      <c r="F28" s="162">
        <v>397351922.56</v>
      </c>
    </row>
    <row r="29" spans="1:10">
      <c r="A29" s="385">
        <f t="shared" si="0"/>
        <v>19</v>
      </c>
      <c r="D29" s="285" t="s">
        <v>438</v>
      </c>
      <c r="F29" s="392">
        <f>F27/F28</f>
        <v>1.4996074415873086E-3</v>
      </c>
      <c r="G29" s="386" t="s">
        <v>18</v>
      </c>
    </row>
    <row r="30" spans="1:10">
      <c r="A30" s="385">
        <f t="shared" si="0"/>
        <v>20</v>
      </c>
    </row>
    <row r="31" spans="1:10">
      <c r="A31" s="385">
        <f t="shared" si="0"/>
        <v>21</v>
      </c>
    </row>
    <row r="32" spans="1:10">
      <c r="A32" s="385">
        <f t="shared" si="0"/>
        <v>22</v>
      </c>
      <c r="F32" s="385" t="s">
        <v>439</v>
      </c>
    </row>
    <row r="33" spans="1:10">
      <c r="A33" s="385">
        <f t="shared" si="0"/>
        <v>23</v>
      </c>
      <c r="E33" s="385" t="s">
        <v>664</v>
      </c>
      <c r="F33" s="385" t="s">
        <v>440</v>
      </c>
      <c r="G33" s="285" t="s">
        <v>384</v>
      </c>
      <c r="J33" s="385" t="s">
        <v>665</v>
      </c>
    </row>
    <row r="34" spans="1:10">
      <c r="A34" s="385">
        <f t="shared" si="0"/>
        <v>24</v>
      </c>
      <c r="E34" s="385" t="s">
        <v>441</v>
      </c>
      <c r="F34" s="385" t="s">
        <v>442</v>
      </c>
      <c r="G34" s="285" t="s">
        <v>441</v>
      </c>
      <c r="J34" s="385"/>
    </row>
    <row r="35" spans="1:10" ht="14.4">
      <c r="A35" s="385">
        <f t="shared" si="0"/>
        <v>25</v>
      </c>
      <c r="D35" s="285" t="s">
        <v>443</v>
      </c>
      <c r="E35" s="162">
        <v>138102.76999999999</v>
      </c>
      <c r="F35" s="162">
        <v>96206936.272366971</v>
      </c>
      <c r="G35" s="162">
        <f>F35*$H$22</f>
        <v>144272.63756635747</v>
      </c>
      <c r="H35" s="390">
        <f>G35-E35</f>
        <v>6169.8675663574832</v>
      </c>
      <c r="J35" s="390">
        <f>J39</f>
        <v>7303.2636946008588</v>
      </c>
    </row>
    <row r="36" spans="1:10" ht="14.4">
      <c r="A36" s="385">
        <f t="shared" si="0"/>
        <v>26</v>
      </c>
      <c r="D36" s="285" t="s">
        <v>444</v>
      </c>
      <c r="E36" s="162">
        <f>195179.48+209758.36</f>
        <v>404937.83999999997</v>
      </c>
      <c r="F36" s="162">
        <v>366193248.08483499</v>
      </c>
      <c r="G36" s="162">
        <f>F36*$H$22</f>
        <v>549146.11988704605</v>
      </c>
      <c r="H36" s="390">
        <f>G36-E36</f>
        <v>144208.27988704608</v>
      </c>
      <c r="I36" s="388" t="s">
        <v>19</v>
      </c>
      <c r="J36" s="390">
        <v>0</v>
      </c>
    </row>
    <row r="37" spans="1:10" ht="14.4">
      <c r="A37" s="385">
        <f t="shared" si="0"/>
        <v>27</v>
      </c>
      <c r="D37" s="285" t="s">
        <v>445</v>
      </c>
      <c r="E37" s="162">
        <v>33061.360000000001</v>
      </c>
      <c r="F37" s="162">
        <v>26989876.826145001</v>
      </c>
      <c r="G37" s="162">
        <f>F37*$H$22</f>
        <v>40474.220136011892</v>
      </c>
      <c r="H37" s="390">
        <f>G37-E37</f>
        <v>7412.8601360118919</v>
      </c>
      <c r="J37" s="390">
        <v>0</v>
      </c>
    </row>
    <row r="38" spans="1:10" ht="14.4">
      <c r="A38" s="385">
        <f t="shared" si="0"/>
        <v>28</v>
      </c>
      <c r="D38" s="285" t="s">
        <v>446</v>
      </c>
      <c r="E38" s="166">
        <v>13396.92</v>
      </c>
      <c r="F38" s="166">
        <v>9190349.8572499976</v>
      </c>
      <c r="G38" s="166">
        <f>F38*$H$22</f>
        <v>13781.917036722956</v>
      </c>
      <c r="H38" s="393">
        <f>G38-E38</f>
        <v>384.99703672295618</v>
      </c>
      <c r="I38" s="391"/>
      <c r="J38" s="390">
        <v>0</v>
      </c>
    </row>
    <row r="39" spans="1:10" ht="15" thickBot="1">
      <c r="A39" s="385">
        <f t="shared" si="0"/>
        <v>29</v>
      </c>
      <c r="E39" s="394">
        <f>SUM(E35:E38)</f>
        <v>589498.89</v>
      </c>
      <c r="F39" s="394">
        <f>SUM(F35:F38)</f>
        <v>498580411.0405969</v>
      </c>
      <c r="G39" s="394">
        <f>SUM(G35:G38)</f>
        <v>747674.89462613838</v>
      </c>
      <c r="H39" s="396">
        <f>G39-E39</f>
        <v>158176.00462613837</v>
      </c>
      <c r="I39" s="397"/>
      <c r="J39" s="394">
        <f>J25</f>
        <v>7303.2636946008588</v>
      </c>
    </row>
    <row r="40" spans="1:10" ht="13.8" thickTop="1">
      <c r="D40" s="388" t="s">
        <v>666</v>
      </c>
    </row>
    <row r="41" spans="1:10">
      <c r="H41" s="285" t="s">
        <v>667</v>
      </c>
      <c r="I41" s="390">
        <f>H35</f>
        <v>6169.8675663574832</v>
      </c>
    </row>
    <row r="42" spans="1:10">
      <c r="D42" s="388" t="s">
        <v>668</v>
      </c>
      <c r="H42" s="390"/>
      <c r="I42" s="390">
        <f>J35</f>
        <v>7303.2636946008588</v>
      </c>
    </row>
    <row r="43" spans="1:10">
      <c r="H43" s="389"/>
      <c r="I43" s="390">
        <f>H37</f>
        <v>7412.8601360118919</v>
      </c>
    </row>
    <row r="44" spans="1:10">
      <c r="H44" s="390"/>
      <c r="I44" s="393">
        <f>H38</f>
        <v>384.99703672295618</v>
      </c>
    </row>
    <row r="45" spans="1:10" ht="14.4">
      <c r="H45" s="162"/>
      <c r="I45" s="390">
        <f>SUM(I41:I44)</f>
        <v>21270.988433693186</v>
      </c>
    </row>
    <row r="48" spans="1:10" ht="14.4">
      <c r="A48" s="285" t="s">
        <v>669</v>
      </c>
      <c r="E48" s="285" t="s">
        <v>670</v>
      </c>
      <c r="F48" s="147">
        <v>595871.9</v>
      </c>
      <c r="G48" s="285" t="s">
        <v>402</v>
      </c>
    </row>
    <row r="49" spans="1:12">
      <c r="A49" s="285"/>
    </row>
    <row r="50" spans="1:12">
      <c r="A50" s="285"/>
    </row>
    <row r="51" spans="1:12">
      <c r="A51" s="285"/>
    </row>
    <row r="52" spans="1:12">
      <c r="A52" s="285" t="s">
        <v>402</v>
      </c>
      <c r="E52" s="285" t="s">
        <v>402</v>
      </c>
    </row>
    <row r="53" spans="1:12">
      <c r="A53" s="285" t="s">
        <v>671</v>
      </c>
      <c r="E53" s="285" t="s">
        <v>672</v>
      </c>
      <c r="F53" s="285" t="s">
        <v>673</v>
      </c>
      <c r="G53" s="285" t="s">
        <v>674</v>
      </c>
      <c r="H53" s="285" t="s">
        <v>675</v>
      </c>
      <c r="J53" s="285" t="s">
        <v>676</v>
      </c>
      <c r="K53" s="285" t="s">
        <v>677</v>
      </c>
    </row>
    <row r="54" spans="1:12">
      <c r="A54" s="285"/>
    </row>
    <row r="55" spans="1:12" ht="14.4">
      <c r="A55" s="285" t="s">
        <v>678</v>
      </c>
      <c r="E55" s="147">
        <v>127940135.87</v>
      </c>
      <c r="F55" s="147">
        <v>88422557.209999993</v>
      </c>
      <c r="G55" s="147">
        <v>44211278.604999997</v>
      </c>
      <c r="H55" s="147">
        <v>83728857.265000015</v>
      </c>
      <c r="I55" s="441">
        <v>0.21071713136698611</v>
      </c>
      <c r="J55" s="147">
        <v>125560.41743019562</v>
      </c>
      <c r="K55" s="147">
        <v>10463.368119182969</v>
      </c>
      <c r="L55" s="147">
        <v>408.71</v>
      </c>
    </row>
    <row r="56" spans="1:12" ht="14.4">
      <c r="A56" s="285"/>
      <c r="E56" s="147"/>
      <c r="F56" s="147"/>
      <c r="G56" s="147"/>
      <c r="H56" s="147"/>
      <c r="I56" s="441"/>
      <c r="J56" s="147"/>
      <c r="K56" s="147"/>
      <c r="L56" s="147"/>
    </row>
    <row r="57" spans="1:12" ht="14.4">
      <c r="A57" s="285" t="s">
        <v>679</v>
      </c>
      <c r="E57" s="147">
        <v>148416042.94999999</v>
      </c>
      <c r="F57" s="147">
        <v>0</v>
      </c>
      <c r="G57" s="147">
        <v>0</v>
      </c>
      <c r="H57" s="147">
        <v>148416042.94999999</v>
      </c>
      <c r="I57" s="441">
        <v>0.37351283465248419</v>
      </c>
      <c r="J57" s="147">
        <v>222565.80245876161</v>
      </c>
      <c r="K57" s="147">
        <v>18547.1502048968</v>
      </c>
      <c r="L57" s="147">
        <v>408.72199999999998</v>
      </c>
    </row>
    <row r="58" spans="1:12" ht="14.4">
      <c r="A58" s="285" t="s">
        <v>680</v>
      </c>
      <c r="E58" s="147">
        <v>137561423.44</v>
      </c>
      <c r="F58" s="147">
        <v>0</v>
      </c>
      <c r="G58" s="147">
        <v>0</v>
      </c>
      <c r="H58" s="147">
        <v>137561423.44</v>
      </c>
      <c r="I58" s="441">
        <v>0.3461954394324801</v>
      </c>
      <c r="J58" s="147">
        <v>206288.13426596686</v>
      </c>
      <c r="K58" s="147">
        <v>17190.677855497237</v>
      </c>
      <c r="L58" s="147">
        <v>408.721</v>
      </c>
    </row>
    <row r="59" spans="1:12" ht="14.4">
      <c r="A59" s="285"/>
      <c r="E59" s="147"/>
      <c r="F59" s="147"/>
      <c r="G59" s="147"/>
      <c r="H59" s="147"/>
      <c r="I59" s="441"/>
      <c r="J59" s="147"/>
      <c r="K59" s="147"/>
      <c r="L59" s="147"/>
    </row>
    <row r="60" spans="1:12" ht="14.4">
      <c r="A60" s="285" t="s">
        <v>681</v>
      </c>
      <c r="E60" s="147">
        <v>39823254.359999999</v>
      </c>
      <c r="F60" s="147">
        <v>39615891.75</v>
      </c>
      <c r="G60" s="147">
        <v>19807945.875</v>
      </c>
      <c r="H60" s="147">
        <v>20015308.484999999</v>
      </c>
      <c r="I60" s="441">
        <v>5.0371741895819555E-2</v>
      </c>
      <c r="J60" s="147">
        <v>30015.105549771601</v>
      </c>
      <c r="K60" s="147">
        <v>2501.2587958142999</v>
      </c>
      <c r="L60" s="147">
        <v>408.73</v>
      </c>
    </row>
    <row r="61" spans="1:12" ht="14.4">
      <c r="A61" s="285"/>
      <c r="E61" s="147"/>
      <c r="F61" s="147"/>
      <c r="G61" s="147"/>
      <c r="H61" s="147" t="s">
        <v>402</v>
      </c>
      <c r="I61" s="441" t="s">
        <v>402</v>
      </c>
      <c r="J61" s="147" t="s">
        <v>402</v>
      </c>
      <c r="K61" s="147" t="s">
        <v>402</v>
      </c>
      <c r="L61" s="147"/>
    </row>
    <row r="62" spans="1:12" ht="14.4">
      <c r="A62" s="285" t="s">
        <v>682</v>
      </c>
      <c r="E62" s="147">
        <v>14416963.9</v>
      </c>
      <c r="F62" s="147">
        <v>13573346.960000001</v>
      </c>
      <c r="G62" s="147">
        <v>6786673.4800000004</v>
      </c>
      <c r="H62" s="147">
        <v>7630290.4199999999</v>
      </c>
      <c r="I62" s="441">
        <v>1.9202852652230037E-2</v>
      </c>
      <c r="J62" s="147">
        <v>11442.440295304352</v>
      </c>
      <c r="K62" s="147">
        <v>953.53669127536261</v>
      </c>
      <c r="L62" s="147">
        <v>408.74</v>
      </c>
    </row>
    <row r="63" spans="1:12" ht="14.4">
      <c r="A63" s="285"/>
      <c r="E63" s="147"/>
      <c r="F63" s="147"/>
      <c r="G63" s="147"/>
      <c r="H63" s="147"/>
      <c r="I63" s="147"/>
      <c r="J63" s="147"/>
      <c r="K63" s="147"/>
      <c r="L63" s="147"/>
    </row>
    <row r="64" spans="1:12" ht="14.4">
      <c r="A64" s="285"/>
      <c r="E64" s="147">
        <v>468157820.51999998</v>
      </c>
      <c r="F64" s="147">
        <v>141611795.91999999</v>
      </c>
      <c r="G64" s="147">
        <v>70805897.959999993</v>
      </c>
      <c r="H64" s="147">
        <v>397351922.56</v>
      </c>
      <c r="I64" s="147"/>
      <c r="J64" s="147">
        <v>595871.9</v>
      </c>
      <c r="K64" s="147">
        <v>49655.991666666661</v>
      </c>
      <c r="L64" s="147"/>
    </row>
    <row r="65" spans="1:11">
      <c r="A65" s="285"/>
    </row>
    <row r="66" spans="1:11">
      <c r="A66" s="285"/>
      <c r="J66" s="285">
        <v>1.4996074415873086E-3</v>
      </c>
      <c r="K66" s="285" t="s">
        <v>91</v>
      </c>
    </row>
    <row r="67" spans="1:11">
      <c r="A67" s="285"/>
      <c r="E67" s="285" t="s">
        <v>402</v>
      </c>
      <c r="F67" s="285" t="s">
        <v>402</v>
      </c>
      <c r="K67" s="285" t="s">
        <v>402</v>
      </c>
    </row>
    <row r="68" spans="1:11">
      <c r="A68" s="285"/>
      <c r="F68" s="285" t="s">
        <v>402</v>
      </c>
      <c r="I68" s="285" t="s">
        <v>402</v>
      </c>
    </row>
    <row r="69" spans="1:11">
      <c r="A69" s="285"/>
      <c r="I69" s="285" t="s">
        <v>402</v>
      </c>
    </row>
    <row r="70" spans="1:11">
      <c r="A70" s="285"/>
      <c r="I70" s="285" t="s">
        <v>402</v>
      </c>
    </row>
    <row r="71" spans="1:11">
      <c r="A71" s="285"/>
    </row>
  </sheetData>
  <mergeCells count="3">
    <mergeCell ref="A3:L3"/>
    <mergeCell ref="A4:L4"/>
    <mergeCell ref="A6:L6"/>
  </mergeCells>
  <printOptions horizontalCentered="1"/>
  <pageMargins left="0.7" right="0.7" top="0.75" bottom="0.75" header="0.3" footer="0.3"/>
  <pageSetup scale="55" orientation="landscape" r:id="rId1"/>
  <ignoredErrors>
    <ignoredError sqref="G22:G24" numberStoredAsText="1"/>
    <ignoredError sqref="I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71"/>
  <sheetViews>
    <sheetView view="pageBreakPreview" topLeftCell="A37" zoomScale="60" zoomScaleNormal="100" workbookViewId="0">
      <selection activeCell="L71" sqref="L71:L72"/>
    </sheetView>
  </sheetViews>
  <sheetFormatPr defaultColWidth="9.109375" defaultRowHeight="14.4"/>
  <cols>
    <col min="1" max="1" width="9.109375" style="40"/>
    <col min="2" max="2" width="1.5546875" style="40" customWidth="1"/>
    <col min="3" max="3" width="40.33203125" bestFit="1" customWidth="1"/>
    <col min="4" max="4" width="13.5546875" style="79" bestFit="1" customWidth="1"/>
    <col min="5" max="5" width="15.5546875" style="73" customWidth="1"/>
    <col min="6" max="6" width="17.5546875" bestFit="1" customWidth="1"/>
    <col min="7" max="7" width="4.5546875" customWidth="1"/>
    <col min="8" max="8" width="13.44140625" bestFit="1" customWidth="1"/>
    <col min="9" max="9" width="5.88671875" customWidth="1"/>
  </cols>
  <sheetData>
    <row r="1" spans="1:7">
      <c r="A1" s="427" t="str">
        <f>RevReq!A1</f>
        <v>KENERGY CORP.</v>
      </c>
      <c r="B1" s="427"/>
      <c r="C1" s="427"/>
      <c r="D1" s="427"/>
      <c r="E1" s="427"/>
      <c r="F1" s="427"/>
      <c r="G1" s="66"/>
    </row>
    <row r="2" spans="1:7">
      <c r="A2" s="427" t="s">
        <v>141</v>
      </c>
      <c r="B2" s="427"/>
      <c r="C2" s="427"/>
      <c r="D2" s="427"/>
      <c r="E2" s="427"/>
      <c r="F2" s="427"/>
      <c r="G2" s="66"/>
    </row>
    <row r="3" spans="1:7">
      <c r="A3" s="66"/>
      <c r="B3" s="66"/>
      <c r="C3" s="66"/>
      <c r="D3" s="76"/>
      <c r="E3" s="70"/>
      <c r="F3" s="66"/>
      <c r="G3" s="66"/>
    </row>
    <row r="4" spans="1:7">
      <c r="A4" s="7"/>
      <c r="B4" s="7"/>
      <c r="C4" s="8"/>
      <c r="D4" s="81"/>
      <c r="E4" s="37"/>
      <c r="F4" s="37"/>
      <c r="G4" s="39"/>
    </row>
    <row r="5" spans="1:7">
      <c r="A5" s="37" t="s">
        <v>0</v>
      </c>
      <c r="B5" s="37"/>
      <c r="C5" s="37" t="s">
        <v>1</v>
      </c>
      <c r="D5" s="81" t="s">
        <v>107</v>
      </c>
      <c r="E5" s="71" t="s">
        <v>184</v>
      </c>
      <c r="F5" s="37" t="s">
        <v>108</v>
      </c>
      <c r="G5" s="39"/>
    </row>
    <row r="6" spans="1:7" s="65" customFormat="1">
      <c r="A6" s="63" t="s">
        <v>21</v>
      </c>
      <c r="B6" s="63"/>
      <c r="C6" s="64">
        <v>1</v>
      </c>
      <c r="D6" s="64">
        <f>C6+1</f>
        <v>2</v>
      </c>
      <c r="E6" s="64">
        <f>D6+1</f>
        <v>3</v>
      </c>
      <c r="F6" s="64" t="s">
        <v>25</v>
      </c>
    </row>
    <row r="7" spans="1:7">
      <c r="A7" s="7">
        <v>1</v>
      </c>
      <c r="B7" s="69" t="s">
        <v>142</v>
      </c>
      <c r="C7" s="8"/>
      <c r="D7" s="1"/>
      <c r="E7" s="18"/>
      <c r="F7" s="8"/>
    </row>
    <row r="8" spans="1:7">
      <c r="A8" s="7">
        <f>A7+1</f>
        <v>2</v>
      </c>
      <c r="B8" s="7"/>
      <c r="C8" s="8" t="s">
        <v>143</v>
      </c>
      <c r="D8" s="67">
        <v>372710072</v>
      </c>
      <c r="E8" s="67">
        <v>0</v>
      </c>
      <c r="F8" s="67">
        <f>D8+E8</f>
        <v>372710072</v>
      </c>
    </row>
    <row r="9" spans="1:7">
      <c r="A9" s="7">
        <f t="shared" ref="A9:A65" si="0">A8+1</f>
        <v>3</v>
      </c>
      <c r="B9" s="7"/>
      <c r="C9" s="8" t="s">
        <v>144</v>
      </c>
      <c r="D9" s="67">
        <v>4878709</v>
      </c>
      <c r="E9" s="67">
        <v>0</v>
      </c>
      <c r="F9" s="67">
        <f>D9+E9</f>
        <v>4878709</v>
      </c>
    </row>
    <row r="10" spans="1:7">
      <c r="A10" s="7">
        <f t="shared" si="0"/>
        <v>4</v>
      </c>
      <c r="B10" s="7"/>
      <c r="C10" s="8" t="s">
        <v>215</v>
      </c>
      <c r="D10" s="67">
        <f>D8+D9</f>
        <v>377588781</v>
      </c>
      <c r="E10" s="67">
        <v>0</v>
      </c>
      <c r="F10" s="67">
        <f>D10+E10</f>
        <v>377588781</v>
      </c>
    </row>
    <row r="11" spans="1:7">
      <c r="A11" s="7">
        <f t="shared" si="0"/>
        <v>5</v>
      </c>
      <c r="B11" s="7"/>
      <c r="C11" s="8" t="s">
        <v>145</v>
      </c>
      <c r="D11" s="67">
        <v>171298780</v>
      </c>
      <c r="E11" s="67">
        <v>0</v>
      </c>
      <c r="F11" s="67">
        <f>D11+E11</f>
        <v>171298780</v>
      </c>
    </row>
    <row r="12" spans="1:7">
      <c r="A12" s="7">
        <f t="shared" si="0"/>
        <v>6</v>
      </c>
      <c r="B12" s="7"/>
      <c r="C12" s="13" t="s">
        <v>146</v>
      </c>
      <c r="D12" s="72">
        <f>SUM(D10:D10)-D11</f>
        <v>206290001</v>
      </c>
      <c r="E12" s="72">
        <f t="shared" ref="E12:F12" si="1">SUM(E10:E10)-E11</f>
        <v>0</v>
      </c>
      <c r="F12" s="72">
        <f t="shared" si="1"/>
        <v>206290001</v>
      </c>
    </row>
    <row r="13" spans="1:7">
      <c r="A13" s="7">
        <f t="shared" si="0"/>
        <v>7</v>
      </c>
      <c r="B13" s="7"/>
      <c r="C13" s="8"/>
      <c r="D13" s="67"/>
      <c r="E13" s="67"/>
      <c r="F13" s="67"/>
    </row>
    <row r="14" spans="1:7">
      <c r="A14" s="7">
        <f t="shared" si="0"/>
        <v>8</v>
      </c>
      <c r="B14" s="7"/>
      <c r="C14" s="8" t="s">
        <v>206</v>
      </c>
      <c r="D14" s="67">
        <v>0</v>
      </c>
      <c r="E14" s="67">
        <v>0</v>
      </c>
      <c r="F14" s="67">
        <f t="shared" ref="F14:F20" si="2">D14+E14</f>
        <v>0</v>
      </c>
    </row>
    <row r="15" spans="1:7">
      <c r="A15" s="7">
        <f t="shared" si="0"/>
        <v>9</v>
      </c>
      <c r="B15" s="7"/>
      <c r="C15" s="8" t="s">
        <v>147</v>
      </c>
      <c r="D15" s="67">
        <v>1562983</v>
      </c>
      <c r="E15" s="67">
        <v>0</v>
      </c>
      <c r="F15" s="67">
        <f t="shared" si="2"/>
        <v>1562983</v>
      </c>
    </row>
    <row r="16" spans="1:7">
      <c r="A16" s="7">
        <f t="shared" si="0"/>
        <v>10</v>
      </c>
      <c r="B16" s="7"/>
      <c r="C16" s="8" t="s">
        <v>148</v>
      </c>
      <c r="D16" s="67">
        <v>1179960</v>
      </c>
      <c r="E16" s="67">
        <v>0</v>
      </c>
      <c r="F16" s="67">
        <f t="shared" si="2"/>
        <v>1179960</v>
      </c>
    </row>
    <row r="17" spans="1:6">
      <c r="A17" s="7">
        <f t="shared" si="0"/>
        <v>11</v>
      </c>
      <c r="B17" s="7"/>
      <c r="C17" s="8" t="s">
        <v>149</v>
      </c>
      <c r="D17" s="67">
        <v>3437085</v>
      </c>
      <c r="E17" s="67">
        <v>0</v>
      </c>
      <c r="F17" s="67">
        <f t="shared" si="2"/>
        <v>3437085</v>
      </c>
    </row>
    <row r="18" spans="1:6">
      <c r="A18" s="7">
        <f t="shared" si="0"/>
        <v>12</v>
      </c>
      <c r="B18" s="7"/>
      <c r="C18" s="8" t="s">
        <v>207</v>
      </c>
      <c r="D18" s="67">
        <v>0</v>
      </c>
      <c r="E18" s="67">
        <v>0</v>
      </c>
      <c r="F18" s="67">
        <f t="shared" si="2"/>
        <v>0</v>
      </c>
    </row>
    <row r="19" spans="1:6">
      <c r="A19" s="7">
        <f t="shared" si="0"/>
        <v>13</v>
      </c>
      <c r="B19" s="7"/>
      <c r="C19" s="8" t="s">
        <v>150</v>
      </c>
      <c r="D19" s="67">
        <v>5100</v>
      </c>
      <c r="E19" s="67">
        <v>0</v>
      </c>
      <c r="F19" s="67">
        <f t="shared" si="2"/>
        <v>5100</v>
      </c>
    </row>
    <row r="20" spans="1:6">
      <c r="A20" s="7">
        <f t="shared" si="0"/>
        <v>14</v>
      </c>
      <c r="B20" s="7"/>
      <c r="C20" s="8" t="s">
        <v>208</v>
      </c>
      <c r="D20" s="67">
        <v>0</v>
      </c>
      <c r="E20" s="67">
        <v>0</v>
      </c>
      <c r="F20" s="67">
        <f t="shared" si="2"/>
        <v>0</v>
      </c>
    </row>
    <row r="21" spans="1:6">
      <c r="A21" s="7">
        <f t="shared" si="0"/>
        <v>15</v>
      </c>
      <c r="B21" s="7"/>
      <c r="C21" s="13" t="s">
        <v>151</v>
      </c>
      <c r="D21" s="72">
        <f>SUM(D14:D20)</f>
        <v>6185128</v>
      </c>
      <c r="E21" s="72">
        <f t="shared" ref="E21:F21" si="3">SUM(E14:E20)</f>
        <v>0</v>
      </c>
      <c r="F21" s="72">
        <f t="shared" si="3"/>
        <v>6185128</v>
      </c>
    </row>
    <row r="22" spans="1:6">
      <c r="A22" s="7">
        <f t="shared" si="0"/>
        <v>16</v>
      </c>
      <c r="B22" s="7"/>
      <c r="C22" s="8"/>
      <c r="D22" s="67"/>
      <c r="E22" s="67"/>
      <c r="F22" s="67"/>
    </row>
    <row r="23" spans="1:6">
      <c r="A23" s="7">
        <f t="shared" si="0"/>
        <v>17</v>
      </c>
      <c r="B23" s="7"/>
      <c r="C23" s="8" t="s">
        <v>152</v>
      </c>
      <c r="D23" s="67">
        <v>3773176</v>
      </c>
      <c r="E23" s="67">
        <v>0</v>
      </c>
      <c r="F23" s="67">
        <f t="shared" ref="F23:F32" si="4">D23+E23</f>
        <v>3773176</v>
      </c>
    </row>
    <row r="24" spans="1:6">
      <c r="A24" s="7">
        <f t="shared" si="0"/>
        <v>18</v>
      </c>
      <c r="B24" s="7"/>
      <c r="C24" s="8" t="s">
        <v>153</v>
      </c>
      <c r="D24" s="67">
        <v>0</v>
      </c>
      <c r="E24" s="67">
        <v>0</v>
      </c>
      <c r="F24" s="67">
        <f t="shared" si="4"/>
        <v>0</v>
      </c>
    </row>
    <row r="25" spans="1:6">
      <c r="A25" s="7">
        <f t="shared" si="0"/>
        <v>19</v>
      </c>
      <c r="B25" s="7"/>
      <c r="C25" s="8" t="s">
        <v>154</v>
      </c>
      <c r="D25" s="67">
        <v>0</v>
      </c>
      <c r="E25" s="67">
        <v>0</v>
      </c>
      <c r="F25" s="67">
        <f t="shared" si="4"/>
        <v>0</v>
      </c>
    </row>
    <row r="26" spans="1:6">
      <c r="A26" s="7">
        <f t="shared" si="0"/>
        <v>20</v>
      </c>
      <c r="B26" s="7"/>
      <c r="C26" s="8" t="s">
        <v>155</v>
      </c>
      <c r="D26" s="67">
        <v>0</v>
      </c>
      <c r="E26" s="67">
        <v>0</v>
      </c>
      <c r="F26" s="67">
        <f t="shared" si="4"/>
        <v>0</v>
      </c>
    </row>
    <row r="27" spans="1:6">
      <c r="A27" s="7">
        <f t="shared" si="0"/>
        <v>21</v>
      </c>
      <c r="B27" s="7"/>
      <c r="C27" s="8" t="s">
        <v>157</v>
      </c>
      <c r="D27" s="67">
        <v>20175736</v>
      </c>
      <c r="E27" s="67">
        <v>0</v>
      </c>
      <c r="F27" s="67">
        <f t="shared" si="4"/>
        <v>20175736</v>
      </c>
    </row>
    <row r="28" spans="1:6">
      <c r="A28" s="7">
        <f t="shared" si="0"/>
        <v>22</v>
      </c>
      <c r="B28" s="7"/>
      <c r="C28" s="8" t="s">
        <v>156</v>
      </c>
      <c r="D28" s="67">
        <v>947229</v>
      </c>
      <c r="E28" s="67">
        <v>0</v>
      </c>
      <c r="F28" s="67">
        <f t="shared" si="4"/>
        <v>947229</v>
      </c>
    </row>
    <row r="29" spans="1:6">
      <c r="A29" s="7">
        <f t="shared" si="0"/>
        <v>23</v>
      </c>
      <c r="B29" s="7"/>
      <c r="C29" s="8" t="s">
        <v>158</v>
      </c>
      <c r="D29" s="99">
        <v>0</v>
      </c>
      <c r="E29" s="67">
        <v>0</v>
      </c>
      <c r="F29" s="67">
        <f t="shared" si="4"/>
        <v>0</v>
      </c>
    </row>
    <row r="30" spans="1:6">
      <c r="A30" s="7">
        <f t="shared" si="0"/>
        <v>24</v>
      </c>
      <c r="B30" s="7"/>
      <c r="C30" s="8" t="s">
        <v>159</v>
      </c>
      <c r="D30" s="67">
        <v>12682001</v>
      </c>
      <c r="E30" s="67">
        <v>0</v>
      </c>
      <c r="F30" s="67">
        <f t="shared" si="4"/>
        <v>12682001</v>
      </c>
    </row>
    <row r="31" spans="1:6">
      <c r="A31" s="7">
        <f t="shared" si="0"/>
        <v>25</v>
      </c>
      <c r="B31" s="7"/>
      <c r="C31" s="8" t="s">
        <v>160</v>
      </c>
      <c r="D31" s="67">
        <v>542017</v>
      </c>
      <c r="E31" s="67">
        <v>0</v>
      </c>
      <c r="F31" s="67">
        <f t="shared" si="4"/>
        <v>542017</v>
      </c>
    </row>
    <row r="32" spans="1:6">
      <c r="A32" s="7">
        <f t="shared" si="0"/>
        <v>26</v>
      </c>
      <c r="B32" s="7"/>
      <c r="C32" s="8" t="s">
        <v>161</v>
      </c>
      <c r="D32" s="67">
        <v>9675272</v>
      </c>
      <c r="E32" s="67">
        <v>0</v>
      </c>
      <c r="F32" s="67">
        <f t="shared" si="4"/>
        <v>9675272</v>
      </c>
    </row>
    <row r="33" spans="1:6">
      <c r="A33" s="7">
        <f t="shared" si="0"/>
        <v>27</v>
      </c>
      <c r="B33" s="7"/>
      <c r="C33" s="13" t="s">
        <v>162</v>
      </c>
      <c r="D33" s="72">
        <f>SUM(D23:D32)</f>
        <v>47795431</v>
      </c>
      <c r="E33" s="72">
        <f>SUM(E23:E32)</f>
        <v>0</v>
      </c>
      <c r="F33" s="72">
        <f>SUM(F23:F32)</f>
        <v>47795431</v>
      </c>
    </row>
    <row r="34" spans="1:6">
      <c r="A34" s="7">
        <f t="shared" si="0"/>
        <v>28</v>
      </c>
      <c r="B34" s="7"/>
      <c r="C34" s="8"/>
      <c r="D34" s="67"/>
      <c r="E34" s="67"/>
      <c r="F34" s="67"/>
    </row>
    <row r="35" spans="1:6">
      <c r="A35" s="7">
        <f t="shared" si="0"/>
        <v>29</v>
      </c>
      <c r="B35" s="7"/>
      <c r="C35" s="8" t="s">
        <v>163</v>
      </c>
      <c r="D35" s="67">
        <v>1897230</v>
      </c>
      <c r="E35" s="67">
        <v>0</v>
      </c>
      <c r="F35" s="67">
        <f>D35+E35</f>
        <v>1897230</v>
      </c>
    </row>
    <row r="36" spans="1:6">
      <c r="A36" s="7">
        <f t="shared" si="0"/>
        <v>30</v>
      </c>
      <c r="B36" s="7"/>
      <c r="C36" s="8" t="s">
        <v>164</v>
      </c>
      <c r="D36" s="67">
        <v>17027</v>
      </c>
      <c r="E36" s="67">
        <v>0</v>
      </c>
      <c r="F36" s="67">
        <f>D36+E36</f>
        <v>17027</v>
      </c>
    </row>
    <row r="37" spans="1:6">
      <c r="A37" s="7">
        <f t="shared" si="0"/>
        <v>31</v>
      </c>
      <c r="B37" s="7"/>
      <c r="C37" s="8"/>
      <c r="D37" s="27"/>
      <c r="E37" s="67"/>
      <c r="F37" s="67"/>
    </row>
    <row r="38" spans="1:6" ht="15" thickBot="1">
      <c r="A38" s="7">
        <f t="shared" si="0"/>
        <v>32</v>
      </c>
      <c r="B38" s="7"/>
      <c r="C38" s="15" t="s">
        <v>165</v>
      </c>
      <c r="D38" s="75">
        <f>D36+D35+D33+D21+D12</f>
        <v>262184817</v>
      </c>
      <c r="E38" s="75">
        <f>E36+E35+E33+E21+E12</f>
        <v>0</v>
      </c>
      <c r="F38" s="75">
        <f>F36+F35+F33+F21+F12</f>
        <v>262184817</v>
      </c>
    </row>
    <row r="39" spans="1:6" ht="15" thickTop="1">
      <c r="A39" s="7">
        <f t="shared" si="0"/>
        <v>33</v>
      </c>
      <c r="B39" s="7"/>
      <c r="C39" s="8"/>
      <c r="D39" s="74"/>
      <c r="E39" s="67"/>
      <c r="F39" s="67"/>
    </row>
    <row r="40" spans="1:6">
      <c r="A40" s="7">
        <f t="shared" si="0"/>
        <v>34</v>
      </c>
      <c r="B40" s="68" t="s">
        <v>166</v>
      </c>
      <c r="C40" s="8"/>
      <c r="D40" s="67"/>
      <c r="E40" s="67"/>
      <c r="F40" s="67"/>
    </row>
    <row r="41" spans="1:6">
      <c r="A41" s="7">
        <f t="shared" si="0"/>
        <v>35</v>
      </c>
      <c r="B41" s="7"/>
      <c r="C41" s="8" t="s">
        <v>167</v>
      </c>
      <c r="D41" s="67">
        <v>231905</v>
      </c>
      <c r="E41" s="18">
        <v>0</v>
      </c>
      <c r="F41" s="67">
        <f>D41+E41</f>
        <v>231905</v>
      </c>
    </row>
    <row r="42" spans="1:6">
      <c r="A42" s="7">
        <f t="shared" si="0"/>
        <v>36</v>
      </c>
      <c r="B42" s="7"/>
      <c r="C42" s="8" t="s">
        <v>168</v>
      </c>
      <c r="D42" s="67">
        <v>73720988</v>
      </c>
      <c r="E42" s="67">
        <v>0</v>
      </c>
      <c r="F42" s="67">
        <f>D42+E42</f>
        <v>73720988</v>
      </c>
    </row>
    <row r="43" spans="1:6">
      <c r="A43" s="7"/>
      <c r="B43" s="7"/>
      <c r="C43" s="8" t="s">
        <v>218</v>
      </c>
      <c r="D43" s="67">
        <v>78651</v>
      </c>
      <c r="E43" s="67"/>
      <c r="F43" s="67"/>
    </row>
    <row r="44" spans="1:6">
      <c r="A44" s="7">
        <f>A42+1</f>
        <v>37</v>
      </c>
      <c r="B44" s="7"/>
      <c r="C44" s="8" t="s">
        <v>169</v>
      </c>
      <c r="D44" s="67">
        <v>36888</v>
      </c>
      <c r="E44" s="67">
        <v>0</v>
      </c>
      <c r="F44" s="67">
        <f>D44+E44</f>
        <v>36888</v>
      </c>
    </row>
    <row r="45" spans="1:6">
      <c r="A45" s="7">
        <f t="shared" si="0"/>
        <v>38</v>
      </c>
      <c r="B45" s="7"/>
      <c r="C45" s="8" t="s">
        <v>170</v>
      </c>
      <c r="D45" s="67">
        <v>136279</v>
      </c>
      <c r="E45" s="67">
        <v>0</v>
      </c>
      <c r="F45" s="67">
        <f>D45+E45</f>
        <v>136279</v>
      </c>
    </row>
    <row r="46" spans="1:6">
      <c r="A46" s="7">
        <f t="shared" si="0"/>
        <v>39</v>
      </c>
      <c r="B46" s="7"/>
      <c r="C46" s="8" t="s">
        <v>171</v>
      </c>
      <c r="D46" s="67">
        <v>11700721</v>
      </c>
      <c r="E46" s="67">
        <v>0</v>
      </c>
      <c r="F46" s="67">
        <f>D46+E46</f>
        <v>11700721</v>
      </c>
    </row>
    <row r="47" spans="1:6">
      <c r="A47" s="7">
        <f t="shared" si="0"/>
        <v>40</v>
      </c>
      <c r="B47" s="7"/>
      <c r="C47" s="13" t="s">
        <v>172</v>
      </c>
      <c r="D47" s="72">
        <f>SUM(D41:D46)</f>
        <v>85905432</v>
      </c>
      <c r="E47" s="72">
        <f>SUM(E41:E46)</f>
        <v>0</v>
      </c>
      <c r="F47" s="72">
        <f>SUM(F41:F46)</f>
        <v>85826781</v>
      </c>
    </row>
    <row r="48" spans="1:6">
      <c r="A48" s="7">
        <f t="shared" si="0"/>
        <v>41</v>
      </c>
      <c r="B48" s="7"/>
      <c r="C48" s="8"/>
      <c r="D48" s="67"/>
      <c r="E48" s="67"/>
      <c r="F48" s="67"/>
    </row>
    <row r="49" spans="1:6">
      <c r="A49" s="7">
        <f t="shared" si="0"/>
        <v>42</v>
      </c>
      <c r="B49" s="7"/>
      <c r="C49" s="8" t="s">
        <v>690</v>
      </c>
      <c r="D49" s="74">
        <v>25794938</v>
      </c>
      <c r="E49" s="67">
        <v>0</v>
      </c>
      <c r="F49" s="67">
        <f>D49+E49</f>
        <v>25794938</v>
      </c>
    </row>
    <row r="50" spans="1:6">
      <c r="A50" s="7">
        <f t="shared" si="0"/>
        <v>43</v>
      </c>
      <c r="B50" s="7"/>
      <c r="C50" s="8" t="s">
        <v>691</v>
      </c>
      <c r="D50" s="74">
        <v>0</v>
      </c>
      <c r="E50" s="67">
        <v>0</v>
      </c>
      <c r="F50" s="67">
        <f>D50+E50</f>
        <v>0</v>
      </c>
    </row>
    <row r="51" spans="1:6">
      <c r="A51" s="7">
        <f t="shared" si="0"/>
        <v>44</v>
      </c>
      <c r="B51" s="7"/>
      <c r="C51" s="8" t="s">
        <v>692</v>
      </c>
      <c r="D51" s="74">
        <v>85396300</v>
      </c>
      <c r="E51" s="67">
        <v>0</v>
      </c>
      <c r="F51" s="67">
        <f>D51+E51</f>
        <v>85396300</v>
      </c>
    </row>
    <row r="52" spans="1:6">
      <c r="A52" s="7">
        <f t="shared" si="0"/>
        <v>45</v>
      </c>
      <c r="B52" s="7"/>
      <c r="C52" s="8" t="s">
        <v>173</v>
      </c>
      <c r="D52" s="74">
        <v>22464476</v>
      </c>
      <c r="E52" s="67">
        <v>0</v>
      </c>
      <c r="F52" s="67">
        <f>D52+E52</f>
        <v>22464476</v>
      </c>
    </row>
    <row r="53" spans="1:6">
      <c r="A53" s="7">
        <f t="shared" si="0"/>
        <v>46</v>
      </c>
      <c r="B53" s="7"/>
      <c r="C53" s="13" t="s">
        <v>174</v>
      </c>
      <c r="D53" s="72">
        <f>SUM(D49:D52)</f>
        <v>133655714</v>
      </c>
      <c r="E53" s="72">
        <f>SUM(E49:E52)</f>
        <v>0</v>
      </c>
      <c r="F53" s="72">
        <f>SUM(F49:F52)</f>
        <v>133655714</v>
      </c>
    </row>
    <row r="54" spans="1:6">
      <c r="A54" s="7">
        <f t="shared" si="0"/>
        <v>47</v>
      </c>
      <c r="B54" s="7"/>
      <c r="C54" s="8"/>
      <c r="D54" s="67"/>
      <c r="E54" s="67"/>
      <c r="F54" s="67"/>
    </row>
    <row r="55" spans="1:6">
      <c r="A55" s="7">
        <f t="shared" si="0"/>
        <v>48</v>
      </c>
      <c r="B55" s="7"/>
      <c r="C55" s="8" t="s">
        <v>175</v>
      </c>
      <c r="D55" s="67">
        <v>39975</v>
      </c>
      <c r="E55" s="67">
        <v>0</v>
      </c>
      <c r="F55" s="67">
        <f>D55+E55</f>
        <v>39975</v>
      </c>
    </row>
    <row r="56" spans="1:6">
      <c r="A56" s="7">
        <f t="shared" si="0"/>
        <v>49</v>
      </c>
      <c r="B56" s="7"/>
      <c r="C56" s="8"/>
      <c r="D56" s="67"/>
      <c r="E56" s="67"/>
      <c r="F56" s="67"/>
    </row>
    <row r="57" spans="1:6">
      <c r="A57" s="7">
        <f t="shared" si="0"/>
        <v>50</v>
      </c>
      <c r="B57" s="7"/>
      <c r="C57" s="8" t="s">
        <v>176</v>
      </c>
      <c r="D57" s="67">
        <v>6375473</v>
      </c>
      <c r="E57" s="67">
        <v>0</v>
      </c>
      <c r="F57" s="67">
        <f t="shared" ref="F57:F60" si="5">D57+E57</f>
        <v>6375473</v>
      </c>
    </row>
    <row r="58" spans="1:6">
      <c r="A58" s="7">
        <f t="shared" si="0"/>
        <v>51</v>
      </c>
      <c r="B58" s="7"/>
      <c r="C58" s="8" t="s">
        <v>177</v>
      </c>
      <c r="D58" s="67">
        <v>25292740</v>
      </c>
      <c r="E58" s="67">
        <v>0</v>
      </c>
      <c r="F58" s="67">
        <f t="shared" si="5"/>
        <v>25292740</v>
      </c>
    </row>
    <row r="59" spans="1:6">
      <c r="A59" s="7">
        <f t="shared" si="0"/>
        <v>52</v>
      </c>
      <c r="B59" s="7"/>
      <c r="C59" s="8" t="s">
        <v>178</v>
      </c>
      <c r="D59" s="67">
        <v>5087961</v>
      </c>
      <c r="E59" s="67">
        <v>0</v>
      </c>
      <c r="F59" s="67">
        <f t="shared" si="5"/>
        <v>5087961</v>
      </c>
    </row>
    <row r="60" spans="1:6">
      <c r="A60" s="7">
        <f t="shared" si="0"/>
        <v>53</v>
      </c>
      <c r="B60" s="7"/>
      <c r="C60" s="8" t="s">
        <v>179</v>
      </c>
      <c r="D60" s="67">
        <v>2996351</v>
      </c>
      <c r="E60" s="67">
        <v>0</v>
      </c>
      <c r="F60" s="67">
        <f t="shared" si="5"/>
        <v>2996351</v>
      </c>
    </row>
    <row r="61" spans="1:6">
      <c r="A61" s="7">
        <f t="shared" si="0"/>
        <v>54</v>
      </c>
      <c r="B61" s="7"/>
      <c r="C61" s="13" t="s">
        <v>180</v>
      </c>
      <c r="D61" s="72">
        <f>SUM(D57:D60)</f>
        <v>39752525</v>
      </c>
      <c r="E61" s="72">
        <f>SUM(E57:E60)</f>
        <v>0</v>
      </c>
      <c r="F61" s="72">
        <f>SUM(F57:F60)</f>
        <v>39752525</v>
      </c>
    </row>
    <row r="62" spans="1:6">
      <c r="A62" s="7">
        <f t="shared" si="0"/>
        <v>55</v>
      </c>
      <c r="B62" s="7"/>
      <c r="C62" s="8"/>
      <c r="D62" s="67"/>
      <c r="E62" s="67"/>
      <c r="F62" s="67"/>
    </row>
    <row r="63" spans="1:6">
      <c r="A63" s="7">
        <f t="shared" si="0"/>
        <v>56</v>
      </c>
      <c r="B63" s="7"/>
      <c r="C63" s="8" t="s">
        <v>181</v>
      </c>
      <c r="D63" s="67">
        <v>0</v>
      </c>
      <c r="E63" s="67">
        <v>0</v>
      </c>
      <c r="F63" s="67">
        <f>D63+E63</f>
        <v>0</v>
      </c>
    </row>
    <row r="64" spans="1:6">
      <c r="A64" s="7">
        <f t="shared" si="0"/>
        <v>57</v>
      </c>
      <c r="B64" s="7"/>
      <c r="C64" s="8" t="s">
        <v>182</v>
      </c>
      <c r="D64" s="67">
        <v>2831171</v>
      </c>
      <c r="E64" s="67">
        <v>0</v>
      </c>
      <c r="F64" s="67">
        <f>D64+E64</f>
        <v>2831171</v>
      </c>
    </row>
    <row r="65" spans="1:6" ht="15" thickBot="1">
      <c r="A65" s="7">
        <f t="shared" si="0"/>
        <v>58</v>
      </c>
      <c r="B65" s="7"/>
      <c r="C65" s="15" t="s">
        <v>183</v>
      </c>
      <c r="D65" s="75">
        <f>D64+D63+D61+D55+D53+D47</f>
        <v>262184817</v>
      </c>
      <c r="E65" s="75">
        <f>E64+E63+E61+E55+E53+E47</f>
        <v>0</v>
      </c>
      <c r="F65" s="75">
        <f>F64+F63+F61+F55+F53+F47</f>
        <v>262106166</v>
      </c>
    </row>
    <row r="66" spans="1:6" ht="15" thickTop="1">
      <c r="A66" s="7"/>
      <c r="B66" s="7"/>
      <c r="C66" s="8"/>
      <c r="D66" s="67"/>
      <c r="E66" s="67"/>
      <c r="F66" s="67"/>
    </row>
    <row r="67" spans="1:6">
      <c r="A67" s="7"/>
      <c r="B67" s="7"/>
      <c r="C67" s="8"/>
      <c r="D67" s="27"/>
      <c r="E67" s="67"/>
      <c r="F67" s="67"/>
    </row>
    <row r="68" spans="1:6">
      <c r="A68" s="7"/>
      <c r="B68" s="7"/>
      <c r="C68" s="8"/>
      <c r="D68" s="27"/>
      <c r="E68" s="67"/>
      <c r="F68" s="67"/>
    </row>
    <row r="69" spans="1:6">
      <c r="A69" s="7"/>
      <c r="B69" s="7"/>
      <c r="C69" s="8"/>
      <c r="D69" s="27"/>
      <c r="E69" s="67"/>
      <c r="F69" s="67"/>
    </row>
    <row r="70" spans="1:6">
      <c r="A70" s="7"/>
      <c r="B70" s="7"/>
      <c r="C70" s="8"/>
      <c r="D70" s="27"/>
      <c r="E70" s="67"/>
      <c r="F70" s="67"/>
    </row>
    <row r="71" spans="1:6">
      <c r="C71" s="8"/>
      <c r="D71" s="27"/>
      <c r="E71" s="67"/>
      <c r="F71" s="67"/>
    </row>
  </sheetData>
  <mergeCells count="2">
    <mergeCell ref="A1:F1"/>
    <mergeCell ref="A2:F2"/>
  </mergeCells>
  <printOptions horizontalCentered="1"/>
  <pageMargins left="1" right="0.75" top="0.75" bottom="0.75" header="0.3" footer="0.3"/>
  <pageSetup scale="72" orientation="portrait" r:id="rId1"/>
  <headerFooter>
    <oddFooter>&amp;R&amp;"Times New Roman,Regular"Exhibit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4">
    <pageSetUpPr fitToPage="1"/>
  </sheetPr>
  <dimension ref="A1:AH151"/>
  <sheetViews>
    <sheetView defaultGridColor="0" view="pageBreakPreview" colorId="22" zoomScale="60" zoomScaleNormal="87" workbookViewId="0">
      <pane xSplit="2" ySplit="6" topLeftCell="M37" activePane="bottomRight" state="frozen"/>
      <selection activeCell="I9" sqref="I9"/>
      <selection pane="topRight" activeCell="I9" sqref="I9"/>
      <selection pane="bottomLeft" activeCell="I9" sqref="I9"/>
      <selection pane="bottomRight" activeCell="X18" sqref="X18"/>
    </sheetView>
  </sheetViews>
  <sheetFormatPr defaultColWidth="12.5546875" defaultRowHeight="13.8"/>
  <cols>
    <col min="1" max="1" width="6.109375" style="46" customWidth="1"/>
    <col min="2" max="2" width="33.109375" style="44" customWidth="1"/>
    <col min="3" max="3" width="12.33203125" style="44" customWidth="1"/>
    <col min="4" max="4" width="15.5546875" style="44" customWidth="1"/>
    <col min="5" max="5" width="13" style="44" bestFit="1" customWidth="1"/>
    <col min="6" max="6" width="14.33203125" style="44" customWidth="1"/>
    <col min="7" max="7" width="11.88671875" style="44" bestFit="1" customWidth="1"/>
    <col min="8" max="8" width="13.88671875" style="44" customWidth="1"/>
    <col min="9" max="9" width="14.33203125" style="44" customWidth="1"/>
    <col min="10" max="10" width="12.88671875" style="44" bestFit="1" customWidth="1"/>
    <col min="11" max="11" width="9.6640625" style="44" bestFit="1" customWidth="1"/>
    <col min="12" max="12" width="10.6640625" style="44" customWidth="1"/>
    <col min="13" max="13" width="14" style="44" customWidth="1"/>
    <col min="14" max="15" width="11.88671875" style="44" customWidth="1"/>
    <col min="16" max="16" width="13.33203125" style="44" customWidth="1"/>
    <col min="17" max="17" width="12.88671875" style="44" customWidth="1"/>
    <col min="18" max="18" width="14.44140625" style="44" customWidth="1"/>
    <col min="19" max="19" width="12.5546875" style="44" customWidth="1"/>
    <col min="20" max="20" width="11.33203125" style="44" hidden="1" customWidth="1"/>
    <col min="21" max="21" width="14.44140625" style="44" customWidth="1"/>
    <col min="22" max="22" width="3.5546875" style="44" customWidth="1"/>
    <col min="23" max="23" width="15.5546875" style="44" bestFit="1" customWidth="1"/>
    <col min="24" max="24" width="12.6640625" style="44" bestFit="1" customWidth="1"/>
    <col min="25" max="16384" width="12.5546875" style="44"/>
  </cols>
  <sheetData>
    <row r="1" spans="1:34">
      <c r="A1" s="45"/>
      <c r="B1" s="59" t="str">
        <f>RevReq!A1</f>
        <v>KENERGY CORP.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>
      <c r="A2" s="45"/>
      <c r="B2" s="59" t="s">
        <v>140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46" customForma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4">
      <c r="A4" s="45"/>
      <c r="B4" s="42" t="s">
        <v>202</v>
      </c>
      <c r="C4" s="45">
        <f>'Adj List'!B7</f>
        <v>1.01</v>
      </c>
      <c r="D4" s="45">
        <f>'Adj List'!B8</f>
        <v>1.02</v>
      </c>
      <c r="E4" s="45">
        <f>'Adj List'!B9</f>
        <v>1.03</v>
      </c>
      <c r="F4" s="45">
        <f>'Adj List'!B10</f>
        <v>1.04</v>
      </c>
      <c r="G4" s="45">
        <f>'Adj List'!B11</f>
        <v>1.05</v>
      </c>
      <c r="H4" s="45">
        <f>'Adj List'!B12</f>
        <v>1.06</v>
      </c>
      <c r="I4" s="45">
        <f>'Adj List'!B13</f>
        <v>1.07</v>
      </c>
      <c r="J4" s="45">
        <f>'Adj List'!B14</f>
        <v>1.08</v>
      </c>
      <c r="K4" s="45">
        <f>'Adj List'!B15</f>
        <v>1.0900000000000001</v>
      </c>
      <c r="L4" s="47">
        <f>'Adj List'!B16</f>
        <v>1.1000000000000001</v>
      </c>
      <c r="M4" s="45">
        <f>'Adj List'!B17</f>
        <v>1.1100000000000001</v>
      </c>
      <c r="N4" s="45">
        <f>'Adj List'!B18</f>
        <v>1.1200000000000001</v>
      </c>
      <c r="O4" s="45">
        <f>'Adj List'!B19</f>
        <v>1.1299999999999999</v>
      </c>
      <c r="P4" s="45">
        <f>'Adj List'!B20</f>
        <v>1.1399999999999999</v>
      </c>
      <c r="Q4" s="45">
        <f>'Adj List'!B21</f>
        <v>1.1499999999999999</v>
      </c>
      <c r="R4" s="45">
        <f>'Adj List'!B22</f>
        <v>1.1599999999999999</v>
      </c>
      <c r="S4" s="45">
        <f>'Adj List'!B23</f>
        <v>1.17</v>
      </c>
      <c r="T4" s="45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34" ht="9" customHeight="1">
      <c r="A5" s="45"/>
      <c r="B5" s="43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8"/>
      <c r="R5" s="48"/>
      <c r="S5" s="45"/>
      <c r="T5" s="45"/>
      <c r="U5" s="45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s="50" customFormat="1" ht="59.25" customHeight="1">
      <c r="A6" s="49"/>
      <c r="B6" s="84" t="s">
        <v>203</v>
      </c>
      <c r="C6" s="49" t="str">
        <f>'Adj List'!C7</f>
        <v>Fuel Adjustment Clause</v>
      </c>
      <c r="D6" s="49" t="str">
        <f>'Adj List'!C8</f>
        <v>Environmental Surcharge</v>
      </c>
      <c r="E6" s="49" t="str">
        <f>'Adj List'!C9</f>
        <v>Member Rate Stability Mechanism</v>
      </c>
      <c r="F6" s="49" t="str">
        <f>'Adj List'!C10</f>
        <v>Non-Smelter Non-FAC PPA</v>
      </c>
      <c r="G6" s="49" t="str">
        <f>'Adj List'!C11</f>
        <v>Rate Case Expenses</v>
      </c>
      <c r="H6" s="49" t="str">
        <f>'Adj List'!C12</f>
        <v>Year-End Customer Normalization</v>
      </c>
      <c r="I6" s="49" t="str">
        <f>'Adj List'!C13</f>
        <v>Depreciation Expense Normalization</v>
      </c>
      <c r="J6" s="49" t="str">
        <f>'Adj List'!C14</f>
        <v>Disallowed Expenses</v>
      </c>
      <c r="K6" s="49" t="str">
        <f>'Adj List'!C15</f>
        <v>Remove Broadband</v>
      </c>
      <c r="L6" s="49" t="str">
        <f>'Adj List'!C16</f>
        <v>Interest on LTD</v>
      </c>
      <c r="M6" s="49" t="str">
        <f>'Adj List'!C17</f>
        <v>Other Interest Expense</v>
      </c>
      <c r="N6" s="49" t="str">
        <f>'Adj List'!C18</f>
        <v>Non Operating Margins - Interest</v>
      </c>
      <c r="O6" s="49" t="str">
        <f>'Adj List'!C19</f>
        <v>Labor Expenses</v>
      </c>
      <c r="P6" s="49" t="str">
        <f>'Adj List'!C20</f>
        <v>Labor Overhead Expenses</v>
      </c>
      <c r="Q6" s="49" t="str">
        <f>'Adj List'!C21</f>
        <v>Miscellaneous Revenues</v>
      </c>
      <c r="R6" s="49" t="str">
        <f>'Adj List'!C22</f>
        <v>Non-Recurring Expenses</v>
      </c>
      <c r="S6" s="49" t="str">
        <f>'Adj List'!C23</f>
        <v>PSC Assessment</v>
      </c>
      <c r="T6" s="49"/>
      <c r="U6" s="49" t="s">
        <v>14</v>
      </c>
      <c r="V6" s="49"/>
      <c r="W6" s="49" t="s">
        <v>200</v>
      </c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>
      <c r="A7" s="45">
        <v>1</v>
      </c>
      <c r="B7" s="4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43"/>
      <c r="W7" s="43"/>
      <c r="X7" s="43"/>
      <c r="Y7" s="33"/>
      <c r="Z7" s="33"/>
      <c r="AA7" s="33"/>
      <c r="AB7" s="33"/>
      <c r="AC7" s="33"/>
      <c r="AD7" s="33"/>
      <c r="AE7" s="33"/>
      <c r="AF7" s="33"/>
      <c r="AG7" s="33"/>
      <c r="AH7" s="43"/>
    </row>
    <row r="8" spans="1:34">
      <c r="A8" s="45">
        <f t="shared" ref="A8:A42" si="0">(A7+1)</f>
        <v>2</v>
      </c>
      <c r="B8" s="51" t="s">
        <v>92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43"/>
      <c r="W8" s="43"/>
      <c r="X8" s="43"/>
      <c r="Y8" s="33"/>
      <c r="Z8" s="33"/>
      <c r="AA8" s="33"/>
      <c r="AB8" s="33"/>
      <c r="AC8" s="33"/>
      <c r="AD8" s="33"/>
      <c r="AE8" s="33"/>
      <c r="AF8" s="33"/>
      <c r="AG8" s="33"/>
      <c r="AH8" s="43"/>
    </row>
    <row r="9" spans="1:34">
      <c r="A9" s="45">
        <f t="shared" si="0"/>
        <v>3</v>
      </c>
      <c r="B9" s="43" t="s">
        <v>100</v>
      </c>
      <c r="C9" s="33"/>
      <c r="D9" s="33"/>
      <c r="E9" s="33"/>
      <c r="F9" s="33"/>
      <c r="G9" s="33"/>
      <c r="H9" s="33">
        <f>'Adj List'!D12</f>
        <v>260452.23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>
        <f>SUM(C9:T9)</f>
        <v>260452.23</v>
      </c>
      <c r="V9" s="43"/>
      <c r="W9" s="43"/>
      <c r="X9" s="43"/>
      <c r="Y9" s="33"/>
      <c r="Z9" s="33"/>
      <c r="AA9" s="33"/>
      <c r="AB9" s="33"/>
      <c r="AC9" s="33"/>
      <c r="AD9" s="33"/>
      <c r="AE9" s="33"/>
      <c r="AF9" s="33"/>
      <c r="AG9" s="33"/>
      <c r="AH9" s="43"/>
    </row>
    <row r="10" spans="1:34">
      <c r="A10" s="45">
        <f t="shared" si="0"/>
        <v>4</v>
      </c>
      <c r="B10" s="43" t="s">
        <v>216</v>
      </c>
      <c r="C10" s="33">
        <f>'Adj List'!D7</f>
        <v>-21167623.870000001</v>
      </c>
      <c r="D10" s="33">
        <f>'Adj List'!D8</f>
        <v>-5648911.2999999998</v>
      </c>
      <c r="E10" s="33">
        <f>'Adj List'!D9</f>
        <v>6788174.54</v>
      </c>
      <c r="F10" s="33">
        <f>'Adj List'!D10</f>
        <v>-4644272.45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>
        <f>SUM(C10:T10)</f>
        <v>-24672633.080000002</v>
      </c>
      <c r="V10" s="43"/>
      <c r="W10" s="52"/>
      <c r="X10" s="52"/>
      <c r="Y10" s="33"/>
      <c r="Z10" s="33"/>
      <c r="AA10" s="33"/>
      <c r="AB10" s="33"/>
      <c r="AC10" s="33"/>
      <c r="AD10" s="33"/>
      <c r="AE10" s="33"/>
      <c r="AF10" s="33"/>
      <c r="AG10" s="33"/>
      <c r="AH10" s="43"/>
    </row>
    <row r="11" spans="1:34">
      <c r="A11" s="45">
        <f t="shared" si="0"/>
        <v>5</v>
      </c>
      <c r="B11" s="43" t="s">
        <v>101</v>
      </c>
      <c r="C11" s="33"/>
      <c r="D11" s="33"/>
      <c r="E11" s="33"/>
      <c r="F11" s="33"/>
      <c r="G11" s="33"/>
      <c r="H11" s="33">
        <v>0</v>
      </c>
      <c r="I11" s="33"/>
      <c r="J11" s="33"/>
      <c r="K11" s="33"/>
      <c r="L11" s="33"/>
      <c r="M11" s="33"/>
      <c r="N11" s="33"/>
      <c r="O11" s="33"/>
      <c r="P11" s="33"/>
      <c r="Q11" s="33">
        <f>'Adj List'!D21</f>
        <v>-5410</v>
      </c>
      <c r="R11" s="33"/>
      <c r="S11" s="33"/>
      <c r="T11" s="33"/>
      <c r="U11" s="53">
        <f>SUM(C11:T11)</f>
        <v>-5410</v>
      </c>
      <c r="V11" s="43"/>
      <c r="W11" s="43"/>
      <c r="X11" s="43"/>
      <c r="Y11" s="33"/>
      <c r="Z11" s="33"/>
      <c r="AA11" s="33"/>
      <c r="AB11" s="33"/>
      <c r="AC11" s="33"/>
      <c r="AD11" s="33"/>
      <c r="AE11" s="33"/>
      <c r="AF11" s="33"/>
      <c r="AG11" s="33"/>
      <c r="AH11" s="43"/>
    </row>
    <row r="12" spans="1:34">
      <c r="A12" s="45">
        <f t="shared" si="0"/>
        <v>6</v>
      </c>
      <c r="B12" s="54" t="s">
        <v>94</v>
      </c>
      <c r="C12" s="55">
        <f t="shared" ref="C12:S12" si="1">SUM(C7:C11)</f>
        <v>-21167623.870000001</v>
      </c>
      <c r="D12" s="55">
        <f t="shared" si="1"/>
        <v>-5648911.2999999998</v>
      </c>
      <c r="E12" s="55">
        <f t="shared" si="1"/>
        <v>6788174.54</v>
      </c>
      <c r="F12" s="55">
        <f t="shared" si="1"/>
        <v>-4644272.45</v>
      </c>
      <c r="G12" s="55">
        <f t="shared" si="1"/>
        <v>0</v>
      </c>
      <c r="H12" s="55">
        <f t="shared" si="1"/>
        <v>260452.23</v>
      </c>
      <c r="I12" s="55">
        <f t="shared" si="1"/>
        <v>0</v>
      </c>
      <c r="J12" s="55">
        <f t="shared" si="1"/>
        <v>0</v>
      </c>
      <c r="K12" s="55">
        <f t="shared" si="1"/>
        <v>0</v>
      </c>
      <c r="L12" s="55">
        <f t="shared" si="1"/>
        <v>0</v>
      </c>
      <c r="M12" s="55">
        <f t="shared" si="1"/>
        <v>0</v>
      </c>
      <c r="N12" s="55">
        <f t="shared" si="1"/>
        <v>0</v>
      </c>
      <c r="O12" s="55">
        <f t="shared" si="1"/>
        <v>0</v>
      </c>
      <c r="P12" s="55">
        <f t="shared" si="1"/>
        <v>0</v>
      </c>
      <c r="Q12" s="55">
        <f t="shared" si="1"/>
        <v>-5410</v>
      </c>
      <c r="R12" s="55">
        <f t="shared" si="1"/>
        <v>0</v>
      </c>
      <c r="S12" s="55">
        <f t="shared" si="1"/>
        <v>0</v>
      </c>
      <c r="T12" s="55"/>
      <c r="U12" s="55">
        <f>SUM(C12:T12)</f>
        <v>-24417590.850000001</v>
      </c>
      <c r="V12" s="43"/>
      <c r="W12" s="33">
        <f>U12-'Adj List'!D27</f>
        <v>0</v>
      </c>
      <c r="X12" s="43"/>
      <c r="Y12" s="33"/>
      <c r="Z12" s="33"/>
      <c r="AA12" s="33"/>
      <c r="AB12" s="33"/>
      <c r="AC12" s="33"/>
      <c r="AD12" s="33"/>
      <c r="AE12" s="33"/>
      <c r="AF12" s="33"/>
      <c r="AG12" s="33"/>
      <c r="AH12" s="43"/>
    </row>
    <row r="13" spans="1:34">
      <c r="A13" s="45">
        <f t="shared" si="0"/>
        <v>7</v>
      </c>
      <c r="B13" s="43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43"/>
      <c r="W13" s="43"/>
      <c r="X13" s="43"/>
      <c r="Y13" s="33"/>
      <c r="Z13" s="33"/>
      <c r="AA13" s="33"/>
      <c r="AB13" s="33"/>
      <c r="AC13" s="33"/>
      <c r="AD13" s="33"/>
      <c r="AE13" s="33"/>
      <c r="AF13" s="33"/>
      <c r="AG13" s="33"/>
      <c r="AH13" s="43"/>
    </row>
    <row r="14" spans="1:34">
      <c r="A14" s="45">
        <f t="shared" si="0"/>
        <v>8</v>
      </c>
      <c r="B14" s="51" t="s">
        <v>73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43"/>
      <c r="W14" s="43"/>
      <c r="X14" s="43"/>
      <c r="Y14" s="33"/>
      <c r="Z14" s="33"/>
      <c r="AA14" s="33"/>
      <c r="AB14" s="33"/>
      <c r="AC14" s="33"/>
      <c r="AD14" s="33"/>
      <c r="AE14" s="33"/>
      <c r="AF14" s="33"/>
      <c r="AG14" s="33"/>
      <c r="AH14" s="43"/>
    </row>
    <row r="15" spans="1:34">
      <c r="A15" s="45">
        <f t="shared" si="0"/>
        <v>9</v>
      </c>
      <c r="B15" s="43" t="s">
        <v>74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>
        <f t="shared" ref="U15:U24" si="2">SUM(C15:T15)</f>
        <v>0</v>
      </c>
      <c r="V15" s="43"/>
      <c r="W15" s="43"/>
      <c r="X15" s="43"/>
      <c r="Y15" s="33"/>
      <c r="Z15" s="33"/>
      <c r="AA15" s="33"/>
      <c r="AB15" s="33"/>
      <c r="AC15" s="33"/>
      <c r="AD15" s="33"/>
      <c r="AE15" s="33"/>
      <c r="AF15" s="33"/>
      <c r="AG15" s="33"/>
      <c r="AH15" s="43"/>
    </row>
    <row r="16" spans="1:34">
      <c r="A16" s="45">
        <f t="shared" si="0"/>
        <v>10</v>
      </c>
      <c r="B16" s="43" t="s">
        <v>95</v>
      </c>
      <c r="C16" s="33"/>
      <c r="D16" s="33"/>
      <c r="E16" s="33"/>
      <c r="F16" s="33"/>
      <c r="G16" s="33"/>
      <c r="H16" s="33">
        <f>'Adj List'!E12</f>
        <v>173479.8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>
        <f t="shared" si="2"/>
        <v>173479.8</v>
      </c>
      <c r="V16" s="43"/>
      <c r="W16" s="43"/>
      <c r="X16" s="43"/>
      <c r="Y16" s="33"/>
      <c r="Z16" s="33"/>
      <c r="AA16" s="33"/>
      <c r="AB16" s="33"/>
      <c r="AC16" s="33"/>
      <c r="AD16" s="33"/>
      <c r="AE16" s="33"/>
      <c r="AF16" s="33"/>
      <c r="AG16" s="33"/>
      <c r="AH16" s="43"/>
    </row>
    <row r="17" spans="1:34">
      <c r="A17" s="45">
        <f t="shared" si="0"/>
        <v>11</v>
      </c>
      <c r="B17" s="43" t="s">
        <v>217</v>
      </c>
      <c r="C17" s="33">
        <f>'Adj List'!E7</f>
        <v>-21167623.870000001</v>
      </c>
      <c r="D17" s="33">
        <f>'Adj List'!E8</f>
        <v>-5648911.2999999998</v>
      </c>
      <c r="E17" s="33">
        <f>'Adj List'!E9</f>
        <v>6788174.54</v>
      </c>
      <c r="F17" s="33">
        <f>'Adj List'!E10</f>
        <v>-4644272.46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>
        <f t="shared" si="2"/>
        <v>-24672633.090000004</v>
      </c>
      <c r="V17" s="43"/>
      <c r="W17" s="43"/>
      <c r="X17" s="43"/>
      <c r="Y17" s="33"/>
      <c r="Z17" s="33"/>
      <c r="AA17" s="33"/>
      <c r="AB17" s="33"/>
      <c r="AC17" s="33"/>
      <c r="AD17" s="33"/>
      <c r="AE17" s="33"/>
      <c r="AF17" s="33"/>
      <c r="AG17" s="33"/>
      <c r="AH17" s="43"/>
    </row>
    <row r="18" spans="1:34">
      <c r="A18" s="45">
        <f t="shared" si="0"/>
        <v>12</v>
      </c>
      <c r="B18" s="43" t="s">
        <v>102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>
        <f t="shared" si="2"/>
        <v>0</v>
      </c>
      <c r="V18" s="43"/>
      <c r="W18" s="43"/>
      <c r="X18" s="43"/>
      <c r="Y18" s="33"/>
      <c r="Z18" s="33"/>
      <c r="AA18" s="33"/>
      <c r="AB18" s="33"/>
      <c r="AC18" s="33"/>
      <c r="AD18" s="33"/>
      <c r="AE18" s="33"/>
      <c r="AF18" s="33"/>
      <c r="AG18" s="33"/>
      <c r="AH18" s="43"/>
    </row>
    <row r="19" spans="1:34">
      <c r="A19" s="45">
        <f t="shared" si="0"/>
        <v>13</v>
      </c>
      <c r="B19" s="43" t="s">
        <v>103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f t="shared" si="2"/>
        <v>0</v>
      </c>
      <c r="V19" s="43"/>
      <c r="W19" s="43"/>
      <c r="X19" s="43"/>
      <c r="Y19" s="33"/>
      <c r="Z19" s="33"/>
      <c r="AA19" s="33"/>
      <c r="AB19" s="33"/>
      <c r="AC19" s="33"/>
      <c r="AD19" s="33"/>
      <c r="AE19" s="33"/>
      <c r="AF19" s="33"/>
      <c r="AG19" s="33"/>
      <c r="AH19" s="43"/>
    </row>
    <row r="20" spans="1:34">
      <c r="A20" s="45">
        <f t="shared" si="0"/>
        <v>14</v>
      </c>
      <c r="B20" s="43" t="s">
        <v>104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>
        <f t="shared" si="2"/>
        <v>0</v>
      </c>
      <c r="V20" s="43"/>
      <c r="W20" s="43"/>
      <c r="X20" s="43"/>
      <c r="Y20" s="33"/>
      <c r="Z20" s="33"/>
      <c r="AA20" s="33"/>
      <c r="AB20" s="33"/>
      <c r="AC20" s="33"/>
      <c r="AD20" s="33"/>
      <c r="AE20" s="33"/>
      <c r="AF20" s="33"/>
      <c r="AG20" s="33"/>
      <c r="AH20" s="43"/>
    </row>
    <row r="21" spans="1:34">
      <c r="A21" s="45">
        <f t="shared" si="0"/>
        <v>15</v>
      </c>
      <c r="B21" s="43" t="s">
        <v>78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>
        <f t="shared" si="2"/>
        <v>0</v>
      </c>
      <c r="V21" s="43"/>
      <c r="W21" s="43"/>
      <c r="X21" s="43"/>
      <c r="Y21" s="33"/>
      <c r="Z21" s="33"/>
      <c r="AA21" s="33"/>
      <c r="AB21" s="33"/>
      <c r="AC21" s="33"/>
      <c r="AD21" s="33"/>
      <c r="AE21" s="33"/>
      <c r="AF21" s="33"/>
      <c r="AG21" s="33"/>
      <c r="AH21" s="43"/>
    </row>
    <row r="22" spans="1:34">
      <c r="A22" s="45">
        <f t="shared" si="0"/>
        <v>16</v>
      </c>
      <c r="B22" s="43" t="s">
        <v>105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>
        <f t="shared" si="2"/>
        <v>0</v>
      </c>
      <c r="V22" s="43"/>
      <c r="W22" s="43"/>
      <c r="X22" s="43"/>
      <c r="Y22" s="33"/>
      <c r="Z22" s="33"/>
      <c r="AA22" s="33"/>
      <c r="AB22" s="33"/>
      <c r="AC22" s="33"/>
      <c r="AD22" s="33"/>
      <c r="AE22" s="33"/>
      <c r="AF22" s="33"/>
      <c r="AG22" s="33"/>
      <c r="AH22" s="43"/>
    </row>
    <row r="23" spans="1:34">
      <c r="A23" s="45">
        <f t="shared" si="0"/>
        <v>17</v>
      </c>
      <c r="B23" s="43" t="s">
        <v>106</v>
      </c>
      <c r="C23" s="33"/>
      <c r="D23" s="33"/>
      <c r="E23" s="33"/>
      <c r="F23" s="33"/>
      <c r="G23" s="33">
        <f>'Adj List'!E11</f>
        <v>26333.33</v>
      </c>
      <c r="H23" s="33"/>
      <c r="I23" s="33"/>
      <c r="J23" s="33">
        <f>'Adj List'!E14</f>
        <v>-399863.31900000008</v>
      </c>
      <c r="K23" s="33">
        <f>'Adj List'!E15</f>
        <v>-109738.56999999999</v>
      </c>
      <c r="L23" s="33">
        <f>'Adj List'!E16</f>
        <v>397777.66000000015</v>
      </c>
      <c r="M23" s="33">
        <f>'Adj List'!E17</f>
        <v>180205</v>
      </c>
      <c r="N23" s="33">
        <f>'Adj List'!E18</f>
        <v>0</v>
      </c>
      <c r="O23" s="33">
        <f>'Adj List'!E19</f>
        <v>311898.72000000067</v>
      </c>
      <c r="P23" s="33">
        <f>'Adj List'!E20</f>
        <v>-22220.215700000081</v>
      </c>
      <c r="Q23" s="33"/>
      <c r="R23" s="33"/>
      <c r="S23" s="33"/>
      <c r="T23" s="33"/>
      <c r="U23" s="33">
        <f t="shared" si="2"/>
        <v>384392.60530000069</v>
      </c>
      <c r="V23" s="43"/>
      <c r="W23" s="43"/>
      <c r="X23" s="43"/>
      <c r="Y23" s="33"/>
      <c r="Z23" s="33"/>
      <c r="AA23" s="33"/>
      <c r="AB23" s="33"/>
      <c r="AC23" s="33"/>
      <c r="AD23" s="33"/>
      <c r="AE23" s="33"/>
      <c r="AF23" s="33"/>
      <c r="AG23" s="33"/>
      <c r="AH23" s="43"/>
    </row>
    <row r="24" spans="1:34">
      <c r="A24" s="45">
        <f t="shared" si="0"/>
        <v>18</v>
      </c>
      <c r="B24" s="54" t="s">
        <v>96</v>
      </c>
      <c r="C24" s="55">
        <f t="shared" ref="C24:S24" si="3">SUM(C15:C23)</f>
        <v>-21167623.870000001</v>
      </c>
      <c r="D24" s="55">
        <f t="shared" si="3"/>
        <v>-5648911.2999999998</v>
      </c>
      <c r="E24" s="55">
        <f t="shared" si="3"/>
        <v>6788174.54</v>
      </c>
      <c r="F24" s="55">
        <f t="shared" si="3"/>
        <v>-4644272.46</v>
      </c>
      <c r="G24" s="55">
        <f t="shared" si="3"/>
        <v>26333.33</v>
      </c>
      <c r="H24" s="55">
        <f t="shared" si="3"/>
        <v>173479.8</v>
      </c>
      <c r="I24" s="55">
        <f t="shared" si="3"/>
        <v>0</v>
      </c>
      <c r="J24" s="55">
        <f t="shared" si="3"/>
        <v>-399863.31900000008</v>
      </c>
      <c r="K24" s="55">
        <f t="shared" si="3"/>
        <v>-109738.56999999999</v>
      </c>
      <c r="L24" s="55">
        <f t="shared" si="3"/>
        <v>397777.66000000015</v>
      </c>
      <c r="M24" s="55">
        <f t="shared" si="3"/>
        <v>180205</v>
      </c>
      <c r="N24" s="55">
        <f t="shared" si="3"/>
        <v>0</v>
      </c>
      <c r="O24" s="55">
        <f t="shared" si="3"/>
        <v>311898.72000000067</v>
      </c>
      <c r="P24" s="55">
        <f t="shared" si="3"/>
        <v>-22220.215700000081</v>
      </c>
      <c r="Q24" s="55">
        <f t="shared" si="3"/>
        <v>0</v>
      </c>
      <c r="R24" s="55">
        <f t="shared" si="3"/>
        <v>0</v>
      </c>
      <c r="S24" s="55">
        <f t="shared" si="3"/>
        <v>0</v>
      </c>
      <c r="T24" s="55">
        <f>SUM(T15:T23)</f>
        <v>0</v>
      </c>
      <c r="U24" s="55">
        <f t="shared" si="2"/>
        <v>-24114760.684700005</v>
      </c>
      <c r="V24" s="43"/>
      <c r="W24" s="33"/>
      <c r="X24" s="43"/>
      <c r="Y24" s="33"/>
      <c r="Z24" s="33"/>
      <c r="AA24" s="33"/>
      <c r="AB24" s="33"/>
      <c r="AC24" s="33"/>
      <c r="AD24" s="33"/>
      <c r="AE24" s="33"/>
      <c r="AF24" s="33"/>
      <c r="AG24" s="33"/>
      <c r="AH24" s="43"/>
    </row>
    <row r="25" spans="1:34">
      <c r="A25" s="45">
        <f t="shared" si="0"/>
        <v>19</v>
      </c>
      <c r="B25" s="4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43"/>
      <c r="W25" s="43"/>
      <c r="X25" s="43"/>
      <c r="Y25" s="33"/>
      <c r="Z25" s="33"/>
      <c r="AA25" s="33"/>
      <c r="AB25" s="33"/>
      <c r="AC25" s="33"/>
      <c r="AD25" s="33"/>
      <c r="AE25" s="33"/>
      <c r="AF25" s="33"/>
      <c r="AG25" s="33"/>
      <c r="AH25" s="43"/>
    </row>
    <row r="26" spans="1:34">
      <c r="A26" s="45">
        <f t="shared" si="0"/>
        <v>20</v>
      </c>
      <c r="B26" s="43" t="s">
        <v>29</v>
      </c>
      <c r="C26" s="33"/>
      <c r="D26" s="33"/>
      <c r="E26" s="33"/>
      <c r="F26" s="33"/>
      <c r="G26" s="33"/>
      <c r="H26" s="33"/>
      <c r="I26" s="33">
        <f>'Adj List'!E13</f>
        <v>245814.53965187783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>
        <f t="shared" ref="U26:U31" si="4">SUM(C26:T26)</f>
        <v>245814.53965187783</v>
      </c>
      <c r="V26" s="43"/>
      <c r="W26" s="43"/>
      <c r="X26" s="43"/>
      <c r="Y26" s="33"/>
      <c r="Z26" s="33"/>
      <c r="AA26" s="33"/>
      <c r="AB26" s="33"/>
      <c r="AC26" s="33"/>
      <c r="AD26" s="33"/>
      <c r="AE26" s="33"/>
      <c r="AF26" s="33"/>
      <c r="AG26" s="33"/>
      <c r="AH26" s="43"/>
    </row>
    <row r="27" spans="1:34">
      <c r="A27" s="45">
        <f t="shared" si="0"/>
        <v>21</v>
      </c>
      <c r="B27" s="43" t="s">
        <v>83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>
        <f>'Adj List'!E22</f>
        <v>-54950.31</v>
      </c>
      <c r="S27" s="33">
        <f>'Adj List'!E23</f>
        <v>21270.988433693186</v>
      </c>
      <c r="T27" s="33"/>
      <c r="U27" s="33">
        <f t="shared" si="4"/>
        <v>-33679.321566306811</v>
      </c>
      <c r="V27" s="43"/>
      <c r="W27" s="43"/>
      <c r="X27" s="43"/>
      <c r="Y27" s="33"/>
      <c r="Z27" s="33"/>
      <c r="AA27" s="33"/>
      <c r="AB27" s="33"/>
      <c r="AC27" s="33"/>
      <c r="AD27" s="33"/>
      <c r="AE27" s="33"/>
      <c r="AF27" s="33"/>
      <c r="AG27" s="33"/>
      <c r="AH27" s="43"/>
    </row>
    <row r="28" spans="1:34">
      <c r="A28" s="45">
        <f t="shared" si="0"/>
        <v>22</v>
      </c>
      <c r="B28" s="43" t="s">
        <v>98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>
        <f t="shared" si="4"/>
        <v>0</v>
      </c>
      <c r="V28" s="43"/>
      <c r="W28" s="43"/>
      <c r="X28" s="43"/>
      <c r="Y28" s="33"/>
      <c r="Z28" s="33"/>
      <c r="AA28" s="33"/>
      <c r="AB28" s="33"/>
      <c r="AC28" s="33"/>
      <c r="AD28" s="33"/>
      <c r="AE28" s="33"/>
      <c r="AF28" s="33"/>
      <c r="AG28" s="33"/>
      <c r="AH28" s="43"/>
    </row>
    <row r="29" spans="1:34">
      <c r="A29" s="45">
        <f>(A28+1)</f>
        <v>23</v>
      </c>
      <c r="B29" s="43" t="s">
        <v>99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>
        <f t="shared" si="4"/>
        <v>0</v>
      </c>
      <c r="V29" s="43"/>
      <c r="W29" s="43"/>
      <c r="X29" s="43"/>
      <c r="Y29" s="33"/>
      <c r="Z29" s="33"/>
      <c r="AA29" s="33"/>
      <c r="AB29" s="33"/>
      <c r="AC29" s="33"/>
      <c r="AD29" s="33"/>
      <c r="AE29" s="33"/>
      <c r="AF29" s="33"/>
      <c r="AG29" s="33"/>
      <c r="AH29" s="43"/>
    </row>
    <row r="30" spans="1:34">
      <c r="A30" s="45">
        <f>(A29+1)</f>
        <v>24</v>
      </c>
      <c r="B30" s="43" t="s">
        <v>85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>
        <f t="shared" si="4"/>
        <v>0</v>
      </c>
      <c r="V30" s="43"/>
      <c r="W30" s="43"/>
      <c r="X30" s="43"/>
      <c r="Y30" s="33"/>
      <c r="Z30" s="33"/>
      <c r="AA30" s="33"/>
      <c r="AB30" s="33"/>
      <c r="AC30" s="33"/>
      <c r="AD30" s="33"/>
      <c r="AE30" s="33"/>
      <c r="AF30" s="33"/>
      <c r="AG30" s="33"/>
      <c r="AH30" s="43"/>
    </row>
    <row r="31" spans="1:34">
      <c r="A31" s="45">
        <f t="shared" si="0"/>
        <v>25</v>
      </c>
      <c r="B31" s="54" t="s">
        <v>33</v>
      </c>
      <c r="C31" s="55">
        <f t="shared" ref="C31:S31" si="5">SUM(C24:C30)</f>
        <v>-21167623.870000001</v>
      </c>
      <c r="D31" s="55">
        <f t="shared" si="5"/>
        <v>-5648911.2999999998</v>
      </c>
      <c r="E31" s="55">
        <f t="shared" si="5"/>
        <v>6788174.54</v>
      </c>
      <c r="F31" s="55">
        <f t="shared" si="5"/>
        <v>-4644272.46</v>
      </c>
      <c r="G31" s="55">
        <f t="shared" si="5"/>
        <v>26333.33</v>
      </c>
      <c r="H31" s="55">
        <f t="shared" si="5"/>
        <v>173479.8</v>
      </c>
      <c r="I31" s="55">
        <f t="shared" si="5"/>
        <v>245814.53965187783</v>
      </c>
      <c r="J31" s="55">
        <f t="shared" si="5"/>
        <v>-399863.31900000008</v>
      </c>
      <c r="K31" s="55">
        <f t="shared" si="5"/>
        <v>-109738.56999999999</v>
      </c>
      <c r="L31" s="55">
        <f t="shared" si="5"/>
        <v>397777.66000000015</v>
      </c>
      <c r="M31" s="55">
        <f t="shared" si="5"/>
        <v>180205</v>
      </c>
      <c r="N31" s="55">
        <f t="shared" si="5"/>
        <v>0</v>
      </c>
      <c r="O31" s="55">
        <f t="shared" si="5"/>
        <v>311898.72000000067</v>
      </c>
      <c r="P31" s="55">
        <f t="shared" si="5"/>
        <v>-22220.215700000081</v>
      </c>
      <c r="Q31" s="55">
        <f t="shared" si="5"/>
        <v>0</v>
      </c>
      <c r="R31" s="55">
        <f t="shared" si="5"/>
        <v>-54950.31</v>
      </c>
      <c r="S31" s="55">
        <f t="shared" si="5"/>
        <v>21270.988433693186</v>
      </c>
      <c r="T31" s="55">
        <f>SUM(T24:T30)</f>
        <v>0</v>
      </c>
      <c r="U31" s="55">
        <f t="shared" si="4"/>
        <v>-23902625.466614433</v>
      </c>
      <c r="V31" s="43"/>
      <c r="W31" s="33">
        <f>U31-'Adj List'!E27</f>
        <v>0</v>
      </c>
      <c r="X31" s="43"/>
      <c r="Y31" s="33"/>
      <c r="Z31" s="33"/>
      <c r="AA31" s="33"/>
      <c r="AB31" s="33"/>
      <c r="AC31" s="33"/>
      <c r="AD31" s="33"/>
      <c r="AE31" s="33"/>
      <c r="AF31" s="33"/>
      <c r="AG31" s="33"/>
      <c r="AH31" s="43"/>
    </row>
    <row r="32" spans="1:34">
      <c r="A32" s="45">
        <f t="shared" si="0"/>
        <v>26</v>
      </c>
      <c r="B32" s="43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43"/>
      <c r="W32" s="43"/>
      <c r="X32" s="43"/>
      <c r="Y32" s="33"/>
      <c r="Z32" s="33"/>
      <c r="AA32" s="33"/>
      <c r="AB32" s="33"/>
      <c r="AC32" s="33"/>
      <c r="AD32" s="33"/>
      <c r="AE32" s="33"/>
      <c r="AF32" s="33"/>
      <c r="AG32" s="33"/>
      <c r="AH32" s="43"/>
    </row>
    <row r="33" spans="1:34">
      <c r="A33" s="45">
        <f t="shared" si="0"/>
        <v>27</v>
      </c>
      <c r="B33" s="43" t="s">
        <v>86</v>
      </c>
      <c r="C33" s="33">
        <f t="shared" ref="C33:S33" si="6">(+C12-C31)</f>
        <v>0</v>
      </c>
      <c r="D33" s="33">
        <f t="shared" si="6"/>
        <v>0</v>
      </c>
      <c r="E33" s="33">
        <f t="shared" si="6"/>
        <v>0</v>
      </c>
      <c r="F33" s="33">
        <f t="shared" si="6"/>
        <v>9.9999997764825821E-3</v>
      </c>
      <c r="G33" s="33">
        <f t="shared" si="6"/>
        <v>-26333.33</v>
      </c>
      <c r="H33" s="33">
        <f t="shared" si="6"/>
        <v>86972.430000000022</v>
      </c>
      <c r="I33" s="33">
        <f t="shared" si="6"/>
        <v>-245814.53965187783</v>
      </c>
      <c r="J33" s="33">
        <f t="shared" si="6"/>
        <v>399863.31900000008</v>
      </c>
      <c r="K33" s="33">
        <f t="shared" si="6"/>
        <v>109738.56999999999</v>
      </c>
      <c r="L33" s="33">
        <f t="shared" si="6"/>
        <v>-397777.66000000015</v>
      </c>
      <c r="M33" s="33">
        <f t="shared" si="6"/>
        <v>-180205</v>
      </c>
      <c r="N33" s="33">
        <f t="shared" si="6"/>
        <v>0</v>
      </c>
      <c r="O33" s="33">
        <f t="shared" si="6"/>
        <v>-311898.72000000067</v>
      </c>
      <c r="P33" s="33">
        <f t="shared" si="6"/>
        <v>22220.215700000081</v>
      </c>
      <c r="Q33" s="33">
        <f t="shared" si="6"/>
        <v>-5410</v>
      </c>
      <c r="R33" s="33">
        <f t="shared" si="6"/>
        <v>54950.31</v>
      </c>
      <c r="S33" s="33">
        <f t="shared" si="6"/>
        <v>-21270.988433693186</v>
      </c>
      <c r="T33" s="33">
        <f>(+T12-T31)</f>
        <v>0</v>
      </c>
      <c r="U33" s="33">
        <f>SUM(C33:T33)</f>
        <v>-514965.38338557183</v>
      </c>
      <c r="V33" s="43"/>
      <c r="W33" s="43"/>
      <c r="X33" s="43"/>
      <c r="Y33" s="33"/>
      <c r="Z33" s="33"/>
      <c r="AA33" s="33"/>
      <c r="AB33" s="33"/>
      <c r="AC33" s="33"/>
      <c r="AD33" s="33"/>
      <c r="AE33" s="33"/>
      <c r="AF33" s="33"/>
      <c r="AG33" s="33"/>
      <c r="AH33" s="43"/>
    </row>
    <row r="34" spans="1:34">
      <c r="A34" s="45">
        <f t="shared" si="0"/>
        <v>28</v>
      </c>
      <c r="B34" s="4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43"/>
      <c r="W34" s="43"/>
      <c r="X34" s="43"/>
      <c r="Y34" s="33"/>
      <c r="Z34" s="33"/>
      <c r="AA34" s="33"/>
      <c r="AB34" s="33"/>
      <c r="AC34" s="33"/>
      <c r="AD34" s="33"/>
      <c r="AE34" s="33"/>
      <c r="AF34" s="33"/>
      <c r="AG34" s="33"/>
      <c r="AH34" s="43"/>
    </row>
    <row r="35" spans="1:34">
      <c r="A35" s="45">
        <f t="shared" si="0"/>
        <v>29</v>
      </c>
      <c r="B35" s="43" t="s">
        <v>34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>
        <f>'Adj List'!F17+'Adj List'!F18</f>
        <v>85918</v>
      </c>
      <c r="N35" s="33"/>
      <c r="O35" s="33"/>
      <c r="P35" s="33"/>
      <c r="Q35" s="33"/>
      <c r="R35" s="33"/>
      <c r="S35" s="33"/>
      <c r="T35" s="33"/>
      <c r="U35" s="33">
        <f>SUM(C35:T35)</f>
        <v>85918</v>
      </c>
      <c r="V35" s="43"/>
      <c r="W35" s="43"/>
      <c r="X35" s="43"/>
      <c r="Y35" s="33"/>
      <c r="Z35" s="33"/>
      <c r="AA35" s="33"/>
      <c r="AB35" s="33"/>
      <c r="AC35" s="33"/>
      <c r="AD35" s="33"/>
      <c r="AE35" s="33"/>
      <c r="AF35" s="33"/>
      <c r="AG35" s="33"/>
      <c r="AH35" s="43"/>
    </row>
    <row r="36" spans="1:34">
      <c r="A36" s="45" t="s">
        <v>187</v>
      </c>
      <c r="B36" s="43" t="s">
        <v>188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43"/>
      <c r="W36" s="43"/>
      <c r="X36" s="43"/>
      <c r="Y36" s="33"/>
      <c r="Z36" s="33"/>
      <c r="AA36" s="33"/>
      <c r="AB36" s="33"/>
      <c r="AC36" s="33"/>
      <c r="AD36" s="33"/>
      <c r="AE36" s="33"/>
      <c r="AF36" s="33"/>
      <c r="AG36" s="33"/>
      <c r="AH36" s="43"/>
    </row>
    <row r="37" spans="1:34">
      <c r="A37" s="45">
        <f>(A35+1)</f>
        <v>30</v>
      </c>
      <c r="B37" s="43" t="s">
        <v>35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>
        <f>SUM(C37:T37)</f>
        <v>0</v>
      </c>
      <c r="V37" s="43"/>
      <c r="W37" s="43"/>
      <c r="X37" s="43"/>
      <c r="Y37" s="33"/>
      <c r="Z37" s="33"/>
      <c r="AA37" s="33"/>
      <c r="AB37" s="33"/>
      <c r="AC37" s="33"/>
      <c r="AD37" s="33"/>
      <c r="AE37" s="33"/>
      <c r="AF37" s="33"/>
      <c r="AG37" s="33"/>
      <c r="AH37" s="43"/>
    </row>
    <row r="38" spans="1:34">
      <c r="A38" s="45">
        <f t="shared" si="0"/>
        <v>31</v>
      </c>
      <c r="B38" s="43" t="s">
        <v>31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>
        <f>SUM(C38:T38)</f>
        <v>0</v>
      </c>
      <c r="V38" s="43"/>
      <c r="W38" s="43"/>
      <c r="X38" s="43"/>
      <c r="Y38" s="33"/>
      <c r="Z38" s="33"/>
      <c r="AA38" s="33"/>
      <c r="AB38" s="33"/>
      <c r="AC38" s="33"/>
      <c r="AD38" s="33"/>
      <c r="AE38" s="33"/>
      <c r="AF38" s="33"/>
      <c r="AG38" s="33"/>
      <c r="AH38" s="43"/>
    </row>
    <row r="39" spans="1:34">
      <c r="A39" s="45">
        <f t="shared" si="0"/>
        <v>32</v>
      </c>
      <c r="B39" s="43" t="s">
        <v>87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f>SUM(C39:T39)</f>
        <v>0</v>
      </c>
      <c r="V39" s="43"/>
      <c r="W39" s="43"/>
      <c r="X39" s="43"/>
      <c r="Y39" s="33"/>
      <c r="Z39" s="33"/>
      <c r="AA39" s="33"/>
      <c r="AB39" s="33"/>
      <c r="AC39" s="33"/>
      <c r="AD39" s="33"/>
      <c r="AE39" s="33"/>
      <c r="AF39" s="33"/>
      <c r="AG39" s="33"/>
      <c r="AH39" s="43"/>
    </row>
    <row r="40" spans="1:34">
      <c r="A40" s="45">
        <f t="shared" si="0"/>
        <v>33</v>
      </c>
      <c r="B40" s="54" t="s">
        <v>97</v>
      </c>
      <c r="C40" s="55">
        <f t="shared" ref="C40:S40" si="7">SUM(C35:C39)</f>
        <v>0</v>
      </c>
      <c r="D40" s="55">
        <f t="shared" si="7"/>
        <v>0</v>
      </c>
      <c r="E40" s="55">
        <f t="shared" si="7"/>
        <v>0</v>
      </c>
      <c r="F40" s="55">
        <f t="shared" si="7"/>
        <v>0</v>
      </c>
      <c r="G40" s="55">
        <f t="shared" si="7"/>
        <v>0</v>
      </c>
      <c r="H40" s="55">
        <f t="shared" si="7"/>
        <v>0</v>
      </c>
      <c r="I40" s="55">
        <f t="shared" si="7"/>
        <v>0</v>
      </c>
      <c r="J40" s="55">
        <f t="shared" si="7"/>
        <v>0</v>
      </c>
      <c r="K40" s="55">
        <f t="shared" si="7"/>
        <v>0</v>
      </c>
      <c r="L40" s="55">
        <f t="shared" si="7"/>
        <v>0</v>
      </c>
      <c r="M40" s="55">
        <f t="shared" si="7"/>
        <v>85918</v>
      </c>
      <c r="N40" s="55">
        <f t="shared" si="7"/>
        <v>0</v>
      </c>
      <c r="O40" s="55">
        <f t="shared" si="7"/>
        <v>0</v>
      </c>
      <c r="P40" s="55">
        <f t="shared" si="7"/>
        <v>0</v>
      </c>
      <c r="Q40" s="55">
        <f t="shared" si="7"/>
        <v>0</v>
      </c>
      <c r="R40" s="55">
        <f t="shared" si="7"/>
        <v>0</v>
      </c>
      <c r="S40" s="55">
        <f t="shared" si="7"/>
        <v>0</v>
      </c>
      <c r="T40" s="55">
        <f>SUM(T35:T39)</f>
        <v>0</v>
      </c>
      <c r="U40" s="55">
        <f>SUM(C40:T40)</f>
        <v>85918</v>
      </c>
      <c r="V40" s="43"/>
      <c r="W40" s="33">
        <f>U40-'Adj List'!F27</f>
        <v>0</v>
      </c>
      <c r="X40" s="43"/>
      <c r="Y40" s="33"/>
      <c r="Z40" s="33"/>
      <c r="AA40" s="33"/>
      <c r="AB40" s="33"/>
      <c r="AC40" s="33"/>
      <c r="AD40" s="33"/>
      <c r="AE40" s="33"/>
      <c r="AF40" s="33"/>
      <c r="AG40" s="33"/>
      <c r="AH40" s="43"/>
    </row>
    <row r="41" spans="1:34">
      <c r="A41" s="45">
        <f t="shared" si="0"/>
        <v>34</v>
      </c>
      <c r="B41" s="4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43"/>
      <c r="W41" s="43"/>
      <c r="X41" s="43"/>
      <c r="Y41" s="33"/>
      <c r="Z41" s="33"/>
      <c r="AA41" s="33"/>
      <c r="AB41" s="33"/>
      <c r="AC41" s="33"/>
      <c r="AD41" s="33"/>
      <c r="AE41" s="33"/>
      <c r="AF41" s="33"/>
      <c r="AG41" s="33"/>
      <c r="AH41" s="43"/>
    </row>
    <row r="42" spans="1:34" ht="14.4" thickBot="1">
      <c r="A42" s="45">
        <f t="shared" si="0"/>
        <v>35</v>
      </c>
      <c r="B42" s="57" t="s">
        <v>88</v>
      </c>
      <c r="C42" s="58">
        <f t="shared" ref="C42:S42" si="8">+C33+C40</f>
        <v>0</v>
      </c>
      <c r="D42" s="58">
        <f t="shared" si="8"/>
        <v>0</v>
      </c>
      <c r="E42" s="58">
        <f t="shared" si="8"/>
        <v>0</v>
      </c>
      <c r="F42" s="58">
        <f t="shared" si="8"/>
        <v>9.9999997764825821E-3</v>
      </c>
      <c r="G42" s="58">
        <f t="shared" si="8"/>
        <v>-26333.33</v>
      </c>
      <c r="H42" s="58">
        <f t="shared" si="8"/>
        <v>86972.430000000022</v>
      </c>
      <c r="I42" s="58">
        <f t="shared" si="8"/>
        <v>-245814.53965187783</v>
      </c>
      <c r="J42" s="58">
        <f t="shared" si="8"/>
        <v>399863.31900000008</v>
      </c>
      <c r="K42" s="58">
        <f t="shared" si="8"/>
        <v>109738.56999999999</v>
      </c>
      <c r="L42" s="58">
        <f t="shared" si="8"/>
        <v>-397777.66000000015</v>
      </c>
      <c r="M42" s="58">
        <f t="shared" si="8"/>
        <v>-94287</v>
      </c>
      <c r="N42" s="58">
        <f t="shared" si="8"/>
        <v>0</v>
      </c>
      <c r="O42" s="58">
        <f t="shared" si="8"/>
        <v>-311898.72000000067</v>
      </c>
      <c r="P42" s="58">
        <f t="shared" si="8"/>
        <v>22220.215700000081</v>
      </c>
      <c r="Q42" s="58">
        <f t="shared" si="8"/>
        <v>-5410</v>
      </c>
      <c r="R42" s="58">
        <f t="shared" si="8"/>
        <v>54950.31</v>
      </c>
      <c r="S42" s="58">
        <f t="shared" si="8"/>
        <v>-21270.988433693186</v>
      </c>
      <c r="T42" s="58">
        <f>+T33+T40</f>
        <v>0</v>
      </c>
      <c r="U42" s="58">
        <f>SUM(C42:T42)</f>
        <v>-429047.38338557188</v>
      </c>
      <c r="V42" s="43"/>
      <c r="W42" s="33">
        <f>U42-'Adj List'!G27</f>
        <v>0</v>
      </c>
      <c r="X42" s="43"/>
      <c r="Y42" s="33"/>
      <c r="Z42" s="33"/>
      <c r="AA42" s="33"/>
      <c r="AB42" s="33"/>
      <c r="AC42" s="33"/>
      <c r="AD42" s="33"/>
      <c r="AE42" s="33"/>
      <c r="AF42" s="33"/>
      <c r="AG42" s="33"/>
      <c r="AH42" s="43"/>
    </row>
    <row r="43" spans="1:34" ht="18" customHeight="1" thickTop="1">
      <c r="A43" s="45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:34" ht="18" customHeight="1">
      <c r="A44" s="45"/>
      <c r="B44" s="43" t="s">
        <v>110</v>
      </c>
      <c r="C44" s="33">
        <f>C12</f>
        <v>-21167623.870000001</v>
      </c>
      <c r="D44" s="33">
        <f t="shared" ref="D44:S44" si="9">D12</f>
        <v>-5648911.2999999998</v>
      </c>
      <c r="E44" s="33">
        <f t="shared" si="9"/>
        <v>6788174.54</v>
      </c>
      <c r="F44" s="33">
        <f t="shared" si="9"/>
        <v>-4644272.45</v>
      </c>
      <c r="G44" s="33">
        <f t="shared" si="9"/>
        <v>0</v>
      </c>
      <c r="H44" s="33">
        <f t="shared" si="9"/>
        <v>260452.23</v>
      </c>
      <c r="I44" s="33">
        <f t="shared" si="9"/>
        <v>0</v>
      </c>
      <c r="J44" s="33">
        <f t="shared" si="9"/>
        <v>0</v>
      </c>
      <c r="K44" s="33">
        <f t="shared" si="9"/>
        <v>0</v>
      </c>
      <c r="L44" s="33">
        <f t="shared" si="9"/>
        <v>0</v>
      </c>
      <c r="M44" s="33">
        <f t="shared" si="9"/>
        <v>0</v>
      </c>
      <c r="N44" s="33">
        <f t="shared" si="9"/>
        <v>0</v>
      </c>
      <c r="O44" s="33">
        <f t="shared" si="9"/>
        <v>0</v>
      </c>
      <c r="P44" s="33">
        <f t="shared" si="9"/>
        <v>0</v>
      </c>
      <c r="Q44" s="33">
        <f t="shared" si="9"/>
        <v>-5410</v>
      </c>
      <c r="R44" s="33">
        <f t="shared" si="9"/>
        <v>0</v>
      </c>
      <c r="S44" s="33">
        <f t="shared" si="9"/>
        <v>0</v>
      </c>
      <c r="T44" s="33">
        <f>T12</f>
        <v>0</v>
      </c>
      <c r="U44" s="33">
        <f>SUM(C44:T44)</f>
        <v>-24417590.850000001</v>
      </c>
      <c r="V44" s="43"/>
      <c r="W44" s="33">
        <f>U44-'Adj List'!D27</f>
        <v>0</v>
      </c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1:34" ht="18" customHeight="1">
      <c r="A45" s="45"/>
      <c r="B45" s="43" t="s">
        <v>109</v>
      </c>
      <c r="C45" s="33">
        <f>C31</f>
        <v>-21167623.870000001</v>
      </c>
      <c r="D45" s="33">
        <f t="shared" ref="D45:M45" si="10">D31</f>
        <v>-5648911.2999999998</v>
      </c>
      <c r="E45" s="33">
        <f t="shared" si="10"/>
        <v>6788174.54</v>
      </c>
      <c r="F45" s="33">
        <f t="shared" si="10"/>
        <v>-4644272.46</v>
      </c>
      <c r="G45" s="33">
        <f t="shared" si="10"/>
        <v>26333.33</v>
      </c>
      <c r="H45" s="33">
        <f t="shared" si="10"/>
        <v>173479.8</v>
      </c>
      <c r="I45" s="33">
        <f t="shared" si="10"/>
        <v>245814.53965187783</v>
      </c>
      <c r="J45" s="33">
        <f t="shared" si="10"/>
        <v>-399863.31900000008</v>
      </c>
      <c r="K45" s="33">
        <f t="shared" si="10"/>
        <v>-109738.56999999999</v>
      </c>
      <c r="L45" s="33">
        <f t="shared" si="10"/>
        <v>397777.66000000015</v>
      </c>
      <c r="M45" s="33">
        <f t="shared" si="10"/>
        <v>180205</v>
      </c>
      <c r="N45" s="33">
        <f t="shared" ref="N45:S45" si="11">N31-N40</f>
        <v>0</v>
      </c>
      <c r="O45" s="33">
        <f t="shared" si="11"/>
        <v>311898.72000000067</v>
      </c>
      <c r="P45" s="33">
        <f t="shared" si="11"/>
        <v>-22220.215700000081</v>
      </c>
      <c r="Q45" s="33">
        <f t="shared" si="11"/>
        <v>0</v>
      </c>
      <c r="R45" s="33">
        <f t="shared" si="11"/>
        <v>-54950.31</v>
      </c>
      <c r="S45" s="33">
        <f t="shared" si="11"/>
        <v>21270.988433693186</v>
      </c>
      <c r="T45" s="33">
        <f>T31-T40</f>
        <v>0</v>
      </c>
      <c r="U45" s="33">
        <f>SUM(C45:T45)</f>
        <v>-23902625.466614433</v>
      </c>
      <c r="V45" s="43"/>
      <c r="W45" s="33">
        <f>U45-'Adj List'!E27</f>
        <v>0</v>
      </c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8" customHeight="1">
      <c r="A46" s="45"/>
      <c r="B46" s="43" t="s">
        <v>201</v>
      </c>
      <c r="C46" s="33">
        <f>C40</f>
        <v>0</v>
      </c>
      <c r="D46" s="33">
        <f t="shared" ref="D46:M46" si="12">D40</f>
        <v>0</v>
      </c>
      <c r="E46" s="33">
        <f t="shared" si="12"/>
        <v>0</v>
      </c>
      <c r="F46" s="33">
        <f t="shared" si="12"/>
        <v>0</v>
      </c>
      <c r="G46" s="33">
        <f t="shared" si="12"/>
        <v>0</v>
      </c>
      <c r="H46" s="33">
        <f t="shared" si="12"/>
        <v>0</v>
      </c>
      <c r="I46" s="33">
        <f t="shared" si="12"/>
        <v>0</v>
      </c>
      <c r="J46" s="33">
        <f t="shared" si="12"/>
        <v>0</v>
      </c>
      <c r="K46" s="33">
        <f t="shared" si="12"/>
        <v>0</v>
      </c>
      <c r="L46" s="33">
        <f t="shared" si="12"/>
        <v>0</v>
      </c>
      <c r="M46" s="33">
        <f t="shared" si="12"/>
        <v>85918</v>
      </c>
      <c r="N46" s="33"/>
      <c r="O46" s="33"/>
      <c r="P46" s="33"/>
      <c r="Q46" s="33"/>
      <c r="R46" s="33"/>
      <c r="S46" s="33"/>
      <c r="T46" s="33"/>
      <c r="U46" s="33">
        <f>SUM(C46:T46)</f>
        <v>85918</v>
      </c>
      <c r="V46" s="43"/>
      <c r="W46" s="33">
        <f>U46-'Adj List'!F27</f>
        <v>0</v>
      </c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ht="18" customHeight="1">
      <c r="A47" s="45"/>
      <c r="B47" s="43" t="s">
        <v>111</v>
      </c>
      <c r="C47" s="33">
        <f>C44-C45+C46</f>
        <v>0</v>
      </c>
      <c r="D47" s="33">
        <f t="shared" ref="D47:M47" si="13">D44-D45+D46</f>
        <v>0</v>
      </c>
      <c r="E47" s="33">
        <f t="shared" si="13"/>
        <v>0</v>
      </c>
      <c r="F47" s="33">
        <f t="shared" si="13"/>
        <v>9.9999997764825821E-3</v>
      </c>
      <c r="G47" s="33">
        <f t="shared" si="13"/>
        <v>-26333.33</v>
      </c>
      <c r="H47" s="33">
        <f t="shared" si="13"/>
        <v>86972.430000000022</v>
      </c>
      <c r="I47" s="33">
        <f t="shared" si="13"/>
        <v>-245814.53965187783</v>
      </c>
      <c r="J47" s="33">
        <f t="shared" si="13"/>
        <v>399863.31900000008</v>
      </c>
      <c r="K47" s="33">
        <f t="shared" si="13"/>
        <v>109738.56999999999</v>
      </c>
      <c r="L47" s="33">
        <f t="shared" si="13"/>
        <v>-397777.66000000015</v>
      </c>
      <c r="M47" s="33">
        <f t="shared" si="13"/>
        <v>-94287</v>
      </c>
      <c r="N47" s="33">
        <f t="shared" ref="N47:T47" si="14">N44-N45</f>
        <v>0</v>
      </c>
      <c r="O47" s="33">
        <f t="shared" si="14"/>
        <v>-311898.72000000067</v>
      </c>
      <c r="P47" s="33">
        <f t="shared" si="14"/>
        <v>22220.215700000081</v>
      </c>
      <c r="Q47" s="33">
        <f t="shared" si="14"/>
        <v>-5410</v>
      </c>
      <c r="R47" s="33">
        <f t="shared" si="14"/>
        <v>54950.31</v>
      </c>
      <c r="S47" s="33">
        <f t="shared" si="14"/>
        <v>-21270.988433693186</v>
      </c>
      <c r="T47" s="33">
        <f t="shared" si="14"/>
        <v>0</v>
      </c>
      <c r="U47" s="33">
        <f>SUM(C47:T47)</f>
        <v>-429047.38338557188</v>
      </c>
      <c r="V47" s="43"/>
      <c r="W47" s="33">
        <f>U47-'Adj List'!G27</f>
        <v>0</v>
      </c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ht="18" customHeight="1">
      <c r="A48" s="45"/>
      <c r="B48" s="43" t="s">
        <v>112</v>
      </c>
      <c r="C48" s="33">
        <f t="shared" ref="C48:U48" si="15">C47-C42</f>
        <v>0</v>
      </c>
      <c r="D48" s="33">
        <f t="shared" si="15"/>
        <v>0</v>
      </c>
      <c r="E48" s="33">
        <f t="shared" si="15"/>
        <v>0</v>
      </c>
      <c r="F48" s="33">
        <f t="shared" si="15"/>
        <v>0</v>
      </c>
      <c r="G48" s="33">
        <f t="shared" si="15"/>
        <v>0</v>
      </c>
      <c r="H48" s="33">
        <f t="shared" si="15"/>
        <v>0</v>
      </c>
      <c r="I48" s="33">
        <f t="shared" si="15"/>
        <v>0</v>
      </c>
      <c r="J48" s="33">
        <f t="shared" si="15"/>
        <v>0</v>
      </c>
      <c r="K48" s="33">
        <f t="shared" si="15"/>
        <v>0</v>
      </c>
      <c r="L48" s="33">
        <f t="shared" si="15"/>
        <v>0</v>
      </c>
      <c r="M48" s="33">
        <f t="shared" si="15"/>
        <v>0</v>
      </c>
      <c r="N48" s="33">
        <f t="shared" si="15"/>
        <v>0</v>
      </c>
      <c r="O48" s="33">
        <f t="shared" si="15"/>
        <v>0</v>
      </c>
      <c r="P48" s="33">
        <f t="shared" si="15"/>
        <v>0</v>
      </c>
      <c r="Q48" s="33">
        <f t="shared" si="15"/>
        <v>0</v>
      </c>
      <c r="R48" s="33">
        <f t="shared" si="15"/>
        <v>0</v>
      </c>
      <c r="S48" s="33">
        <f t="shared" si="15"/>
        <v>0</v>
      </c>
      <c r="T48" s="33">
        <f t="shared" si="15"/>
        <v>0</v>
      </c>
      <c r="U48" s="33">
        <f t="shared" si="15"/>
        <v>0</v>
      </c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1:34" ht="18" customHeight="1">
      <c r="A49" s="45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4" ht="18" customHeight="1">
      <c r="A50" s="45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:34">
      <c r="A51" s="45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>
      <c r="A52" s="45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</row>
    <row r="53" spans="1:34">
      <c r="A53" s="45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:34">
      <c r="A54" s="45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:34">
      <c r="A55" s="45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6" spans="1:34">
      <c r="A56" s="45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</row>
    <row r="57" spans="1:34">
      <c r="A57" s="4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</row>
    <row r="58" spans="1:34">
      <c r="A58" s="45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:34">
      <c r="A59" s="4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>
      <c r="A60" s="45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4">
      <c r="A61" s="4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:34">
      <c r="A62" s="45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:34">
      <c r="A63" s="45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>
      <c r="A64" s="45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:34">
      <c r="A65" s="45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:34">
      <c r="A66" s="4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:34">
      <c r="A67" s="45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1:34">
      <c r="A68" s="4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1:34">
      <c r="A69" s="4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34">
      <c r="A70" s="4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1:34">
      <c r="A71" s="4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</row>
    <row r="72" spans="1:34">
      <c r="A72" s="45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4">
      <c r="A73" s="45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4">
      <c r="A74" s="4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4">
      <c r="A75" s="4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4">
      <c r="A76" s="45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</row>
    <row r="77" spans="1:34">
      <c r="A77" s="4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4">
      <c r="A78" s="4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4">
      <c r="A79" s="4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4">
      <c r="A80" s="4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</row>
    <row r="81" spans="1:34">
      <c r="A81" s="45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</row>
    <row r="82" spans="1:34">
      <c r="A82" s="45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</row>
    <row r="83" spans="1:34">
      <c r="A83" s="4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>
      <c r="A84" s="45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34">
      <c r="A85" s="45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</row>
    <row r="86" spans="1:34">
      <c r="A86" s="45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</row>
    <row r="87" spans="1:34">
      <c r="A87" s="45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</row>
    <row r="88" spans="1:34">
      <c r="A88" s="45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>
      <c r="A89" s="45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1:34">
      <c r="A90" s="45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4">
      <c r="A91" s="45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34">
      <c r="A92" s="45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</row>
    <row r="93" spans="1:34">
      <c r="A93" s="4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</row>
    <row r="94" spans="1:34">
      <c r="A94" s="4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>
      <c r="A95" s="45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>
      <c r="A96" s="45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</row>
    <row r="97" spans="1:34">
      <c r="A97" s="4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</row>
    <row r="98" spans="1:34">
      <c r="A98" s="4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</row>
    <row r="99" spans="1:34">
      <c r="A99" s="4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</row>
    <row r="100" spans="1:34">
      <c r="A100" s="4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</row>
    <row r="101" spans="1:34">
      <c r="A101" s="45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</row>
    <row r="102" spans="1:34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</row>
    <row r="103" spans="1:34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</row>
    <row r="104" spans="1:34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</row>
    <row r="105" spans="1:34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</row>
    <row r="106" spans="1:34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</row>
    <row r="107" spans="1:34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</row>
    <row r="108" spans="1:34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</row>
    <row r="109" spans="1:34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</row>
    <row r="110" spans="1:34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</row>
    <row r="111" spans="1:34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</row>
    <row r="112" spans="1:34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</row>
    <row r="113" spans="2:28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</row>
    <row r="114" spans="2:28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</row>
    <row r="115" spans="2:28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</row>
    <row r="116" spans="2:28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</row>
    <row r="117" spans="2:28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</row>
    <row r="118" spans="2:28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</row>
    <row r="119" spans="2:28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</row>
    <row r="120" spans="2:28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</row>
    <row r="121" spans="2:28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</row>
    <row r="122" spans="2:28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</row>
    <row r="123" spans="2:28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</row>
    <row r="124" spans="2:28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</row>
    <row r="125" spans="2:28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</row>
    <row r="126" spans="2:28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</row>
    <row r="127" spans="2:28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</row>
    <row r="128" spans="2:28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</row>
    <row r="129" spans="2:28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</row>
    <row r="130" spans="2:28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</row>
    <row r="131" spans="2:28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</row>
    <row r="132" spans="2:28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</row>
    <row r="133" spans="2:28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</row>
    <row r="134" spans="2:28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</row>
    <row r="135" spans="2:28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</row>
    <row r="136" spans="2:28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</row>
    <row r="137" spans="2:28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</row>
    <row r="138" spans="2:28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</row>
    <row r="139" spans="2:28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</row>
    <row r="140" spans="2:28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</row>
    <row r="141" spans="2:28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</row>
    <row r="142" spans="2:28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</row>
    <row r="143" spans="2:28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</row>
    <row r="144" spans="2:28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</row>
    <row r="145" spans="2:28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</row>
    <row r="146" spans="2:28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</row>
    <row r="147" spans="2:28">
      <c r="V147" s="43"/>
      <c r="W147" s="43"/>
      <c r="X147" s="43"/>
      <c r="Y147" s="43"/>
      <c r="Z147" s="43"/>
      <c r="AA147" s="43"/>
      <c r="AB147" s="43"/>
    </row>
    <row r="148" spans="2:28">
      <c r="V148" s="43"/>
      <c r="W148" s="43"/>
      <c r="X148" s="43"/>
      <c r="Y148" s="43"/>
      <c r="Z148" s="43"/>
      <c r="AA148" s="43"/>
      <c r="AB148" s="43"/>
    </row>
    <row r="149" spans="2:28">
      <c r="V149" s="43"/>
      <c r="W149" s="43"/>
      <c r="X149" s="43"/>
      <c r="Y149" s="43"/>
      <c r="Z149" s="43"/>
      <c r="AA149" s="43"/>
      <c r="AB149" s="43"/>
    </row>
    <row r="150" spans="2:28">
      <c r="V150" s="43"/>
      <c r="W150" s="43"/>
      <c r="X150" s="43"/>
      <c r="Y150" s="43"/>
      <c r="Z150" s="43"/>
      <c r="AA150" s="43"/>
      <c r="AB150" s="43"/>
    </row>
    <row r="151" spans="2:28">
      <c r="V151" s="43"/>
      <c r="W151" s="43"/>
      <c r="X151" s="43"/>
      <c r="Y151" s="43"/>
      <c r="Z151" s="43"/>
      <c r="AA151" s="43"/>
      <c r="AB151" s="43"/>
    </row>
  </sheetData>
  <conditionalFormatting sqref="C48:U48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W12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W31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W40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W4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W44:W47">
    <cfRule type="cellIs" dxfId="1" priority="3" operator="notEqual">
      <formula>0</formula>
    </cfRule>
    <cfRule type="cellIs" dxfId="0" priority="4" operator="equal">
      <formula>0</formula>
    </cfRule>
  </conditionalFormatting>
  <printOptions horizontalCentered="1"/>
  <pageMargins left="0.25" right="0.25" top="0.75" bottom="0.75" header="0.3" footer="0.3"/>
  <pageSetup scale="49" orientation="landscape" r:id="rId1"/>
  <headerFooter>
    <oddFooter>&amp;R&amp;"Times New Roman,Regular"Exhibit  JW-2
Page &amp;P of &amp;N</oddFooter>
  </headerFooter>
  <ignoredErrors>
    <ignoredError sqref="C31:U34 C48:U48 C38:F38 H38:U38 C39:U44 N45:U45 N47:U47 C36:U37 C35:L35 N35:U3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pageSetUpPr fitToPage="1"/>
  </sheetPr>
  <dimension ref="A1:O35"/>
  <sheetViews>
    <sheetView view="pageBreakPreview" topLeftCell="A15" zoomScaleNormal="100" zoomScaleSheetLayoutView="100" workbookViewId="0">
      <selection activeCell="J32" sqref="J32"/>
    </sheetView>
  </sheetViews>
  <sheetFormatPr defaultColWidth="9.109375" defaultRowHeight="13.2"/>
  <cols>
    <col min="1" max="1" width="5.88671875" style="1" customWidth="1"/>
    <col min="2" max="2" width="2.33203125" style="1" customWidth="1"/>
    <col min="3" max="3" width="11.6640625" style="1" customWidth="1"/>
    <col min="4" max="4" width="10.88671875" style="1" customWidth="1"/>
    <col min="5" max="5" width="3" style="1" customWidth="1"/>
    <col min="6" max="6" width="15.33203125" style="1" customWidth="1"/>
    <col min="7" max="7" width="3.33203125" style="1" customWidth="1"/>
    <col min="8" max="8" width="15.6640625" style="1" customWidth="1"/>
    <col min="9" max="9" width="9.109375" style="1"/>
    <col min="10" max="10" width="12.109375" style="1" bestFit="1" customWidth="1"/>
    <col min="11" max="12" width="9.109375" style="1"/>
    <col min="13" max="13" width="14.109375" style="1" bestFit="1" customWidth="1"/>
    <col min="14" max="16384" width="9.109375" style="1"/>
  </cols>
  <sheetData>
    <row r="1" spans="1:15">
      <c r="G1" s="88"/>
      <c r="H1" s="88" t="s">
        <v>27</v>
      </c>
    </row>
    <row r="2" spans="1:15" ht="20.25" customHeight="1">
      <c r="G2" s="88"/>
      <c r="H2" s="88"/>
    </row>
    <row r="3" spans="1:15">
      <c r="G3" s="88"/>
      <c r="H3" s="88"/>
    </row>
    <row r="4" spans="1:15">
      <c r="A4" s="428" t="str">
        <f>RevReq!A1</f>
        <v>KENERGY CORP.</v>
      </c>
      <c r="B4" s="428"/>
      <c r="C4" s="428"/>
      <c r="D4" s="428"/>
      <c r="E4" s="428"/>
      <c r="F4" s="428"/>
      <c r="G4" s="428"/>
      <c r="H4" s="428"/>
      <c r="J4" s="100"/>
      <c r="K4" s="100"/>
      <c r="L4" s="100"/>
      <c r="M4" s="100"/>
      <c r="N4" s="100"/>
      <c r="O4" s="100"/>
    </row>
    <row r="5" spans="1:15">
      <c r="A5" s="428" t="str">
        <f>RevReq!A3</f>
        <v>For the 12 Months Ended February 28, 2023</v>
      </c>
      <c r="B5" s="428"/>
      <c r="C5" s="428"/>
      <c r="D5" s="428"/>
      <c r="E5" s="428"/>
      <c r="F5" s="428"/>
      <c r="G5" s="428"/>
      <c r="H5" s="428"/>
    </row>
    <row r="7" spans="1:15" s="89" customFormat="1" ht="15" customHeight="1">
      <c r="A7" s="429" t="s">
        <v>118</v>
      </c>
      <c r="B7" s="429"/>
      <c r="C7" s="429"/>
      <c r="D7" s="429"/>
      <c r="E7" s="429"/>
      <c r="F7" s="429"/>
      <c r="G7" s="429"/>
      <c r="H7" s="429"/>
    </row>
    <row r="8" spans="1:15">
      <c r="M8" s="116"/>
    </row>
    <row r="9" spans="1:15">
      <c r="A9" s="21" t="s">
        <v>0</v>
      </c>
      <c r="C9" s="21" t="s">
        <v>16</v>
      </c>
      <c r="D9" s="21" t="s">
        <v>17</v>
      </c>
      <c r="E9" s="21"/>
      <c r="F9" s="21" t="s">
        <v>23</v>
      </c>
      <c r="G9" s="21"/>
      <c r="H9" s="21" t="s">
        <v>24</v>
      </c>
    </row>
    <row r="10" spans="1:15">
      <c r="A10" s="29" t="s">
        <v>21</v>
      </c>
      <c r="C10" s="101" t="s">
        <v>18</v>
      </c>
      <c r="D10" s="101" t="s">
        <v>20</v>
      </c>
      <c r="E10" s="21"/>
      <c r="F10" s="101" t="s">
        <v>19</v>
      </c>
      <c r="G10" s="101"/>
      <c r="H10" s="101" t="s">
        <v>25</v>
      </c>
    </row>
    <row r="11" spans="1:15">
      <c r="A11" s="21"/>
    </row>
    <row r="12" spans="1:15">
      <c r="A12" s="21">
        <v>1</v>
      </c>
      <c r="C12" s="90" t="s">
        <v>280</v>
      </c>
      <c r="D12" s="21"/>
      <c r="F12" s="91">
        <v>-2043314.94</v>
      </c>
      <c r="H12" s="91"/>
    </row>
    <row r="13" spans="1:15">
      <c r="A13" s="21">
        <f>A12+1</f>
        <v>2</v>
      </c>
      <c r="C13" s="21">
        <v>2023</v>
      </c>
      <c r="D13" s="21" t="s">
        <v>6</v>
      </c>
      <c r="E13" s="91"/>
      <c r="F13" s="91">
        <v>3152350.6</v>
      </c>
      <c r="G13" s="91"/>
      <c r="H13" s="91">
        <v>1410167.74</v>
      </c>
    </row>
    <row r="14" spans="1:15">
      <c r="A14" s="21">
        <f t="shared" ref="A14:A32" si="0">A13+1</f>
        <v>3</v>
      </c>
      <c r="C14" s="21">
        <v>2023</v>
      </c>
      <c r="D14" s="21" t="s">
        <v>7</v>
      </c>
      <c r="E14" s="91"/>
      <c r="F14" s="91">
        <v>1419413.74</v>
      </c>
      <c r="G14" s="91"/>
      <c r="H14" s="91">
        <v>631467.71000000008</v>
      </c>
    </row>
    <row r="15" spans="1:15">
      <c r="A15" s="21">
        <f t="shared" si="0"/>
        <v>4</v>
      </c>
      <c r="C15" s="21">
        <v>2022</v>
      </c>
      <c r="D15" s="21" t="s">
        <v>8</v>
      </c>
      <c r="E15" s="91"/>
      <c r="F15" s="91">
        <v>826853.46</v>
      </c>
      <c r="G15" s="91"/>
      <c r="H15" s="91">
        <v>1589353.02</v>
      </c>
    </row>
    <row r="16" spans="1:15">
      <c r="A16" s="21">
        <f t="shared" si="0"/>
        <v>5</v>
      </c>
      <c r="C16" s="21">
        <f t="shared" ref="C16:C24" si="1">C15</f>
        <v>2022</v>
      </c>
      <c r="D16" s="21" t="s">
        <v>9</v>
      </c>
      <c r="E16" s="91"/>
      <c r="F16" s="91">
        <v>773513.64</v>
      </c>
      <c r="G16" s="91"/>
      <c r="H16" s="91">
        <v>1114811.67</v>
      </c>
    </row>
    <row r="17" spans="1:13">
      <c r="A17" s="21">
        <f t="shared" si="0"/>
        <v>6</v>
      </c>
      <c r="C17" s="21">
        <f t="shared" si="1"/>
        <v>2022</v>
      </c>
      <c r="D17" s="21" t="s">
        <v>10</v>
      </c>
      <c r="E17" s="91"/>
      <c r="F17" s="91">
        <v>1643066.34</v>
      </c>
      <c r="G17" s="91"/>
      <c r="H17" s="91">
        <v>1513822.9100000001</v>
      </c>
    </row>
    <row r="18" spans="1:13">
      <c r="A18" s="21">
        <f t="shared" si="0"/>
        <v>7</v>
      </c>
      <c r="C18" s="21">
        <f t="shared" si="1"/>
        <v>2022</v>
      </c>
      <c r="D18" s="21" t="s">
        <v>11</v>
      </c>
      <c r="E18" s="91"/>
      <c r="F18" s="91">
        <v>1577927.13</v>
      </c>
      <c r="G18" s="91"/>
      <c r="H18" s="91">
        <v>642518.03999999992</v>
      </c>
    </row>
    <row r="19" spans="1:13">
      <c r="A19" s="21">
        <f t="shared" si="0"/>
        <v>8</v>
      </c>
      <c r="C19" s="21">
        <f t="shared" si="1"/>
        <v>2022</v>
      </c>
      <c r="D19" s="21" t="s">
        <v>12</v>
      </c>
      <c r="E19" s="91"/>
      <c r="F19" s="91">
        <v>2288996.9300000002</v>
      </c>
      <c r="G19" s="91"/>
      <c r="H19" s="91">
        <v>2448827.4699999997</v>
      </c>
    </row>
    <row r="20" spans="1:13">
      <c r="A20" s="21">
        <f t="shared" si="0"/>
        <v>9</v>
      </c>
      <c r="C20" s="21">
        <f t="shared" si="1"/>
        <v>2022</v>
      </c>
      <c r="D20" s="21" t="s">
        <v>13</v>
      </c>
      <c r="E20" s="91"/>
      <c r="F20" s="91">
        <v>402050.42</v>
      </c>
      <c r="G20" s="91"/>
      <c r="H20" s="91">
        <v>2450361.0499999998</v>
      </c>
    </row>
    <row r="21" spans="1:13">
      <c r="A21" s="21">
        <f t="shared" si="0"/>
        <v>10</v>
      </c>
      <c r="C21" s="21">
        <f t="shared" si="1"/>
        <v>2022</v>
      </c>
      <c r="D21" s="21" t="s">
        <v>2</v>
      </c>
      <c r="E21" s="91"/>
      <c r="F21" s="91">
        <v>1666149.57</v>
      </c>
      <c r="G21" s="91"/>
      <c r="H21" s="91">
        <v>3097224.35</v>
      </c>
      <c r="M21" s="143"/>
    </row>
    <row r="22" spans="1:13">
      <c r="A22" s="21">
        <f t="shared" si="0"/>
        <v>11</v>
      </c>
      <c r="C22" s="21">
        <f t="shared" si="1"/>
        <v>2022</v>
      </c>
      <c r="D22" s="21" t="s">
        <v>3</v>
      </c>
      <c r="E22" s="91"/>
      <c r="F22" s="91">
        <v>1820980.4</v>
      </c>
      <c r="G22" s="91"/>
      <c r="H22" s="91">
        <v>2104881.19</v>
      </c>
    </row>
    <row r="23" spans="1:13">
      <c r="A23" s="21">
        <f t="shared" si="0"/>
        <v>12</v>
      </c>
      <c r="C23" s="21">
        <f t="shared" si="1"/>
        <v>2022</v>
      </c>
      <c r="D23" s="21" t="s">
        <v>4</v>
      </c>
      <c r="E23" s="91"/>
      <c r="F23" s="91">
        <v>2766661.04</v>
      </c>
      <c r="G23" s="91"/>
      <c r="H23" s="91">
        <v>2012159.8599999999</v>
      </c>
    </row>
    <row r="24" spans="1:13">
      <c r="A24" s="21">
        <f t="shared" si="0"/>
        <v>13</v>
      </c>
      <c r="C24" s="21">
        <f t="shared" si="1"/>
        <v>2022</v>
      </c>
      <c r="D24" s="21" t="s">
        <v>5</v>
      </c>
      <c r="E24" s="91"/>
      <c r="F24" s="91">
        <v>3319485.31</v>
      </c>
      <c r="G24" s="91"/>
      <c r="H24" s="91">
        <v>2152028.86</v>
      </c>
    </row>
    <row r="25" spans="1:13" ht="14.4">
      <c r="A25" s="21">
        <f t="shared" si="0"/>
        <v>14</v>
      </c>
      <c r="C25" s="90" t="s">
        <v>281</v>
      </c>
      <c r="D25" s="21"/>
      <c r="E25" s="91"/>
      <c r="F25" s="91">
        <v>1553490.23</v>
      </c>
      <c r="G25" s="91"/>
      <c r="H25" s="436"/>
    </row>
    <row r="26" spans="1:13">
      <c r="A26" s="21">
        <f t="shared" si="0"/>
        <v>15</v>
      </c>
      <c r="C26" s="32"/>
      <c r="D26" s="3" t="s">
        <v>14</v>
      </c>
      <c r="E26" s="92"/>
      <c r="F26" s="92">
        <f>SUM(F12:F25)</f>
        <v>21167623.870000001</v>
      </c>
      <c r="G26" s="92"/>
      <c r="H26" s="92">
        <f>SUM(H13:H24)</f>
        <v>21167623.869999997</v>
      </c>
    </row>
    <row r="27" spans="1:13">
      <c r="A27" s="21">
        <f t="shared" si="0"/>
        <v>16</v>
      </c>
      <c r="E27" s="102"/>
      <c r="F27" s="102"/>
      <c r="G27" s="102"/>
    </row>
    <row r="28" spans="1:13">
      <c r="A28" s="21">
        <f t="shared" si="0"/>
        <v>17</v>
      </c>
      <c r="C28" s="1" t="s">
        <v>36</v>
      </c>
      <c r="E28" s="102"/>
      <c r="F28" s="87">
        <f>F26</f>
        <v>21167623.870000001</v>
      </c>
      <c r="G28" s="87"/>
      <c r="H28" s="87">
        <f>H26</f>
        <v>21167623.869999997</v>
      </c>
    </row>
    <row r="29" spans="1:13">
      <c r="A29" s="21">
        <f t="shared" si="0"/>
        <v>18</v>
      </c>
      <c r="E29" s="102"/>
      <c r="F29" s="102"/>
      <c r="G29" s="102"/>
    </row>
    <row r="30" spans="1:13">
      <c r="A30" s="21">
        <f t="shared" si="0"/>
        <v>19</v>
      </c>
      <c r="C30" s="1" t="s">
        <v>37</v>
      </c>
      <c r="E30" s="91"/>
      <c r="F30" s="91">
        <v>0</v>
      </c>
      <c r="G30" s="91"/>
      <c r="H30" s="91">
        <v>0</v>
      </c>
    </row>
    <row r="31" spans="1:13">
      <c r="A31" s="21">
        <f t="shared" si="0"/>
        <v>20</v>
      </c>
    </row>
    <row r="32" spans="1:13" ht="13.8" thickBot="1">
      <c r="A32" s="21">
        <f t="shared" si="0"/>
        <v>21</v>
      </c>
      <c r="C32" s="2" t="s">
        <v>15</v>
      </c>
      <c r="D32" s="2"/>
      <c r="E32" s="103"/>
      <c r="F32" s="104">
        <f>ROUND(F30-F28,2)</f>
        <v>-21167623.870000001</v>
      </c>
      <c r="G32" s="103"/>
      <c r="H32" s="104">
        <f>ROUND(H30-H28,2)</f>
        <v>-21167623.870000001</v>
      </c>
      <c r="J32" s="116"/>
    </row>
    <row r="33" spans="3:8" ht="13.8" thickTop="1"/>
    <row r="35" spans="3:8" ht="30" customHeight="1">
      <c r="C35" s="430" t="s">
        <v>38</v>
      </c>
      <c r="D35" s="430"/>
      <c r="E35" s="430"/>
      <c r="F35" s="430"/>
      <c r="G35" s="430"/>
      <c r="H35" s="430"/>
    </row>
  </sheetData>
  <mergeCells count="4">
    <mergeCell ref="A4:H4"/>
    <mergeCell ref="A5:H5"/>
    <mergeCell ref="A7:H7"/>
    <mergeCell ref="C35:H35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D10:H11 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pageSetUpPr fitToPage="1"/>
  </sheetPr>
  <dimension ref="A1:J35"/>
  <sheetViews>
    <sheetView view="pageBreakPreview" zoomScaleNormal="100" zoomScaleSheetLayoutView="100" workbookViewId="0">
      <selection activeCell="N36" sqref="N36"/>
    </sheetView>
  </sheetViews>
  <sheetFormatPr defaultColWidth="9.109375" defaultRowHeight="13.2"/>
  <cols>
    <col min="1" max="1" width="5.88671875" style="1" customWidth="1"/>
    <col min="2" max="2" width="2.33203125" style="1" customWidth="1"/>
    <col min="3" max="3" width="11.6640625" style="1" customWidth="1"/>
    <col min="4" max="4" width="10.88671875" style="1" customWidth="1"/>
    <col min="5" max="5" width="3.44140625" style="1" customWidth="1"/>
    <col min="6" max="6" width="15.33203125" style="1" customWidth="1"/>
    <col min="7" max="7" width="3.33203125" style="1" customWidth="1"/>
    <col min="8" max="8" width="14.44140625" style="1" customWidth="1"/>
    <col min="9" max="9" width="9.109375" style="1"/>
    <col min="10" max="10" width="12.6640625" style="1" customWidth="1"/>
    <col min="11" max="16384" width="9.109375" style="1"/>
  </cols>
  <sheetData>
    <row r="1" spans="1:8">
      <c r="G1" s="88"/>
      <c r="H1" s="88" t="s">
        <v>26</v>
      </c>
    </row>
    <row r="2" spans="1:8" ht="20.25" customHeight="1">
      <c r="G2" s="88"/>
      <c r="H2" s="88"/>
    </row>
    <row r="3" spans="1:8">
      <c r="G3" s="88"/>
      <c r="H3" s="88"/>
    </row>
    <row r="4" spans="1:8">
      <c r="A4" s="428" t="str">
        <f>RevReq!A1</f>
        <v>KENERGY CORP.</v>
      </c>
      <c r="B4" s="428"/>
      <c r="C4" s="428"/>
      <c r="D4" s="428"/>
      <c r="E4" s="428"/>
      <c r="F4" s="428"/>
      <c r="G4" s="428"/>
      <c r="H4" s="428"/>
    </row>
    <row r="5" spans="1:8">
      <c r="A5" s="428" t="str">
        <f>RevReq!A3</f>
        <v>For the 12 Months Ended February 28, 2023</v>
      </c>
      <c r="B5" s="428"/>
      <c r="C5" s="428"/>
      <c r="D5" s="428"/>
      <c r="E5" s="428"/>
      <c r="F5" s="428"/>
      <c r="G5" s="428"/>
      <c r="H5" s="428"/>
    </row>
    <row r="7" spans="1:8" s="89" customFormat="1" ht="15" customHeight="1">
      <c r="A7" s="429" t="s">
        <v>117</v>
      </c>
      <c r="B7" s="429"/>
      <c r="C7" s="429"/>
      <c r="D7" s="429"/>
      <c r="E7" s="429"/>
      <c r="F7" s="429"/>
      <c r="G7" s="429"/>
      <c r="H7" s="429"/>
    </row>
    <row r="9" spans="1:8">
      <c r="A9" s="21" t="s">
        <v>0</v>
      </c>
      <c r="C9" s="21" t="s">
        <v>16</v>
      </c>
      <c r="D9" s="21" t="s">
        <v>17</v>
      </c>
      <c r="E9" s="21"/>
      <c r="F9" s="21" t="s">
        <v>23</v>
      </c>
      <c r="G9" s="21"/>
      <c r="H9" s="21" t="s">
        <v>24</v>
      </c>
    </row>
    <row r="10" spans="1:8">
      <c r="A10" s="29" t="s">
        <v>21</v>
      </c>
      <c r="C10" s="101" t="s">
        <v>18</v>
      </c>
      <c r="D10" s="101" t="s">
        <v>20</v>
      </c>
      <c r="E10" s="21"/>
      <c r="F10" s="101" t="s">
        <v>19</v>
      </c>
      <c r="G10" s="101"/>
      <c r="H10" s="101" t="s">
        <v>25</v>
      </c>
    </row>
    <row r="11" spans="1:8">
      <c r="A11" s="21"/>
    </row>
    <row r="12" spans="1:8">
      <c r="A12" s="21">
        <v>1</v>
      </c>
      <c r="C12" s="90" t="s">
        <v>280</v>
      </c>
      <c r="D12" s="21"/>
      <c r="F12" s="91">
        <v>-1510084.65</v>
      </c>
    </row>
    <row r="13" spans="1:8">
      <c r="A13" s="21">
        <f>A12+1</f>
        <v>2</v>
      </c>
      <c r="C13" s="21">
        <v>2023</v>
      </c>
      <c r="D13" s="21" t="s">
        <v>6</v>
      </c>
      <c r="E13" s="91"/>
      <c r="F13" s="91">
        <v>444504.23</v>
      </c>
      <c r="G13" s="91"/>
      <c r="H13" s="91">
        <v>977076.04999999993</v>
      </c>
    </row>
    <row r="14" spans="1:8">
      <c r="A14" s="21">
        <f t="shared" ref="A14:A32" si="0">A13+1</f>
        <v>3</v>
      </c>
      <c r="C14" s="21">
        <v>2023</v>
      </c>
      <c r="D14" s="21" t="s">
        <v>7</v>
      </c>
      <c r="E14" s="91"/>
      <c r="F14" s="91">
        <v>339599.55</v>
      </c>
      <c r="G14" s="91"/>
      <c r="H14" s="91">
        <v>378313.11</v>
      </c>
    </row>
    <row r="15" spans="1:8">
      <c r="A15" s="21">
        <f t="shared" si="0"/>
        <v>4</v>
      </c>
      <c r="C15" s="21">
        <v>2022</v>
      </c>
      <c r="D15" s="21" t="s">
        <v>8</v>
      </c>
      <c r="E15" s="91"/>
      <c r="F15" s="91">
        <v>613134.79</v>
      </c>
      <c r="G15" s="91"/>
      <c r="H15" s="91">
        <v>435887.41000000003</v>
      </c>
    </row>
    <row r="16" spans="1:8">
      <c r="A16" s="21">
        <f t="shared" si="0"/>
        <v>5</v>
      </c>
      <c r="C16" s="21">
        <f t="shared" ref="C16:C24" si="1">C15</f>
        <v>2022</v>
      </c>
      <c r="D16" s="21" t="s">
        <v>9</v>
      </c>
      <c r="E16" s="91"/>
      <c r="F16" s="91">
        <v>569484.69999999995</v>
      </c>
      <c r="G16" s="91"/>
      <c r="H16" s="91">
        <v>430803.50999999995</v>
      </c>
    </row>
    <row r="17" spans="1:10">
      <c r="A17" s="21">
        <f t="shared" si="0"/>
        <v>6</v>
      </c>
      <c r="C17" s="21">
        <f t="shared" si="1"/>
        <v>2022</v>
      </c>
      <c r="D17" s="21" t="s">
        <v>10</v>
      </c>
      <c r="E17" s="91"/>
      <c r="F17" s="91">
        <v>560820.69999999995</v>
      </c>
      <c r="G17" s="91"/>
      <c r="H17" s="91">
        <v>358803.69</v>
      </c>
    </row>
    <row r="18" spans="1:10">
      <c r="A18" s="21">
        <f t="shared" si="0"/>
        <v>7</v>
      </c>
      <c r="C18" s="21">
        <f t="shared" si="1"/>
        <v>2022</v>
      </c>
      <c r="D18" s="21" t="s">
        <v>11</v>
      </c>
      <c r="E18" s="91"/>
      <c r="F18" s="91">
        <v>685211.56</v>
      </c>
      <c r="G18" s="91"/>
      <c r="H18" s="91">
        <v>573376.5</v>
      </c>
    </row>
    <row r="19" spans="1:10">
      <c r="A19" s="21">
        <f t="shared" si="0"/>
        <v>8</v>
      </c>
      <c r="C19" s="21">
        <f t="shared" si="1"/>
        <v>2022</v>
      </c>
      <c r="D19" s="21" t="s">
        <v>12</v>
      </c>
      <c r="E19" s="91"/>
      <c r="F19" s="91">
        <v>571906.25</v>
      </c>
      <c r="G19" s="91"/>
      <c r="H19" s="91">
        <v>537548.58000000007</v>
      </c>
    </row>
    <row r="20" spans="1:10">
      <c r="A20" s="21">
        <f t="shared" si="0"/>
        <v>9</v>
      </c>
      <c r="C20" s="21">
        <f t="shared" si="1"/>
        <v>2022</v>
      </c>
      <c r="D20" s="21" t="s">
        <v>13</v>
      </c>
      <c r="E20" s="91"/>
      <c r="F20" s="91">
        <v>507130.9</v>
      </c>
      <c r="G20" s="91"/>
      <c r="H20" s="91">
        <v>523000.82999999996</v>
      </c>
    </row>
    <row r="21" spans="1:10">
      <c r="A21" s="21">
        <f t="shared" si="0"/>
        <v>10</v>
      </c>
      <c r="C21" s="21">
        <f t="shared" si="1"/>
        <v>2022</v>
      </c>
      <c r="D21" s="21" t="s">
        <v>2</v>
      </c>
      <c r="E21" s="91"/>
      <c r="F21" s="91">
        <v>350642.85</v>
      </c>
      <c r="G21" s="91"/>
      <c r="H21" s="91">
        <v>337553.18</v>
      </c>
    </row>
    <row r="22" spans="1:10">
      <c r="A22" s="21">
        <f t="shared" si="0"/>
        <v>11</v>
      </c>
      <c r="C22" s="21">
        <f t="shared" si="1"/>
        <v>2022</v>
      </c>
      <c r="D22" s="21" t="s">
        <v>3</v>
      </c>
      <c r="E22" s="91"/>
      <c r="F22" s="91">
        <v>352039.21</v>
      </c>
      <c r="G22" s="91"/>
      <c r="H22" s="91">
        <v>329572.69</v>
      </c>
    </row>
    <row r="23" spans="1:10">
      <c r="A23" s="21">
        <f t="shared" si="0"/>
        <v>12</v>
      </c>
      <c r="C23" s="21">
        <f t="shared" si="1"/>
        <v>2022</v>
      </c>
      <c r="D23" s="21" t="s">
        <v>4</v>
      </c>
      <c r="E23" s="91"/>
      <c r="F23" s="91">
        <v>320163.37</v>
      </c>
      <c r="G23" s="91"/>
      <c r="H23" s="91">
        <v>297656.48000000004</v>
      </c>
    </row>
    <row r="24" spans="1:10">
      <c r="A24" s="21">
        <f t="shared" si="0"/>
        <v>13</v>
      </c>
      <c r="C24" s="21">
        <f t="shared" si="1"/>
        <v>2022</v>
      </c>
      <c r="D24" s="21" t="s">
        <v>5</v>
      </c>
      <c r="E24" s="91"/>
      <c r="F24" s="91">
        <v>546193.61</v>
      </c>
      <c r="G24" s="91"/>
      <c r="H24" s="91">
        <v>469319.27</v>
      </c>
    </row>
    <row r="25" spans="1:10">
      <c r="A25" s="21">
        <f t="shared" si="0"/>
        <v>14</v>
      </c>
      <c r="C25" s="90" t="s">
        <v>281</v>
      </c>
      <c r="D25" s="21"/>
      <c r="E25" s="91"/>
      <c r="F25" s="91">
        <v>1298164.23</v>
      </c>
      <c r="G25" s="91"/>
      <c r="H25" s="91"/>
    </row>
    <row r="26" spans="1:10">
      <c r="A26" s="21">
        <f t="shared" si="0"/>
        <v>15</v>
      </c>
      <c r="C26" s="32"/>
      <c r="D26" s="3" t="s">
        <v>14</v>
      </c>
      <c r="E26" s="92"/>
      <c r="F26" s="92">
        <f>SUM(F12:F25)</f>
        <v>5648911.3000000007</v>
      </c>
      <c r="G26" s="92"/>
      <c r="H26" s="92">
        <f>SUM(H13:H24)</f>
        <v>5648911.3000000007</v>
      </c>
    </row>
    <row r="27" spans="1:10">
      <c r="A27" s="21">
        <f t="shared" si="0"/>
        <v>16</v>
      </c>
      <c r="E27" s="102"/>
      <c r="F27" s="102"/>
      <c r="G27" s="102"/>
    </row>
    <row r="28" spans="1:10">
      <c r="A28" s="21">
        <f t="shared" si="0"/>
        <v>17</v>
      </c>
      <c r="C28" s="1" t="s">
        <v>36</v>
      </c>
      <c r="E28" s="102"/>
      <c r="F28" s="87">
        <f>F26</f>
        <v>5648911.3000000007</v>
      </c>
      <c r="G28" s="87"/>
      <c r="H28" s="87">
        <f>H26</f>
        <v>5648911.3000000007</v>
      </c>
    </row>
    <row r="29" spans="1:10">
      <c r="A29" s="21">
        <f t="shared" si="0"/>
        <v>18</v>
      </c>
      <c r="E29" s="102"/>
      <c r="F29" s="87"/>
      <c r="G29" s="87"/>
    </row>
    <row r="30" spans="1:10">
      <c r="A30" s="21">
        <f t="shared" si="0"/>
        <v>19</v>
      </c>
      <c r="C30" s="1" t="s">
        <v>37</v>
      </c>
      <c r="E30" s="91"/>
      <c r="F30" s="91">
        <v>0</v>
      </c>
      <c r="G30" s="91"/>
      <c r="H30" s="91">
        <v>0</v>
      </c>
    </row>
    <row r="31" spans="1:10">
      <c r="A31" s="21">
        <f t="shared" si="0"/>
        <v>20</v>
      </c>
    </row>
    <row r="32" spans="1:10" ht="13.8" thickBot="1">
      <c r="A32" s="21">
        <f t="shared" si="0"/>
        <v>21</v>
      </c>
      <c r="C32" s="2" t="s">
        <v>15</v>
      </c>
      <c r="D32" s="2"/>
      <c r="E32" s="103"/>
      <c r="F32" s="104">
        <f>ROUND(F30-F28,2)</f>
        <v>-5648911.2999999998</v>
      </c>
      <c r="G32" s="103"/>
      <c r="H32" s="104">
        <f>ROUND(H30-H28,2)</f>
        <v>-5648911.2999999998</v>
      </c>
      <c r="J32" s="116"/>
    </row>
    <row r="33" spans="3:8" ht="13.8" thickTop="1"/>
    <row r="35" spans="3:8" ht="29.25" customHeight="1">
      <c r="C35" s="430" t="s">
        <v>39</v>
      </c>
      <c r="D35" s="430"/>
      <c r="E35" s="430"/>
      <c r="F35" s="430"/>
      <c r="G35" s="430"/>
      <c r="H35" s="430"/>
    </row>
  </sheetData>
  <mergeCells count="4">
    <mergeCell ref="A4:H4"/>
    <mergeCell ref="A5:H5"/>
    <mergeCell ref="A7:H7"/>
    <mergeCell ref="C35:H35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J35"/>
  <sheetViews>
    <sheetView view="pageBreakPreview" topLeftCell="A7" zoomScaleNormal="100" zoomScaleSheetLayoutView="100" workbookViewId="0">
      <selection activeCell="K23" sqref="K23"/>
    </sheetView>
  </sheetViews>
  <sheetFormatPr defaultColWidth="9.109375" defaultRowHeight="13.2"/>
  <cols>
    <col min="1" max="1" width="5.88671875" style="1" customWidth="1"/>
    <col min="2" max="2" width="2.33203125" style="1" customWidth="1"/>
    <col min="3" max="3" width="11.6640625" style="1" customWidth="1"/>
    <col min="4" max="4" width="10.88671875" style="1" customWidth="1"/>
    <col min="5" max="5" width="3.5546875" style="1" customWidth="1"/>
    <col min="6" max="6" width="15.33203125" style="1" customWidth="1"/>
    <col min="7" max="7" width="3.33203125" style="1" customWidth="1"/>
    <col min="8" max="8" width="14.44140625" style="1" customWidth="1"/>
    <col min="9" max="9" width="9.109375" style="1"/>
    <col min="10" max="10" width="11.33203125" style="1" customWidth="1"/>
    <col min="11" max="16384" width="9.109375" style="1"/>
  </cols>
  <sheetData>
    <row r="1" spans="1:8">
      <c r="G1" s="88"/>
      <c r="H1" s="88" t="s">
        <v>115</v>
      </c>
    </row>
    <row r="2" spans="1:8" ht="20.25" customHeight="1">
      <c r="G2" s="88"/>
      <c r="H2" s="88"/>
    </row>
    <row r="3" spans="1:8">
      <c r="G3" s="88"/>
      <c r="H3" s="88"/>
    </row>
    <row r="4" spans="1:8">
      <c r="A4" s="428" t="str">
        <f>RevReq!A1</f>
        <v>KENERGY CORP.</v>
      </c>
      <c r="B4" s="428"/>
      <c r="C4" s="428"/>
      <c r="D4" s="428"/>
      <c r="E4" s="428"/>
      <c r="F4" s="428"/>
      <c r="G4" s="428"/>
      <c r="H4" s="428"/>
    </row>
    <row r="5" spans="1:8">
      <c r="A5" s="428" t="str">
        <f>RevReq!A3</f>
        <v>For the 12 Months Ended February 28, 2023</v>
      </c>
      <c r="B5" s="428"/>
      <c r="C5" s="428"/>
      <c r="D5" s="428"/>
      <c r="E5" s="428"/>
      <c r="F5" s="428"/>
      <c r="G5" s="428"/>
      <c r="H5" s="428"/>
    </row>
    <row r="7" spans="1:8" s="89" customFormat="1" ht="15" customHeight="1">
      <c r="A7" s="429" t="s">
        <v>213</v>
      </c>
      <c r="B7" s="429"/>
      <c r="C7" s="429"/>
      <c r="D7" s="429"/>
      <c r="E7" s="429"/>
      <c r="F7" s="429"/>
      <c r="G7" s="429"/>
      <c r="H7" s="429"/>
    </row>
    <row r="9" spans="1:8">
      <c r="A9" s="21" t="s">
        <v>0</v>
      </c>
      <c r="C9" s="21" t="s">
        <v>16</v>
      </c>
      <c r="D9" s="21" t="s">
        <v>17</v>
      </c>
      <c r="E9" s="21"/>
      <c r="F9" s="21" t="s">
        <v>23</v>
      </c>
      <c r="G9" s="21"/>
      <c r="H9" s="21" t="s">
        <v>24</v>
      </c>
    </row>
    <row r="10" spans="1:8">
      <c r="A10" s="29" t="s">
        <v>21</v>
      </c>
      <c r="C10" s="101" t="s">
        <v>18</v>
      </c>
      <c r="D10" s="101" t="s">
        <v>20</v>
      </c>
      <c r="E10" s="21"/>
      <c r="F10" s="101" t="s">
        <v>19</v>
      </c>
      <c r="G10" s="101"/>
      <c r="H10" s="101" t="s">
        <v>25</v>
      </c>
    </row>
    <row r="11" spans="1:8">
      <c r="A11" s="21"/>
    </row>
    <row r="12" spans="1:8">
      <c r="A12" s="21">
        <v>1</v>
      </c>
      <c r="C12" s="90" t="s">
        <v>280</v>
      </c>
      <c r="F12" s="91">
        <v>994002.98</v>
      </c>
    </row>
    <row r="13" spans="1:8">
      <c r="A13" s="21">
        <f>A12+1</f>
        <v>2</v>
      </c>
      <c r="C13" s="21">
        <v>2023</v>
      </c>
      <c r="D13" s="21" t="s">
        <v>6</v>
      </c>
      <c r="E13" s="91"/>
      <c r="F13" s="91">
        <v>-864238.93</v>
      </c>
      <c r="G13" s="91"/>
      <c r="H13" s="91">
        <v>-381048.79</v>
      </c>
    </row>
    <row r="14" spans="1:8">
      <c r="A14" s="21">
        <f t="shared" ref="A14:A32" si="0">A13+1</f>
        <v>3</v>
      </c>
      <c r="C14" s="21">
        <v>2023</v>
      </c>
      <c r="D14" s="21" t="s">
        <v>7</v>
      </c>
      <c r="E14" s="91"/>
      <c r="F14" s="91">
        <v>-382918.99</v>
      </c>
      <c r="G14" s="91"/>
      <c r="H14" s="91">
        <v>-377429.76000000001</v>
      </c>
    </row>
    <row r="15" spans="1:8">
      <c r="A15" s="21">
        <f t="shared" si="0"/>
        <v>4</v>
      </c>
      <c r="C15" s="21">
        <v>2022</v>
      </c>
      <c r="D15" s="21" t="s">
        <v>8</v>
      </c>
      <c r="E15" s="91"/>
      <c r="F15" s="91">
        <v>-405755.18</v>
      </c>
      <c r="G15" s="91"/>
      <c r="H15" s="91">
        <v>-590840.25</v>
      </c>
    </row>
    <row r="16" spans="1:8">
      <c r="A16" s="21">
        <f t="shared" si="0"/>
        <v>5</v>
      </c>
      <c r="C16" s="21">
        <f t="shared" ref="C16:C24" si="1">C15</f>
        <v>2022</v>
      </c>
      <c r="D16" s="21" t="s">
        <v>9</v>
      </c>
      <c r="E16" s="91"/>
      <c r="F16" s="91">
        <v>-372493.31</v>
      </c>
      <c r="G16" s="91"/>
      <c r="H16" s="91">
        <v>-596371.18999999994</v>
      </c>
    </row>
    <row r="17" spans="1:10">
      <c r="A17" s="21">
        <f t="shared" si="0"/>
        <v>6</v>
      </c>
      <c r="C17" s="21">
        <f t="shared" si="1"/>
        <v>2022</v>
      </c>
      <c r="D17" s="21" t="s">
        <v>10</v>
      </c>
      <c r="E17" s="91"/>
      <c r="F17" s="91">
        <v>-638856.29</v>
      </c>
      <c r="G17" s="91"/>
      <c r="H17" s="91">
        <v>-610216.16999999993</v>
      </c>
    </row>
    <row r="18" spans="1:10">
      <c r="A18" s="21">
        <f t="shared" si="0"/>
        <v>7</v>
      </c>
      <c r="C18" s="21">
        <f t="shared" si="1"/>
        <v>2022</v>
      </c>
      <c r="D18" s="21" t="s">
        <v>11</v>
      </c>
      <c r="E18" s="91"/>
      <c r="F18" s="91">
        <v>-832596.72</v>
      </c>
      <c r="G18" s="91"/>
      <c r="H18" s="91">
        <v>-610790.36</v>
      </c>
    </row>
    <row r="19" spans="1:10">
      <c r="A19" s="21">
        <f t="shared" si="0"/>
        <v>8</v>
      </c>
      <c r="C19" s="21">
        <f t="shared" si="1"/>
        <v>2022</v>
      </c>
      <c r="D19" s="21" t="s">
        <v>12</v>
      </c>
      <c r="E19" s="91"/>
      <c r="F19" s="91">
        <v>-918660.18</v>
      </c>
      <c r="G19" s="91"/>
      <c r="H19" s="91">
        <v>-607516.24</v>
      </c>
    </row>
    <row r="20" spans="1:10">
      <c r="A20" s="21">
        <f t="shared" si="0"/>
        <v>9</v>
      </c>
      <c r="C20" s="21">
        <f t="shared" si="1"/>
        <v>2022</v>
      </c>
      <c r="D20" s="21" t="s">
        <v>13</v>
      </c>
      <c r="E20" s="91"/>
      <c r="F20" s="91">
        <v>-519142.74</v>
      </c>
      <c r="G20" s="91"/>
      <c r="H20" s="91">
        <v>-612414.62</v>
      </c>
    </row>
    <row r="21" spans="1:10">
      <c r="A21" s="21">
        <f t="shared" si="0"/>
        <v>10</v>
      </c>
      <c r="C21" s="21">
        <f t="shared" si="1"/>
        <v>2022</v>
      </c>
      <c r="D21" s="21" t="s">
        <v>2</v>
      </c>
      <c r="E21" s="91"/>
      <c r="F21" s="91">
        <v>-337172.2</v>
      </c>
      <c r="G21" s="91"/>
      <c r="H21" s="91">
        <v>-614812.09000000008</v>
      </c>
    </row>
    <row r="22" spans="1:10">
      <c r="A22" s="21">
        <f t="shared" si="0"/>
        <v>11</v>
      </c>
      <c r="C22" s="21">
        <f t="shared" si="1"/>
        <v>2022</v>
      </c>
      <c r="D22" s="21" t="s">
        <v>3</v>
      </c>
      <c r="E22" s="91"/>
      <c r="F22" s="91">
        <v>-418746.89</v>
      </c>
      <c r="G22" s="91"/>
      <c r="H22" s="91">
        <v>-607589.44000000006</v>
      </c>
    </row>
    <row r="23" spans="1:10">
      <c r="A23" s="21">
        <f t="shared" si="0"/>
        <v>12</v>
      </c>
      <c r="C23" s="21">
        <f t="shared" si="1"/>
        <v>2022</v>
      </c>
      <c r="D23" s="21" t="s">
        <v>4</v>
      </c>
      <c r="E23" s="91"/>
      <c r="F23" s="91">
        <v>-549931.14</v>
      </c>
      <c r="G23" s="91"/>
      <c r="H23" s="91">
        <v>-593180.5199999999</v>
      </c>
    </row>
    <row r="24" spans="1:10">
      <c r="A24" s="21">
        <f t="shared" si="0"/>
        <v>13</v>
      </c>
      <c r="C24" s="21">
        <f t="shared" si="1"/>
        <v>2022</v>
      </c>
      <c r="D24" s="21" t="s">
        <v>5</v>
      </c>
      <c r="E24" s="91"/>
      <c r="F24" s="91">
        <v>-915914.88</v>
      </c>
      <c r="G24" s="91"/>
      <c r="H24" s="91">
        <v>-585965.1100000001</v>
      </c>
    </row>
    <row r="25" spans="1:10">
      <c r="A25" s="21">
        <f t="shared" si="0"/>
        <v>14</v>
      </c>
      <c r="C25" s="90" t="s">
        <v>281</v>
      </c>
      <c r="D25" s="21"/>
      <c r="E25" s="91"/>
      <c r="F25" s="91">
        <v>-625750.06999999995</v>
      </c>
      <c r="G25" s="91"/>
      <c r="H25" s="91"/>
    </row>
    <row r="26" spans="1:10">
      <c r="A26" s="21">
        <f t="shared" si="0"/>
        <v>15</v>
      </c>
      <c r="C26" s="32"/>
      <c r="D26" s="3" t="s">
        <v>14</v>
      </c>
      <c r="E26" s="92"/>
      <c r="F26" s="92">
        <f>SUM(F12:F25)</f>
        <v>-6788174.54</v>
      </c>
      <c r="G26" s="92"/>
      <c r="H26" s="92">
        <f>SUM(H13:H24)</f>
        <v>-6788174.54</v>
      </c>
    </row>
    <row r="27" spans="1:10">
      <c r="A27" s="21">
        <f t="shared" si="0"/>
        <v>16</v>
      </c>
      <c r="E27" s="102"/>
      <c r="F27" s="102"/>
      <c r="G27" s="102"/>
    </row>
    <row r="28" spans="1:10">
      <c r="A28" s="21">
        <f t="shared" si="0"/>
        <v>17</v>
      </c>
      <c r="C28" s="1" t="s">
        <v>36</v>
      </c>
      <c r="E28" s="102"/>
      <c r="F28" s="87">
        <f>F26</f>
        <v>-6788174.54</v>
      </c>
      <c r="G28" s="87"/>
      <c r="H28" s="87">
        <f>H26</f>
        <v>-6788174.54</v>
      </c>
    </row>
    <row r="29" spans="1:10">
      <c r="A29" s="21">
        <f t="shared" si="0"/>
        <v>18</v>
      </c>
      <c r="E29" s="102"/>
      <c r="F29" s="87"/>
      <c r="G29" s="87"/>
    </row>
    <row r="30" spans="1:10">
      <c r="A30" s="21">
        <f t="shared" si="0"/>
        <v>19</v>
      </c>
      <c r="C30" s="1" t="s">
        <v>37</v>
      </c>
      <c r="E30" s="91"/>
      <c r="F30" s="91">
        <v>0</v>
      </c>
      <c r="G30" s="91"/>
      <c r="H30" s="91">
        <v>0</v>
      </c>
    </row>
    <row r="31" spans="1:10">
      <c r="A31" s="21">
        <f t="shared" si="0"/>
        <v>20</v>
      </c>
    </row>
    <row r="32" spans="1:10" ht="13.8" thickBot="1">
      <c r="A32" s="21">
        <f t="shared" si="0"/>
        <v>21</v>
      </c>
      <c r="C32" s="2" t="s">
        <v>15</v>
      </c>
      <c r="D32" s="2"/>
      <c r="E32" s="103"/>
      <c r="F32" s="104">
        <f>ROUND(F30-F28,2)</f>
        <v>6788174.54</v>
      </c>
      <c r="G32" s="103"/>
      <c r="H32" s="104">
        <f>ROUND(H30-H28,2)</f>
        <v>6788174.54</v>
      </c>
      <c r="J32" s="116">
        <f>F32-H32</f>
        <v>0</v>
      </c>
    </row>
    <row r="33" spans="3:8" ht="13.8" thickTop="1"/>
    <row r="35" spans="3:8" ht="29.25" customHeight="1">
      <c r="C35" s="430" t="s">
        <v>220</v>
      </c>
      <c r="D35" s="430"/>
      <c r="E35" s="430"/>
      <c r="F35" s="430"/>
      <c r="G35" s="430"/>
      <c r="H35" s="430"/>
    </row>
  </sheetData>
  <mergeCells count="4">
    <mergeCell ref="A4:H4"/>
    <mergeCell ref="A5:H5"/>
    <mergeCell ref="A7:H7"/>
    <mergeCell ref="C35:H35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C10:H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J35"/>
  <sheetViews>
    <sheetView view="pageBreakPreview" zoomScaleNormal="100" zoomScaleSheetLayoutView="100" workbookViewId="0">
      <selection activeCell="J24" sqref="J24"/>
    </sheetView>
  </sheetViews>
  <sheetFormatPr defaultColWidth="9.109375" defaultRowHeight="13.2"/>
  <cols>
    <col min="1" max="1" width="5.88671875" style="1" customWidth="1"/>
    <col min="2" max="2" width="2.33203125" style="1" customWidth="1"/>
    <col min="3" max="3" width="11.6640625" style="1" customWidth="1"/>
    <col min="4" max="4" width="10.88671875" style="1" customWidth="1"/>
    <col min="5" max="5" width="4.109375" style="1" customWidth="1"/>
    <col min="6" max="6" width="15.33203125" style="1" customWidth="1"/>
    <col min="7" max="7" width="3.33203125" style="1" customWidth="1"/>
    <col min="8" max="8" width="14.44140625" style="1" customWidth="1"/>
    <col min="9" max="9" width="9.109375" style="1"/>
    <col min="10" max="10" width="12" style="1" customWidth="1"/>
    <col min="11" max="16384" width="9.109375" style="1"/>
  </cols>
  <sheetData>
    <row r="1" spans="1:8">
      <c r="G1" s="88"/>
      <c r="H1" s="88" t="s">
        <v>114</v>
      </c>
    </row>
    <row r="2" spans="1:8" ht="20.25" customHeight="1">
      <c r="G2" s="88"/>
      <c r="H2" s="88"/>
    </row>
    <row r="3" spans="1:8">
      <c r="G3" s="88"/>
      <c r="H3" s="88"/>
    </row>
    <row r="4" spans="1:8">
      <c r="A4" s="428" t="str">
        <f>RevReq!A1</f>
        <v>KENERGY CORP.</v>
      </c>
      <c r="B4" s="428"/>
      <c r="C4" s="428"/>
      <c r="D4" s="428"/>
      <c r="E4" s="428"/>
      <c r="F4" s="428"/>
      <c r="G4" s="428"/>
      <c r="H4" s="428"/>
    </row>
    <row r="5" spans="1:8">
      <c r="A5" s="428" t="str">
        <f>RevReq!A3</f>
        <v>For the 12 Months Ended February 28, 2023</v>
      </c>
      <c r="B5" s="428"/>
      <c r="C5" s="428"/>
      <c r="D5" s="428"/>
      <c r="E5" s="428"/>
      <c r="F5" s="428"/>
      <c r="G5" s="428"/>
      <c r="H5" s="428"/>
    </row>
    <row r="7" spans="1:8" s="89" customFormat="1" ht="15" customHeight="1">
      <c r="A7" s="429" t="s">
        <v>212</v>
      </c>
      <c r="B7" s="429"/>
      <c r="C7" s="429"/>
      <c r="D7" s="429"/>
      <c r="E7" s="429"/>
      <c r="F7" s="429"/>
      <c r="G7" s="429"/>
      <c r="H7" s="429"/>
    </row>
    <row r="9" spans="1:8">
      <c r="A9" s="21" t="s">
        <v>0</v>
      </c>
      <c r="C9" s="21" t="s">
        <v>16</v>
      </c>
      <c r="D9" s="21" t="s">
        <v>17</v>
      </c>
      <c r="E9" s="21"/>
      <c r="F9" s="21" t="s">
        <v>23</v>
      </c>
      <c r="G9" s="21"/>
      <c r="H9" s="21" t="s">
        <v>24</v>
      </c>
    </row>
    <row r="10" spans="1:8">
      <c r="A10" s="29" t="s">
        <v>21</v>
      </c>
      <c r="C10" s="101" t="s">
        <v>18</v>
      </c>
      <c r="D10" s="101" t="s">
        <v>20</v>
      </c>
      <c r="E10" s="21"/>
      <c r="F10" s="101" t="s">
        <v>19</v>
      </c>
      <c r="G10" s="101"/>
      <c r="H10" s="101" t="s">
        <v>25</v>
      </c>
    </row>
    <row r="11" spans="1:8">
      <c r="A11" s="21"/>
    </row>
    <row r="12" spans="1:8">
      <c r="A12" s="21">
        <v>1</v>
      </c>
      <c r="C12" s="90" t="s">
        <v>280</v>
      </c>
      <c r="F12" s="91">
        <v>-454213.64</v>
      </c>
    </row>
    <row r="13" spans="1:8">
      <c r="A13" s="21">
        <f>A12+1</f>
        <v>2</v>
      </c>
      <c r="C13" s="21">
        <v>2023</v>
      </c>
      <c r="D13" s="21" t="s">
        <v>6</v>
      </c>
      <c r="E13" s="91"/>
      <c r="F13" s="91">
        <v>748613.12</v>
      </c>
      <c r="G13" s="91"/>
      <c r="H13" s="91">
        <v>585753.87</v>
      </c>
    </row>
    <row r="14" spans="1:8">
      <c r="A14" s="21">
        <f t="shared" ref="A14:A32" si="0">A13+1</f>
        <v>3</v>
      </c>
      <c r="C14" s="21">
        <v>2023</v>
      </c>
      <c r="D14" s="21" t="s">
        <v>7</v>
      </c>
      <c r="E14" s="91"/>
      <c r="F14" s="91">
        <v>495443.35</v>
      </c>
      <c r="G14" s="91"/>
      <c r="H14" s="91">
        <v>490890.93000000005</v>
      </c>
    </row>
    <row r="15" spans="1:8">
      <c r="A15" s="21">
        <f t="shared" si="0"/>
        <v>4</v>
      </c>
      <c r="C15" s="21">
        <v>2022</v>
      </c>
      <c r="D15" s="21" t="s">
        <v>8</v>
      </c>
      <c r="E15" s="91"/>
      <c r="F15" s="91">
        <v>208995.02</v>
      </c>
      <c r="G15" s="91"/>
      <c r="H15" s="91">
        <v>206709.41</v>
      </c>
    </row>
    <row r="16" spans="1:8">
      <c r="A16" s="21">
        <f t="shared" si="0"/>
        <v>5</v>
      </c>
      <c r="C16" s="21">
        <f t="shared" ref="C16:C24" si="1">C15</f>
        <v>2022</v>
      </c>
      <c r="D16" s="21" t="s">
        <v>9</v>
      </c>
      <c r="E16" s="91"/>
      <c r="F16" s="91">
        <v>144813.35999999999</v>
      </c>
      <c r="G16" s="91"/>
      <c r="H16" s="91">
        <v>182535.29</v>
      </c>
    </row>
    <row r="17" spans="1:10">
      <c r="A17" s="21">
        <f t="shared" si="0"/>
        <v>6</v>
      </c>
      <c r="C17" s="21">
        <f t="shared" si="1"/>
        <v>2022</v>
      </c>
      <c r="D17" s="21" t="s">
        <v>10</v>
      </c>
      <c r="E17" s="91"/>
      <c r="F17" s="91">
        <v>242622.62</v>
      </c>
      <c r="G17" s="91"/>
      <c r="H17" s="91">
        <v>208834.02</v>
      </c>
    </row>
    <row r="18" spans="1:10">
      <c r="A18" s="21">
        <f t="shared" si="0"/>
        <v>7</v>
      </c>
      <c r="C18" s="21">
        <f t="shared" si="1"/>
        <v>2022</v>
      </c>
      <c r="D18" s="21" t="s">
        <v>11</v>
      </c>
      <c r="E18" s="91"/>
      <c r="F18" s="91">
        <v>263417.09999999998</v>
      </c>
      <c r="G18" s="91"/>
      <c r="H18" s="91">
        <v>258260.51</v>
      </c>
    </row>
    <row r="19" spans="1:10">
      <c r="A19" s="21">
        <f t="shared" si="0"/>
        <v>8</v>
      </c>
      <c r="C19" s="21">
        <f t="shared" si="1"/>
        <v>2022</v>
      </c>
      <c r="D19" s="21" t="s">
        <v>12</v>
      </c>
      <c r="E19" s="91"/>
      <c r="F19" s="91">
        <v>318517.73</v>
      </c>
      <c r="G19" s="91"/>
      <c r="H19" s="91">
        <v>298322.42499999999</v>
      </c>
    </row>
    <row r="20" spans="1:10">
      <c r="A20" s="21">
        <f t="shared" si="0"/>
        <v>9</v>
      </c>
      <c r="C20" s="21">
        <f t="shared" si="1"/>
        <v>2022</v>
      </c>
      <c r="D20" s="21" t="s">
        <v>13</v>
      </c>
      <c r="E20" s="91"/>
      <c r="F20" s="91">
        <v>237681.25</v>
      </c>
      <c r="G20" s="91"/>
      <c r="H20" s="91">
        <v>275068.73000000004</v>
      </c>
    </row>
    <row r="21" spans="1:10">
      <c r="A21" s="21">
        <f t="shared" si="0"/>
        <v>10</v>
      </c>
      <c r="C21" s="21">
        <f t="shared" si="1"/>
        <v>2022</v>
      </c>
      <c r="D21" s="21" t="s">
        <v>2</v>
      </c>
      <c r="E21" s="91"/>
      <c r="F21" s="91">
        <v>194362.73</v>
      </c>
      <c r="G21" s="91"/>
      <c r="H21" s="91">
        <v>537788.11</v>
      </c>
    </row>
    <row r="22" spans="1:10">
      <c r="A22" s="21">
        <f t="shared" si="0"/>
        <v>11</v>
      </c>
      <c r="C22" s="21">
        <f t="shared" si="1"/>
        <v>2022</v>
      </c>
      <c r="D22" s="21" t="s">
        <v>3</v>
      </c>
      <c r="E22" s="91"/>
      <c r="F22" s="91">
        <v>187702.23</v>
      </c>
      <c r="G22" s="91"/>
      <c r="H22" s="91">
        <v>438558.89999999997</v>
      </c>
    </row>
    <row r="23" spans="1:10">
      <c r="A23" s="21">
        <f t="shared" si="0"/>
        <v>12</v>
      </c>
      <c r="C23" s="21">
        <f t="shared" si="1"/>
        <v>2022</v>
      </c>
      <c r="D23" s="21" t="s">
        <v>4</v>
      </c>
      <c r="E23" s="91"/>
      <c r="F23" s="91">
        <v>469956.6</v>
      </c>
      <c r="G23" s="91"/>
      <c r="H23" s="91">
        <v>515097.44999999995</v>
      </c>
    </row>
    <row r="24" spans="1:10">
      <c r="A24" s="21">
        <f t="shared" si="0"/>
        <v>13</v>
      </c>
      <c r="C24" s="21">
        <f t="shared" si="1"/>
        <v>2022</v>
      </c>
      <c r="D24" s="21" t="s">
        <v>5</v>
      </c>
      <c r="E24" s="91"/>
      <c r="F24" s="91">
        <v>615825.41</v>
      </c>
      <c r="G24" s="91"/>
      <c r="H24" s="91">
        <v>646452.81000000006</v>
      </c>
    </row>
    <row r="25" spans="1:10">
      <c r="A25" s="21">
        <f t="shared" si="0"/>
        <v>14</v>
      </c>
      <c r="C25" s="90" t="s">
        <v>281</v>
      </c>
      <c r="D25" s="21"/>
      <c r="E25" s="91"/>
      <c r="F25" s="91">
        <v>970535.57000000007</v>
      </c>
      <c r="G25" s="91"/>
      <c r="H25" s="91"/>
    </row>
    <row r="26" spans="1:10">
      <c r="A26" s="21">
        <f t="shared" si="0"/>
        <v>15</v>
      </c>
      <c r="C26" s="32"/>
      <c r="D26" s="3" t="s">
        <v>14</v>
      </c>
      <c r="E26" s="92"/>
      <c r="F26" s="92">
        <f>SUM(F12:F25)</f>
        <v>4644272.45</v>
      </c>
      <c r="G26" s="92"/>
      <c r="H26" s="92">
        <f>SUM(H13:H24)</f>
        <v>4644272.4550000001</v>
      </c>
    </row>
    <row r="27" spans="1:10">
      <c r="A27" s="21">
        <f t="shared" si="0"/>
        <v>16</v>
      </c>
      <c r="E27" s="102"/>
      <c r="F27" s="102"/>
      <c r="G27" s="102"/>
    </row>
    <row r="28" spans="1:10">
      <c r="A28" s="21">
        <f t="shared" si="0"/>
        <v>17</v>
      </c>
      <c r="C28" s="1" t="s">
        <v>36</v>
      </c>
      <c r="E28" s="102"/>
      <c r="F28" s="87">
        <f>F26</f>
        <v>4644272.45</v>
      </c>
      <c r="G28" s="87"/>
      <c r="H28" s="87">
        <f>H26</f>
        <v>4644272.4550000001</v>
      </c>
    </row>
    <row r="29" spans="1:10">
      <c r="A29" s="21">
        <f t="shared" si="0"/>
        <v>18</v>
      </c>
      <c r="E29" s="102"/>
      <c r="F29" s="87"/>
      <c r="G29" s="87"/>
    </row>
    <row r="30" spans="1:10">
      <c r="A30" s="21">
        <f t="shared" si="0"/>
        <v>19</v>
      </c>
      <c r="C30" s="1" t="s">
        <v>37</v>
      </c>
      <c r="E30" s="91"/>
      <c r="F30" s="91">
        <v>0</v>
      </c>
      <c r="G30" s="91"/>
      <c r="H30" s="91">
        <v>0</v>
      </c>
    </row>
    <row r="31" spans="1:10">
      <c r="A31" s="21">
        <f t="shared" si="0"/>
        <v>20</v>
      </c>
    </row>
    <row r="32" spans="1:10" ht="13.8" thickBot="1">
      <c r="A32" s="21">
        <f t="shared" si="0"/>
        <v>21</v>
      </c>
      <c r="C32" s="2" t="s">
        <v>15</v>
      </c>
      <c r="D32" s="2"/>
      <c r="E32" s="103"/>
      <c r="F32" s="104">
        <f>ROUND(F30-F28,2)</f>
        <v>-4644272.45</v>
      </c>
      <c r="G32" s="103"/>
      <c r="H32" s="104">
        <f>ROUND(H30-H28,2)</f>
        <v>-4644272.46</v>
      </c>
      <c r="J32" s="424"/>
    </row>
    <row r="33" spans="3:8" ht="13.8" thickTop="1"/>
    <row r="35" spans="3:8" ht="29.25" customHeight="1">
      <c r="C35" s="430" t="s">
        <v>221</v>
      </c>
      <c r="D35" s="430"/>
      <c r="E35" s="430"/>
      <c r="F35" s="430"/>
      <c r="G35" s="430"/>
      <c r="H35" s="430"/>
    </row>
  </sheetData>
  <mergeCells count="4">
    <mergeCell ref="A4:H4"/>
    <mergeCell ref="A5:H5"/>
    <mergeCell ref="A7:H7"/>
    <mergeCell ref="C35:H35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C10:H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pageSetUpPr fitToPage="1"/>
  </sheetPr>
  <dimension ref="A1:E28"/>
  <sheetViews>
    <sheetView view="pageBreakPreview" zoomScaleNormal="100" zoomScaleSheetLayoutView="100" workbookViewId="0">
      <selection sqref="A1:XFD6"/>
    </sheetView>
  </sheetViews>
  <sheetFormatPr defaultColWidth="9.109375" defaultRowHeight="13.2"/>
  <cols>
    <col min="1" max="1" width="5.88671875" style="8" customWidth="1"/>
    <col min="2" max="2" width="2.33203125" style="8" customWidth="1"/>
    <col min="3" max="3" width="44.88671875" style="8" bestFit="1" customWidth="1"/>
    <col min="4" max="4" width="2.44140625" style="8" customWidth="1"/>
    <col min="5" max="5" width="15.6640625" style="8" customWidth="1"/>
    <col min="6" max="16384" width="9.109375" style="8"/>
  </cols>
  <sheetData>
    <row r="1" spans="1:5">
      <c r="E1" s="4" t="s">
        <v>113</v>
      </c>
    </row>
    <row r="2" spans="1:5" ht="20.25" customHeight="1">
      <c r="E2" s="4"/>
    </row>
    <row r="3" spans="1:5">
      <c r="A3" s="432" t="str">
        <f>RevReq!A1</f>
        <v>KENERGY CORP.</v>
      </c>
      <c r="B3" s="432"/>
      <c r="C3" s="432"/>
      <c r="D3" s="432"/>
      <c r="E3" s="432"/>
    </row>
    <row r="4" spans="1:5">
      <c r="A4" s="432" t="str">
        <f>RevReq!A3</f>
        <v>For the 12 Months Ended February 28, 2023</v>
      </c>
      <c r="B4" s="432"/>
      <c r="C4" s="432"/>
      <c r="D4" s="432"/>
      <c r="E4" s="432"/>
    </row>
    <row r="6" spans="1:5" s="5" customFormat="1" ht="15" customHeight="1">
      <c r="A6" s="429" t="s">
        <v>30</v>
      </c>
      <c r="B6" s="429"/>
      <c r="C6" s="429"/>
      <c r="D6" s="429"/>
      <c r="E6" s="429"/>
    </row>
    <row r="8" spans="1:5">
      <c r="A8" s="7" t="s">
        <v>0</v>
      </c>
      <c r="C8" s="7" t="s">
        <v>40</v>
      </c>
      <c r="D8" s="7"/>
      <c r="E8" s="7" t="s">
        <v>24</v>
      </c>
    </row>
    <row r="9" spans="1:5">
      <c r="A9" s="9" t="s">
        <v>21</v>
      </c>
      <c r="C9" s="10" t="s">
        <v>18</v>
      </c>
      <c r="D9" s="10"/>
      <c r="E9" s="10" t="s">
        <v>20</v>
      </c>
    </row>
    <row r="10" spans="1:5">
      <c r="A10" s="7"/>
    </row>
    <row r="11" spans="1:5">
      <c r="A11" s="7">
        <v>1</v>
      </c>
      <c r="C11" s="12" t="s">
        <v>224</v>
      </c>
      <c r="E11" s="105">
        <v>22000</v>
      </c>
    </row>
    <row r="12" spans="1:5">
      <c r="A12" s="7">
        <f>A11+1</f>
        <v>2</v>
      </c>
      <c r="C12" s="12" t="s">
        <v>225</v>
      </c>
      <c r="E12" s="105">
        <v>45000</v>
      </c>
    </row>
    <row r="13" spans="1:5">
      <c r="A13" s="7">
        <f t="shared" ref="A13:A25" si="0">A12+1</f>
        <v>3</v>
      </c>
      <c r="C13" s="12" t="s">
        <v>647</v>
      </c>
      <c r="E13" s="105">
        <v>12000</v>
      </c>
    </row>
    <row r="14" spans="1:5">
      <c r="A14" s="7">
        <f t="shared" si="0"/>
        <v>4</v>
      </c>
      <c r="C14" s="12"/>
      <c r="E14" s="105"/>
    </row>
    <row r="15" spans="1:5">
      <c r="A15" s="7">
        <f t="shared" si="0"/>
        <v>5</v>
      </c>
      <c r="C15" s="13" t="s">
        <v>22</v>
      </c>
      <c r="D15" s="3"/>
      <c r="E15" s="26">
        <f>SUM(E11:E14)</f>
        <v>79000</v>
      </c>
    </row>
    <row r="16" spans="1:5">
      <c r="A16" s="7">
        <f t="shared" si="0"/>
        <v>6</v>
      </c>
      <c r="D16" s="1"/>
    </row>
    <row r="17" spans="1:5">
      <c r="A17" s="7">
        <f t="shared" si="0"/>
        <v>7</v>
      </c>
      <c r="C17" s="1" t="s">
        <v>41</v>
      </c>
      <c r="D17" s="1"/>
      <c r="E17" s="14">
        <f>E15</f>
        <v>79000</v>
      </c>
    </row>
    <row r="18" spans="1:5">
      <c r="A18" s="7">
        <f t="shared" si="0"/>
        <v>8</v>
      </c>
      <c r="C18" s="1" t="s">
        <v>42</v>
      </c>
      <c r="D18" s="1"/>
      <c r="E18" s="14">
        <v>3</v>
      </c>
    </row>
    <row r="19" spans="1:5">
      <c r="A19" s="7">
        <f t="shared" si="0"/>
        <v>9</v>
      </c>
      <c r="C19" s="1" t="s">
        <v>44</v>
      </c>
      <c r="D19" s="1"/>
      <c r="E19" s="14">
        <f>E17/E18</f>
        <v>26333.333333333332</v>
      </c>
    </row>
    <row r="20" spans="1:5">
      <c r="A20" s="7">
        <f t="shared" si="0"/>
        <v>10</v>
      </c>
      <c r="C20" s="1"/>
      <c r="D20" s="1"/>
      <c r="E20" s="14"/>
    </row>
    <row r="21" spans="1:5">
      <c r="A21" s="7">
        <f t="shared" si="0"/>
        <v>11</v>
      </c>
      <c r="C21" s="1" t="s">
        <v>36</v>
      </c>
      <c r="D21" s="1"/>
      <c r="E21" s="14">
        <v>0</v>
      </c>
    </row>
    <row r="22" spans="1:5">
      <c r="A22" s="7">
        <f t="shared" si="0"/>
        <v>12</v>
      </c>
      <c r="C22" s="1"/>
      <c r="D22" s="1"/>
    </row>
    <row r="23" spans="1:5">
      <c r="A23" s="7">
        <f t="shared" si="0"/>
        <v>13</v>
      </c>
      <c r="C23" s="1" t="s">
        <v>37</v>
      </c>
      <c r="E23" s="11">
        <f>E19</f>
        <v>26333.333333333332</v>
      </c>
    </row>
    <row r="24" spans="1:5">
      <c r="A24" s="7">
        <f t="shared" si="0"/>
        <v>14</v>
      </c>
      <c r="C24" s="1"/>
    </row>
    <row r="25" spans="1:5" ht="13.8" thickBot="1">
      <c r="A25" s="7">
        <f t="shared" si="0"/>
        <v>15</v>
      </c>
      <c r="C25" s="2" t="s">
        <v>59</v>
      </c>
      <c r="D25" s="15"/>
      <c r="E25" s="16">
        <f>ROUND(E23-E21,2)</f>
        <v>26333.33</v>
      </c>
    </row>
    <row r="26" spans="1:5" ht="13.8" thickTop="1"/>
    <row r="28" spans="1:5" ht="30" customHeight="1">
      <c r="C28" s="431" t="s">
        <v>45</v>
      </c>
      <c r="D28" s="431"/>
      <c r="E28" s="431"/>
    </row>
  </sheetData>
  <mergeCells count="4">
    <mergeCell ref="C28:E28"/>
    <mergeCell ref="A3:E3"/>
    <mergeCell ref="A4:E4"/>
    <mergeCell ref="A6:E6"/>
  </mergeCells>
  <printOptions horizontalCentered="1"/>
  <pageMargins left="1" right="0.75" top="0.75" bottom="0.5" header="0.5" footer="0.5"/>
  <pageSetup orientation="portrait" r:id="rId1"/>
  <headerFooter alignWithMargins="0">
    <oddFooter>&amp;R&amp;"Times New Roman,Regular"Exhibit JW-2
Page &amp;P of &amp;N</oddFooter>
  </headerFooter>
  <ignoredErrors>
    <ignoredError sqref="C9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26</vt:i4>
      </vt:variant>
    </vt:vector>
  </HeadingPairs>
  <TitlesOfParts>
    <vt:vector size="48" baseType="lpstr">
      <vt:lpstr>RevReq</vt:lpstr>
      <vt:lpstr>Adj List</vt:lpstr>
      <vt:lpstr>Adj BS</vt:lpstr>
      <vt:lpstr>Adj IS</vt:lpstr>
      <vt:lpstr>1.01 FAC</vt:lpstr>
      <vt:lpstr>1.02 ES</vt:lpstr>
      <vt:lpstr>1.03 MRSM</vt:lpstr>
      <vt:lpstr>1.04 NFPPA</vt:lpstr>
      <vt:lpstr>1.05 RC</vt:lpstr>
      <vt:lpstr>1.06 CUST</vt:lpstr>
      <vt:lpstr>1.07 Depr-Dist</vt:lpstr>
      <vt:lpstr>1.07 Depr-Gen</vt:lpstr>
      <vt:lpstr>1.08 Disallowed</vt:lpstr>
      <vt:lpstr>1.09 Broadband</vt:lpstr>
      <vt:lpstr>1.10 Int LTD</vt:lpstr>
      <vt:lpstr>1.11 Int-Other</vt:lpstr>
      <vt:lpstr>1.12 NonOperMarg-Int</vt:lpstr>
      <vt:lpstr>1.13 Labor</vt:lpstr>
      <vt:lpstr>1.14 LaborOH</vt:lpstr>
      <vt:lpstr>1.15 Misc Rev</vt:lpstr>
      <vt:lpstr>1.16 NonRecur</vt:lpstr>
      <vt:lpstr>1.17 PSCtax</vt:lpstr>
      <vt:lpstr>'1.01 FAC'!Print_Area</vt:lpstr>
      <vt:lpstr>'1.02 ES'!Print_Area</vt:lpstr>
      <vt:lpstr>'1.03 MRSM'!Print_Area</vt:lpstr>
      <vt:lpstr>'1.04 NFPPA'!Print_Area</vt:lpstr>
      <vt:lpstr>'1.05 RC'!Print_Area</vt:lpstr>
      <vt:lpstr>'1.06 CUST'!Print_Area</vt:lpstr>
      <vt:lpstr>'1.07 Depr-Dist'!Print_Area</vt:lpstr>
      <vt:lpstr>'1.07 Depr-Gen'!Print_Area</vt:lpstr>
      <vt:lpstr>'1.08 Disallowed'!Print_Area</vt:lpstr>
      <vt:lpstr>'1.09 Broadband'!Print_Area</vt:lpstr>
      <vt:lpstr>'1.10 Int LTD'!Print_Area</vt:lpstr>
      <vt:lpstr>'1.11 Int-Other'!Print_Area</vt:lpstr>
      <vt:lpstr>'1.12 NonOperMarg-Int'!Print_Area</vt:lpstr>
      <vt:lpstr>'1.13 Labor'!Print_Area</vt:lpstr>
      <vt:lpstr>'1.14 LaborOH'!Print_Area</vt:lpstr>
      <vt:lpstr>'1.15 Misc Rev'!Print_Area</vt:lpstr>
      <vt:lpstr>'1.16 NonRecur'!Print_Area</vt:lpstr>
      <vt:lpstr>'1.17 PSCtax'!Print_Area</vt:lpstr>
      <vt:lpstr>'Adj BS'!Print_Area</vt:lpstr>
      <vt:lpstr>'Adj IS'!Print_Area</vt:lpstr>
      <vt:lpstr>'Adj List'!Print_Area</vt:lpstr>
      <vt:lpstr>RevReq!Print_Area</vt:lpstr>
      <vt:lpstr>'1.06 CUST'!Print_Titles</vt:lpstr>
      <vt:lpstr>'1.07 Depr-Gen'!Print_Titles</vt:lpstr>
      <vt:lpstr>'1.10 Int LTD'!Print_Titles</vt:lpstr>
      <vt:lpstr>'1.11 Int-Other'!Print_Titles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2023-09-26T15:45:49Z</cp:lastPrinted>
  <dcterms:created xsi:type="dcterms:W3CDTF">2012-11-02T18:45:21Z</dcterms:created>
  <dcterms:modified xsi:type="dcterms:W3CDTF">2023-09-26T15:46:26Z</dcterms:modified>
</cp:coreProperties>
</file>