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X:\Travis\Rate Applications\2023 rate application\Data Requests\PSC data request no. 1\Kenergy responses by item no\Item 54 - cost of service study\"/>
    </mc:Choice>
  </mc:AlternateContent>
  <xr:revisionPtr revIDLastSave="0" documentId="8_{B617A488-FEF3-446A-B875-BB58FEB57256}" xr6:coauthVersionLast="47" xr6:coauthVersionMax="47" xr10:uidLastSave="{00000000-0000-0000-0000-000000000000}"/>
  <bookViews>
    <workbookView xWindow="-120" yWindow="-120" windowWidth="29040" windowHeight="15720" tabRatio="741" activeTab="14" xr2:uid="{00000000-000D-0000-FFFF-FFFF00000000}"/>
  </bookViews>
  <sheets>
    <sheet name="Present and Proposed Rates" sheetId="61" r:id="rId1"/>
    <sheet name="Res-1" sheetId="60" r:id="rId2"/>
    <sheet name="Sheet1" sheetId="77" r:id="rId3"/>
    <sheet name="Residential NonTOU" sheetId="24" state="hidden" r:id="rId4"/>
    <sheet name="Resid. - TOU" sheetId="28" state="hidden" r:id="rId5"/>
    <sheet name="Com1Ph-3" sheetId="62" r:id="rId6"/>
    <sheet name="Com3Ph1000-7" sheetId="74" r:id="rId7"/>
    <sheet name="Com3Ph&lt;1000-5" sheetId="63" r:id="rId8"/>
    <sheet name="Lighting" sheetId="64" r:id="rId9"/>
    <sheet name="Dir A" sheetId="78" r:id="rId10"/>
    <sheet name="Dir B" sheetId="79" r:id="rId11"/>
    <sheet name="Dir C" sheetId="80" r:id="rId12"/>
    <sheet name="Summary" sheetId="13" r:id="rId13"/>
    <sheet name="ResIncrBase" sheetId="68" state="hidden" r:id="rId14"/>
    <sheet name="ResIncr" sheetId="76" r:id="rId15"/>
    <sheet name="Notice-Full" sheetId="75" state="hidden" r:id="rId16"/>
    <sheet name="Notice-Abbrev" sheetId="69" state="hidden" r:id="rId17"/>
    <sheet name="BillDet" sheetId="71" state="hidden" r:id="rId18"/>
    <sheet name="BillDetLt" sheetId="72" state="hidden" r:id="rId19"/>
    <sheet name="List" sheetId="70" state="hidden" r:id="rId20"/>
  </sheets>
  <externalReferences>
    <externalReference r:id="rId21"/>
    <externalReference r:id="rId22"/>
    <externalReference r:id="rId23"/>
    <externalReference r:id="rId24"/>
  </externalReferences>
  <definedNames>
    <definedName name="_xlnm.Print_Area" localSheetId="5">'Com1Ph-3'!$A$1:$V$33</definedName>
    <definedName name="_xlnm.Print_Area" localSheetId="7">'Com3Ph&lt;1000-5'!$A$1:$V$41</definedName>
    <definedName name="_xlnm.Print_Area" localSheetId="6">'Com3Ph1000-7'!$A$1:$V$57</definedName>
    <definedName name="_xlnm.Print_Area" localSheetId="9">'Dir A'!$A$1:$L$33</definedName>
    <definedName name="_xlnm.Print_Area" localSheetId="10">'Dir B'!$A$1:$K$40</definedName>
    <definedName name="_xlnm.Print_Area" localSheetId="11">'Dir C'!$A$2:$N$50</definedName>
    <definedName name="_xlnm.Print_Area" localSheetId="8">Lighting!$A$1:$P$116</definedName>
    <definedName name="_xlnm.Print_Area" localSheetId="16">'Notice-Abbrev'!$A$1:$F$45</definedName>
    <definedName name="_xlnm.Print_Area" localSheetId="15">'Notice-Full'!$A$1:$F$219</definedName>
    <definedName name="_xlnm.Print_Area" localSheetId="0">'Present and Proposed Rates'!$A$1:$Q$38</definedName>
    <definedName name="_xlnm.Print_Area" localSheetId="1">'Res-1'!$A$1:$V$33</definedName>
    <definedName name="_xlnm.Print_Area" localSheetId="4">'Resid. - TOU'!$A$1:$H$35</definedName>
    <definedName name="_xlnm.Print_Area" localSheetId="3">'Residential NonTOU'!$A$1:$W$28</definedName>
    <definedName name="_xlnm.Print_Area" localSheetId="12">Summary!$A$1:$K$14</definedName>
    <definedName name="_xlnm.Print_Titles" localSheetId="8">Lighting!$1:$10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59" i="80" l="1"/>
  <c r="X859" i="80"/>
  <c r="W859" i="80"/>
  <c r="V859" i="80"/>
  <c r="U859" i="80"/>
  <c r="T859" i="80"/>
  <c r="S859" i="80"/>
  <c r="R859" i="80"/>
  <c r="AB857" i="80"/>
  <c r="P857" i="80"/>
  <c r="O857" i="80"/>
  <c r="AB856" i="80"/>
  <c r="P856" i="80"/>
  <c r="AB855" i="80"/>
  <c r="P855" i="80"/>
  <c r="AB854" i="80"/>
  <c r="P854" i="80"/>
  <c r="AB853" i="80"/>
  <c r="P853" i="80"/>
  <c r="AB852" i="80"/>
  <c r="P852" i="80"/>
  <c r="AB851" i="80"/>
  <c r="P851" i="80"/>
  <c r="AB850" i="80"/>
  <c r="P850" i="80"/>
  <c r="AB849" i="80"/>
  <c r="AB859" i="80" s="1"/>
  <c r="P849" i="80"/>
  <c r="AB848" i="80"/>
  <c r="P848" i="80"/>
  <c r="AB847" i="80"/>
  <c r="P847" i="80"/>
  <c r="AB846" i="80"/>
  <c r="P846" i="80"/>
  <c r="O846" i="80"/>
  <c r="AL838" i="80"/>
  <c r="AJ838" i="80"/>
  <c r="AI838" i="80"/>
  <c r="AH838" i="80"/>
  <c r="AG838" i="80"/>
  <c r="AF838" i="80"/>
  <c r="AE838" i="80"/>
  <c r="AD838" i="80"/>
  <c r="AC838" i="80"/>
  <c r="AA838" i="80"/>
  <c r="Y838" i="80"/>
  <c r="W838" i="80"/>
  <c r="V838" i="80"/>
  <c r="U838" i="80"/>
  <c r="T838" i="80"/>
  <c r="R838" i="80"/>
  <c r="AK835" i="80"/>
  <c r="AM835" i="80" s="1"/>
  <c r="X835" i="80"/>
  <c r="Z835" i="80" s="1"/>
  <c r="AB835" i="80" s="1"/>
  <c r="O835" i="80"/>
  <c r="N835" i="80"/>
  <c r="M835" i="80" s="1"/>
  <c r="L835" i="80"/>
  <c r="AM834" i="80"/>
  <c r="AK834" i="80"/>
  <c r="Z834" i="80"/>
  <c r="AB834" i="80" s="1"/>
  <c r="AN834" i="80" s="1"/>
  <c r="X834" i="80"/>
  <c r="N834" i="80"/>
  <c r="M834" i="80"/>
  <c r="L834" i="80"/>
  <c r="AN833" i="80"/>
  <c r="AM833" i="80"/>
  <c r="AK833" i="80"/>
  <c r="AB833" i="80"/>
  <c r="Z833" i="80"/>
  <c r="X833" i="80"/>
  <c r="N833" i="80"/>
  <c r="M833" i="80"/>
  <c r="L833" i="80"/>
  <c r="AK832" i="80"/>
  <c r="AM832" i="80" s="1"/>
  <c r="AN832" i="80" s="1"/>
  <c r="AB832" i="80"/>
  <c r="Z832" i="80"/>
  <c r="X832" i="80"/>
  <c r="N832" i="80"/>
  <c r="M832" i="80" s="1"/>
  <c r="L832" i="80"/>
  <c r="AM831" i="80"/>
  <c r="AK831" i="80"/>
  <c r="AB831" i="80"/>
  <c r="Z831" i="80"/>
  <c r="X831" i="80"/>
  <c r="N831" i="80"/>
  <c r="M831" i="80"/>
  <c r="L831" i="80"/>
  <c r="AM830" i="80"/>
  <c r="AK830" i="80"/>
  <c r="Z830" i="80"/>
  <c r="AB830" i="80" s="1"/>
  <c r="AN830" i="80" s="1"/>
  <c r="X830" i="80"/>
  <c r="N830" i="80"/>
  <c r="M830" i="80" s="1"/>
  <c r="L830" i="80"/>
  <c r="AN829" i="80"/>
  <c r="AM829" i="80"/>
  <c r="AK829" i="80"/>
  <c r="AB829" i="80"/>
  <c r="Z829" i="80"/>
  <c r="X829" i="80"/>
  <c r="N829" i="80"/>
  <c r="M829" i="80"/>
  <c r="L829" i="80"/>
  <c r="AK828" i="80"/>
  <c r="AM828" i="80" s="1"/>
  <c r="AN828" i="80" s="1"/>
  <c r="AB828" i="80"/>
  <c r="Z828" i="80"/>
  <c r="X828" i="80"/>
  <c r="N828" i="80"/>
  <c r="M828" i="80" s="1"/>
  <c r="L828" i="80"/>
  <c r="AM827" i="80"/>
  <c r="AK827" i="80"/>
  <c r="X827" i="80"/>
  <c r="X838" i="80" s="1"/>
  <c r="N827" i="80"/>
  <c r="M827" i="80"/>
  <c r="L827" i="80"/>
  <c r="AM826" i="80"/>
  <c r="AK826" i="80"/>
  <c r="Z826" i="80"/>
  <c r="AB826" i="80" s="1"/>
  <c r="AN826" i="80" s="1"/>
  <c r="X826" i="80"/>
  <c r="N826" i="80"/>
  <c r="M826" i="80"/>
  <c r="L826" i="80"/>
  <c r="AM825" i="80"/>
  <c r="AN825" i="80" s="1"/>
  <c r="AK825" i="80"/>
  <c r="AB825" i="80"/>
  <c r="Z825" i="80"/>
  <c r="X825" i="80"/>
  <c r="N825" i="80"/>
  <c r="M825" i="80"/>
  <c r="L825" i="80"/>
  <c r="AK824" i="80"/>
  <c r="AK838" i="80" s="1"/>
  <c r="Z824" i="80"/>
  <c r="AB824" i="80" s="1"/>
  <c r="X824" i="80"/>
  <c r="O824" i="80"/>
  <c r="N824" i="80"/>
  <c r="M824" i="80" s="1"/>
  <c r="L824" i="80"/>
  <c r="Y817" i="80"/>
  <c r="X817" i="80"/>
  <c r="W817" i="80"/>
  <c r="V817" i="80"/>
  <c r="U817" i="80"/>
  <c r="T817" i="80"/>
  <c r="S817" i="80"/>
  <c r="R817" i="80"/>
  <c r="AB815" i="80"/>
  <c r="P815" i="80"/>
  <c r="O815" i="80"/>
  <c r="AB814" i="80"/>
  <c r="P814" i="80"/>
  <c r="AB813" i="80"/>
  <c r="X791" i="80" s="1"/>
  <c r="P813" i="80"/>
  <c r="AB812" i="80"/>
  <c r="P812" i="80"/>
  <c r="AB811" i="80"/>
  <c r="X789" i="80" s="1"/>
  <c r="Z789" i="80" s="1"/>
  <c r="AB789" i="80" s="1"/>
  <c r="AN789" i="80" s="1"/>
  <c r="P811" i="80"/>
  <c r="AB810" i="80"/>
  <c r="X788" i="80" s="1"/>
  <c r="Z788" i="80" s="1"/>
  <c r="AB788" i="80" s="1"/>
  <c r="P810" i="80"/>
  <c r="AB809" i="80"/>
  <c r="P809" i="80"/>
  <c r="AB808" i="80"/>
  <c r="P808" i="80"/>
  <c r="AB807" i="80"/>
  <c r="X785" i="80" s="1"/>
  <c r="Z785" i="80" s="1"/>
  <c r="AB785" i="80" s="1"/>
  <c r="AN785" i="80" s="1"/>
  <c r="P807" i="80"/>
  <c r="AB806" i="80"/>
  <c r="X784" i="80" s="1"/>
  <c r="Z784" i="80" s="1"/>
  <c r="AB784" i="80" s="1"/>
  <c r="P806" i="80"/>
  <c r="AB805" i="80"/>
  <c r="X783" i="80" s="1"/>
  <c r="Z783" i="80" s="1"/>
  <c r="AB783" i="80" s="1"/>
  <c r="P805" i="80"/>
  <c r="AB804" i="80"/>
  <c r="P804" i="80"/>
  <c r="O804" i="80"/>
  <c r="AJ796" i="80"/>
  <c r="AI796" i="80"/>
  <c r="AH796" i="80"/>
  <c r="AG796" i="80"/>
  <c r="AF796" i="80"/>
  <c r="AE796" i="80"/>
  <c r="AD796" i="80"/>
  <c r="AC796" i="80"/>
  <c r="AA796" i="80"/>
  <c r="Y796" i="80"/>
  <c r="W796" i="80"/>
  <c r="V796" i="80"/>
  <c r="U796" i="80"/>
  <c r="T796" i="80"/>
  <c r="R796" i="80"/>
  <c r="AM793" i="80"/>
  <c r="AK793" i="80"/>
  <c r="X793" i="80"/>
  <c r="Z793" i="80" s="1"/>
  <c r="AB793" i="80" s="1"/>
  <c r="AN793" i="80" s="1"/>
  <c r="O793" i="80"/>
  <c r="N793" i="80"/>
  <c r="M793" i="80" s="1"/>
  <c r="L793" i="80"/>
  <c r="AM792" i="80"/>
  <c r="AN792" i="80" s="1"/>
  <c r="AK792" i="80"/>
  <c r="AB792" i="80"/>
  <c r="Z792" i="80"/>
  <c r="X792" i="80"/>
  <c r="N792" i="80"/>
  <c r="M792" i="80"/>
  <c r="L792" i="80"/>
  <c r="AK791" i="80"/>
  <c r="AM791" i="80" s="1"/>
  <c r="AN791" i="80" s="1"/>
  <c r="Z791" i="80"/>
  <c r="AB791" i="80" s="1"/>
  <c r="N791" i="80"/>
  <c r="M791" i="80" s="1"/>
  <c r="L791" i="80"/>
  <c r="AM790" i="80"/>
  <c r="AK790" i="80"/>
  <c r="X790" i="80"/>
  <c r="Z790" i="80" s="1"/>
  <c r="AB790" i="80" s="1"/>
  <c r="N790" i="80"/>
  <c r="M790" i="80" s="1"/>
  <c r="L790" i="80"/>
  <c r="AM789" i="80"/>
  <c r="AK789" i="80"/>
  <c r="N789" i="80"/>
  <c r="M789" i="80" s="1"/>
  <c r="L789" i="80"/>
  <c r="AM788" i="80"/>
  <c r="AN788" i="80" s="1"/>
  <c r="AK788" i="80"/>
  <c r="N788" i="80"/>
  <c r="M788" i="80"/>
  <c r="L788" i="80"/>
  <c r="AK787" i="80"/>
  <c r="AM787" i="80" s="1"/>
  <c r="AN787" i="80" s="1"/>
  <c r="AB787" i="80"/>
  <c r="Z787" i="80"/>
  <c r="X787" i="80"/>
  <c r="N787" i="80"/>
  <c r="M787" i="80" s="1"/>
  <c r="L787" i="80"/>
  <c r="AM786" i="80"/>
  <c r="AK786" i="80"/>
  <c r="AB786" i="80"/>
  <c r="X786" i="80"/>
  <c r="Z786" i="80" s="1"/>
  <c r="N786" i="80"/>
  <c r="M786" i="80"/>
  <c r="L786" i="80"/>
  <c r="AM785" i="80"/>
  <c r="AK785" i="80"/>
  <c r="N785" i="80"/>
  <c r="M785" i="80"/>
  <c r="L785" i="80"/>
  <c r="AM784" i="80"/>
  <c r="AN784" i="80" s="1"/>
  <c r="AK784" i="80"/>
  <c r="N784" i="80"/>
  <c r="M784" i="80"/>
  <c r="L784" i="80"/>
  <c r="AK783" i="80"/>
  <c r="N783" i="80"/>
  <c r="M783" i="80" s="1"/>
  <c r="L783" i="80"/>
  <c r="AM782" i="80"/>
  <c r="AK782" i="80"/>
  <c r="X782" i="80"/>
  <c r="O782" i="80"/>
  <c r="N782" i="80"/>
  <c r="M782" i="80" s="1"/>
  <c r="L782" i="80"/>
  <c r="Y775" i="80"/>
  <c r="X775" i="80"/>
  <c r="W775" i="80"/>
  <c r="V775" i="80"/>
  <c r="U775" i="80"/>
  <c r="T775" i="80"/>
  <c r="S775" i="80"/>
  <c r="R775" i="80"/>
  <c r="AB773" i="80"/>
  <c r="P773" i="80"/>
  <c r="O773" i="80"/>
  <c r="AB772" i="80"/>
  <c r="P772" i="80"/>
  <c r="AB771" i="80"/>
  <c r="P771" i="80"/>
  <c r="AB770" i="80"/>
  <c r="P770" i="80"/>
  <c r="AB769" i="80"/>
  <c r="P769" i="80"/>
  <c r="AB768" i="80"/>
  <c r="P768" i="80"/>
  <c r="AB767" i="80"/>
  <c r="P767" i="80"/>
  <c r="AB766" i="80"/>
  <c r="P766" i="80"/>
  <c r="AB765" i="80"/>
  <c r="P765" i="80"/>
  <c r="AB764" i="80"/>
  <c r="P764" i="80"/>
  <c r="AB763" i="80"/>
  <c r="P763" i="80"/>
  <c r="AB762" i="80"/>
  <c r="P762" i="80"/>
  <c r="O762" i="80"/>
  <c r="AL754" i="80"/>
  <c r="AJ754" i="80"/>
  <c r="AI754" i="80"/>
  <c r="AH754" i="80"/>
  <c r="AG754" i="80"/>
  <c r="AF754" i="80"/>
  <c r="AE754" i="80"/>
  <c r="AD754" i="80"/>
  <c r="AC754" i="80"/>
  <c r="AA754" i="80"/>
  <c r="Y754" i="80"/>
  <c r="W754" i="80"/>
  <c r="V754" i="80"/>
  <c r="U754" i="80"/>
  <c r="T754" i="80"/>
  <c r="S754" i="80"/>
  <c r="R754" i="80"/>
  <c r="AN751" i="80"/>
  <c r="AM751" i="80"/>
  <c r="AK751" i="80"/>
  <c r="AB751" i="80"/>
  <c r="Z751" i="80"/>
  <c r="X751" i="80"/>
  <c r="O751" i="80"/>
  <c r="N751" i="80"/>
  <c r="M751" i="80"/>
  <c r="L751" i="80"/>
  <c r="AK750" i="80"/>
  <c r="AM750" i="80" s="1"/>
  <c r="AN750" i="80" s="1"/>
  <c r="AB750" i="80"/>
  <c r="Z750" i="80"/>
  <c r="X750" i="80"/>
  <c r="N750" i="80"/>
  <c r="M750" i="80" s="1"/>
  <c r="L750" i="80"/>
  <c r="AM749" i="80"/>
  <c r="AK749" i="80"/>
  <c r="X749" i="80"/>
  <c r="Z749" i="80" s="1"/>
  <c r="AB749" i="80" s="1"/>
  <c r="N749" i="80"/>
  <c r="M749" i="80" s="1"/>
  <c r="L749" i="80"/>
  <c r="AK748" i="80"/>
  <c r="AM748" i="80" s="1"/>
  <c r="X748" i="80"/>
  <c r="Z748" i="80" s="1"/>
  <c r="AB748" i="80" s="1"/>
  <c r="N748" i="80"/>
  <c r="M748" i="80"/>
  <c r="L748" i="80"/>
  <c r="AM747" i="80"/>
  <c r="AK747" i="80"/>
  <c r="X747" i="80"/>
  <c r="Z747" i="80" s="1"/>
  <c r="AB747" i="80" s="1"/>
  <c r="AN747" i="80" s="1"/>
  <c r="N747" i="80"/>
  <c r="M747" i="80"/>
  <c r="L747" i="80"/>
  <c r="AN746" i="80"/>
  <c r="AK746" i="80"/>
  <c r="AM746" i="80" s="1"/>
  <c r="AB746" i="80"/>
  <c r="Z746" i="80"/>
  <c r="X746" i="80"/>
  <c r="N746" i="80"/>
  <c r="M746" i="80" s="1"/>
  <c r="L746" i="80"/>
  <c r="AK745" i="80"/>
  <c r="AM745" i="80" s="1"/>
  <c r="X745" i="80"/>
  <c r="Z745" i="80" s="1"/>
  <c r="AB745" i="80" s="1"/>
  <c r="N745" i="80"/>
  <c r="M745" i="80" s="1"/>
  <c r="L745" i="80"/>
  <c r="AK744" i="80"/>
  <c r="AM744" i="80" s="1"/>
  <c r="Z744" i="80"/>
  <c r="AB744" i="80" s="1"/>
  <c r="X744" i="80"/>
  <c r="N744" i="80"/>
  <c r="M744" i="80"/>
  <c r="L744" i="80"/>
  <c r="AM743" i="80"/>
  <c r="AK743" i="80"/>
  <c r="X743" i="80"/>
  <c r="Z743" i="80" s="1"/>
  <c r="AB743" i="80" s="1"/>
  <c r="AN743" i="80" s="1"/>
  <c r="N743" i="80"/>
  <c r="M743" i="80"/>
  <c r="L743" i="80"/>
  <c r="AM742" i="80"/>
  <c r="AN742" i="80" s="1"/>
  <c r="AK742" i="80"/>
  <c r="AB742" i="80"/>
  <c r="Z742" i="80"/>
  <c r="X742" i="80"/>
  <c r="N742" i="80"/>
  <c r="M742" i="80" s="1"/>
  <c r="L742" i="80"/>
  <c r="AM741" i="80"/>
  <c r="AN741" i="80" s="1"/>
  <c r="AK741" i="80"/>
  <c r="Z741" i="80"/>
  <c r="AB741" i="80" s="1"/>
  <c r="X741" i="80"/>
  <c r="N741" i="80"/>
  <c r="M741" i="80" s="1"/>
  <c r="L741" i="80"/>
  <c r="AK740" i="80"/>
  <c r="AM740" i="80" s="1"/>
  <c r="X740" i="80"/>
  <c r="O740" i="80"/>
  <c r="N740" i="80"/>
  <c r="M740" i="80"/>
  <c r="L740" i="80"/>
  <c r="Y733" i="80"/>
  <c r="X733" i="80"/>
  <c r="W733" i="80"/>
  <c r="V733" i="80"/>
  <c r="U733" i="80"/>
  <c r="T733" i="80"/>
  <c r="S733" i="80"/>
  <c r="R733" i="80"/>
  <c r="AB731" i="80"/>
  <c r="P731" i="80"/>
  <c r="O731" i="80"/>
  <c r="AB730" i="80"/>
  <c r="P730" i="80"/>
  <c r="AB729" i="80"/>
  <c r="P729" i="80"/>
  <c r="AB728" i="80"/>
  <c r="P728" i="80"/>
  <c r="AB727" i="80"/>
  <c r="P727" i="80"/>
  <c r="AB726" i="80"/>
  <c r="P726" i="80"/>
  <c r="AB725" i="80"/>
  <c r="P725" i="80"/>
  <c r="AB724" i="80"/>
  <c r="P724" i="80"/>
  <c r="AB723" i="80"/>
  <c r="P723" i="80"/>
  <c r="AB722" i="80"/>
  <c r="P722" i="80"/>
  <c r="AB721" i="80"/>
  <c r="P721" i="80"/>
  <c r="AB720" i="80"/>
  <c r="P720" i="80"/>
  <c r="O720" i="80"/>
  <c r="AL712" i="80"/>
  <c r="AJ712" i="80"/>
  <c r="AI712" i="80"/>
  <c r="AH712" i="80"/>
  <c r="AG712" i="80"/>
  <c r="AF712" i="80"/>
  <c r="AE712" i="80"/>
  <c r="AD712" i="80"/>
  <c r="AC712" i="80"/>
  <c r="AB712" i="80"/>
  <c r="AA712" i="80"/>
  <c r="Z712" i="80"/>
  <c r="Y712" i="80"/>
  <c r="X712" i="80"/>
  <c r="W712" i="80"/>
  <c r="V712" i="80"/>
  <c r="U712" i="80"/>
  <c r="T712" i="80"/>
  <c r="R712" i="80"/>
  <c r="AK709" i="80"/>
  <c r="AM709" i="80" s="1"/>
  <c r="AN709" i="80" s="1"/>
  <c r="O709" i="80"/>
  <c r="N709" i="80"/>
  <c r="M709" i="80" s="1"/>
  <c r="L709" i="80"/>
  <c r="AM708" i="80"/>
  <c r="AN708" i="80" s="1"/>
  <c r="AK708" i="80"/>
  <c r="N708" i="80"/>
  <c r="M708" i="80" s="1"/>
  <c r="L708" i="80"/>
  <c r="AN707" i="80"/>
  <c r="AM707" i="80"/>
  <c r="AK707" i="80"/>
  <c r="N707" i="80"/>
  <c r="M707" i="80" s="1"/>
  <c r="L707" i="80"/>
  <c r="AM706" i="80"/>
  <c r="AN706" i="80" s="1"/>
  <c r="AK706" i="80"/>
  <c r="N706" i="80"/>
  <c r="M706" i="80" s="1"/>
  <c r="L706" i="80"/>
  <c r="AM705" i="80"/>
  <c r="AN705" i="80" s="1"/>
  <c r="AK705" i="80"/>
  <c r="N705" i="80"/>
  <c r="M705" i="80" s="1"/>
  <c r="L705" i="80"/>
  <c r="AM704" i="80"/>
  <c r="AN704" i="80" s="1"/>
  <c r="AK704" i="80"/>
  <c r="N704" i="80"/>
  <c r="M704" i="80"/>
  <c r="L704" i="80"/>
  <c r="AM703" i="80"/>
  <c r="AN703" i="80" s="1"/>
  <c r="AK703" i="80"/>
  <c r="N703" i="80"/>
  <c r="M703" i="80" s="1"/>
  <c r="L703" i="80"/>
  <c r="AM702" i="80"/>
  <c r="AN702" i="80" s="1"/>
  <c r="AK702" i="80"/>
  <c r="N702" i="80"/>
  <c r="M702" i="80"/>
  <c r="L702" i="80"/>
  <c r="AM701" i="80"/>
  <c r="AN701" i="80" s="1"/>
  <c r="AK701" i="80"/>
  <c r="N701" i="80"/>
  <c r="M701" i="80" s="1"/>
  <c r="L701" i="80"/>
  <c r="AM700" i="80"/>
  <c r="AN700" i="80" s="1"/>
  <c r="AK700" i="80"/>
  <c r="N700" i="80"/>
  <c r="M700" i="80"/>
  <c r="L700" i="80"/>
  <c r="AN699" i="80"/>
  <c r="AM699" i="80"/>
  <c r="AK699" i="80"/>
  <c r="AK712" i="80" s="1"/>
  <c r="N699" i="80"/>
  <c r="M699" i="80" s="1"/>
  <c r="L699" i="80"/>
  <c r="AM698" i="80"/>
  <c r="AN698" i="80" s="1"/>
  <c r="AK698" i="80"/>
  <c r="O698" i="80"/>
  <c r="N698" i="80"/>
  <c r="M698" i="80" s="1"/>
  <c r="L698" i="80"/>
  <c r="V692" i="80"/>
  <c r="T692" i="80"/>
  <c r="Y691" i="80"/>
  <c r="X691" i="80"/>
  <c r="W691" i="80"/>
  <c r="V691" i="80"/>
  <c r="U691" i="80"/>
  <c r="T691" i="80"/>
  <c r="S691" i="80"/>
  <c r="R691" i="80"/>
  <c r="AB689" i="80"/>
  <c r="P689" i="80"/>
  <c r="O689" i="80"/>
  <c r="AB688" i="80"/>
  <c r="P688" i="80"/>
  <c r="AB687" i="80"/>
  <c r="P687" i="80"/>
  <c r="AB686" i="80"/>
  <c r="P686" i="80"/>
  <c r="AB685" i="80"/>
  <c r="P685" i="80"/>
  <c r="AB684" i="80"/>
  <c r="P684" i="80"/>
  <c r="AB683" i="80"/>
  <c r="P683" i="80"/>
  <c r="AB682" i="80"/>
  <c r="P682" i="80"/>
  <c r="AB681" i="80"/>
  <c r="P681" i="80"/>
  <c r="AB680" i="80"/>
  <c r="P680" i="80"/>
  <c r="AB679" i="80"/>
  <c r="P679" i="80"/>
  <c r="AB678" i="80"/>
  <c r="P678" i="80"/>
  <c r="O678" i="80"/>
  <c r="AL670" i="80"/>
  <c r="AJ670" i="80"/>
  <c r="AI670" i="80"/>
  <c r="AH670" i="80"/>
  <c r="AG670" i="80"/>
  <c r="AF670" i="80"/>
  <c r="AE670" i="80"/>
  <c r="AD670" i="80"/>
  <c r="AC670" i="80"/>
  <c r="AB670" i="80"/>
  <c r="AA670" i="80"/>
  <c r="Z670" i="80"/>
  <c r="Y670" i="80"/>
  <c r="X670" i="80"/>
  <c r="W670" i="80"/>
  <c r="V670" i="80"/>
  <c r="U670" i="80"/>
  <c r="T670" i="80"/>
  <c r="R670" i="80"/>
  <c r="AN667" i="80"/>
  <c r="AM667" i="80"/>
  <c r="AK667" i="80"/>
  <c r="O667" i="80"/>
  <c r="N667" i="80"/>
  <c r="M667" i="80" s="1"/>
  <c r="L667" i="80"/>
  <c r="AM666" i="80"/>
  <c r="AN666" i="80" s="1"/>
  <c r="AK666" i="80"/>
  <c r="N666" i="80"/>
  <c r="M666" i="80" s="1"/>
  <c r="L666" i="80"/>
  <c r="AM665" i="80"/>
  <c r="AN665" i="80" s="1"/>
  <c r="AK665" i="80"/>
  <c r="N665" i="80"/>
  <c r="M665" i="80" s="1"/>
  <c r="L665" i="80"/>
  <c r="AM664" i="80"/>
  <c r="AN664" i="80" s="1"/>
  <c r="AK664" i="80"/>
  <c r="N664" i="80"/>
  <c r="M664" i="80"/>
  <c r="L664" i="80"/>
  <c r="AM663" i="80"/>
  <c r="AN663" i="80" s="1"/>
  <c r="AK663" i="80"/>
  <c r="N663" i="80"/>
  <c r="M663" i="80" s="1"/>
  <c r="L663" i="80"/>
  <c r="AM662" i="80"/>
  <c r="AN662" i="80" s="1"/>
  <c r="AK662" i="80"/>
  <c r="N662" i="80"/>
  <c r="M662" i="80"/>
  <c r="L662" i="80"/>
  <c r="AM661" i="80"/>
  <c r="AN661" i="80" s="1"/>
  <c r="AK661" i="80"/>
  <c r="N661" i="80"/>
  <c r="M661" i="80" s="1"/>
  <c r="L661" i="80"/>
  <c r="AM660" i="80"/>
  <c r="AN660" i="80" s="1"/>
  <c r="AK660" i="80"/>
  <c r="N660" i="80"/>
  <c r="M660" i="80"/>
  <c r="L660" i="80"/>
  <c r="AK659" i="80"/>
  <c r="N659" i="80"/>
  <c r="M659" i="80" s="1"/>
  <c r="L659" i="80"/>
  <c r="AM658" i="80"/>
  <c r="AN658" i="80" s="1"/>
  <c r="AK658" i="80"/>
  <c r="N658" i="80"/>
  <c r="M658" i="80" s="1"/>
  <c r="L658" i="80"/>
  <c r="AK657" i="80"/>
  <c r="N657" i="80"/>
  <c r="M657" i="80" s="1"/>
  <c r="L657" i="80"/>
  <c r="AM656" i="80"/>
  <c r="AN656" i="80" s="1"/>
  <c r="AK656" i="80"/>
  <c r="O656" i="80"/>
  <c r="N656" i="80"/>
  <c r="M656" i="80"/>
  <c r="L656" i="80"/>
  <c r="Y649" i="80"/>
  <c r="X649" i="80"/>
  <c r="W649" i="80"/>
  <c r="V649" i="80"/>
  <c r="U649" i="80"/>
  <c r="T649" i="80"/>
  <c r="S649" i="80"/>
  <c r="R649" i="80"/>
  <c r="AB647" i="80"/>
  <c r="P647" i="80"/>
  <c r="O647" i="80"/>
  <c r="AB646" i="80"/>
  <c r="P646" i="80"/>
  <c r="AB645" i="80"/>
  <c r="P645" i="80"/>
  <c r="AB644" i="80"/>
  <c r="P644" i="80"/>
  <c r="AB643" i="80"/>
  <c r="P643" i="80"/>
  <c r="AB642" i="80"/>
  <c r="P642" i="80"/>
  <c r="AB641" i="80"/>
  <c r="P641" i="80"/>
  <c r="AB640" i="80"/>
  <c r="P640" i="80"/>
  <c r="AB639" i="80"/>
  <c r="P639" i="80"/>
  <c r="AB638" i="80"/>
  <c r="P638" i="80"/>
  <c r="AB637" i="80"/>
  <c r="P637" i="80"/>
  <c r="AB636" i="80"/>
  <c r="AB649" i="80" s="1"/>
  <c r="P636" i="80"/>
  <c r="O636" i="80"/>
  <c r="AL628" i="80"/>
  <c r="AJ628" i="80"/>
  <c r="AI628" i="80"/>
  <c r="AH628" i="80"/>
  <c r="AG628" i="80"/>
  <c r="AF628" i="80"/>
  <c r="AE628" i="80"/>
  <c r="AD628" i="80"/>
  <c r="AC628" i="80"/>
  <c r="AA628" i="80"/>
  <c r="Y628" i="80"/>
  <c r="W628" i="80"/>
  <c r="V628" i="80"/>
  <c r="U628" i="80"/>
  <c r="T628" i="80"/>
  <c r="R628" i="80"/>
  <c r="AM625" i="80"/>
  <c r="AN625" i="80" s="1"/>
  <c r="AK625" i="80"/>
  <c r="AB625" i="80"/>
  <c r="Z625" i="80"/>
  <c r="X625" i="80"/>
  <c r="O625" i="80"/>
  <c r="N625" i="80"/>
  <c r="M625" i="80" s="1"/>
  <c r="L625" i="80"/>
  <c r="AK624" i="80"/>
  <c r="AM624" i="80" s="1"/>
  <c r="AB624" i="80"/>
  <c r="Z624" i="80"/>
  <c r="X624" i="80"/>
  <c r="N624" i="80"/>
  <c r="M624" i="80" s="1"/>
  <c r="L624" i="80"/>
  <c r="AK623" i="80"/>
  <c r="AM623" i="80" s="1"/>
  <c r="AN623" i="80" s="1"/>
  <c r="X623" i="80"/>
  <c r="Z623" i="80" s="1"/>
  <c r="AB623" i="80" s="1"/>
  <c r="N623" i="80"/>
  <c r="M623" i="80" s="1"/>
  <c r="L623" i="80"/>
  <c r="AM622" i="80"/>
  <c r="AN622" i="80" s="1"/>
  <c r="AK622" i="80"/>
  <c r="X622" i="80"/>
  <c r="Z622" i="80" s="1"/>
  <c r="AB622" i="80" s="1"/>
  <c r="N622" i="80"/>
  <c r="M622" i="80"/>
  <c r="L622" i="80"/>
  <c r="AK621" i="80"/>
  <c r="AM621" i="80" s="1"/>
  <c r="Z621" i="80"/>
  <c r="AB621" i="80" s="1"/>
  <c r="X621" i="80"/>
  <c r="N621" i="80"/>
  <c r="M621" i="80" s="1"/>
  <c r="L621" i="80"/>
  <c r="AK620" i="80"/>
  <c r="AM620" i="80" s="1"/>
  <c r="X620" i="80"/>
  <c r="Z620" i="80" s="1"/>
  <c r="AB620" i="80" s="1"/>
  <c r="N620" i="80"/>
  <c r="M620" i="80" s="1"/>
  <c r="L620" i="80"/>
  <c r="AK619" i="80"/>
  <c r="AM619" i="80" s="1"/>
  <c r="X619" i="80"/>
  <c r="Z619" i="80" s="1"/>
  <c r="AB619" i="80" s="1"/>
  <c r="N619" i="80"/>
  <c r="M619" i="80"/>
  <c r="L619" i="80"/>
  <c r="AM618" i="80"/>
  <c r="AN618" i="80" s="1"/>
  <c r="AK618" i="80"/>
  <c r="X618" i="80"/>
  <c r="Z618" i="80" s="1"/>
  <c r="AB618" i="80" s="1"/>
  <c r="N618" i="80"/>
  <c r="M618" i="80"/>
  <c r="L618" i="80"/>
  <c r="AM617" i="80"/>
  <c r="AK617" i="80"/>
  <c r="AB617" i="80"/>
  <c r="Z617" i="80"/>
  <c r="X617" i="80"/>
  <c r="N617" i="80"/>
  <c r="M617" i="80" s="1"/>
  <c r="L617" i="80"/>
  <c r="AK616" i="80"/>
  <c r="AM616" i="80" s="1"/>
  <c r="X616" i="80"/>
  <c r="Z616" i="80" s="1"/>
  <c r="AB616" i="80" s="1"/>
  <c r="N616" i="80"/>
  <c r="M616" i="80"/>
  <c r="L616" i="80"/>
  <c r="AK615" i="80"/>
  <c r="AM615" i="80" s="1"/>
  <c r="X615" i="80"/>
  <c r="N615" i="80"/>
  <c r="M615" i="80"/>
  <c r="L615" i="80"/>
  <c r="AN614" i="80"/>
  <c r="AM614" i="80"/>
  <c r="AM628" i="80" s="1"/>
  <c r="AK614" i="80"/>
  <c r="X614" i="80"/>
  <c r="Z614" i="80" s="1"/>
  <c r="AB614" i="80" s="1"/>
  <c r="O614" i="80"/>
  <c r="N614" i="80"/>
  <c r="M614" i="80"/>
  <c r="L614" i="80"/>
  <c r="Y607" i="80"/>
  <c r="X607" i="80"/>
  <c r="W607" i="80"/>
  <c r="V607" i="80"/>
  <c r="U607" i="80"/>
  <c r="T607" i="80"/>
  <c r="S607" i="80"/>
  <c r="R607" i="80"/>
  <c r="AB605" i="80"/>
  <c r="P605" i="80"/>
  <c r="O605" i="80"/>
  <c r="AB604" i="80"/>
  <c r="P604" i="80"/>
  <c r="AB603" i="80"/>
  <c r="P603" i="80"/>
  <c r="AB602" i="80"/>
  <c r="P602" i="80"/>
  <c r="AB601" i="80"/>
  <c r="P601" i="80"/>
  <c r="AB600" i="80"/>
  <c r="P600" i="80"/>
  <c r="AB599" i="80"/>
  <c r="P599" i="80"/>
  <c r="AB598" i="80"/>
  <c r="AB607" i="80" s="1"/>
  <c r="P598" i="80"/>
  <c r="AB597" i="80"/>
  <c r="P597" i="80"/>
  <c r="AB596" i="80"/>
  <c r="P596" i="80"/>
  <c r="AB595" i="80"/>
  <c r="P595" i="80"/>
  <c r="AB594" i="80"/>
  <c r="P594" i="80"/>
  <c r="O594" i="80"/>
  <c r="V588" i="80"/>
  <c r="AL586" i="80"/>
  <c r="AK586" i="80"/>
  <c r="AJ586" i="80"/>
  <c r="AI586" i="80"/>
  <c r="AH586" i="80"/>
  <c r="AG586" i="80"/>
  <c r="AF586" i="80"/>
  <c r="AE586" i="80"/>
  <c r="AD586" i="80"/>
  <c r="AC586" i="80"/>
  <c r="AB586" i="80"/>
  <c r="AA586" i="80"/>
  <c r="Z586" i="80"/>
  <c r="Y586" i="80"/>
  <c r="X586" i="80"/>
  <c r="W586" i="80"/>
  <c r="V586" i="80"/>
  <c r="U586" i="80"/>
  <c r="T586" i="80"/>
  <c r="R586" i="80"/>
  <c r="AM583" i="80"/>
  <c r="AN583" i="80" s="1"/>
  <c r="AK583" i="80"/>
  <c r="O583" i="80"/>
  <c r="N583" i="80"/>
  <c r="M583" i="80" s="1"/>
  <c r="L583" i="80"/>
  <c r="AN582" i="80"/>
  <c r="AM582" i="80"/>
  <c r="AK582" i="80"/>
  <c r="N582" i="80"/>
  <c r="M582" i="80" s="1"/>
  <c r="L582" i="80"/>
  <c r="AM581" i="80"/>
  <c r="AN581" i="80" s="1"/>
  <c r="AK581" i="80"/>
  <c r="N581" i="80"/>
  <c r="M581" i="80"/>
  <c r="L581" i="80"/>
  <c r="AN580" i="80"/>
  <c r="AM580" i="80"/>
  <c r="AK580" i="80"/>
  <c r="N580" i="80"/>
  <c r="M580" i="80" s="1"/>
  <c r="L580" i="80"/>
  <c r="AK579" i="80"/>
  <c r="AM579" i="80" s="1"/>
  <c r="AN579" i="80" s="1"/>
  <c r="N579" i="80"/>
  <c r="M579" i="80"/>
  <c r="L579" i="80"/>
  <c r="AN578" i="80"/>
  <c r="AM578" i="80"/>
  <c r="AK578" i="80"/>
  <c r="N578" i="80"/>
  <c r="M578" i="80" s="1"/>
  <c r="L578" i="80"/>
  <c r="AM577" i="80"/>
  <c r="AN577" i="80" s="1"/>
  <c r="AK577" i="80"/>
  <c r="N577" i="80"/>
  <c r="M577" i="80" s="1"/>
  <c r="L577" i="80"/>
  <c r="AN576" i="80"/>
  <c r="AM576" i="80"/>
  <c r="AK576" i="80"/>
  <c r="N576" i="80"/>
  <c r="M576" i="80" s="1"/>
  <c r="L576" i="80"/>
  <c r="AK575" i="80"/>
  <c r="AM575" i="80" s="1"/>
  <c r="AN575" i="80" s="1"/>
  <c r="N575" i="80"/>
  <c r="M575" i="80"/>
  <c r="L575" i="80"/>
  <c r="AN574" i="80"/>
  <c r="AM574" i="80"/>
  <c r="AK574" i="80"/>
  <c r="N574" i="80"/>
  <c r="M574" i="80" s="1"/>
  <c r="L574" i="80"/>
  <c r="AN573" i="80"/>
  <c r="AM573" i="80"/>
  <c r="AK573" i="80"/>
  <c r="N573" i="80"/>
  <c r="M573" i="80" s="1"/>
  <c r="L573" i="80"/>
  <c r="AN572" i="80"/>
  <c r="AM572" i="80"/>
  <c r="AK572" i="80"/>
  <c r="O572" i="80"/>
  <c r="N572" i="80"/>
  <c r="M572" i="80" s="1"/>
  <c r="L572" i="80"/>
  <c r="AB565" i="80"/>
  <c r="AA565" i="80"/>
  <c r="Z565" i="80"/>
  <c r="Y565" i="80"/>
  <c r="X565" i="80"/>
  <c r="W565" i="80"/>
  <c r="V565" i="80"/>
  <c r="U565" i="80"/>
  <c r="T565" i="80"/>
  <c r="R565" i="80"/>
  <c r="AC563" i="80"/>
  <c r="X541" i="80" s="1"/>
  <c r="Z541" i="80" s="1"/>
  <c r="AB541" i="80" s="1"/>
  <c r="P563" i="80"/>
  <c r="O563" i="80"/>
  <c r="AC562" i="80"/>
  <c r="P562" i="80"/>
  <c r="AC561" i="80"/>
  <c r="P561" i="80"/>
  <c r="AC560" i="80"/>
  <c r="X538" i="80" s="1"/>
  <c r="Z538" i="80" s="1"/>
  <c r="AB538" i="80" s="1"/>
  <c r="AN538" i="80" s="1"/>
  <c r="P560" i="80"/>
  <c r="AC559" i="80"/>
  <c r="P559" i="80"/>
  <c r="AC558" i="80"/>
  <c r="P558" i="80"/>
  <c r="AC557" i="80"/>
  <c r="AC565" i="80" s="1"/>
  <c r="P557" i="80"/>
  <c r="AC556" i="80"/>
  <c r="P556" i="80"/>
  <c r="AC555" i="80"/>
  <c r="P555" i="80"/>
  <c r="AC554" i="80"/>
  <c r="X532" i="80" s="1"/>
  <c r="Z532" i="80" s="1"/>
  <c r="AB532" i="80" s="1"/>
  <c r="AN532" i="80" s="1"/>
  <c r="P554" i="80"/>
  <c r="AC553" i="80"/>
  <c r="P553" i="80"/>
  <c r="AC552" i="80"/>
  <c r="P552" i="80"/>
  <c r="O552" i="80"/>
  <c r="AL544" i="80"/>
  <c r="AJ544" i="80"/>
  <c r="AI544" i="80"/>
  <c r="AH544" i="80"/>
  <c r="AG544" i="80"/>
  <c r="AF544" i="80"/>
  <c r="AE544" i="80"/>
  <c r="AD544" i="80"/>
  <c r="AC544" i="80"/>
  <c r="AA544" i="80"/>
  <c r="Y544" i="80"/>
  <c r="W544" i="80"/>
  <c r="V544" i="80"/>
  <c r="U544" i="80"/>
  <c r="T544" i="80"/>
  <c r="R544" i="80"/>
  <c r="AM541" i="80"/>
  <c r="AK541" i="80"/>
  <c r="P541" i="80"/>
  <c r="O541" i="80"/>
  <c r="N541" i="80"/>
  <c r="M541" i="80" s="1"/>
  <c r="L541" i="80"/>
  <c r="AK540" i="80"/>
  <c r="AM540" i="80" s="1"/>
  <c r="X540" i="80"/>
  <c r="Z540" i="80" s="1"/>
  <c r="AB540" i="80" s="1"/>
  <c r="P540" i="80"/>
  <c r="N540" i="80"/>
  <c r="M540" i="80" s="1"/>
  <c r="L540" i="80"/>
  <c r="AM539" i="80"/>
  <c r="AK539" i="80"/>
  <c r="X539" i="80"/>
  <c r="Z539" i="80" s="1"/>
  <c r="AB539" i="80" s="1"/>
  <c r="P539" i="80"/>
  <c r="N539" i="80"/>
  <c r="M539" i="80"/>
  <c r="L539" i="80"/>
  <c r="AM538" i="80"/>
  <c r="AK538" i="80"/>
  <c r="P538" i="80"/>
  <c r="N538" i="80"/>
  <c r="M538" i="80" s="1"/>
  <c r="L538" i="80"/>
  <c r="AM537" i="80"/>
  <c r="AK537" i="80"/>
  <c r="X537" i="80"/>
  <c r="Z537" i="80" s="1"/>
  <c r="AB537" i="80" s="1"/>
  <c r="P537" i="80"/>
  <c r="N537" i="80"/>
  <c r="M537" i="80"/>
  <c r="L537" i="80"/>
  <c r="AN536" i="80"/>
  <c r="AM536" i="80"/>
  <c r="AK536" i="80"/>
  <c r="AB536" i="80"/>
  <c r="Z536" i="80"/>
  <c r="X536" i="80"/>
  <c r="P536" i="80"/>
  <c r="N536" i="80"/>
  <c r="M536" i="80"/>
  <c r="L536" i="80"/>
  <c r="AK535" i="80"/>
  <c r="AM535" i="80" s="1"/>
  <c r="P535" i="80"/>
  <c r="N535" i="80"/>
  <c r="M535" i="80" s="1"/>
  <c r="L535" i="80"/>
  <c r="AK534" i="80"/>
  <c r="AM534" i="80" s="1"/>
  <c r="X534" i="80"/>
  <c r="Z534" i="80" s="1"/>
  <c r="AB534" i="80" s="1"/>
  <c r="P534" i="80"/>
  <c r="N534" i="80"/>
  <c r="M534" i="80" s="1"/>
  <c r="L534" i="80"/>
  <c r="AK533" i="80"/>
  <c r="AM533" i="80" s="1"/>
  <c r="Z533" i="80"/>
  <c r="AB533" i="80" s="1"/>
  <c r="X533" i="80"/>
  <c r="P533" i="80"/>
  <c r="N533" i="80"/>
  <c r="M533" i="80"/>
  <c r="L533" i="80"/>
  <c r="AM532" i="80"/>
  <c r="AK532" i="80"/>
  <c r="P532" i="80"/>
  <c r="N532" i="80"/>
  <c r="M532" i="80" s="1"/>
  <c r="L532" i="80"/>
  <c r="AN531" i="80"/>
  <c r="AM531" i="80"/>
  <c r="AK531" i="80"/>
  <c r="X531" i="80"/>
  <c r="Z531" i="80" s="1"/>
  <c r="AB531" i="80" s="1"/>
  <c r="P531" i="80"/>
  <c r="N531" i="80"/>
  <c r="M531" i="80"/>
  <c r="L531" i="80"/>
  <c r="AM530" i="80"/>
  <c r="AN530" i="80" s="1"/>
  <c r="AK530" i="80"/>
  <c r="AB530" i="80"/>
  <c r="Z530" i="80"/>
  <c r="X530" i="80"/>
  <c r="P530" i="80"/>
  <c r="O530" i="80"/>
  <c r="N530" i="80"/>
  <c r="M530" i="80" s="1"/>
  <c r="L530" i="80"/>
  <c r="Y523" i="80"/>
  <c r="X523" i="80"/>
  <c r="W523" i="80"/>
  <c r="V523" i="80"/>
  <c r="U523" i="80"/>
  <c r="T523" i="80"/>
  <c r="S523" i="80"/>
  <c r="R523" i="80"/>
  <c r="AB521" i="80"/>
  <c r="P521" i="80"/>
  <c r="O521" i="80"/>
  <c r="AB520" i="80"/>
  <c r="P520" i="80"/>
  <c r="AB519" i="80"/>
  <c r="P519" i="80"/>
  <c r="AB518" i="80"/>
  <c r="P518" i="80"/>
  <c r="AB517" i="80"/>
  <c r="P517" i="80"/>
  <c r="AB516" i="80"/>
  <c r="P516" i="80"/>
  <c r="AB515" i="80"/>
  <c r="P515" i="80"/>
  <c r="AB514" i="80"/>
  <c r="P514" i="80"/>
  <c r="AB513" i="80"/>
  <c r="P513" i="80"/>
  <c r="AB512" i="80"/>
  <c r="AB523" i="80" s="1"/>
  <c r="P512" i="80"/>
  <c r="AB511" i="80"/>
  <c r="P511" i="80"/>
  <c r="AB510" i="80"/>
  <c r="P510" i="80"/>
  <c r="O510" i="80"/>
  <c r="V504" i="80"/>
  <c r="AL502" i="80"/>
  <c r="AJ502" i="80"/>
  <c r="AI502" i="80"/>
  <c r="AH502" i="80"/>
  <c r="AG502" i="80"/>
  <c r="AF502" i="80"/>
  <c r="AE502" i="80"/>
  <c r="AD502" i="80"/>
  <c r="AC502" i="80"/>
  <c r="AA502" i="80"/>
  <c r="Y502" i="80"/>
  <c r="W502" i="80"/>
  <c r="V502" i="80"/>
  <c r="U502" i="80"/>
  <c r="T502" i="80"/>
  <c r="S502" i="80"/>
  <c r="R502" i="80"/>
  <c r="AM499" i="80"/>
  <c r="AN499" i="80" s="1"/>
  <c r="AK499" i="80"/>
  <c r="Z499" i="80"/>
  <c r="AB499" i="80" s="1"/>
  <c r="X499" i="80"/>
  <c r="O499" i="80"/>
  <c r="N499" i="80"/>
  <c r="M499" i="80" s="1"/>
  <c r="L499" i="80"/>
  <c r="AM498" i="80"/>
  <c r="AK498" i="80"/>
  <c r="X498" i="80"/>
  <c r="Z498" i="80" s="1"/>
  <c r="AB498" i="80" s="1"/>
  <c r="N498" i="80"/>
  <c r="M498" i="80" s="1"/>
  <c r="L498" i="80"/>
  <c r="AM497" i="80"/>
  <c r="AK497" i="80"/>
  <c r="X497" i="80"/>
  <c r="Z497" i="80" s="1"/>
  <c r="AB497" i="80" s="1"/>
  <c r="AN497" i="80" s="1"/>
  <c r="N497" i="80"/>
  <c r="M497" i="80"/>
  <c r="L497" i="80"/>
  <c r="AK496" i="80"/>
  <c r="AM496" i="80" s="1"/>
  <c r="AN496" i="80" s="1"/>
  <c r="AB496" i="80"/>
  <c r="Z496" i="80"/>
  <c r="X496" i="80"/>
  <c r="N496" i="80"/>
  <c r="M496" i="80"/>
  <c r="L496" i="80"/>
  <c r="AM495" i="80"/>
  <c r="AK495" i="80"/>
  <c r="X495" i="80"/>
  <c r="Z495" i="80" s="1"/>
  <c r="AB495" i="80" s="1"/>
  <c r="N495" i="80"/>
  <c r="M495" i="80" s="1"/>
  <c r="L495" i="80"/>
  <c r="AM494" i="80"/>
  <c r="AK494" i="80"/>
  <c r="AB494" i="80"/>
  <c r="Z494" i="80"/>
  <c r="X494" i="80"/>
  <c r="N494" i="80"/>
  <c r="M494" i="80" s="1"/>
  <c r="L494" i="80"/>
  <c r="AM493" i="80"/>
  <c r="AK493" i="80"/>
  <c r="Z493" i="80"/>
  <c r="AB493" i="80" s="1"/>
  <c r="AN493" i="80" s="1"/>
  <c r="X493" i="80"/>
  <c r="N493" i="80"/>
  <c r="M493" i="80" s="1"/>
  <c r="L493" i="80"/>
  <c r="AK492" i="80"/>
  <c r="AM492" i="80" s="1"/>
  <c r="AN492" i="80" s="1"/>
  <c r="AB492" i="80"/>
  <c r="Z492" i="80"/>
  <c r="X492" i="80"/>
  <c r="N492" i="80"/>
  <c r="M492" i="80"/>
  <c r="L492" i="80"/>
  <c r="AK491" i="80"/>
  <c r="AM491" i="80" s="1"/>
  <c r="X491" i="80"/>
  <c r="Z491" i="80" s="1"/>
  <c r="AB491" i="80" s="1"/>
  <c r="N491" i="80"/>
  <c r="M491" i="80" s="1"/>
  <c r="L491" i="80"/>
  <c r="AM490" i="80"/>
  <c r="AK490" i="80"/>
  <c r="AB490" i="80"/>
  <c r="AB502" i="80" s="1"/>
  <c r="X490" i="80"/>
  <c r="Z490" i="80" s="1"/>
  <c r="Z502" i="80" s="1"/>
  <c r="N490" i="80"/>
  <c r="M490" i="80"/>
  <c r="L490" i="80"/>
  <c r="AM489" i="80"/>
  <c r="AK489" i="80"/>
  <c r="Z489" i="80"/>
  <c r="AB489" i="80" s="1"/>
  <c r="AN489" i="80" s="1"/>
  <c r="X489" i="80"/>
  <c r="N489" i="80"/>
  <c r="M489" i="80"/>
  <c r="L489" i="80"/>
  <c r="AM488" i="80"/>
  <c r="AM502" i="80" s="1"/>
  <c r="AK488" i="80"/>
  <c r="AK502" i="80" s="1"/>
  <c r="AB488" i="80"/>
  <c r="Z488" i="80"/>
  <c r="X488" i="80"/>
  <c r="O488" i="80"/>
  <c r="N488" i="80"/>
  <c r="M488" i="80" s="1"/>
  <c r="L488" i="80"/>
  <c r="W482" i="80"/>
  <c r="AB481" i="80"/>
  <c r="Y481" i="80"/>
  <c r="X481" i="80"/>
  <c r="W481" i="80"/>
  <c r="V481" i="80"/>
  <c r="U481" i="80"/>
  <c r="T481" i="80"/>
  <c r="S481" i="80"/>
  <c r="R481" i="80"/>
  <c r="AB479" i="80"/>
  <c r="P479" i="80"/>
  <c r="O479" i="80"/>
  <c r="AB478" i="80"/>
  <c r="P478" i="80"/>
  <c r="AB477" i="80"/>
  <c r="P477" i="80"/>
  <c r="AB476" i="80"/>
  <c r="P476" i="80"/>
  <c r="AB475" i="80"/>
  <c r="P475" i="80"/>
  <c r="AB474" i="80"/>
  <c r="P474" i="80"/>
  <c r="AB473" i="80"/>
  <c r="P473" i="80"/>
  <c r="AB472" i="80"/>
  <c r="P472" i="80"/>
  <c r="AB471" i="80"/>
  <c r="P471" i="80"/>
  <c r="AB470" i="80"/>
  <c r="P470" i="80"/>
  <c r="AB469" i="80"/>
  <c r="P469" i="80"/>
  <c r="AB468" i="80"/>
  <c r="P468" i="80"/>
  <c r="O468" i="80"/>
  <c r="V462" i="80"/>
  <c r="AL460" i="80"/>
  <c r="AJ460" i="80"/>
  <c r="AI460" i="80"/>
  <c r="AH460" i="80"/>
  <c r="AG460" i="80"/>
  <c r="AF460" i="80"/>
  <c r="AE460" i="80"/>
  <c r="AD460" i="80"/>
  <c r="AC460" i="80"/>
  <c r="AA460" i="80"/>
  <c r="Y460" i="80"/>
  <c r="W460" i="80"/>
  <c r="V460" i="80"/>
  <c r="U460" i="80"/>
  <c r="T460" i="80"/>
  <c r="R460" i="80"/>
  <c r="AK457" i="80"/>
  <c r="AM457" i="80" s="1"/>
  <c r="Z457" i="80"/>
  <c r="AB457" i="80" s="1"/>
  <c r="X457" i="80"/>
  <c r="O457" i="80"/>
  <c r="N457" i="80"/>
  <c r="M457" i="80" s="1"/>
  <c r="L457" i="80"/>
  <c r="AK456" i="80"/>
  <c r="AM456" i="80" s="1"/>
  <c r="X456" i="80"/>
  <c r="Z456" i="80" s="1"/>
  <c r="AB456" i="80" s="1"/>
  <c r="N456" i="80"/>
  <c r="M456" i="80"/>
  <c r="L456" i="80"/>
  <c r="AN455" i="80"/>
  <c r="AM455" i="80"/>
  <c r="AK455" i="80"/>
  <c r="Z455" i="80"/>
  <c r="AB455" i="80" s="1"/>
  <c r="X455" i="80"/>
  <c r="N455" i="80"/>
  <c r="M455" i="80" s="1"/>
  <c r="L455" i="80"/>
  <c r="AK454" i="80"/>
  <c r="AM454" i="80" s="1"/>
  <c r="AN454" i="80" s="1"/>
  <c r="AB454" i="80"/>
  <c r="Z454" i="80"/>
  <c r="X454" i="80"/>
  <c r="N454" i="80"/>
  <c r="M454" i="80" s="1"/>
  <c r="L454" i="80"/>
  <c r="AM453" i="80"/>
  <c r="AK453" i="80"/>
  <c r="Z453" i="80"/>
  <c r="AB453" i="80" s="1"/>
  <c r="X453" i="80"/>
  <c r="N453" i="80"/>
  <c r="M453" i="80" s="1"/>
  <c r="L453" i="80"/>
  <c r="AM452" i="80"/>
  <c r="AN452" i="80" s="1"/>
  <c r="AK452" i="80"/>
  <c r="Z452" i="80"/>
  <c r="AB452" i="80" s="1"/>
  <c r="X452" i="80"/>
  <c r="N452" i="80"/>
  <c r="M452" i="80" s="1"/>
  <c r="L452" i="80"/>
  <c r="AM451" i="80"/>
  <c r="AK451" i="80"/>
  <c r="Z451" i="80"/>
  <c r="AB451" i="80" s="1"/>
  <c r="AN451" i="80" s="1"/>
  <c r="X451" i="80"/>
  <c r="N451" i="80"/>
  <c r="M451" i="80" s="1"/>
  <c r="L451" i="80"/>
  <c r="AM450" i="80"/>
  <c r="AN450" i="80" s="1"/>
  <c r="AK450" i="80"/>
  <c r="AB450" i="80"/>
  <c r="Z450" i="80"/>
  <c r="X450" i="80"/>
  <c r="N450" i="80"/>
  <c r="M450" i="80" s="1"/>
  <c r="L450" i="80"/>
  <c r="AN449" i="80"/>
  <c r="AM449" i="80"/>
  <c r="AK449" i="80"/>
  <c r="X449" i="80"/>
  <c r="Z449" i="80" s="1"/>
  <c r="AB449" i="80" s="1"/>
  <c r="N449" i="80"/>
  <c r="M449" i="80" s="1"/>
  <c r="L449" i="80"/>
  <c r="AM448" i="80"/>
  <c r="AK448" i="80"/>
  <c r="X448" i="80"/>
  <c r="X71" i="80" s="1"/>
  <c r="N448" i="80"/>
  <c r="M448" i="80" s="1"/>
  <c r="L448" i="80"/>
  <c r="AN447" i="80"/>
  <c r="AM447" i="80"/>
  <c r="AK447" i="80"/>
  <c r="Z447" i="80"/>
  <c r="AB447" i="80" s="1"/>
  <c r="X447" i="80"/>
  <c r="N447" i="80"/>
  <c r="M447" i="80"/>
  <c r="L447" i="80"/>
  <c r="AM446" i="80"/>
  <c r="AN446" i="80" s="1"/>
  <c r="AK446" i="80"/>
  <c r="AK460" i="80" s="1"/>
  <c r="AB446" i="80"/>
  <c r="Z446" i="80"/>
  <c r="X446" i="80"/>
  <c r="O446" i="80"/>
  <c r="N446" i="80"/>
  <c r="M446" i="80" s="1"/>
  <c r="L446" i="80"/>
  <c r="Y439" i="80"/>
  <c r="X439" i="80"/>
  <c r="W439" i="80"/>
  <c r="V439" i="80"/>
  <c r="U439" i="80"/>
  <c r="T439" i="80"/>
  <c r="S439" i="80"/>
  <c r="R439" i="80"/>
  <c r="AB437" i="80"/>
  <c r="P437" i="80"/>
  <c r="O437" i="80"/>
  <c r="AB436" i="80"/>
  <c r="P436" i="80"/>
  <c r="AB435" i="80"/>
  <c r="P435" i="80"/>
  <c r="AB434" i="80"/>
  <c r="P434" i="80"/>
  <c r="AB433" i="80"/>
  <c r="P433" i="80"/>
  <c r="AB432" i="80"/>
  <c r="P432" i="80"/>
  <c r="AB431" i="80"/>
  <c r="P431" i="80"/>
  <c r="AB430" i="80"/>
  <c r="P430" i="80"/>
  <c r="AB429" i="80"/>
  <c r="P429" i="80"/>
  <c r="AB428" i="80"/>
  <c r="AB439" i="80" s="1"/>
  <c r="P428" i="80"/>
  <c r="AB427" i="80"/>
  <c r="P427" i="80"/>
  <c r="AB426" i="80"/>
  <c r="P426" i="80"/>
  <c r="O426" i="80"/>
  <c r="R420" i="80"/>
  <c r="U420" i="80" s="1"/>
  <c r="AL418" i="80"/>
  <c r="AJ418" i="80"/>
  <c r="AI418" i="80"/>
  <c r="AH418" i="80"/>
  <c r="AG418" i="80"/>
  <c r="AF418" i="80"/>
  <c r="AE418" i="80"/>
  <c r="AD418" i="80"/>
  <c r="AC418" i="80"/>
  <c r="V420" i="80" s="1"/>
  <c r="AB418" i="80"/>
  <c r="AA418" i="80"/>
  <c r="Z418" i="80"/>
  <c r="Y418" i="80"/>
  <c r="X418" i="80"/>
  <c r="W418" i="80"/>
  <c r="V418" i="80"/>
  <c r="U418" i="80"/>
  <c r="T418" i="80"/>
  <c r="R418" i="80"/>
  <c r="AM415" i="80"/>
  <c r="AN415" i="80" s="1"/>
  <c r="AK415" i="80"/>
  <c r="O415" i="80"/>
  <c r="N415" i="80"/>
  <c r="M415" i="80" s="1"/>
  <c r="L415" i="80"/>
  <c r="AM414" i="80"/>
  <c r="AN414" i="80" s="1"/>
  <c r="AK414" i="80"/>
  <c r="N414" i="80"/>
  <c r="M414" i="80" s="1"/>
  <c r="L414" i="80"/>
  <c r="AK413" i="80"/>
  <c r="AM413" i="80" s="1"/>
  <c r="AN413" i="80" s="1"/>
  <c r="N413" i="80"/>
  <c r="M413" i="80" s="1"/>
  <c r="L413" i="80"/>
  <c r="AM412" i="80"/>
  <c r="AN412" i="80" s="1"/>
  <c r="AK412" i="80"/>
  <c r="N412" i="80"/>
  <c r="M412" i="80" s="1"/>
  <c r="L412" i="80"/>
  <c r="AK411" i="80"/>
  <c r="AM411" i="80" s="1"/>
  <c r="AN411" i="80" s="1"/>
  <c r="N411" i="80"/>
  <c r="M411" i="80" s="1"/>
  <c r="L411" i="80"/>
  <c r="AM410" i="80"/>
  <c r="AN410" i="80" s="1"/>
  <c r="AK410" i="80"/>
  <c r="N410" i="80"/>
  <c r="M410" i="80" s="1"/>
  <c r="L410" i="80"/>
  <c r="AM409" i="80"/>
  <c r="AN409" i="80" s="1"/>
  <c r="AK409" i="80"/>
  <c r="N409" i="80"/>
  <c r="M409" i="80" s="1"/>
  <c r="L409" i="80"/>
  <c r="AM408" i="80"/>
  <c r="AN408" i="80" s="1"/>
  <c r="AK408" i="80"/>
  <c r="N408" i="80"/>
  <c r="M408" i="80"/>
  <c r="L408" i="80"/>
  <c r="AM407" i="80"/>
  <c r="AN407" i="80" s="1"/>
  <c r="AK407" i="80"/>
  <c r="N407" i="80"/>
  <c r="M407" i="80" s="1"/>
  <c r="L407" i="80"/>
  <c r="AM406" i="80"/>
  <c r="AN406" i="80" s="1"/>
  <c r="AK406" i="80"/>
  <c r="N406" i="80"/>
  <c r="M406" i="80"/>
  <c r="L406" i="80"/>
  <c r="AM405" i="80"/>
  <c r="AN405" i="80" s="1"/>
  <c r="AK405" i="80"/>
  <c r="N405" i="80"/>
  <c r="M405" i="80" s="1"/>
  <c r="L405" i="80"/>
  <c r="AM404" i="80"/>
  <c r="AN404" i="80" s="1"/>
  <c r="AK404" i="80"/>
  <c r="O404" i="80"/>
  <c r="N404" i="80"/>
  <c r="M404" i="80" s="1"/>
  <c r="L404" i="80"/>
  <c r="Y397" i="80"/>
  <c r="X397" i="80"/>
  <c r="W397" i="80"/>
  <c r="V397" i="80"/>
  <c r="U397" i="80"/>
  <c r="T397" i="80"/>
  <c r="S397" i="80"/>
  <c r="R397" i="80"/>
  <c r="AB395" i="80"/>
  <c r="P395" i="80"/>
  <c r="O395" i="80"/>
  <c r="AB394" i="80"/>
  <c r="AB393" i="80"/>
  <c r="P393" i="80"/>
  <c r="AB392" i="80"/>
  <c r="P392" i="80"/>
  <c r="AB391" i="80"/>
  <c r="P391" i="80"/>
  <c r="AB390" i="80"/>
  <c r="P390" i="80"/>
  <c r="AB389" i="80"/>
  <c r="P389" i="80"/>
  <c r="AB388" i="80"/>
  <c r="P388" i="80"/>
  <c r="AB387" i="80"/>
  <c r="AB397" i="80" s="1"/>
  <c r="P387" i="80"/>
  <c r="AB386" i="80"/>
  <c r="P386" i="80"/>
  <c r="AB385" i="80"/>
  <c r="P385" i="80"/>
  <c r="AB384" i="80"/>
  <c r="P384" i="80"/>
  <c r="O384" i="80"/>
  <c r="R378" i="80"/>
  <c r="U378" i="80" s="1"/>
  <c r="W378" i="80" s="1"/>
  <c r="AL376" i="80"/>
  <c r="AJ376" i="80"/>
  <c r="AI376" i="80"/>
  <c r="AH376" i="80"/>
  <c r="AG376" i="80"/>
  <c r="AF376" i="80"/>
  <c r="AE376" i="80"/>
  <c r="AD376" i="80"/>
  <c r="AC376" i="80"/>
  <c r="V378" i="80" s="1"/>
  <c r="AA376" i="80"/>
  <c r="Y376" i="80"/>
  <c r="W376" i="80"/>
  <c r="V376" i="80"/>
  <c r="U376" i="80"/>
  <c r="T376" i="80"/>
  <c r="R376" i="80"/>
  <c r="AM373" i="80"/>
  <c r="AK373" i="80"/>
  <c r="X373" i="80"/>
  <c r="Z373" i="80" s="1"/>
  <c r="AB373" i="80" s="1"/>
  <c r="AN373" i="80" s="1"/>
  <c r="O373" i="80"/>
  <c r="N373" i="80"/>
  <c r="M373" i="80"/>
  <c r="L373" i="80"/>
  <c r="AK372" i="80"/>
  <c r="AM372" i="80" s="1"/>
  <c r="AN372" i="80" s="1"/>
  <c r="Z372" i="80"/>
  <c r="AB372" i="80" s="1"/>
  <c r="X372" i="80"/>
  <c r="P372" i="80"/>
  <c r="N372" i="80"/>
  <c r="M372" i="80" s="1"/>
  <c r="L372" i="80"/>
  <c r="AM371" i="80"/>
  <c r="AK371" i="80"/>
  <c r="X371" i="80"/>
  <c r="Z371" i="80" s="1"/>
  <c r="N371" i="80"/>
  <c r="M371" i="80" s="1"/>
  <c r="L371" i="80"/>
  <c r="AM370" i="80"/>
  <c r="AK370" i="80"/>
  <c r="X370" i="80"/>
  <c r="Z370" i="80" s="1"/>
  <c r="N370" i="80"/>
  <c r="M370" i="80" s="1"/>
  <c r="L370" i="80"/>
  <c r="AN369" i="80"/>
  <c r="AM369" i="80"/>
  <c r="AK369" i="80"/>
  <c r="Z369" i="80"/>
  <c r="AB369" i="80" s="1"/>
  <c r="X369" i="80"/>
  <c r="N369" i="80"/>
  <c r="M369" i="80"/>
  <c r="L369" i="80"/>
  <c r="AN368" i="80"/>
  <c r="AM368" i="80"/>
  <c r="AK368" i="80"/>
  <c r="AB368" i="80"/>
  <c r="Z368" i="80"/>
  <c r="X368" i="80"/>
  <c r="N368" i="80"/>
  <c r="M368" i="80"/>
  <c r="L368" i="80"/>
  <c r="AM367" i="80"/>
  <c r="AN367" i="80" s="1"/>
  <c r="AK367" i="80"/>
  <c r="AB367" i="80"/>
  <c r="Z367" i="80"/>
  <c r="X367" i="80"/>
  <c r="N367" i="80"/>
  <c r="M367" i="80" s="1"/>
  <c r="L367" i="80"/>
  <c r="AM366" i="80"/>
  <c r="AN366" i="80" s="1"/>
  <c r="AK366" i="80"/>
  <c r="AB366" i="80"/>
  <c r="Z366" i="80"/>
  <c r="X366" i="80"/>
  <c r="N366" i="80"/>
  <c r="M366" i="80" s="1"/>
  <c r="L366" i="80"/>
  <c r="AN365" i="80"/>
  <c r="AM365" i="80"/>
  <c r="AK365" i="80"/>
  <c r="Z365" i="80"/>
  <c r="AB365" i="80" s="1"/>
  <c r="X365" i="80"/>
  <c r="N365" i="80"/>
  <c r="M365" i="80"/>
  <c r="L365" i="80"/>
  <c r="AM364" i="80"/>
  <c r="AK364" i="80"/>
  <c r="AB364" i="80"/>
  <c r="Z364" i="80"/>
  <c r="X364" i="80"/>
  <c r="N364" i="80"/>
  <c r="M364" i="80"/>
  <c r="L364" i="80"/>
  <c r="AM363" i="80"/>
  <c r="AK363" i="80"/>
  <c r="Z363" i="80"/>
  <c r="AB363" i="80" s="1"/>
  <c r="X363" i="80"/>
  <c r="N363" i="80"/>
  <c r="M363" i="80" s="1"/>
  <c r="L363" i="80"/>
  <c r="AM362" i="80"/>
  <c r="AK362" i="80"/>
  <c r="AK376" i="80" s="1"/>
  <c r="Z362" i="80"/>
  <c r="X362" i="80"/>
  <c r="O362" i="80"/>
  <c r="N362" i="80"/>
  <c r="M362" i="80" s="1"/>
  <c r="L362" i="80"/>
  <c r="W356" i="80"/>
  <c r="U356" i="80"/>
  <c r="Y355" i="80"/>
  <c r="X355" i="80"/>
  <c r="W355" i="80"/>
  <c r="V355" i="80"/>
  <c r="U355" i="80"/>
  <c r="T355" i="80"/>
  <c r="S355" i="80"/>
  <c r="R355" i="80"/>
  <c r="AB353" i="80"/>
  <c r="P353" i="80"/>
  <c r="O353" i="80"/>
  <c r="AB352" i="80"/>
  <c r="P352" i="80"/>
  <c r="AB351" i="80"/>
  <c r="P351" i="80"/>
  <c r="AB350" i="80"/>
  <c r="P350" i="80"/>
  <c r="AB349" i="80"/>
  <c r="P349" i="80"/>
  <c r="AB348" i="80"/>
  <c r="P348" i="80"/>
  <c r="AB347" i="80"/>
  <c r="P347" i="80"/>
  <c r="AB346" i="80"/>
  <c r="P346" i="80"/>
  <c r="AB345" i="80"/>
  <c r="P345" i="80"/>
  <c r="AB344" i="80"/>
  <c r="P344" i="80"/>
  <c r="AB343" i="80"/>
  <c r="P343" i="80"/>
  <c r="AB342" i="80"/>
  <c r="P342" i="80"/>
  <c r="O342" i="80"/>
  <c r="R336" i="80"/>
  <c r="U336" i="80" s="1"/>
  <c r="AL334" i="80"/>
  <c r="AJ334" i="80"/>
  <c r="AI334" i="80"/>
  <c r="AH334" i="80"/>
  <c r="AG334" i="80"/>
  <c r="AF334" i="80"/>
  <c r="AE334" i="80"/>
  <c r="AD334" i="80"/>
  <c r="AA334" i="80"/>
  <c r="Y334" i="80"/>
  <c r="W334" i="80"/>
  <c r="V334" i="80"/>
  <c r="U334" i="80"/>
  <c r="T334" i="80"/>
  <c r="R334" i="80"/>
  <c r="AK331" i="80"/>
  <c r="AM331" i="80" s="1"/>
  <c r="Z331" i="80"/>
  <c r="AB331" i="80" s="1"/>
  <c r="X331" i="80"/>
  <c r="O331" i="80"/>
  <c r="N331" i="80"/>
  <c r="M331" i="80" s="1"/>
  <c r="L331" i="80"/>
  <c r="AM330" i="80"/>
  <c r="AK330" i="80"/>
  <c r="X330" i="80"/>
  <c r="Z330" i="80" s="1"/>
  <c r="AB330" i="80" s="1"/>
  <c r="N330" i="80"/>
  <c r="M330" i="80" s="1"/>
  <c r="L330" i="80"/>
  <c r="AM329" i="80"/>
  <c r="AN329" i="80" s="1"/>
  <c r="AK329" i="80"/>
  <c r="AC329" i="80"/>
  <c r="X329" i="80"/>
  <c r="Z329" i="80" s="1"/>
  <c r="AB329" i="80" s="1"/>
  <c r="N329" i="80"/>
  <c r="M329" i="80"/>
  <c r="L329" i="80"/>
  <c r="AM328" i="80"/>
  <c r="AK328" i="80"/>
  <c r="AB328" i="80"/>
  <c r="AN328" i="80" s="1"/>
  <c r="Z328" i="80"/>
  <c r="X328" i="80"/>
  <c r="N328" i="80"/>
  <c r="M328" i="80" s="1"/>
  <c r="L328" i="80"/>
  <c r="AK327" i="80"/>
  <c r="AM327" i="80" s="1"/>
  <c r="AN327" i="80" s="1"/>
  <c r="AC327" i="80"/>
  <c r="N327" i="80" s="1"/>
  <c r="M327" i="80" s="1"/>
  <c r="AB327" i="80"/>
  <c r="Z327" i="80"/>
  <c r="X327" i="80"/>
  <c r="L327" i="80"/>
  <c r="AK326" i="80"/>
  <c r="AM326" i="80" s="1"/>
  <c r="AC326" i="80"/>
  <c r="AB326" i="80"/>
  <c r="X326" i="80"/>
  <c r="Z326" i="80" s="1"/>
  <c r="L326" i="80"/>
  <c r="AM325" i="80"/>
  <c r="AK325" i="80"/>
  <c r="X325" i="80"/>
  <c r="Z325" i="80" s="1"/>
  <c r="AB325" i="80" s="1"/>
  <c r="N325" i="80"/>
  <c r="M325" i="80"/>
  <c r="L325" i="80"/>
  <c r="AM324" i="80"/>
  <c r="AN324" i="80" s="1"/>
  <c r="AK324" i="80"/>
  <c r="X324" i="80"/>
  <c r="Z324" i="80" s="1"/>
  <c r="AB324" i="80" s="1"/>
  <c r="N324" i="80"/>
  <c r="M324" i="80"/>
  <c r="L324" i="80"/>
  <c r="AM323" i="80"/>
  <c r="AK323" i="80"/>
  <c r="AB323" i="80"/>
  <c r="Z323" i="80"/>
  <c r="X323" i="80"/>
  <c r="N323" i="80"/>
  <c r="M323" i="80" s="1"/>
  <c r="L323" i="80"/>
  <c r="AM322" i="80"/>
  <c r="AN322" i="80" s="1"/>
  <c r="AK322" i="80"/>
  <c r="AK334" i="80" s="1"/>
  <c r="AB322" i="80"/>
  <c r="Z322" i="80"/>
  <c r="X322" i="80"/>
  <c r="N322" i="80"/>
  <c r="M322" i="80" s="1"/>
  <c r="L322" i="80"/>
  <c r="AK321" i="80"/>
  <c r="AM321" i="80" s="1"/>
  <c r="X321" i="80"/>
  <c r="X334" i="80" s="1"/>
  <c r="N321" i="80"/>
  <c r="M321" i="80"/>
  <c r="L321" i="80"/>
  <c r="AM320" i="80"/>
  <c r="AK320" i="80"/>
  <c r="X320" i="80"/>
  <c r="Z320" i="80" s="1"/>
  <c r="AB320" i="80" s="1"/>
  <c r="AN320" i="80" s="1"/>
  <c r="O320" i="80"/>
  <c r="N320" i="80"/>
  <c r="M320" i="80" s="1"/>
  <c r="L320" i="80"/>
  <c r="U314" i="80"/>
  <c r="W314" i="80" s="1"/>
  <c r="Y314" i="80" s="1"/>
  <c r="Z313" i="80"/>
  <c r="Y313" i="80"/>
  <c r="X313" i="80"/>
  <c r="W313" i="80"/>
  <c r="U313" i="80"/>
  <c r="T313" i="80"/>
  <c r="S313" i="80"/>
  <c r="R313" i="80"/>
  <c r="AB312" i="80"/>
  <c r="AB311" i="80"/>
  <c r="P311" i="80"/>
  <c r="O311" i="80"/>
  <c r="AB310" i="80"/>
  <c r="P310" i="80"/>
  <c r="AB309" i="80"/>
  <c r="P309" i="80"/>
  <c r="AB308" i="80"/>
  <c r="P308" i="80"/>
  <c r="AB307" i="80"/>
  <c r="X285" i="80" s="1"/>
  <c r="Z285" i="80" s="1"/>
  <c r="P307" i="80"/>
  <c r="AB306" i="80"/>
  <c r="X284" i="80" s="1"/>
  <c r="Z284" i="80" s="1"/>
  <c r="P306" i="80"/>
  <c r="AB305" i="80"/>
  <c r="X283" i="80" s="1"/>
  <c r="Z283" i="80" s="1"/>
  <c r="AB283" i="80" s="1"/>
  <c r="P305" i="80"/>
  <c r="AB304" i="80"/>
  <c r="P304" i="80"/>
  <c r="AB303" i="80"/>
  <c r="P303" i="80"/>
  <c r="AB302" i="80"/>
  <c r="P302" i="80"/>
  <c r="AB301" i="80"/>
  <c r="X279" i="80" s="1"/>
  <c r="P301" i="80"/>
  <c r="AB300" i="80"/>
  <c r="P300" i="80"/>
  <c r="O300" i="80"/>
  <c r="AL292" i="80"/>
  <c r="AJ292" i="80"/>
  <c r="AI292" i="80"/>
  <c r="AH292" i="80"/>
  <c r="AG292" i="80"/>
  <c r="AF292" i="80"/>
  <c r="AE292" i="80"/>
  <c r="AD292" i="80"/>
  <c r="AA292" i="80"/>
  <c r="Y292" i="80"/>
  <c r="W292" i="80"/>
  <c r="V292" i="80"/>
  <c r="U292" i="80"/>
  <c r="T292" i="80"/>
  <c r="R292" i="80"/>
  <c r="R294" i="80" s="1"/>
  <c r="U294" i="80" s="1"/>
  <c r="W294" i="80" s="1"/>
  <c r="X294" i="80" s="1"/>
  <c r="AK289" i="80"/>
  <c r="AM289" i="80" s="1"/>
  <c r="AN289" i="80" s="1"/>
  <c r="AC289" i="80"/>
  <c r="X289" i="80"/>
  <c r="Z289" i="80" s="1"/>
  <c r="AB289" i="80" s="1"/>
  <c r="O289" i="80"/>
  <c r="N289" i="80"/>
  <c r="M289" i="80" s="1"/>
  <c r="L289" i="80"/>
  <c r="AM288" i="80"/>
  <c r="AK288" i="80"/>
  <c r="AC288" i="80"/>
  <c r="Z288" i="80"/>
  <c r="AB288" i="80" s="1"/>
  <c r="X288" i="80"/>
  <c r="N288" i="80"/>
  <c r="M288" i="80" s="1"/>
  <c r="L288" i="80"/>
  <c r="AM287" i="80"/>
  <c r="AN287" i="80" s="1"/>
  <c r="AK287" i="80"/>
  <c r="AC287" i="80"/>
  <c r="Z287" i="80"/>
  <c r="AB287" i="80" s="1"/>
  <c r="X287" i="80"/>
  <c r="N287" i="80"/>
  <c r="M287" i="80" s="1"/>
  <c r="L287" i="80"/>
  <c r="AK286" i="80"/>
  <c r="AM286" i="80" s="1"/>
  <c r="AN286" i="80" s="1"/>
  <c r="X286" i="80"/>
  <c r="Z286" i="80" s="1"/>
  <c r="AB286" i="80" s="1"/>
  <c r="N286" i="80"/>
  <c r="M286" i="80"/>
  <c r="L286" i="80"/>
  <c r="AK285" i="80"/>
  <c r="AM285" i="80" s="1"/>
  <c r="AC285" i="80"/>
  <c r="N285" i="80" s="1"/>
  <c r="M285" i="80" s="1"/>
  <c r="L285" i="80"/>
  <c r="AK284" i="80"/>
  <c r="AM284" i="80" s="1"/>
  <c r="AC284" i="80"/>
  <c r="N284" i="80"/>
  <c r="M284" i="80" s="1"/>
  <c r="L284" i="80"/>
  <c r="AK283" i="80"/>
  <c r="AM283" i="80" s="1"/>
  <c r="AC283" i="80"/>
  <c r="N283" i="80"/>
  <c r="M283" i="80" s="1"/>
  <c r="L283" i="80"/>
  <c r="AM282" i="80"/>
  <c r="AK282" i="80"/>
  <c r="AC282" i="80"/>
  <c r="X282" i="80"/>
  <c r="Z282" i="80" s="1"/>
  <c r="AB282" i="80" s="1"/>
  <c r="AN282" i="80" s="1"/>
  <c r="N282" i="80"/>
  <c r="M282" i="80"/>
  <c r="L282" i="80"/>
  <c r="AN281" i="80"/>
  <c r="AM281" i="80"/>
  <c r="AK281" i="80"/>
  <c r="AC281" i="80"/>
  <c r="N281" i="80" s="1"/>
  <c r="Z281" i="80"/>
  <c r="AB281" i="80" s="1"/>
  <c r="X281" i="80"/>
  <c r="M281" i="80"/>
  <c r="L281" i="80"/>
  <c r="AK280" i="80"/>
  <c r="AM280" i="80" s="1"/>
  <c r="AN280" i="80" s="1"/>
  <c r="AC280" i="80"/>
  <c r="N280" i="80" s="1"/>
  <c r="M280" i="80" s="1"/>
  <c r="AB280" i="80"/>
  <c r="Z280" i="80"/>
  <c r="X280" i="80"/>
  <c r="L280" i="80"/>
  <c r="AK279" i="80"/>
  <c r="AK70" i="80" s="1"/>
  <c r="AC279" i="80"/>
  <c r="N279" i="80" s="1"/>
  <c r="M279" i="80" s="1"/>
  <c r="L279" i="80"/>
  <c r="AK278" i="80"/>
  <c r="AM278" i="80" s="1"/>
  <c r="AC278" i="80"/>
  <c r="AC292" i="80" s="1"/>
  <c r="V294" i="80" s="1"/>
  <c r="O278" i="80"/>
  <c r="N278" i="80"/>
  <c r="M278" i="80" s="1"/>
  <c r="L278" i="80"/>
  <c r="Z271" i="80"/>
  <c r="Y271" i="80"/>
  <c r="X271" i="80"/>
  <c r="W271" i="80"/>
  <c r="U271" i="80"/>
  <c r="T271" i="80"/>
  <c r="S271" i="80"/>
  <c r="R271" i="80"/>
  <c r="P269" i="80"/>
  <c r="O269" i="80"/>
  <c r="P268" i="80"/>
  <c r="AB267" i="80"/>
  <c r="P267" i="80"/>
  <c r="AB266" i="80"/>
  <c r="P266" i="80"/>
  <c r="AB265" i="80"/>
  <c r="P265" i="80"/>
  <c r="AB264" i="80"/>
  <c r="P264" i="80"/>
  <c r="AB263" i="80"/>
  <c r="P263" i="80"/>
  <c r="AB262" i="80"/>
  <c r="P262" i="80"/>
  <c r="AB261" i="80"/>
  <c r="P261" i="80"/>
  <c r="AB260" i="80"/>
  <c r="P260" i="80"/>
  <c r="AB259" i="80"/>
  <c r="P259" i="80"/>
  <c r="AB258" i="80"/>
  <c r="P258" i="80"/>
  <c r="O258" i="80"/>
  <c r="AL250" i="80"/>
  <c r="AK250" i="80"/>
  <c r="AJ250" i="80"/>
  <c r="AI250" i="80"/>
  <c r="AH250" i="80"/>
  <c r="AG250" i="80"/>
  <c r="AF250" i="80"/>
  <c r="AE250" i="80"/>
  <c r="AD250" i="80"/>
  <c r="AA250" i="80"/>
  <c r="Y250" i="80"/>
  <c r="X250" i="80"/>
  <c r="W250" i="80"/>
  <c r="V250" i="80"/>
  <c r="U250" i="80"/>
  <c r="T250" i="80"/>
  <c r="R250" i="80"/>
  <c r="R252" i="80" s="1"/>
  <c r="U252" i="80" s="1"/>
  <c r="AK247" i="80"/>
  <c r="AM247" i="80" s="1"/>
  <c r="AC247" i="80"/>
  <c r="X247" i="80"/>
  <c r="Z247" i="80" s="1"/>
  <c r="AB247" i="80" s="1"/>
  <c r="O247" i="80"/>
  <c r="N247" i="80"/>
  <c r="M247" i="80"/>
  <c r="L247" i="80"/>
  <c r="AM246" i="80"/>
  <c r="AK246" i="80"/>
  <c r="AC246" i="80"/>
  <c r="AC250" i="80" s="1"/>
  <c r="V252" i="80" s="1"/>
  <c r="X246" i="80"/>
  <c r="Z246" i="80" s="1"/>
  <c r="N246" i="80"/>
  <c r="M246" i="80" s="1"/>
  <c r="L246" i="80"/>
  <c r="AM245" i="80"/>
  <c r="AN245" i="80" s="1"/>
  <c r="AK245" i="80"/>
  <c r="N245" i="80"/>
  <c r="M245" i="80" s="1"/>
  <c r="L245" i="80"/>
  <c r="AK244" i="80"/>
  <c r="AM244" i="80" s="1"/>
  <c r="AN244" i="80" s="1"/>
  <c r="N244" i="80"/>
  <c r="M244" i="80"/>
  <c r="L244" i="80"/>
  <c r="AM243" i="80"/>
  <c r="AN243" i="80" s="1"/>
  <c r="AK243" i="80"/>
  <c r="N243" i="80"/>
  <c r="M243" i="80" s="1"/>
  <c r="L243" i="80"/>
  <c r="AK242" i="80"/>
  <c r="AM242" i="80" s="1"/>
  <c r="AN242" i="80" s="1"/>
  <c r="N242" i="80"/>
  <c r="M242" i="80"/>
  <c r="L242" i="80"/>
  <c r="AN241" i="80"/>
  <c r="AM241" i="80"/>
  <c r="AK241" i="80"/>
  <c r="N241" i="80"/>
  <c r="M241" i="80" s="1"/>
  <c r="L241" i="80"/>
  <c r="AM240" i="80"/>
  <c r="AN240" i="80" s="1"/>
  <c r="AK240" i="80"/>
  <c r="N240" i="80"/>
  <c r="M240" i="80"/>
  <c r="L240" i="80"/>
  <c r="AN239" i="80"/>
  <c r="AM239" i="80"/>
  <c r="AK239" i="80"/>
  <c r="N239" i="80"/>
  <c r="M239" i="80" s="1"/>
  <c r="L239" i="80"/>
  <c r="AM238" i="80"/>
  <c r="AN238" i="80" s="1"/>
  <c r="AK238" i="80"/>
  <c r="N238" i="80"/>
  <c r="M238" i="80" s="1"/>
  <c r="L238" i="80"/>
  <c r="AN237" i="80"/>
  <c r="AM237" i="80"/>
  <c r="AK237" i="80"/>
  <c r="N237" i="80"/>
  <c r="M237" i="80" s="1"/>
  <c r="L237" i="80"/>
  <c r="AM236" i="80"/>
  <c r="AK236" i="80"/>
  <c r="O236" i="80"/>
  <c r="N236" i="80"/>
  <c r="M236" i="80"/>
  <c r="L236" i="80"/>
  <c r="Z229" i="80"/>
  <c r="Y229" i="80"/>
  <c r="X229" i="80"/>
  <c r="W229" i="80"/>
  <c r="V229" i="80"/>
  <c r="U229" i="80"/>
  <c r="T229" i="80"/>
  <c r="R229" i="80"/>
  <c r="AB227" i="80"/>
  <c r="P227" i="80"/>
  <c r="O227" i="80"/>
  <c r="AB226" i="80"/>
  <c r="P226" i="80"/>
  <c r="AB225" i="80"/>
  <c r="AB224" i="80"/>
  <c r="AB223" i="80"/>
  <c r="AB222" i="80"/>
  <c r="AB221" i="80"/>
  <c r="AB220" i="80"/>
  <c r="AB219" i="80"/>
  <c r="AB218" i="80"/>
  <c r="AB217" i="80"/>
  <c r="AB216" i="80"/>
  <c r="AC229" i="80" s="1"/>
  <c r="O216" i="80"/>
  <c r="AL208" i="80"/>
  <c r="AJ208" i="80"/>
  <c r="AI208" i="80"/>
  <c r="AH208" i="80"/>
  <c r="AG208" i="80"/>
  <c r="AF208" i="80"/>
  <c r="AE208" i="80"/>
  <c r="AD208" i="80"/>
  <c r="AC208" i="80"/>
  <c r="V210" i="80" s="1"/>
  <c r="AB208" i="80"/>
  <c r="AA208" i="80"/>
  <c r="Z208" i="80"/>
  <c r="Y208" i="80"/>
  <c r="X208" i="80"/>
  <c r="W208" i="80"/>
  <c r="V208" i="80"/>
  <c r="U208" i="80"/>
  <c r="T208" i="80"/>
  <c r="R208" i="80"/>
  <c r="R210" i="80" s="1"/>
  <c r="U210" i="80" s="1"/>
  <c r="W210" i="80" s="1"/>
  <c r="X210" i="80" s="1"/>
  <c r="AK205" i="80"/>
  <c r="AM205" i="80" s="1"/>
  <c r="AN205" i="80" s="1"/>
  <c r="O205" i="80"/>
  <c r="N205" i="80"/>
  <c r="M205" i="80" s="1"/>
  <c r="L205" i="80"/>
  <c r="AK204" i="80"/>
  <c r="AM204" i="80" s="1"/>
  <c r="AN204" i="80" s="1"/>
  <c r="N204" i="80"/>
  <c r="M204" i="80"/>
  <c r="L204" i="80"/>
  <c r="AM203" i="80"/>
  <c r="AN203" i="80" s="1"/>
  <c r="AK203" i="80"/>
  <c r="N203" i="80"/>
  <c r="M203" i="80" s="1"/>
  <c r="L203" i="80"/>
  <c r="AK202" i="80"/>
  <c r="AM202" i="80" s="1"/>
  <c r="AN202" i="80" s="1"/>
  <c r="N202" i="80"/>
  <c r="M202" i="80"/>
  <c r="L202" i="80"/>
  <c r="AM201" i="80"/>
  <c r="AN201" i="80" s="1"/>
  <c r="AK201" i="80"/>
  <c r="N201" i="80"/>
  <c r="M201" i="80" s="1"/>
  <c r="L201" i="80"/>
  <c r="AK200" i="80"/>
  <c r="AM200" i="80" s="1"/>
  <c r="AN200" i="80" s="1"/>
  <c r="N200" i="80"/>
  <c r="M200" i="80"/>
  <c r="L200" i="80"/>
  <c r="AM199" i="80"/>
  <c r="AN199" i="80" s="1"/>
  <c r="AK199" i="80"/>
  <c r="N199" i="80"/>
  <c r="M199" i="80" s="1"/>
  <c r="L199" i="80"/>
  <c r="AK198" i="80"/>
  <c r="AM198" i="80" s="1"/>
  <c r="AN198" i="80" s="1"/>
  <c r="N198" i="80"/>
  <c r="M198" i="80"/>
  <c r="L198" i="80"/>
  <c r="AM197" i="80"/>
  <c r="AN197" i="80" s="1"/>
  <c r="AK197" i="80"/>
  <c r="N197" i="80"/>
  <c r="M197" i="80" s="1"/>
  <c r="L197" i="80"/>
  <c r="AK196" i="80"/>
  <c r="AM196" i="80" s="1"/>
  <c r="AN196" i="80" s="1"/>
  <c r="N196" i="80"/>
  <c r="M196" i="80"/>
  <c r="L196" i="80"/>
  <c r="AM195" i="80"/>
  <c r="AN195" i="80" s="1"/>
  <c r="AK195" i="80"/>
  <c r="N195" i="80"/>
  <c r="M195" i="80" s="1"/>
  <c r="L195" i="80"/>
  <c r="AK194" i="80"/>
  <c r="AK208" i="80" s="1"/>
  <c r="O194" i="80"/>
  <c r="N194" i="80"/>
  <c r="M194" i="80" s="1"/>
  <c r="L194" i="80"/>
  <c r="Y187" i="80"/>
  <c r="X187" i="80"/>
  <c r="W187" i="80"/>
  <c r="V187" i="80"/>
  <c r="U187" i="80"/>
  <c r="T187" i="80"/>
  <c r="S187" i="80"/>
  <c r="R187" i="80"/>
  <c r="AB185" i="80"/>
  <c r="P185" i="80"/>
  <c r="O185" i="80"/>
  <c r="AB184" i="80"/>
  <c r="P184" i="80"/>
  <c r="AB183" i="80"/>
  <c r="P183" i="80"/>
  <c r="AB182" i="80"/>
  <c r="P182" i="80"/>
  <c r="AB181" i="80"/>
  <c r="P181" i="80"/>
  <c r="AB180" i="80"/>
  <c r="P180" i="80"/>
  <c r="AB179" i="80"/>
  <c r="P179" i="80"/>
  <c r="AB178" i="80"/>
  <c r="P178" i="80"/>
  <c r="AB177" i="80"/>
  <c r="P177" i="80"/>
  <c r="AB176" i="80"/>
  <c r="P176" i="80"/>
  <c r="AB175" i="80"/>
  <c r="P175" i="80"/>
  <c r="AB174" i="80"/>
  <c r="P174" i="80"/>
  <c r="O174" i="80"/>
  <c r="AL166" i="80"/>
  <c r="AJ166" i="80"/>
  <c r="AI166" i="80"/>
  <c r="AH166" i="80"/>
  <c r="AG166" i="80"/>
  <c r="AF166" i="80"/>
  <c r="AE166" i="80"/>
  <c r="AD166" i="80"/>
  <c r="AC166" i="80"/>
  <c r="V168" i="80" s="1"/>
  <c r="AB166" i="80"/>
  <c r="AA166" i="80"/>
  <c r="Z166" i="80"/>
  <c r="Y166" i="80"/>
  <c r="X166" i="80"/>
  <c r="W166" i="80"/>
  <c r="V166" i="80"/>
  <c r="U166" i="80"/>
  <c r="T166" i="80"/>
  <c r="R166" i="80"/>
  <c r="R168" i="80" s="1"/>
  <c r="U168" i="80" s="1"/>
  <c r="AM163" i="80"/>
  <c r="AN163" i="80" s="1"/>
  <c r="AK163" i="80"/>
  <c r="O163" i="80"/>
  <c r="N163" i="80"/>
  <c r="M163" i="80" s="1"/>
  <c r="L163" i="80"/>
  <c r="AK162" i="80"/>
  <c r="N162" i="80"/>
  <c r="M162" i="80"/>
  <c r="L162" i="80"/>
  <c r="AN161" i="80"/>
  <c r="AM161" i="80"/>
  <c r="AK161" i="80"/>
  <c r="N161" i="80"/>
  <c r="M161" i="80" s="1"/>
  <c r="L161" i="80"/>
  <c r="AK160" i="80"/>
  <c r="AM160" i="80" s="1"/>
  <c r="AN160" i="80" s="1"/>
  <c r="N160" i="80"/>
  <c r="M160" i="80"/>
  <c r="L160" i="80"/>
  <c r="AN159" i="80"/>
  <c r="AM159" i="80"/>
  <c r="AK159" i="80"/>
  <c r="N159" i="80"/>
  <c r="M159" i="80" s="1"/>
  <c r="L159" i="80"/>
  <c r="AM158" i="80"/>
  <c r="AN158" i="80" s="1"/>
  <c r="AK158" i="80"/>
  <c r="N158" i="80"/>
  <c r="M158" i="80"/>
  <c r="L158" i="80"/>
  <c r="AN157" i="80"/>
  <c r="AM157" i="80"/>
  <c r="AK157" i="80"/>
  <c r="N157" i="80"/>
  <c r="M157" i="80" s="1"/>
  <c r="L157" i="80"/>
  <c r="AK156" i="80"/>
  <c r="AM156" i="80" s="1"/>
  <c r="AN156" i="80" s="1"/>
  <c r="N156" i="80"/>
  <c r="M156" i="80"/>
  <c r="L156" i="80"/>
  <c r="AN155" i="80"/>
  <c r="AM155" i="80"/>
  <c r="AK155" i="80"/>
  <c r="N155" i="80"/>
  <c r="M155" i="80" s="1"/>
  <c r="L155" i="80"/>
  <c r="AM154" i="80"/>
  <c r="AN154" i="80" s="1"/>
  <c r="AK154" i="80"/>
  <c r="AK71" i="80" s="1"/>
  <c r="N154" i="80"/>
  <c r="M154" i="80"/>
  <c r="L154" i="80"/>
  <c r="AN153" i="80"/>
  <c r="AM153" i="80"/>
  <c r="AK153" i="80"/>
  <c r="N153" i="80"/>
  <c r="M153" i="80" s="1"/>
  <c r="L153" i="80"/>
  <c r="AK152" i="80"/>
  <c r="O152" i="80"/>
  <c r="N152" i="80"/>
  <c r="M152" i="80" s="1"/>
  <c r="L152" i="80"/>
  <c r="Y145" i="80"/>
  <c r="X145" i="80"/>
  <c r="W145" i="80"/>
  <c r="V145" i="80"/>
  <c r="U145" i="80"/>
  <c r="T145" i="80"/>
  <c r="S145" i="80"/>
  <c r="R145" i="80"/>
  <c r="AB143" i="80"/>
  <c r="P143" i="80"/>
  <c r="O143" i="80"/>
  <c r="AB142" i="80"/>
  <c r="P142" i="80"/>
  <c r="AB141" i="80"/>
  <c r="P141" i="80"/>
  <c r="AB140" i="80"/>
  <c r="P140" i="80"/>
  <c r="AB139" i="80"/>
  <c r="P139" i="80"/>
  <c r="AB138" i="80"/>
  <c r="P138" i="80"/>
  <c r="AB137" i="80"/>
  <c r="P137" i="80"/>
  <c r="AB136" i="80"/>
  <c r="P136" i="80"/>
  <c r="AB135" i="80"/>
  <c r="P135" i="80"/>
  <c r="AB134" i="80"/>
  <c r="P134" i="80"/>
  <c r="AB133" i="80"/>
  <c r="P133" i="80"/>
  <c r="AB132" i="80"/>
  <c r="P132" i="80"/>
  <c r="O132" i="80"/>
  <c r="V126" i="80"/>
  <c r="AL124" i="80"/>
  <c r="AK124" i="80"/>
  <c r="AJ124" i="80"/>
  <c r="AI124" i="80"/>
  <c r="AH124" i="80"/>
  <c r="AG124" i="80"/>
  <c r="AF124" i="80"/>
  <c r="AE124" i="80"/>
  <c r="AD124" i="80"/>
  <c r="AC124" i="80"/>
  <c r="AA124" i="80"/>
  <c r="Y124" i="80"/>
  <c r="W124" i="80"/>
  <c r="V124" i="80"/>
  <c r="X126" i="80" s="1"/>
  <c r="U124" i="80"/>
  <c r="T124" i="80"/>
  <c r="R124" i="80"/>
  <c r="R126" i="80" s="1"/>
  <c r="U126" i="80" s="1"/>
  <c r="W126" i="80" s="1"/>
  <c r="AK121" i="80"/>
  <c r="AM121" i="80" s="1"/>
  <c r="X121" i="80"/>
  <c r="Z121" i="80" s="1"/>
  <c r="O121" i="80"/>
  <c r="N121" i="80"/>
  <c r="M121" i="80"/>
  <c r="L121" i="80"/>
  <c r="AK120" i="80"/>
  <c r="AM120" i="80" s="1"/>
  <c r="X120" i="80"/>
  <c r="Z120" i="80" s="1"/>
  <c r="N120" i="80"/>
  <c r="M120" i="80"/>
  <c r="L120" i="80"/>
  <c r="AM119" i="80"/>
  <c r="AN119" i="80" s="1"/>
  <c r="AK119" i="80"/>
  <c r="AK78" i="80" s="1"/>
  <c r="N119" i="80"/>
  <c r="M119" i="80" s="1"/>
  <c r="L119" i="80"/>
  <c r="AK118" i="80"/>
  <c r="AM118" i="80" s="1"/>
  <c r="N118" i="80"/>
  <c r="M118" i="80"/>
  <c r="L118" i="80"/>
  <c r="AM117" i="80"/>
  <c r="AN117" i="80" s="1"/>
  <c r="AK117" i="80"/>
  <c r="AK76" i="80" s="1"/>
  <c r="N117" i="80"/>
  <c r="M117" i="80" s="1"/>
  <c r="L117" i="80"/>
  <c r="AK116" i="80"/>
  <c r="AM116" i="80" s="1"/>
  <c r="N116" i="80"/>
  <c r="M116" i="80"/>
  <c r="L116" i="80"/>
  <c r="AM115" i="80"/>
  <c r="AN115" i="80" s="1"/>
  <c r="AK115" i="80"/>
  <c r="AK74" i="80" s="1"/>
  <c r="N115" i="80"/>
  <c r="M115" i="80" s="1"/>
  <c r="L115" i="80"/>
  <c r="AK114" i="80"/>
  <c r="AM114" i="80" s="1"/>
  <c r="N114" i="80"/>
  <c r="M114" i="80"/>
  <c r="L114" i="80"/>
  <c r="AM113" i="80"/>
  <c r="AN113" i="80" s="1"/>
  <c r="AK113" i="80"/>
  <c r="N113" i="80"/>
  <c r="M113" i="80" s="1"/>
  <c r="L113" i="80"/>
  <c r="AK112" i="80"/>
  <c r="AM112" i="80" s="1"/>
  <c r="N112" i="80"/>
  <c r="M112" i="80"/>
  <c r="L112" i="80"/>
  <c r="AM111" i="80"/>
  <c r="AN111" i="80" s="1"/>
  <c r="AK111" i="80"/>
  <c r="N111" i="80"/>
  <c r="M111" i="80" s="1"/>
  <c r="L111" i="80"/>
  <c r="AK110" i="80"/>
  <c r="AM110" i="80" s="1"/>
  <c r="O110" i="80"/>
  <c r="N110" i="80"/>
  <c r="M110" i="80" s="1"/>
  <c r="L110" i="80"/>
  <c r="AA98" i="80"/>
  <c r="Z98" i="80"/>
  <c r="Y98" i="80"/>
  <c r="X98" i="80"/>
  <c r="W98" i="80"/>
  <c r="V98" i="80"/>
  <c r="U98" i="80"/>
  <c r="T98" i="80"/>
  <c r="S98" i="80"/>
  <c r="R98" i="80"/>
  <c r="AB98" i="80" s="1"/>
  <c r="O98" i="80"/>
  <c r="AA97" i="80"/>
  <c r="Z97" i="80"/>
  <c r="Y97" i="80"/>
  <c r="X97" i="80"/>
  <c r="W97" i="80"/>
  <c r="V97" i="80"/>
  <c r="U97" i="80"/>
  <c r="T97" i="80"/>
  <c r="S97" i="80"/>
  <c r="AB97" i="80" s="1"/>
  <c r="R97" i="80"/>
  <c r="AA96" i="80"/>
  <c r="Z96" i="80"/>
  <c r="Y96" i="80"/>
  <c r="X96" i="80"/>
  <c r="W96" i="80"/>
  <c r="V96" i="80"/>
  <c r="U96" i="80"/>
  <c r="T96" i="80"/>
  <c r="S96" i="80"/>
  <c r="AB96" i="80" s="1"/>
  <c r="R96" i="80"/>
  <c r="P96" i="80"/>
  <c r="AA95" i="80"/>
  <c r="Z95" i="80"/>
  <c r="Y95" i="80"/>
  <c r="X95" i="80"/>
  <c r="W95" i="80"/>
  <c r="V95" i="80"/>
  <c r="U95" i="80"/>
  <c r="T95" i="80"/>
  <c r="S95" i="80"/>
  <c r="R95" i="80"/>
  <c r="P95" i="80"/>
  <c r="AA94" i="80"/>
  <c r="Z94" i="80"/>
  <c r="Y94" i="80"/>
  <c r="X94" i="80"/>
  <c r="W94" i="80"/>
  <c r="V94" i="80"/>
  <c r="U94" i="80"/>
  <c r="T94" i="80"/>
  <c r="S94" i="80"/>
  <c r="R94" i="80"/>
  <c r="P94" i="80"/>
  <c r="AA93" i="80"/>
  <c r="Z93" i="80"/>
  <c r="Y93" i="80"/>
  <c r="X93" i="80"/>
  <c r="W93" i="80"/>
  <c r="V93" i="80"/>
  <c r="U93" i="80"/>
  <c r="T93" i="80"/>
  <c r="S93" i="80"/>
  <c r="R93" i="80"/>
  <c r="P93" i="80"/>
  <c r="AA92" i="80"/>
  <c r="Z92" i="80"/>
  <c r="Y92" i="80"/>
  <c r="X92" i="80"/>
  <c r="W92" i="80"/>
  <c r="V92" i="80"/>
  <c r="U92" i="80"/>
  <c r="T92" i="80"/>
  <c r="S92" i="80"/>
  <c r="R92" i="80"/>
  <c r="AB92" i="80" s="1"/>
  <c r="P92" i="80"/>
  <c r="AA91" i="80"/>
  <c r="Z91" i="80"/>
  <c r="Y91" i="80"/>
  <c r="X91" i="80"/>
  <c r="W91" i="80"/>
  <c r="V91" i="80"/>
  <c r="U91" i="80"/>
  <c r="T91" i="80"/>
  <c r="S91" i="80"/>
  <c r="R91" i="80"/>
  <c r="AB91" i="80" s="1"/>
  <c r="P91" i="80"/>
  <c r="AA90" i="80"/>
  <c r="Z90" i="80"/>
  <c r="Y90" i="80"/>
  <c r="X90" i="80"/>
  <c r="W90" i="80"/>
  <c r="V90" i="80"/>
  <c r="U90" i="80"/>
  <c r="T90" i="80"/>
  <c r="S90" i="80"/>
  <c r="R90" i="80"/>
  <c r="P90" i="80"/>
  <c r="AA89" i="80"/>
  <c r="Z89" i="80"/>
  <c r="Y89" i="80"/>
  <c r="X89" i="80"/>
  <c r="W89" i="80"/>
  <c r="V89" i="80"/>
  <c r="U89" i="80"/>
  <c r="T89" i="80"/>
  <c r="S89" i="80"/>
  <c r="R89" i="80"/>
  <c r="P89" i="80"/>
  <c r="AA88" i="80"/>
  <c r="AA100" i="80" s="1"/>
  <c r="Z88" i="80"/>
  <c r="Y88" i="80"/>
  <c r="X88" i="80"/>
  <c r="W88" i="80"/>
  <c r="V88" i="80"/>
  <c r="U88" i="80"/>
  <c r="T88" i="80"/>
  <c r="S88" i="80"/>
  <c r="R88" i="80"/>
  <c r="P88" i="80"/>
  <c r="AB87" i="80"/>
  <c r="AA87" i="80"/>
  <c r="Z87" i="80"/>
  <c r="Z100" i="80" s="1"/>
  <c r="Y87" i="80"/>
  <c r="Y100" i="80" s="1"/>
  <c r="X87" i="80"/>
  <c r="W87" i="80"/>
  <c r="W100" i="80" s="1"/>
  <c r="V87" i="80"/>
  <c r="U87" i="80"/>
  <c r="T87" i="80"/>
  <c r="S87" i="80"/>
  <c r="R87" i="80"/>
  <c r="P87" i="80"/>
  <c r="O87" i="80"/>
  <c r="AL80" i="80"/>
  <c r="AJ80" i="80"/>
  <c r="AI80" i="80"/>
  <c r="AH80" i="80"/>
  <c r="AG80" i="80"/>
  <c r="AF80" i="80"/>
  <c r="AE80" i="80"/>
  <c r="AD80" i="80"/>
  <c r="AC80" i="80"/>
  <c r="AA80" i="80"/>
  <c r="Y80" i="80"/>
  <c r="W80" i="80"/>
  <c r="V80" i="80"/>
  <c r="U80" i="80"/>
  <c r="T80" i="80"/>
  <c r="S80" i="80"/>
  <c r="R80" i="80"/>
  <c r="Q80" i="80"/>
  <c r="AL79" i="80"/>
  <c r="AJ79" i="80"/>
  <c r="AI79" i="80"/>
  <c r="AH79" i="80"/>
  <c r="AG79" i="80"/>
  <c r="AF79" i="80"/>
  <c r="AE79" i="80"/>
  <c r="AD79" i="80"/>
  <c r="AC79" i="80"/>
  <c r="AA79" i="80"/>
  <c r="Y79" i="80"/>
  <c r="X79" i="80"/>
  <c r="AD97" i="80" s="1"/>
  <c r="W79" i="80"/>
  <c r="V79" i="80"/>
  <c r="U79" i="80"/>
  <c r="T79" i="80"/>
  <c r="S79" i="80"/>
  <c r="R79" i="80"/>
  <c r="Q79" i="80"/>
  <c r="AL78" i="80"/>
  <c r="AJ78" i="80"/>
  <c r="AI78" i="80"/>
  <c r="AH78" i="80"/>
  <c r="AG78" i="80"/>
  <c r="AF78" i="80"/>
  <c r="AE78" i="80"/>
  <c r="AD78" i="80"/>
  <c r="AC78" i="80"/>
  <c r="AA78" i="80"/>
  <c r="Y78" i="80"/>
  <c r="X78" i="80"/>
  <c r="W78" i="80"/>
  <c r="V78" i="80"/>
  <c r="U78" i="80"/>
  <c r="T78" i="80"/>
  <c r="S78" i="80"/>
  <c r="R78" i="80"/>
  <c r="Q78" i="80"/>
  <c r="AL77" i="80"/>
  <c r="AJ77" i="80"/>
  <c r="AI77" i="80"/>
  <c r="AH77" i="80"/>
  <c r="AG77" i="80"/>
  <c r="AF77" i="80"/>
  <c r="AE77" i="80"/>
  <c r="AD77" i="80"/>
  <c r="AC77" i="80"/>
  <c r="AA77" i="80"/>
  <c r="Y77" i="80"/>
  <c r="X77" i="80"/>
  <c r="W77" i="80"/>
  <c r="V77" i="80"/>
  <c r="U77" i="80"/>
  <c r="T77" i="80"/>
  <c r="S77" i="80"/>
  <c r="R77" i="80"/>
  <c r="Q77" i="80"/>
  <c r="AL76" i="80"/>
  <c r="AJ76" i="80"/>
  <c r="AI76" i="80"/>
  <c r="AH76" i="80"/>
  <c r="AG76" i="80"/>
  <c r="AF76" i="80"/>
  <c r="AE76" i="80"/>
  <c r="AD76" i="80"/>
  <c r="AC76" i="80"/>
  <c r="AA76" i="80"/>
  <c r="Y76" i="80"/>
  <c r="W76" i="80"/>
  <c r="V76" i="80"/>
  <c r="U76" i="80"/>
  <c r="T76" i="80"/>
  <c r="S76" i="80"/>
  <c r="R76" i="80"/>
  <c r="Q76" i="80"/>
  <c r="AL75" i="80"/>
  <c r="AJ75" i="80"/>
  <c r="AI75" i="80"/>
  <c r="AH75" i="80"/>
  <c r="AG75" i="80"/>
  <c r="AF75" i="80"/>
  <c r="AE75" i="80"/>
  <c r="AD75" i="80"/>
  <c r="AA75" i="80"/>
  <c r="Y75" i="80"/>
  <c r="W75" i="80"/>
  <c r="V75" i="80"/>
  <c r="U75" i="80"/>
  <c r="T75" i="80"/>
  <c r="S75" i="80"/>
  <c r="R75" i="80"/>
  <c r="Q75" i="80"/>
  <c r="AL74" i="80"/>
  <c r="AJ74" i="80"/>
  <c r="AI74" i="80"/>
  <c r="AH74" i="80"/>
  <c r="AG74" i="80"/>
  <c r="AF74" i="80"/>
  <c r="AE74" i="80"/>
  <c r="AD74" i="80"/>
  <c r="AC74" i="80"/>
  <c r="AA74" i="80"/>
  <c r="Y74" i="80"/>
  <c r="W74" i="80"/>
  <c r="V74" i="80"/>
  <c r="U74" i="80"/>
  <c r="T74" i="80"/>
  <c r="S74" i="80"/>
  <c r="R74" i="80"/>
  <c r="Q74" i="80"/>
  <c r="AL73" i="80"/>
  <c r="AJ73" i="80"/>
  <c r="AI73" i="80"/>
  <c r="AH73" i="80"/>
  <c r="AG73" i="80"/>
  <c r="AF73" i="80"/>
  <c r="AE73" i="80"/>
  <c r="AD73" i="80"/>
  <c r="AC73" i="80"/>
  <c r="AA73" i="80"/>
  <c r="Z73" i="80"/>
  <c r="Y73" i="80"/>
  <c r="X73" i="80"/>
  <c r="W73" i="80"/>
  <c r="V73" i="80"/>
  <c r="U73" i="80"/>
  <c r="T73" i="80"/>
  <c r="S73" i="80"/>
  <c r="R73" i="80"/>
  <c r="Q73" i="80"/>
  <c r="AL72" i="80"/>
  <c r="AJ72" i="80"/>
  <c r="AI72" i="80"/>
  <c r="AH72" i="80"/>
  <c r="AG72" i="80"/>
  <c r="AF72" i="80"/>
  <c r="AE72" i="80"/>
  <c r="AD72" i="80"/>
  <c r="AC72" i="80"/>
  <c r="AA72" i="80"/>
  <c r="Y72" i="80"/>
  <c r="X72" i="80"/>
  <c r="W72" i="80"/>
  <c r="V72" i="80"/>
  <c r="U72" i="80"/>
  <c r="T72" i="80"/>
  <c r="S72" i="80"/>
  <c r="R72" i="80"/>
  <c r="Q72" i="80"/>
  <c r="AL71" i="80"/>
  <c r="AJ71" i="80"/>
  <c r="AI71" i="80"/>
  <c r="AI82" i="80" s="1"/>
  <c r="AI85" i="80" s="1"/>
  <c r="C25" i="80" s="1"/>
  <c r="AH71" i="80"/>
  <c r="AG71" i="80"/>
  <c r="AF71" i="80"/>
  <c r="AE71" i="80"/>
  <c r="AD71" i="80"/>
  <c r="AC71" i="80"/>
  <c r="AA71" i="80"/>
  <c r="Y71" i="80"/>
  <c r="W71" i="80"/>
  <c r="W82" i="80" s="1"/>
  <c r="V71" i="80"/>
  <c r="U71" i="80"/>
  <c r="T71" i="80"/>
  <c r="S71" i="80"/>
  <c r="R71" i="80"/>
  <c r="Q71" i="80"/>
  <c r="AL70" i="80"/>
  <c r="AJ70" i="80"/>
  <c r="AI70" i="80"/>
  <c r="AH70" i="80"/>
  <c r="AG70" i="80"/>
  <c r="AG82" i="80" s="1"/>
  <c r="AF70" i="80"/>
  <c r="AE70" i="80"/>
  <c r="AD70" i="80"/>
  <c r="AC70" i="80"/>
  <c r="AA70" i="80"/>
  <c r="Y70" i="80"/>
  <c r="W70" i="80"/>
  <c r="V70" i="80"/>
  <c r="U70" i="80"/>
  <c r="U82" i="80" s="1"/>
  <c r="C12" i="80" s="1"/>
  <c r="T70" i="80"/>
  <c r="S70" i="80"/>
  <c r="R70" i="80"/>
  <c r="Q70" i="80"/>
  <c r="AL69" i="80"/>
  <c r="AJ69" i="80"/>
  <c r="AJ82" i="80" s="1"/>
  <c r="E28" i="80" s="1"/>
  <c r="AI69" i="80"/>
  <c r="AH69" i="80"/>
  <c r="AG69" i="80"/>
  <c r="AF69" i="80"/>
  <c r="AF82" i="80" s="1"/>
  <c r="AE69" i="80"/>
  <c r="AD69" i="80"/>
  <c r="AD82" i="80" s="1"/>
  <c r="AC69" i="80"/>
  <c r="M70" i="80" s="1"/>
  <c r="AA69" i="80"/>
  <c r="AA82" i="80" s="1"/>
  <c r="Y69" i="80"/>
  <c r="Y82" i="80" s="1"/>
  <c r="W69" i="80"/>
  <c r="V69" i="80"/>
  <c r="U69" i="80"/>
  <c r="T69" i="80"/>
  <c r="S69" i="80"/>
  <c r="R69" i="80"/>
  <c r="R82" i="80" s="1"/>
  <c r="Q69" i="80"/>
  <c r="Q82" i="80" s="1"/>
  <c r="K69" i="80"/>
  <c r="M69" i="80" s="1"/>
  <c r="I67" i="80"/>
  <c r="I66" i="80"/>
  <c r="I64" i="80"/>
  <c r="G59" i="80"/>
  <c r="J46" i="80"/>
  <c r="E46" i="80"/>
  <c r="J45" i="80"/>
  <c r="E45" i="80"/>
  <c r="J44" i="80"/>
  <c r="E44" i="80"/>
  <c r="J43" i="80"/>
  <c r="E43" i="80"/>
  <c r="J42" i="80"/>
  <c r="E42" i="80"/>
  <c r="J41" i="80"/>
  <c r="E41" i="80"/>
  <c r="J40" i="80"/>
  <c r="E40" i="80"/>
  <c r="J39" i="80"/>
  <c r="E39" i="80"/>
  <c r="J38" i="80"/>
  <c r="E38" i="80"/>
  <c r="J37" i="80"/>
  <c r="E37" i="80"/>
  <c r="J36" i="80"/>
  <c r="E36" i="80"/>
  <c r="J35" i="80"/>
  <c r="J47" i="80" s="1"/>
  <c r="E35" i="80"/>
  <c r="M30" i="80"/>
  <c r="J30" i="80"/>
  <c r="L28" i="80"/>
  <c r="I28" i="80"/>
  <c r="M27" i="80"/>
  <c r="L27" i="80"/>
  <c r="L26" i="80"/>
  <c r="I26" i="80"/>
  <c r="L25" i="80"/>
  <c r="I25" i="80"/>
  <c r="M22" i="80"/>
  <c r="J22" i="80"/>
  <c r="G20" i="80"/>
  <c r="L12" i="80"/>
  <c r="I12" i="80"/>
  <c r="I11" i="80"/>
  <c r="L11" i="80" s="1"/>
  <c r="I10" i="80"/>
  <c r="L10" i="80" s="1"/>
  <c r="A10" i="80"/>
  <c r="A11" i="80" s="1"/>
  <c r="A12" i="80" s="1"/>
  <c r="A13" i="80" s="1"/>
  <c r="A14" i="80" s="1"/>
  <c r="A15" i="80" s="1"/>
  <c r="A16" i="80" s="1"/>
  <c r="A17" i="80" s="1"/>
  <c r="A18" i="80" s="1"/>
  <c r="A19" i="80" s="1"/>
  <c r="A20" i="80" s="1"/>
  <c r="A21" i="80" s="1"/>
  <c r="A22" i="80" s="1"/>
  <c r="A23" i="80" s="1"/>
  <c r="A24" i="80" s="1"/>
  <c r="A25" i="80" s="1"/>
  <c r="A26" i="80" s="1"/>
  <c r="A27" i="80" s="1"/>
  <c r="A28" i="80" s="1"/>
  <c r="A29" i="80" s="1"/>
  <c r="A30" i="80" s="1"/>
  <c r="A31" i="80" s="1"/>
  <c r="A32" i="80" s="1"/>
  <c r="A33" i="80" s="1"/>
  <c r="A34" i="80" s="1"/>
  <c r="A35" i="80" s="1"/>
  <c r="A36" i="80" s="1"/>
  <c r="A37" i="80" s="1"/>
  <c r="A38" i="80" s="1"/>
  <c r="A39" i="80" s="1"/>
  <c r="A40" i="80" s="1"/>
  <c r="A41" i="80" s="1"/>
  <c r="A42" i="80" s="1"/>
  <c r="A43" i="80" s="1"/>
  <c r="A44" i="80" s="1"/>
  <c r="A45" i="80" s="1"/>
  <c r="A46" i="80" s="1"/>
  <c r="A47" i="80" s="1"/>
  <c r="A48" i="80" s="1"/>
  <c r="A49" i="80" s="1"/>
  <c r="A50" i="80" s="1"/>
  <c r="A51" i="80" s="1"/>
  <c r="A52" i="80" s="1"/>
  <c r="A53" i="80" s="1"/>
  <c r="A54" i="80" s="1"/>
  <c r="A55" i="80" s="1"/>
  <c r="A56" i="80" s="1"/>
  <c r="A57" i="80" s="1"/>
  <c r="A58" i="80" s="1"/>
  <c r="A59" i="80" s="1"/>
  <c r="K21" i="79"/>
  <c r="J21" i="79"/>
  <c r="K20" i="79"/>
  <c r="J20" i="79"/>
  <c r="K19" i="79"/>
  <c r="J19" i="79"/>
  <c r="K18" i="79"/>
  <c r="K22" i="79" s="1"/>
  <c r="J18" i="79"/>
  <c r="H22" i="79"/>
  <c r="G21" i="79"/>
  <c r="G20" i="79"/>
  <c r="G19" i="79"/>
  <c r="G18" i="79"/>
  <c r="D18" i="79"/>
  <c r="H21" i="79"/>
  <c r="H20" i="79"/>
  <c r="H19" i="79"/>
  <c r="H18" i="79"/>
  <c r="E21" i="79"/>
  <c r="D21" i="79" s="1"/>
  <c r="E20" i="79"/>
  <c r="D20" i="79" s="1"/>
  <c r="E19" i="79"/>
  <c r="E18" i="79"/>
  <c r="D19" i="79"/>
  <c r="K15" i="79"/>
  <c r="I15" i="79"/>
  <c r="J15" i="79"/>
  <c r="H15" i="79"/>
  <c r="E15" i="79"/>
  <c r="J11" i="79"/>
  <c r="J10" i="79"/>
  <c r="I12" i="79"/>
  <c r="I11" i="79"/>
  <c r="I10" i="79"/>
  <c r="I9" i="79"/>
  <c r="K9" i="79" s="1"/>
  <c r="G10" i="79"/>
  <c r="D10" i="79"/>
  <c r="F15" i="79"/>
  <c r="C15" i="79"/>
  <c r="F12" i="79"/>
  <c r="F11" i="79"/>
  <c r="H11" i="79" s="1"/>
  <c r="F10" i="79"/>
  <c r="F9" i="79"/>
  <c r="F16" i="79"/>
  <c r="I16" i="79" s="1"/>
  <c r="H12" i="79"/>
  <c r="K12" i="79" s="1"/>
  <c r="G11" i="79"/>
  <c r="H9" i="79"/>
  <c r="Y212" i="79"/>
  <c r="M212" i="79"/>
  <c r="Y211" i="79"/>
  <c r="M211" i="79"/>
  <c r="Y210" i="79"/>
  <c r="Y209" i="79"/>
  <c r="Y208" i="79"/>
  <c r="Y207" i="79"/>
  <c r="Y206" i="79"/>
  <c r="Y205" i="79"/>
  <c r="Y204" i="79"/>
  <c r="Y203" i="79"/>
  <c r="Y202" i="79"/>
  <c r="Y201" i="79"/>
  <c r="F196" i="79"/>
  <c r="AI193" i="79"/>
  <c r="AH193" i="79"/>
  <c r="AF193" i="79"/>
  <c r="AE193" i="79"/>
  <c r="AD193" i="79"/>
  <c r="AB193" i="79"/>
  <c r="K197" i="79" s="1"/>
  <c r="AA193" i="79"/>
  <c r="AD194" i="79" s="1"/>
  <c r="Z193" i="79"/>
  <c r="AD195" i="79" s="1"/>
  <c r="O63" i="79" s="1"/>
  <c r="X193" i="79"/>
  <c r="V193" i="79"/>
  <c r="T193" i="79"/>
  <c r="S193" i="79"/>
  <c r="R193" i="79"/>
  <c r="Q193" i="79"/>
  <c r="P193" i="79"/>
  <c r="O193" i="79"/>
  <c r="N193" i="79"/>
  <c r="I192" i="79"/>
  <c r="I194" i="79" s="1"/>
  <c r="K194" i="79" s="1"/>
  <c r="W190" i="79"/>
  <c r="Y190" i="79" s="1"/>
  <c r="U190" i="79"/>
  <c r="J190" i="79"/>
  <c r="E190" i="79"/>
  <c r="D190" i="79"/>
  <c r="F190" i="79" s="1"/>
  <c r="I190" i="79" s="1"/>
  <c r="K190" i="79" s="1"/>
  <c r="L190" i="79" s="1"/>
  <c r="U189" i="79"/>
  <c r="U193" i="79" s="1"/>
  <c r="J189" i="79"/>
  <c r="E189" i="79"/>
  <c r="D189" i="79"/>
  <c r="J188" i="79"/>
  <c r="E188" i="79"/>
  <c r="D188" i="79"/>
  <c r="F188" i="79" s="1"/>
  <c r="I188" i="79" s="1"/>
  <c r="K188" i="79" s="1"/>
  <c r="L188" i="79" s="1"/>
  <c r="J187" i="79"/>
  <c r="E187" i="79"/>
  <c r="D187" i="79"/>
  <c r="F187" i="79" s="1"/>
  <c r="I187" i="79" s="1"/>
  <c r="K187" i="79" s="1"/>
  <c r="L187" i="79" s="1"/>
  <c r="J186" i="79"/>
  <c r="E186" i="79"/>
  <c r="F186" i="79" s="1"/>
  <c r="I186" i="79" s="1"/>
  <c r="K186" i="79" s="1"/>
  <c r="L186" i="79" s="1"/>
  <c r="D186" i="79"/>
  <c r="J185" i="79"/>
  <c r="E185" i="79"/>
  <c r="D185" i="79"/>
  <c r="F185" i="79" s="1"/>
  <c r="I185" i="79" s="1"/>
  <c r="J184" i="79"/>
  <c r="E184" i="79"/>
  <c r="D184" i="79"/>
  <c r="F184" i="79" s="1"/>
  <c r="I184" i="79" s="1"/>
  <c r="K184" i="79" s="1"/>
  <c r="L184" i="79" s="1"/>
  <c r="J183" i="79"/>
  <c r="F183" i="79"/>
  <c r="I183" i="79" s="1"/>
  <c r="K183" i="79" s="1"/>
  <c r="L183" i="79" s="1"/>
  <c r="E183" i="79"/>
  <c r="D183" i="79"/>
  <c r="J182" i="79"/>
  <c r="E182" i="79"/>
  <c r="D182" i="79"/>
  <c r="J181" i="79"/>
  <c r="E181" i="79"/>
  <c r="D181" i="79"/>
  <c r="F181" i="79" s="1"/>
  <c r="I181" i="79" s="1"/>
  <c r="J180" i="79"/>
  <c r="E180" i="79"/>
  <c r="D180" i="79"/>
  <c r="J179" i="79"/>
  <c r="E179" i="79"/>
  <c r="F179" i="79" s="1"/>
  <c r="I179" i="79" s="1"/>
  <c r="K179" i="79" s="1"/>
  <c r="L179" i="79" s="1"/>
  <c r="D179" i="79"/>
  <c r="J173" i="79"/>
  <c r="K173" i="79" s="1"/>
  <c r="L173" i="79" s="1"/>
  <c r="I173" i="79"/>
  <c r="X170" i="79"/>
  <c r="W170" i="79"/>
  <c r="V170" i="79"/>
  <c r="U170" i="79"/>
  <c r="T170" i="79"/>
  <c r="S170" i="79"/>
  <c r="R170" i="79"/>
  <c r="Q170" i="79"/>
  <c r="P170" i="79"/>
  <c r="O170" i="79"/>
  <c r="Y168" i="79"/>
  <c r="U146" i="79" s="1"/>
  <c r="Y167" i="79"/>
  <c r="Y166" i="79"/>
  <c r="Y165" i="79"/>
  <c r="U143" i="79" s="1"/>
  <c r="Y164" i="79"/>
  <c r="Y163" i="79"/>
  <c r="Y162" i="79"/>
  <c r="Y161" i="79"/>
  <c r="U139" i="79" s="1"/>
  <c r="Y160" i="79"/>
  <c r="Y159" i="79"/>
  <c r="Y158" i="79"/>
  <c r="U136" i="79" s="1"/>
  <c r="Y157" i="79"/>
  <c r="U135" i="79" s="1"/>
  <c r="AA149" i="79"/>
  <c r="C10" i="79" s="1"/>
  <c r="X149" i="79"/>
  <c r="V149" i="79"/>
  <c r="T149" i="79"/>
  <c r="S149" i="79"/>
  <c r="R149" i="79"/>
  <c r="P149" i="79"/>
  <c r="O149" i="79"/>
  <c r="I148" i="79"/>
  <c r="K148" i="79" s="1"/>
  <c r="W144" i="79"/>
  <c r="Y144" i="79" s="1"/>
  <c r="U144" i="79"/>
  <c r="I144" i="79"/>
  <c r="I146" i="79" s="1"/>
  <c r="K146" i="79" s="1"/>
  <c r="U142" i="79"/>
  <c r="W142" i="79" s="1"/>
  <c r="U141" i="79"/>
  <c r="W140" i="79"/>
  <c r="U140" i="79"/>
  <c r="U138" i="79"/>
  <c r="W138" i="79" s="1"/>
  <c r="Y138" i="79" s="1"/>
  <c r="U137" i="79"/>
  <c r="AB135" i="79"/>
  <c r="AB149" i="79" s="1"/>
  <c r="AB133" i="79"/>
  <c r="X126" i="79"/>
  <c r="W126" i="79"/>
  <c r="V126" i="79"/>
  <c r="U126" i="79"/>
  <c r="T126" i="79"/>
  <c r="S126" i="79"/>
  <c r="R126" i="79"/>
  <c r="Q126" i="79"/>
  <c r="P126" i="79"/>
  <c r="O126" i="79"/>
  <c r="Y125" i="79"/>
  <c r="Y124" i="79"/>
  <c r="Y123" i="79"/>
  <c r="Y122" i="79"/>
  <c r="M122" i="79"/>
  <c r="Y121" i="79"/>
  <c r="M121" i="79"/>
  <c r="Y120" i="79"/>
  <c r="M120" i="79"/>
  <c r="Y119" i="79"/>
  <c r="M119" i="79"/>
  <c r="Y118" i="79"/>
  <c r="M118" i="79"/>
  <c r="Y117" i="79"/>
  <c r="M117" i="79"/>
  <c r="Y116" i="79"/>
  <c r="M116" i="79"/>
  <c r="Y115" i="79"/>
  <c r="M115" i="79"/>
  <c r="Y114" i="79"/>
  <c r="M114" i="79"/>
  <c r="Y113" i="79"/>
  <c r="Y126" i="79" s="1"/>
  <c r="M113" i="79"/>
  <c r="K108" i="79"/>
  <c r="AE107" i="79"/>
  <c r="AG105" i="79"/>
  <c r="AE105" i="79"/>
  <c r="AA105" i="79"/>
  <c r="X105" i="79"/>
  <c r="V105" i="79"/>
  <c r="T105" i="79"/>
  <c r="S105" i="79"/>
  <c r="R105" i="79"/>
  <c r="P105" i="79"/>
  <c r="O105" i="79"/>
  <c r="AF102" i="79"/>
  <c r="AC102" i="79"/>
  <c r="AD102" i="79" s="1"/>
  <c r="AB102" i="79"/>
  <c r="W102" i="79"/>
  <c r="Y102" i="79" s="1"/>
  <c r="U102" i="79"/>
  <c r="L102" i="79"/>
  <c r="L146" i="79" s="1"/>
  <c r="I102" i="79"/>
  <c r="I104" i="79" s="1"/>
  <c r="AF101" i="79"/>
  <c r="AC101" i="79"/>
  <c r="AB101" i="79"/>
  <c r="U101" i="79"/>
  <c r="W101" i="79" s="1"/>
  <c r="Y101" i="79" s="1"/>
  <c r="AH101" i="79" s="1"/>
  <c r="AF100" i="79"/>
  <c r="AC100" i="79"/>
  <c r="AB100" i="79"/>
  <c r="U100" i="79"/>
  <c r="AF99" i="79"/>
  <c r="AC99" i="79"/>
  <c r="AB99" i="79"/>
  <c r="AD99" i="79" s="1"/>
  <c r="W99" i="79"/>
  <c r="Y99" i="79" s="1"/>
  <c r="U99" i="79"/>
  <c r="AF98" i="79"/>
  <c r="AC98" i="79"/>
  <c r="AB98" i="79"/>
  <c r="U98" i="79"/>
  <c r="W98" i="79" s="1"/>
  <c r="Y98" i="79" s="1"/>
  <c r="AH98" i="79" s="1"/>
  <c r="AF97" i="79"/>
  <c r="AC97" i="79"/>
  <c r="AB97" i="79"/>
  <c r="U97" i="79"/>
  <c r="AF96" i="79"/>
  <c r="AC96" i="79"/>
  <c r="AD96" i="79" s="1"/>
  <c r="AB96" i="79"/>
  <c r="W96" i="79"/>
  <c r="Y96" i="79" s="1"/>
  <c r="U96" i="79"/>
  <c r="AF95" i="79"/>
  <c r="AC95" i="79"/>
  <c r="AB95" i="79"/>
  <c r="U95" i="79"/>
  <c r="W95" i="79" s="1"/>
  <c r="Y95" i="79" s="1"/>
  <c r="AH95" i="79" s="1"/>
  <c r="AF94" i="79"/>
  <c r="AC94" i="79"/>
  <c r="AB94" i="79"/>
  <c r="U94" i="79"/>
  <c r="AF93" i="79"/>
  <c r="AC93" i="79"/>
  <c r="AB93" i="79"/>
  <c r="U93" i="79"/>
  <c r="W93" i="79" s="1"/>
  <c r="AF92" i="79"/>
  <c r="AC92" i="79"/>
  <c r="AB92" i="79"/>
  <c r="U92" i="79"/>
  <c r="W92" i="79" s="1"/>
  <c r="AF91" i="79"/>
  <c r="AC91" i="79"/>
  <c r="AB91" i="79"/>
  <c r="U91" i="79"/>
  <c r="W91" i="79" s="1"/>
  <c r="L91" i="79"/>
  <c r="L157" i="79" s="1"/>
  <c r="X81" i="79"/>
  <c r="W81" i="79"/>
  <c r="V81" i="79"/>
  <c r="U81" i="79"/>
  <c r="T81" i="79"/>
  <c r="S81" i="79"/>
  <c r="R81" i="79"/>
  <c r="Q81" i="79"/>
  <c r="P81" i="79"/>
  <c r="O81" i="79"/>
  <c r="L81" i="79"/>
  <c r="X80" i="79"/>
  <c r="W80" i="79"/>
  <c r="V80" i="79"/>
  <c r="U80" i="79"/>
  <c r="T80" i="79"/>
  <c r="S80" i="79"/>
  <c r="R80" i="79"/>
  <c r="Q80" i="79"/>
  <c r="P80" i="79"/>
  <c r="O80" i="79"/>
  <c r="X79" i="79"/>
  <c r="W79" i="79"/>
  <c r="V79" i="79"/>
  <c r="U79" i="79"/>
  <c r="T79" i="79"/>
  <c r="S79" i="79"/>
  <c r="R79" i="79"/>
  <c r="Q79" i="79"/>
  <c r="P79" i="79"/>
  <c r="O79" i="79"/>
  <c r="M79" i="79"/>
  <c r="X78" i="79"/>
  <c r="W78" i="79"/>
  <c r="V78" i="79"/>
  <c r="U78" i="79"/>
  <c r="T78" i="79"/>
  <c r="S78" i="79"/>
  <c r="R78" i="79"/>
  <c r="Q78" i="79"/>
  <c r="P78" i="79"/>
  <c r="O78" i="79"/>
  <c r="M78" i="79"/>
  <c r="X77" i="79"/>
  <c r="W77" i="79"/>
  <c r="V77" i="79"/>
  <c r="U77" i="79"/>
  <c r="T77" i="79"/>
  <c r="S77" i="79"/>
  <c r="R77" i="79"/>
  <c r="R83" i="79" s="1"/>
  <c r="Q77" i="79"/>
  <c r="P77" i="79"/>
  <c r="O77" i="79"/>
  <c r="M77" i="79"/>
  <c r="X76" i="79"/>
  <c r="W76" i="79"/>
  <c r="V76" i="79"/>
  <c r="U76" i="79"/>
  <c r="T76" i="79"/>
  <c r="S76" i="79"/>
  <c r="R76" i="79"/>
  <c r="Q76" i="79"/>
  <c r="P76" i="79"/>
  <c r="O76" i="79"/>
  <c r="M76" i="79"/>
  <c r="X75" i="79"/>
  <c r="W75" i="79"/>
  <c r="V75" i="79"/>
  <c r="U75" i="79"/>
  <c r="T75" i="79"/>
  <c r="S75" i="79"/>
  <c r="R75" i="79"/>
  <c r="Q75" i="79"/>
  <c r="P75" i="79"/>
  <c r="O75" i="79"/>
  <c r="M75" i="79"/>
  <c r="X74" i="79"/>
  <c r="W74" i="79"/>
  <c r="V74" i="79"/>
  <c r="U74" i="79"/>
  <c r="T74" i="79"/>
  <c r="S74" i="79"/>
  <c r="R74" i="79"/>
  <c r="Q74" i="79"/>
  <c r="P74" i="79"/>
  <c r="O74" i="79"/>
  <c r="Y74" i="79" s="1"/>
  <c r="M74" i="79"/>
  <c r="X73" i="79"/>
  <c r="W73" i="79"/>
  <c r="V73" i="79"/>
  <c r="U73" i="79"/>
  <c r="T73" i="79"/>
  <c r="S73" i="79"/>
  <c r="R73" i="79"/>
  <c r="Q73" i="79"/>
  <c r="P73" i="79"/>
  <c r="O73" i="79"/>
  <c r="M73" i="79"/>
  <c r="X72" i="79"/>
  <c r="W72" i="79"/>
  <c r="V72" i="79"/>
  <c r="U72" i="79"/>
  <c r="T72" i="79"/>
  <c r="S72" i="79"/>
  <c r="R72" i="79"/>
  <c r="Q72" i="79"/>
  <c r="P72" i="79"/>
  <c r="O72" i="79"/>
  <c r="Y72" i="79" s="1"/>
  <c r="M72" i="79"/>
  <c r="X71" i="79"/>
  <c r="W71" i="79"/>
  <c r="V71" i="79"/>
  <c r="U71" i="79"/>
  <c r="T71" i="79"/>
  <c r="S71" i="79"/>
  <c r="R71" i="79"/>
  <c r="Q71" i="79"/>
  <c r="P71" i="79"/>
  <c r="O71" i="79"/>
  <c r="M71" i="79"/>
  <c r="X70" i="79"/>
  <c r="W70" i="79"/>
  <c r="W83" i="79" s="1"/>
  <c r="V70" i="79"/>
  <c r="U70" i="79"/>
  <c r="T70" i="79"/>
  <c r="S70" i="79"/>
  <c r="R70" i="79"/>
  <c r="Q70" i="79"/>
  <c r="P70" i="79"/>
  <c r="O70" i="79"/>
  <c r="M70" i="79"/>
  <c r="L70" i="79"/>
  <c r="N62" i="79"/>
  <c r="C9" i="79" s="1"/>
  <c r="E9" i="79" s="1"/>
  <c r="H61" i="79"/>
  <c r="H63" i="79" s="1"/>
  <c r="W60" i="79"/>
  <c r="Q60" i="79"/>
  <c r="P60" i="79"/>
  <c r="O60" i="79"/>
  <c r="N60" i="79"/>
  <c r="W59" i="79"/>
  <c r="Q59" i="79"/>
  <c r="P59" i="79"/>
  <c r="O59" i="79"/>
  <c r="N59" i="79"/>
  <c r="W58" i="79"/>
  <c r="Q58" i="79"/>
  <c r="P58" i="79"/>
  <c r="O58" i="79"/>
  <c r="N58" i="79"/>
  <c r="W57" i="79"/>
  <c r="Q57" i="79"/>
  <c r="P57" i="79"/>
  <c r="O57" i="79"/>
  <c r="N57" i="79"/>
  <c r="W56" i="79"/>
  <c r="R56" i="79"/>
  <c r="Q56" i="79"/>
  <c r="P56" i="79"/>
  <c r="O56" i="79"/>
  <c r="N56" i="79"/>
  <c r="W55" i="79"/>
  <c r="Q55" i="79"/>
  <c r="P55" i="79"/>
  <c r="O55" i="79"/>
  <c r="N55" i="79"/>
  <c r="W54" i="79"/>
  <c r="R54" i="79"/>
  <c r="Q54" i="79"/>
  <c r="P54" i="79"/>
  <c r="O54" i="79"/>
  <c r="N54" i="79"/>
  <c r="W53" i="79"/>
  <c r="Q53" i="79"/>
  <c r="P53" i="79"/>
  <c r="O53" i="79"/>
  <c r="N53" i="79"/>
  <c r="W52" i="79"/>
  <c r="R52" i="79"/>
  <c r="Q52" i="79"/>
  <c r="P52" i="79"/>
  <c r="O52" i="79"/>
  <c r="N52" i="79"/>
  <c r="W51" i="79"/>
  <c r="Q51" i="79"/>
  <c r="P51" i="79"/>
  <c r="O51" i="79"/>
  <c r="N51" i="79"/>
  <c r="W50" i="79"/>
  <c r="Q50" i="79"/>
  <c r="P50" i="79"/>
  <c r="O50" i="79"/>
  <c r="N50" i="79"/>
  <c r="W49" i="79"/>
  <c r="Q49" i="79"/>
  <c r="P49" i="79"/>
  <c r="O49" i="79"/>
  <c r="N49" i="79"/>
  <c r="D47" i="79"/>
  <c r="C47" i="79"/>
  <c r="E47" i="79" s="1"/>
  <c r="E46" i="79"/>
  <c r="E45" i="79"/>
  <c r="F44" i="79"/>
  <c r="F47" i="79" s="1"/>
  <c r="E44" i="79"/>
  <c r="H44" i="79" s="1"/>
  <c r="F36" i="79"/>
  <c r="D36" i="79"/>
  <c r="H36" i="79" s="1"/>
  <c r="F35" i="79"/>
  <c r="D35" i="79"/>
  <c r="H35" i="79" s="1"/>
  <c r="F34" i="79"/>
  <c r="F37" i="79" s="1"/>
  <c r="D34" i="79"/>
  <c r="D37" i="79" s="1"/>
  <c r="C26" i="79"/>
  <c r="E26" i="79" s="1"/>
  <c r="D11" i="79"/>
  <c r="C11" i="79"/>
  <c r="K10" i="79"/>
  <c r="A9" i="79"/>
  <c r="A10" i="79" s="1"/>
  <c r="A11" i="79" s="1"/>
  <c r="A12" i="79" s="1"/>
  <c r="A13" i="79" s="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L10" i="78"/>
  <c r="I10" i="78"/>
  <c r="A9" i="78"/>
  <c r="A10" i="78" s="1"/>
  <c r="A11" i="78" s="1"/>
  <c r="A12" i="78" s="1"/>
  <c r="A13" i="78" s="1"/>
  <c r="A14" i="78" s="1"/>
  <c r="A15" i="78" s="1"/>
  <c r="A16" i="78" s="1"/>
  <c r="A17" i="78" s="1"/>
  <c r="A18" i="78" s="1"/>
  <c r="A19" i="78" s="1"/>
  <c r="A20" i="78" s="1"/>
  <c r="A21" i="78" s="1"/>
  <c r="A22" i="78" s="1"/>
  <c r="A23" i="78" s="1"/>
  <c r="A24" i="78" s="1"/>
  <c r="A25" i="78" s="1"/>
  <c r="A26" i="78" s="1"/>
  <c r="A27" i="78" s="1"/>
  <c r="A8" i="78"/>
  <c r="K10" i="78"/>
  <c r="J10" i="78"/>
  <c r="J9" i="78"/>
  <c r="H10" i="78"/>
  <c r="G10" i="78"/>
  <c r="P82" i="78"/>
  <c r="S76" i="78"/>
  <c r="F15" i="78" s="1"/>
  <c r="Q76" i="78"/>
  <c r="Q79" i="78" s="1"/>
  <c r="P76" i="78"/>
  <c r="M76" i="78"/>
  <c r="K76" i="78"/>
  <c r="I76" i="78"/>
  <c r="H76" i="78"/>
  <c r="G76" i="78"/>
  <c r="D10" i="78" s="1"/>
  <c r="F13" i="78" s="1"/>
  <c r="O82" i="78" s="1"/>
  <c r="F76" i="78"/>
  <c r="E76" i="78"/>
  <c r="D76" i="78"/>
  <c r="U73" i="78"/>
  <c r="O73" i="78"/>
  <c r="R73" i="78" s="1"/>
  <c r="T73" i="78" s="1"/>
  <c r="V73" i="78" s="1"/>
  <c r="J73" i="78"/>
  <c r="L73" i="78" s="1"/>
  <c r="N73" i="78" s="1"/>
  <c r="U72" i="78"/>
  <c r="O72" i="78"/>
  <c r="R72" i="78" s="1"/>
  <c r="T72" i="78" s="1"/>
  <c r="V72" i="78" s="1"/>
  <c r="W72" i="78" s="1"/>
  <c r="J72" i="78"/>
  <c r="L72" i="78" s="1"/>
  <c r="N72" i="78" s="1"/>
  <c r="U71" i="78"/>
  <c r="T71" i="78"/>
  <c r="V71" i="78" s="1"/>
  <c r="R71" i="78"/>
  <c r="O71" i="78"/>
  <c r="J71" i="78"/>
  <c r="L71" i="78" s="1"/>
  <c r="N71" i="78" s="1"/>
  <c r="U70" i="78"/>
  <c r="O70" i="78"/>
  <c r="R70" i="78" s="1"/>
  <c r="T70" i="78" s="1"/>
  <c r="V70" i="78" s="1"/>
  <c r="W70" i="78" s="1"/>
  <c r="N70" i="78"/>
  <c r="L70" i="78"/>
  <c r="J70" i="78"/>
  <c r="U69" i="78"/>
  <c r="O69" i="78"/>
  <c r="R69" i="78" s="1"/>
  <c r="T69" i="78" s="1"/>
  <c r="V69" i="78" s="1"/>
  <c r="J69" i="78"/>
  <c r="L69" i="78" s="1"/>
  <c r="N69" i="78" s="1"/>
  <c r="U68" i="78"/>
  <c r="O68" i="78"/>
  <c r="R68" i="78" s="1"/>
  <c r="T68" i="78" s="1"/>
  <c r="V68" i="78" s="1"/>
  <c r="W68" i="78" s="1"/>
  <c r="J68" i="78"/>
  <c r="L68" i="78" s="1"/>
  <c r="N68" i="78" s="1"/>
  <c r="U67" i="78"/>
  <c r="T67" i="78"/>
  <c r="V67" i="78" s="1"/>
  <c r="W67" i="78" s="1"/>
  <c r="R67" i="78"/>
  <c r="O67" i="78"/>
  <c r="J67" i="78"/>
  <c r="L67" i="78" s="1"/>
  <c r="N67" i="78" s="1"/>
  <c r="U66" i="78"/>
  <c r="O66" i="78"/>
  <c r="R66" i="78" s="1"/>
  <c r="T66" i="78" s="1"/>
  <c r="V66" i="78" s="1"/>
  <c r="W66" i="78" s="1"/>
  <c r="N66" i="78"/>
  <c r="L66" i="78"/>
  <c r="J66" i="78"/>
  <c r="U65" i="78"/>
  <c r="O65" i="78"/>
  <c r="R65" i="78" s="1"/>
  <c r="T65" i="78" s="1"/>
  <c r="V65" i="78" s="1"/>
  <c r="J65" i="78"/>
  <c r="L65" i="78" s="1"/>
  <c r="N65" i="78" s="1"/>
  <c r="U64" i="78"/>
  <c r="O64" i="78"/>
  <c r="R64" i="78" s="1"/>
  <c r="T64" i="78" s="1"/>
  <c r="V64" i="78" s="1"/>
  <c r="J64" i="78"/>
  <c r="L64" i="78" s="1"/>
  <c r="N64" i="78" s="1"/>
  <c r="U63" i="78"/>
  <c r="U76" i="78" s="1"/>
  <c r="T63" i="78"/>
  <c r="V63" i="78" s="1"/>
  <c r="W63" i="78" s="1"/>
  <c r="R63" i="78"/>
  <c r="O63" i="78"/>
  <c r="J63" i="78"/>
  <c r="L63" i="78" s="1"/>
  <c r="N63" i="78" s="1"/>
  <c r="U62" i="78"/>
  <c r="O62" i="78"/>
  <c r="O76" i="78" s="1"/>
  <c r="N62" i="78"/>
  <c r="L62" i="78"/>
  <c r="L76" i="78" s="1"/>
  <c r="J62" i="78"/>
  <c r="S56" i="78"/>
  <c r="Q56" i="78"/>
  <c r="P56" i="78"/>
  <c r="P79" i="78" s="1"/>
  <c r="M56" i="78"/>
  <c r="M79" i="78" s="1"/>
  <c r="K56" i="78"/>
  <c r="J56" i="78"/>
  <c r="I56" i="78"/>
  <c r="H56" i="78"/>
  <c r="G56" i="78"/>
  <c r="F56" i="78"/>
  <c r="E56" i="78"/>
  <c r="D56" i="78"/>
  <c r="Y53" i="78"/>
  <c r="X53" i="78"/>
  <c r="U53" i="78"/>
  <c r="R53" i="78"/>
  <c r="T53" i="78" s="1"/>
  <c r="V53" i="78" s="1"/>
  <c r="W53" i="78" s="1"/>
  <c r="O53" i="78"/>
  <c r="L53" i="78"/>
  <c r="N53" i="78" s="1"/>
  <c r="Y52" i="78"/>
  <c r="X52" i="78"/>
  <c r="U52" i="78"/>
  <c r="V52" i="78" s="1"/>
  <c r="W52" i="78" s="1"/>
  <c r="T52" i="78"/>
  <c r="R52" i="78"/>
  <c r="O52" i="78"/>
  <c r="N52" i="78"/>
  <c r="L52" i="78"/>
  <c r="U51" i="78"/>
  <c r="O51" i="78"/>
  <c r="R51" i="78" s="1"/>
  <c r="T51" i="78" s="1"/>
  <c r="V51" i="78" s="1"/>
  <c r="W51" i="78" s="1"/>
  <c r="N51" i="78"/>
  <c r="L51" i="78"/>
  <c r="U50" i="78"/>
  <c r="O50" i="78"/>
  <c r="R50" i="78" s="1"/>
  <c r="T50" i="78" s="1"/>
  <c r="V50" i="78" s="1"/>
  <c r="W50" i="78" s="1"/>
  <c r="L50" i="78"/>
  <c r="N50" i="78" s="1"/>
  <c r="U49" i="78"/>
  <c r="V49" i="78" s="1"/>
  <c r="W49" i="78" s="1"/>
  <c r="T49" i="78"/>
  <c r="R49" i="78"/>
  <c r="O49" i="78"/>
  <c r="N49" i="78"/>
  <c r="L49" i="78"/>
  <c r="U48" i="78"/>
  <c r="O48" i="78"/>
  <c r="R48" i="78" s="1"/>
  <c r="T48" i="78" s="1"/>
  <c r="V48" i="78" s="1"/>
  <c r="W48" i="78" s="1"/>
  <c r="N48" i="78"/>
  <c r="L48" i="78"/>
  <c r="U47" i="78"/>
  <c r="O47" i="78"/>
  <c r="R47" i="78" s="1"/>
  <c r="T47" i="78" s="1"/>
  <c r="V47" i="78" s="1"/>
  <c r="W47" i="78" s="1"/>
  <c r="L47" i="78"/>
  <c r="N47" i="78" s="1"/>
  <c r="U46" i="78"/>
  <c r="R46" i="78"/>
  <c r="T46" i="78" s="1"/>
  <c r="V46" i="78" s="1"/>
  <c r="W46" i="78" s="1"/>
  <c r="O46" i="78"/>
  <c r="N46" i="78"/>
  <c r="L46" i="78"/>
  <c r="U45" i="78"/>
  <c r="O45" i="78"/>
  <c r="R45" i="78" s="1"/>
  <c r="T45" i="78" s="1"/>
  <c r="V45" i="78" s="1"/>
  <c r="W45" i="78" s="1"/>
  <c r="N45" i="78"/>
  <c r="L45" i="78"/>
  <c r="U44" i="78"/>
  <c r="O44" i="78"/>
  <c r="R44" i="78" s="1"/>
  <c r="T44" i="78" s="1"/>
  <c r="V44" i="78" s="1"/>
  <c r="W44" i="78" s="1"/>
  <c r="L44" i="78"/>
  <c r="N44" i="78" s="1"/>
  <c r="U43" i="78"/>
  <c r="R43" i="78"/>
  <c r="T43" i="78" s="1"/>
  <c r="V43" i="78" s="1"/>
  <c r="W43" i="78" s="1"/>
  <c r="O43" i="78"/>
  <c r="N43" i="78"/>
  <c r="L43" i="78"/>
  <c r="U42" i="78"/>
  <c r="U56" i="78" s="1"/>
  <c r="U79" i="78" s="1"/>
  <c r="O80" i="78" s="1"/>
  <c r="O42" i="78"/>
  <c r="O56" i="78" s="1"/>
  <c r="O79" i="78" s="1"/>
  <c r="N42" i="78"/>
  <c r="L42" i="78"/>
  <c r="L56" i="78" s="1"/>
  <c r="H27" i="78"/>
  <c r="G27" i="78"/>
  <c r="E27" i="78"/>
  <c r="L14" i="78"/>
  <c r="J14" i="78"/>
  <c r="I14" i="78"/>
  <c r="F14" i="78"/>
  <c r="J13" i="78"/>
  <c r="F10" i="78"/>
  <c r="E10" i="78" s="1"/>
  <c r="H40" i="76"/>
  <c r="G40" i="76"/>
  <c r="E40" i="76"/>
  <c r="D40" i="76"/>
  <c r="H10" i="76"/>
  <c r="H11" i="76"/>
  <c r="H12" i="76"/>
  <c r="H13" i="76"/>
  <c r="H14" i="76"/>
  <c r="H15" i="76"/>
  <c r="H16" i="76"/>
  <c r="H17" i="76"/>
  <c r="H18" i="76"/>
  <c r="H19" i="76"/>
  <c r="H20" i="76"/>
  <c r="H21" i="76"/>
  <c r="H22" i="76"/>
  <c r="H23" i="76"/>
  <c r="H24" i="76"/>
  <c r="H25" i="76"/>
  <c r="H26" i="76"/>
  <c r="H27" i="76"/>
  <c r="H28" i="76"/>
  <c r="H29" i="76"/>
  <c r="H30" i="76"/>
  <c r="H31" i="76"/>
  <c r="H32" i="76"/>
  <c r="H33" i="76"/>
  <c r="H34" i="76"/>
  <c r="H35" i="76"/>
  <c r="H36" i="76"/>
  <c r="H37" i="76"/>
  <c r="H38" i="76"/>
  <c r="H39" i="76"/>
  <c r="E10" i="76"/>
  <c r="E11" i="76"/>
  <c r="E12" i="76"/>
  <c r="E13" i="76"/>
  <c r="E14" i="76"/>
  <c r="E15" i="76"/>
  <c r="E16" i="76"/>
  <c r="E17" i="76"/>
  <c r="E18" i="76"/>
  <c r="E19" i="76"/>
  <c r="E20" i="76"/>
  <c r="E21" i="76"/>
  <c r="E22" i="76"/>
  <c r="E23" i="76"/>
  <c r="E24" i="76"/>
  <c r="E25" i="76"/>
  <c r="E26" i="76"/>
  <c r="E27" i="76"/>
  <c r="E28" i="76"/>
  <c r="E29" i="76"/>
  <c r="E30" i="76"/>
  <c r="E31" i="76"/>
  <c r="E32" i="76"/>
  <c r="E33" i="76"/>
  <c r="E34" i="76"/>
  <c r="E35" i="76"/>
  <c r="E36" i="76"/>
  <c r="E37" i="76"/>
  <c r="E38" i="76"/>
  <c r="E39" i="76"/>
  <c r="H9" i="76"/>
  <c r="E9" i="76"/>
  <c r="H8" i="76"/>
  <c r="E8" i="76"/>
  <c r="H7" i="76"/>
  <c r="E7" i="76"/>
  <c r="C40" i="76"/>
  <c r="C10" i="76"/>
  <c r="G7" i="76"/>
  <c r="G36" i="76" s="1"/>
  <c r="D7" i="76"/>
  <c r="D39" i="76" s="1"/>
  <c r="A1" i="76"/>
  <c r="A12" i="61"/>
  <c r="A13" i="6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11" i="61"/>
  <c r="P110" i="64"/>
  <c r="P16" i="64"/>
  <c r="P17" i="64"/>
  <c r="P18" i="64"/>
  <c r="P19" i="64"/>
  <c r="P20" i="64"/>
  <c r="P22" i="64"/>
  <c r="P23" i="64"/>
  <c r="P25" i="64"/>
  <c r="P27" i="64"/>
  <c r="P32" i="64"/>
  <c r="P34" i="64"/>
  <c r="P35" i="64"/>
  <c r="P36" i="64"/>
  <c r="P37" i="64"/>
  <c r="P38" i="64"/>
  <c r="P39" i="64"/>
  <c r="P42" i="64"/>
  <c r="P43" i="64"/>
  <c r="P46" i="64"/>
  <c r="P47" i="64"/>
  <c r="P50" i="64"/>
  <c r="P51" i="64"/>
  <c r="P53" i="64"/>
  <c r="P59" i="64"/>
  <c r="P60" i="64"/>
  <c r="P61" i="64"/>
  <c r="P63" i="64"/>
  <c r="P64" i="64"/>
  <c r="P66" i="64"/>
  <c r="P67" i="64"/>
  <c r="P71" i="64"/>
  <c r="P72" i="64"/>
  <c r="P73" i="64"/>
  <c r="P75" i="64"/>
  <c r="P76" i="64"/>
  <c r="P78" i="64"/>
  <c r="P79" i="64"/>
  <c r="P81" i="64"/>
  <c r="P82" i="64"/>
  <c r="P86" i="64"/>
  <c r="P89" i="64"/>
  <c r="P91" i="64"/>
  <c r="P94" i="64"/>
  <c r="P95" i="64"/>
  <c r="P96" i="64"/>
  <c r="P99" i="64"/>
  <c r="P101" i="64"/>
  <c r="P15" i="64"/>
  <c r="V32" i="63"/>
  <c r="V33" i="63"/>
  <c r="V31" i="63"/>
  <c r="V29" i="63"/>
  <c r="V28" i="63"/>
  <c r="V26" i="63"/>
  <c r="V39" i="74"/>
  <c r="V38" i="74"/>
  <c r="V37" i="74"/>
  <c r="V34" i="74"/>
  <c r="V36" i="74"/>
  <c r="V35" i="74"/>
  <c r="V33" i="74"/>
  <c r="V23" i="62"/>
  <c r="V22" i="62"/>
  <c r="V21" i="62"/>
  <c r="V20" i="62"/>
  <c r="V23" i="60"/>
  <c r="V22" i="60"/>
  <c r="V21" i="60"/>
  <c r="V20" i="60"/>
  <c r="AN285" i="80" l="1"/>
  <c r="K25" i="80"/>
  <c r="H25" i="80"/>
  <c r="E25" i="80"/>
  <c r="J25" i="80" s="1"/>
  <c r="J28" i="80"/>
  <c r="M28" i="80"/>
  <c r="AB73" i="80"/>
  <c r="C26" i="80"/>
  <c r="H12" i="80"/>
  <c r="E12" i="80"/>
  <c r="M71" i="80"/>
  <c r="AM279" i="80"/>
  <c r="T82" i="80"/>
  <c r="C11" i="80" s="1"/>
  <c r="X124" i="80"/>
  <c r="W168" i="80"/>
  <c r="X168" i="80" s="1"/>
  <c r="AM418" i="80"/>
  <c r="AN621" i="80"/>
  <c r="AH82" i="80"/>
  <c r="AB89" i="80"/>
  <c r="AD89" i="80" s="1"/>
  <c r="R100" i="80"/>
  <c r="E16" i="80" s="1"/>
  <c r="AB370" i="80"/>
  <c r="AB77" i="80" s="1"/>
  <c r="Z77" i="80"/>
  <c r="W420" i="80"/>
  <c r="X420" i="80" s="1"/>
  <c r="AN491" i="80"/>
  <c r="AB100" i="80"/>
  <c r="AN114" i="80"/>
  <c r="AM73" i="80"/>
  <c r="V82" i="80"/>
  <c r="N71" i="80"/>
  <c r="N69" i="80"/>
  <c r="X76" i="80"/>
  <c r="T100" i="80"/>
  <c r="E17" i="80" s="1"/>
  <c r="S100" i="80"/>
  <c r="E19" i="80" s="1"/>
  <c r="X378" i="80"/>
  <c r="AM72" i="80"/>
  <c r="AN495" i="80"/>
  <c r="AN76" i="80" s="1"/>
  <c r="AK754" i="80"/>
  <c r="X544" i="80"/>
  <c r="U100" i="80"/>
  <c r="E18" i="80" s="1"/>
  <c r="AN112" i="80"/>
  <c r="AM71" i="80"/>
  <c r="AN118" i="80"/>
  <c r="AM77" i="80"/>
  <c r="AK69" i="80"/>
  <c r="AK166" i="80"/>
  <c r="AB187" i="80"/>
  <c r="AB246" i="80"/>
  <c r="AB250" i="80" s="1"/>
  <c r="Z250" i="80"/>
  <c r="AM586" i="80"/>
  <c r="X628" i="80"/>
  <c r="Z615" i="80"/>
  <c r="AB615" i="80" s="1"/>
  <c r="AB628" i="80" s="1"/>
  <c r="AN745" i="80"/>
  <c r="AL82" i="80"/>
  <c r="E27" i="80" s="1"/>
  <c r="AD91" i="80"/>
  <c r="AD96" i="80"/>
  <c r="V100" i="80"/>
  <c r="AB145" i="80"/>
  <c r="AM152" i="80"/>
  <c r="AN323" i="80"/>
  <c r="AN453" i="80"/>
  <c r="AN457" i="80"/>
  <c r="AK544" i="80"/>
  <c r="AN537" i="80"/>
  <c r="AN617" i="80"/>
  <c r="AM460" i="80"/>
  <c r="AB121" i="80"/>
  <c r="AB80" i="80" s="1"/>
  <c r="Z80" i="80"/>
  <c r="AK79" i="80"/>
  <c r="AB313" i="80"/>
  <c r="AB284" i="80"/>
  <c r="AB75" i="80" s="1"/>
  <c r="Z75" i="80"/>
  <c r="X80" i="80"/>
  <c r="AD98" i="80" s="1"/>
  <c r="X100" i="80"/>
  <c r="AM80" i="80"/>
  <c r="AM162" i="80"/>
  <c r="AN162" i="80" s="1"/>
  <c r="AB371" i="80"/>
  <c r="AB78" i="80" s="1"/>
  <c r="Z78" i="80"/>
  <c r="AM659" i="80"/>
  <c r="AN659" i="80" s="1"/>
  <c r="AK72" i="80"/>
  <c r="AN540" i="80"/>
  <c r="AB95" i="80"/>
  <c r="AN110" i="80"/>
  <c r="AM124" i="80"/>
  <c r="AN116" i="80"/>
  <c r="AM75" i="80"/>
  <c r="X70" i="80"/>
  <c r="AD88" i="80" s="1"/>
  <c r="Z279" i="80"/>
  <c r="AB285" i="80"/>
  <c r="AB76" i="80" s="1"/>
  <c r="Z76" i="80"/>
  <c r="AN364" i="80"/>
  <c r="X460" i="80"/>
  <c r="Z448" i="80"/>
  <c r="AN534" i="80"/>
  <c r="AB88" i="80"/>
  <c r="AB120" i="80"/>
  <c r="AN120" i="80" s="1"/>
  <c r="Z79" i="80"/>
  <c r="Z124" i="80"/>
  <c r="M25" i="80"/>
  <c r="AC82" i="80"/>
  <c r="AE82" i="80"/>
  <c r="AD90" i="80"/>
  <c r="X75" i="80"/>
  <c r="AB94" i="80"/>
  <c r="AC334" i="80"/>
  <c r="V336" i="80" s="1"/>
  <c r="N326" i="80"/>
  <c r="M326" i="80" s="1"/>
  <c r="AC75" i="80"/>
  <c r="AM824" i="80"/>
  <c r="E47" i="80"/>
  <c r="K47" i="80" s="1"/>
  <c r="S82" i="80"/>
  <c r="AD95" i="80"/>
  <c r="AB93" i="80"/>
  <c r="AM334" i="80"/>
  <c r="AN748" i="80"/>
  <c r="AK73" i="80"/>
  <c r="AK75" i="80"/>
  <c r="AK77" i="80"/>
  <c r="AK80" i="80"/>
  <c r="X278" i="80"/>
  <c r="AN326" i="80"/>
  <c r="W336" i="80"/>
  <c r="X336" i="80" s="1"/>
  <c r="AN490" i="80"/>
  <c r="AN624" i="80"/>
  <c r="AM712" i="80"/>
  <c r="AN786" i="80"/>
  <c r="AB90" i="80"/>
  <c r="AN288" i="80"/>
  <c r="AK670" i="80"/>
  <c r="AM74" i="80"/>
  <c r="AM76" i="80"/>
  <c r="AM78" i="80"/>
  <c r="AM194" i="80"/>
  <c r="AN619" i="80"/>
  <c r="AM657" i="80"/>
  <c r="AB733" i="80"/>
  <c r="X754" i="80"/>
  <c r="AM250" i="80"/>
  <c r="AN236" i="80"/>
  <c r="AB271" i="80"/>
  <c r="AK292" i="80"/>
  <c r="AN331" i="80"/>
  <c r="AB355" i="80"/>
  <c r="AN370" i="80"/>
  <c r="AN498" i="80"/>
  <c r="X535" i="80"/>
  <c r="AK628" i="80"/>
  <c r="Z740" i="80"/>
  <c r="AK796" i="80"/>
  <c r="AN790" i="80"/>
  <c r="AN835" i="80"/>
  <c r="AM292" i="80"/>
  <c r="AN284" i="80"/>
  <c r="AN325" i="80"/>
  <c r="AM376" i="80"/>
  <c r="AN533" i="80"/>
  <c r="AN539" i="80"/>
  <c r="Z628" i="80"/>
  <c r="AM754" i="80"/>
  <c r="AM783" i="80"/>
  <c r="AN783" i="80" s="1"/>
  <c r="AN247" i="80"/>
  <c r="X376" i="80"/>
  <c r="AN363" i="80"/>
  <c r="AM544" i="80"/>
  <c r="AB691" i="80"/>
  <c r="AN749" i="80"/>
  <c r="W252" i="80"/>
  <c r="X252" i="80" s="1"/>
  <c r="Z376" i="80"/>
  <c r="AN456" i="80"/>
  <c r="X502" i="80"/>
  <c r="AN616" i="80"/>
  <c r="X796" i="80"/>
  <c r="AN330" i="80"/>
  <c r="AB362" i="80"/>
  <c r="AN744" i="80"/>
  <c r="AB775" i="80"/>
  <c r="Z782" i="80"/>
  <c r="AN283" i="80"/>
  <c r="AN494" i="80"/>
  <c r="AN541" i="80"/>
  <c r="AB817" i="80"/>
  <c r="AN831" i="80"/>
  <c r="Z321" i="80"/>
  <c r="AK418" i="80"/>
  <c r="AN488" i="80"/>
  <c r="AN620" i="80"/>
  <c r="Z827" i="80"/>
  <c r="G15" i="79"/>
  <c r="E10" i="79"/>
  <c r="I63" i="79" s="1"/>
  <c r="H10" i="79"/>
  <c r="Y92" i="79"/>
  <c r="AH92" i="79" s="1"/>
  <c r="R50" i="79"/>
  <c r="W136" i="79"/>
  <c r="Y136" i="79" s="1"/>
  <c r="R60" i="79"/>
  <c r="W146" i="79"/>
  <c r="Y146" i="79" s="1"/>
  <c r="X60" i="79" s="1"/>
  <c r="W135" i="79"/>
  <c r="R49" i="79"/>
  <c r="AD92" i="79"/>
  <c r="AD101" i="79"/>
  <c r="Y170" i="79"/>
  <c r="AD196" i="79"/>
  <c r="Q62" i="79"/>
  <c r="X83" i="79"/>
  <c r="Y73" i="79"/>
  <c r="Y81" i="79"/>
  <c r="L168" i="79"/>
  <c r="H34" i="79"/>
  <c r="O83" i="79"/>
  <c r="AH99" i="79"/>
  <c r="E11" i="79"/>
  <c r="J63" i="79" s="1"/>
  <c r="K63" i="79" s="1"/>
  <c r="O62" i="79"/>
  <c r="O64" i="79" s="1"/>
  <c r="C12" i="79" s="1"/>
  <c r="C16" i="79" s="1"/>
  <c r="P83" i="79"/>
  <c r="AB105" i="79"/>
  <c r="AE106" i="79" s="1"/>
  <c r="AE108" i="79" s="1"/>
  <c r="C28" i="79" s="1"/>
  <c r="E28" i="79" s="1"/>
  <c r="H28" i="79" s="1"/>
  <c r="K28" i="79" s="1"/>
  <c r="S54" i="79"/>
  <c r="K185" i="79"/>
  <c r="L185" i="79" s="1"/>
  <c r="P62" i="79"/>
  <c r="Y140" i="79"/>
  <c r="X54" i="79" s="1"/>
  <c r="K181" i="79"/>
  <c r="L181" i="79" s="1"/>
  <c r="Y80" i="79"/>
  <c r="R51" i="79"/>
  <c r="U105" i="79"/>
  <c r="Y79" i="79"/>
  <c r="Q83" i="79"/>
  <c r="AF105" i="79"/>
  <c r="AH105" i="79" s="1"/>
  <c r="AD98" i="79"/>
  <c r="R55" i="79"/>
  <c r="S83" i="79"/>
  <c r="Y78" i="79"/>
  <c r="F182" i="79"/>
  <c r="I182" i="79" s="1"/>
  <c r="K182" i="79" s="1"/>
  <c r="L182" i="79" s="1"/>
  <c r="W62" i="79"/>
  <c r="T83" i="79"/>
  <c r="Y77" i="79"/>
  <c r="L212" i="79"/>
  <c r="AD95" i="79"/>
  <c r="W189" i="79"/>
  <c r="W193" i="79" s="1"/>
  <c r="U83" i="79"/>
  <c r="Y76" i="79"/>
  <c r="AH96" i="79"/>
  <c r="R58" i="79"/>
  <c r="Y71" i="79"/>
  <c r="V83" i="79"/>
  <c r="Y75" i="79"/>
  <c r="F180" i="79"/>
  <c r="I180" i="79" s="1"/>
  <c r="K180" i="79" s="1"/>
  <c r="L180" i="79" s="1"/>
  <c r="F189" i="79"/>
  <c r="I189" i="79" s="1"/>
  <c r="K189" i="79" s="1"/>
  <c r="L189" i="79" s="1"/>
  <c r="Y214" i="79"/>
  <c r="H26" i="79"/>
  <c r="K26" i="79" s="1"/>
  <c r="H37" i="79"/>
  <c r="H47" i="79"/>
  <c r="AD93" i="79"/>
  <c r="Y93" i="79"/>
  <c r="Y91" i="79"/>
  <c r="S49" i="79"/>
  <c r="C27" i="79"/>
  <c r="AH93" i="79"/>
  <c r="AD91" i="79"/>
  <c r="R53" i="79"/>
  <c r="W139" i="79"/>
  <c r="AH102" i="79"/>
  <c r="Y142" i="79"/>
  <c r="X56" i="79" s="1"/>
  <c r="S56" i="79"/>
  <c r="Y135" i="79"/>
  <c r="W143" i="79"/>
  <c r="R57" i="79"/>
  <c r="X50" i="79"/>
  <c r="Y70" i="79"/>
  <c r="L124" i="79"/>
  <c r="W137" i="79"/>
  <c r="Y137" i="79" s="1"/>
  <c r="W141" i="79"/>
  <c r="Y141" i="79" s="1"/>
  <c r="U145" i="79"/>
  <c r="U149" i="79" s="1"/>
  <c r="H196" i="79"/>
  <c r="I196" i="79" s="1"/>
  <c r="K196" i="79" s="1"/>
  <c r="K198" i="79" s="1"/>
  <c r="K199" i="79" s="1"/>
  <c r="W94" i="79"/>
  <c r="AD94" i="79" s="1"/>
  <c r="W97" i="79"/>
  <c r="W100" i="79"/>
  <c r="L113" i="79"/>
  <c r="L135" i="79"/>
  <c r="AC105" i="79"/>
  <c r="Y189" i="79"/>
  <c r="Y193" i="79" s="1"/>
  <c r="S60" i="79"/>
  <c r="L201" i="79"/>
  <c r="I13" i="78"/>
  <c r="L13" i="78" s="1"/>
  <c r="N76" i="78"/>
  <c r="W65" i="78"/>
  <c r="W71" i="78"/>
  <c r="L79" i="78"/>
  <c r="N56" i="78"/>
  <c r="N79" i="78" s="1"/>
  <c r="W69" i="78"/>
  <c r="O81" i="78"/>
  <c r="O83" i="78" s="1"/>
  <c r="W73" i="78"/>
  <c r="S82" i="78"/>
  <c r="I15" i="78"/>
  <c r="L15" i="78" s="1"/>
  <c r="W64" i="78"/>
  <c r="P83" i="78"/>
  <c r="J76" i="78"/>
  <c r="S79" i="78"/>
  <c r="R42" i="78"/>
  <c r="R62" i="78"/>
  <c r="F10" i="76"/>
  <c r="D16" i="76"/>
  <c r="D24" i="76"/>
  <c r="D32" i="76"/>
  <c r="G14" i="76"/>
  <c r="G22" i="76"/>
  <c r="G30" i="76"/>
  <c r="G38" i="76"/>
  <c r="G15" i="76"/>
  <c r="G23" i="76"/>
  <c r="G31" i="76"/>
  <c r="G39" i="76"/>
  <c r="D9" i="76"/>
  <c r="G16" i="76"/>
  <c r="G24" i="76"/>
  <c r="G32" i="76"/>
  <c r="F40" i="76"/>
  <c r="D17" i="76"/>
  <c r="D25" i="76"/>
  <c r="D33" i="76"/>
  <c r="D10" i="76"/>
  <c r="D18" i="76"/>
  <c r="D26" i="76"/>
  <c r="D34" i="76"/>
  <c r="D11" i="76"/>
  <c r="D19" i="76"/>
  <c r="D27" i="76"/>
  <c r="D35" i="76"/>
  <c r="F9" i="76"/>
  <c r="G13" i="76"/>
  <c r="G21" i="76"/>
  <c r="G29" i="76"/>
  <c r="G37" i="76"/>
  <c r="C11" i="76"/>
  <c r="C12" i="76" s="1"/>
  <c r="C13" i="76" s="1"/>
  <c r="C14" i="76" s="1"/>
  <c r="C15" i="76" s="1"/>
  <c r="G9" i="76"/>
  <c r="D12" i="76"/>
  <c r="G17" i="76"/>
  <c r="D20" i="76"/>
  <c r="G25" i="76"/>
  <c r="D28" i="76"/>
  <c r="G33" i="76"/>
  <c r="D36" i="76"/>
  <c r="G10" i="76"/>
  <c r="D13" i="76"/>
  <c r="G18" i="76"/>
  <c r="D21" i="76"/>
  <c r="G26" i="76"/>
  <c r="D29" i="76"/>
  <c r="G34" i="76"/>
  <c r="D37" i="76"/>
  <c r="G11" i="76"/>
  <c r="D14" i="76"/>
  <c r="G19" i="76"/>
  <c r="D22" i="76"/>
  <c r="G27" i="76"/>
  <c r="D30" i="76"/>
  <c r="G35" i="76"/>
  <c r="D38" i="76"/>
  <c r="G12" i="76"/>
  <c r="D15" i="76"/>
  <c r="G20" i="76"/>
  <c r="D23" i="76"/>
  <c r="G28" i="76"/>
  <c r="D31" i="76"/>
  <c r="D197" i="75"/>
  <c r="D196" i="75"/>
  <c r="D195" i="75"/>
  <c r="L58" i="74"/>
  <c r="L42" i="63"/>
  <c r="L34" i="62"/>
  <c r="D194" i="75"/>
  <c r="E164" i="75"/>
  <c r="E153" i="75"/>
  <c r="E137" i="75"/>
  <c r="E135" i="75"/>
  <c r="C137" i="75"/>
  <c r="C135" i="75"/>
  <c r="C123" i="75"/>
  <c r="E123" i="75"/>
  <c r="C124" i="75"/>
  <c r="E124" i="75"/>
  <c r="C126" i="75"/>
  <c r="E126" i="75"/>
  <c r="E127" i="75"/>
  <c r="C128" i="75"/>
  <c r="E128" i="75"/>
  <c r="C131" i="75"/>
  <c r="E131" i="75"/>
  <c r="C132" i="75"/>
  <c r="E132" i="75"/>
  <c r="C133" i="75"/>
  <c r="E133" i="75"/>
  <c r="E122" i="75"/>
  <c r="C122" i="75"/>
  <c r="C110" i="75"/>
  <c r="E110" i="75"/>
  <c r="C111" i="75"/>
  <c r="E111" i="75"/>
  <c r="C113" i="75"/>
  <c r="E113" i="75"/>
  <c r="C114" i="75"/>
  <c r="E114" i="75"/>
  <c r="C116" i="75"/>
  <c r="E116" i="75"/>
  <c r="C117" i="75"/>
  <c r="E117" i="75"/>
  <c r="C119" i="75"/>
  <c r="E119" i="75"/>
  <c r="C120" i="75"/>
  <c r="E120" i="75"/>
  <c r="E109" i="75"/>
  <c r="C109" i="75"/>
  <c r="C72" i="75"/>
  <c r="E72" i="75"/>
  <c r="C73" i="75"/>
  <c r="E73" i="75"/>
  <c r="C74" i="75"/>
  <c r="E74" i="75"/>
  <c r="C75" i="75"/>
  <c r="E75" i="75"/>
  <c r="C76" i="75"/>
  <c r="E76" i="75"/>
  <c r="C77" i="75"/>
  <c r="E77" i="75"/>
  <c r="C78" i="75"/>
  <c r="E78" i="75"/>
  <c r="C81" i="75"/>
  <c r="E81" i="75"/>
  <c r="C82" i="75"/>
  <c r="E82" i="75"/>
  <c r="C83" i="75"/>
  <c r="E83" i="75"/>
  <c r="C84" i="75"/>
  <c r="E84" i="75"/>
  <c r="C85" i="75"/>
  <c r="E85" i="75"/>
  <c r="C86" i="75"/>
  <c r="E86" i="75"/>
  <c r="C89" i="75"/>
  <c r="E89" i="75"/>
  <c r="C90" i="75"/>
  <c r="E90" i="75"/>
  <c r="C91" i="75"/>
  <c r="E91" i="75"/>
  <c r="C92" i="75"/>
  <c r="E92" i="75"/>
  <c r="C93" i="75"/>
  <c r="E93" i="75"/>
  <c r="C94" i="75"/>
  <c r="E94" i="75"/>
  <c r="E71" i="75"/>
  <c r="C71" i="75"/>
  <c r="E56" i="75"/>
  <c r="E57" i="75"/>
  <c r="E58" i="75"/>
  <c r="E59" i="75"/>
  <c r="E60" i="75"/>
  <c r="E62" i="75"/>
  <c r="E63" i="75"/>
  <c r="E65" i="75"/>
  <c r="E66" i="75"/>
  <c r="E67" i="75"/>
  <c r="E55" i="75"/>
  <c r="C56" i="75"/>
  <c r="C57" i="75"/>
  <c r="C58" i="75"/>
  <c r="C59" i="75"/>
  <c r="C60" i="75"/>
  <c r="C62" i="75"/>
  <c r="C63" i="75"/>
  <c r="C65" i="75"/>
  <c r="C66" i="75"/>
  <c r="C67" i="75"/>
  <c r="C55" i="75"/>
  <c r="C50" i="75"/>
  <c r="C49" i="75"/>
  <c r="C47" i="75"/>
  <c r="C45" i="75"/>
  <c r="C41" i="75"/>
  <c r="C42" i="75"/>
  <c r="C40" i="75"/>
  <c r="C38" i="75"/>
  <c r="C36" i="75"/>
  <c r="C29" i="75"/>
  <c r="C30" i="75"/>
  <c r="C28" i="75"/>
  <c r="C26" i="75"/>
  <c r="C24" i="75"/>
  <c r="C19" i="75"/>
  <c r="C18" i="75"/>
  <c r="C14" i="75"/>
  <c r="C13" i="75"/>
  <c r="C188" i="75"/>
  <c r="C187" i="75"/>
  <c r="C186" i="75"/>
  <c r="E161" i="75"/>
  <c r="E160" i="75"/>
  <c r="C159" i="75"/>
  <c r="E159" i="75" s="1"/>
  <c r="C158" i="75"/>
  <c r="E158" i="75" s="1"/>
  <c r="C149" i="75"/>
  <c r="E149" i="75" s="1"/>
  <c r="C148" i="75"/>
  <c r="E148" i="75" s="1"/>
  <c r="C147" i="75"/>
  <c r="E147" i="75" s="1"/>
  <c r="C146" i="75"/>
  <c r="E146" i="75" s="1"/>
  <c r="C145" i="75"/>
  <c r="E145" i="75" s="1"/>
  <c r="C144" i="75"/>
  <c r="E144" i="75" s="1"/>
  <c r="C143" i="75"/>
  <c r="E143" i="75" s="1"/>
  <c r="C142" i="75"/>
  <c r="E142" i="75" s="1"/>
  <c r="C141" i="75"/>
  <c r="E141" i="75" s="1"/>
  <c r="C140" i="75"/>
  <c r="E140" i="75" s="1"/>
  <c r="A137" i="75"/>
  <c r="A135" i="75"/>
  <c r="A133" i="75"/>
  <c r="A132" i="75"/>
  <c r="A131" i="75"/>
  <c r="A128" i="75"/>
  <c r="A126" i="75"/>
  <c r="A124" i="75"/>
  <c r="A123" i="75"/>
  <c r="A122" i="75"/>
  <c r="A120" i="75"/>
  <c r="A119" i="75"/>
  <c r="A117" i="75"/>
  <c r="A116" i="75"/>
  <c r="A114" i="75"/>
  <c r="A113" i="75"/>
  <c r="A111" i="75"/>
  <c r="A110" i="75"/>
  <c r="A109" i="75"/>
  <c r="E105" i="75"/>
  <c r="C105" i="75"/>
  <c r="A105" i="75"/>
  <c r="E104" i="75"/>
  <c r="C104" i="75"/>
  <c r="A104" i="75"/>
  <c r="E102" i="75"/>
  <c r="C102" i="75"/>
  <c r="A102" i="75"/>
  <c r="E101" i="75"/>
  <c r="C101" i="75"/>
  <c r="A101" i="75"/>
  <c r="E99" i="75"/>
  <c r="C99" i="75"/>
  <c r="A99" i="75"/>
  <c r="E98" i="75"/>
  <c r="C98" i="75"/>
  <c r="A98" i="75"/>
  <c r="E97" i="75"/>
  <c r="C97" i="75"/>
  <c r="A97" i="75"/>
  <c r="A94" i="75"/>
  <c r="A93" i="75"/>
  <c r="A92" i="75"/>
  <c r="A91" i="75"/>
  <c r="A90" i="75"/>
  <c r="A89" i="75"/>
  <c r="A86" i="75"/>
  <c r="A85" i="75"/>
  <c r="A84" i="75"/>
  <c r="A83" i="75"/>
  <c r="A82" i="75"/>
  <c r="A81" i="75"/>
  <c r="A78" i="75"/>
  <c r="A77" i="75"/>
  <c r="A76" i="75"/>
  <c r="A75" i="75"/>
  <c r="A74" i="75"/>
  <c r="A73" i="75"/>
  <c r="A71" i="75"/>
  <c r="A67" i="75"/>
  <c r="A66" i="75"/>
  <c r="A65" i="75"/>
  <c r="A63" i="75"/>
  <c r="A62" i="75"/>
  <c r="A60" i="75"/>
  <c r="A59" i="75"/>
  <c r="A58" i="75"/>
  <c r="A57" i="75"/>
  <c r="A56" i="75"/>
  <c r="A55" i="75"/>
  <c r="A54" i="75"/>
  <c r="AN77" i="80" l="1"/>
  <c r="J19" i="80"/>
  <c r="M19" i="80" s="1"/>
  <c r="D19" i="80"/>
  <c r="AM79" i="80"/>
  <c r="K12" i="80"/>
  <c r="H20" i="80"/>
  <c r="AK82" i="80"/>
  <c r="AB448" i="80"/>
  <c r="Z71" i="80"/>
  <c r="Z460" i="80"/>
  <c r="Z754" i="80"/>
  <c r="AB740" i="80"/>
  <c r="AD93" i="80"/>
  <c r="D17" i="80"/>
  <c r="J17" i="80"/>
  <c r="M17" i="80" s="1"/>
  <c r="J12" i="80"/>
  <c r="R83" i="80"/>
  <c r="U83" i="80" s="1"/>
  <c r="C10" i="80"/>
  <c r="AB376" i="80"/>
  <c r="AM796" i="80"/>
  <c r="AD94" i="80"/>
  <c r="E20" i="80"/>
  <c r="J16" i="80"/>
  <c r="D16" i="80"/>
  <c r="H11" i="80"/>
  <c r="K11" i="80" s="1"/>
  <c r="M11" i="80" s="1"/>
  <c r="E11" i="80"/>
  <c r="J11" i="80" s="1"/>
  <c r="AM208" i="80"/>
  <c r="AN194" i="80"/>
  <c r="AN246" i="80"/>
  <c r="AN79" i="80" s="1"/>
  <c r="Z535" i="80"/>
  <c r="X74" i="80"/>
  <c r="AD92" i="80" s="1"/>
  <c r="AN657" i="80"/>
  <c r="AM670" i="80"/>
  <c r="AM166" i="80"/>
  <c r="AN152" i="80"/>
  <c r="AM69" i="80"/>
  <c r="AM82" i="80" s="1"/>
  <c r="AM70" i="80"/>
  <c r="AN371" i="80"/>
  <c r="AN78" i="80" s="1"/>
  <c r="AB827" i="80"/>
  <c r="Z72" i="80"/>
  <c r="Z838" i="80"/>
  <c r="Z796" i="80"/>
  <c r="AB782" i="80"/>
  <c r="V83" i="80"/>
  <c r="E13" i="80"/>
  <c r="J13" i="80" s="1"/>
  <c r="M13" i="80" s="1"/>
  <c r="AB279" i="80"/>
  <c r="AN279" i="80" s="1"/>
  <c r="Z70" i="80"/>
  <c r="J18" i="80"/>
  <c r="M18" i="80" s="1"/>
  <c r="D18" i="80"/>
  <c r="AN73" i="80"/>
  <c r="E26" i="80"/>
  <c r="J26" i="80" s="1"/>
  <c r="K26" i="80"/>
  <c r="M26" i="80" s="1"/>
  <c r="H26" i="80"/>
  <c r="AN362" i="80"/>
  <c r="X292" i="80"/>
  <c r="Z278" i="80"/>
  <c r="X69" i="80"/>
  <c r="AM838" i="80"/>
  <c r="AN824" i="80"/>
  <c r="AB79" i="80"/>
  <c r="AB124" i="80"/>
  <c r="AN75" i="80"/>
  <c r="AN121" i="80"/>
  <c r="AN80" i="80" s="1"/>
  <c r="AB321" i="80"/>
  <c r="Z334" i="80"/>
  <c r="AN615" i="80"/>
  <c r="Y83" i="79"/>
  <c r="W105" i="79"/>
  <c r="D15" i="79"/>
  <c r="E22" i="79"/>
  <c r="E12" i="79"/>
  <c r="AE110" i="79"/>
  <c r="S50" i="79"/>
  <c r="Y97" i="79"/>
  <c r="Y105" i="79" s="1"/>
  <c r="S55" i="79"/>
  <c r="AD97" i="79"/>
  <c r="AD103" i="79" s="1"/>
  <c r="Y139" i="79"/>
  <c r="X53" i="79" s="1"/>
  <c r="S53" i="79"/>
  <c r="Y94" i="79"/>
  <c r="S52" i="79"/>
  <c r="AH91" i="79"/>
  <c r="X49" i="79"/>
  <c r="S51" i="79"/>
  <c r="Y143" i="79"/>
  <c r="X57" i="79" s="1"/>
  <c r="S57" i="79"/>
  <c r="X51" i="79"/>
  <c r="R59" i="79"/>
  <c r="R62" i="79" s="1"/>
  <c r="W145" i="79"/>
  <c r="C29" i="79"/>
  <c r="E27" i="79"/>
  <c r="Y100" i="79"/>
  <c r="S58" i="79"/>
  <c r="AD100" i="79"/>
  <c r="S83" i="78"/>
  <c r="R76" i="78"/>
  <c r="T62" i="78"/>
  <c r="T42" i="78"/>
  <c r="R56" i="78"/>
  <c r="R79" i="78" s="1"/>
  <c r="I40" i="76"/>
  <c r="J40" i="76" s="1"/>
  <c r="K40" i="76" s="1"/>
  <c r="F12" i="76"/>
  <c r="I14" i="76"/>
  <c r="I11" i="76"/>
  <c r="I13" i="76"/>
  <c r="F14" i="76"/>
  <c r="F11" i="76"/>
  <c r="I10" i="76"/>
  <c r="J10" i="76" s="1"/>
  <c r="K10" i="76" s="1"/>
  <c r="I12" i="76"/>
  <c r="F13" i="76"/>
  <c r="I9" i="76"/>
  <c r="J9" i="76" s="1"/>
  <c r="K9" i="76" s="1"/>
  <c r="C16" i="76"/>
  <c r="F15" i="76"/>
  <c r="I15" i="76"/>
  <c r="D12" i="62"/>
  <c r="D12" i="60"/>
  <c r="AB72" i="80" l="1"/>
  <c r="AB838" i="80"/>
  <c r="AN827" i="80"/>
  <c r="AN72" i="80" s="1"/>
  <c r="H10" i="80"/>
  <c r="K10" i="80" s="1"/>
  <c r="M10" i="80" s="1"/>
  <c r="E10" i="80"/>
  <c r="W83" i="80"/>
  <c r="X83" i="80" s="1"/>
  <c r="M12" i="80"/>
  <c r="K20" i="80"/>
  <c r="N20" i="80" s="1"/>
  <c r="AB535" i="80"/>
  <c r="Z74" i="80"/>
  <c r="Z544" i="80"/>
  <c r="AB70" i="80"/>
  <c r="AB754" i="80"/>
  <c r="AN740" i="80"/>
  <c r="AN321" i="80"/>
  <c r="AN70" i="80" s="1"/>
  <c r="AB334" i="80"/>
  <c r="Z292" i="80"/>
  <c r="AB278" i="80"/>
  <c r="Z69" i="80"/>
  <c r="AN448" i="80"/>
  <c r="AN71" i="80" s="1"/>
  <c r="AB460" i="80"/>
  <c r="AB71" i="80"/>
  <c r="AD87" i="80"/>
  <c r="X82" i="80"/>
  <c r="M16" i="80"/>
  <c r="M20" i="80" s="1"/>
  <c r="J20" i="80"/>
  <c r="AB796" i="80"/>
  <c r="AN782" i="80"/>
  <c r="E23" i="80"/>
  <c r="E24" i="79"/>
  <c r="H24" i="79" s="1"/>
  <c r="S62" i="79"/>
  <c r="AH100" i="79"/>
  <c r="X58" i="79"/>
  <c r="H27" i="79"/>
  <c r="K27" i="79" s="1"/>
  <c r="E29" i="79"/>
  <c r="H29" i="79" s="1"/>
  <c r="K29" i="79" s="1"/>
  <c r="S59" i="79"/>
  <c r="Y145" i="79"/>
  <c r="AH94" i="79"/>
  <c r="X52" i="79"/>
  <c r="W149" i="79"/>
  <c r="AH97" i="79"/>
  <c r="X55" i="79"/>
  <c r="T56" i="78"/>
  <c r="V42" i="78"/>
  <c r="V62" i="78"/>
  <c r="T76" i="78"/>
  <c r="J15" i="76"/>
  <c r="K15" i="76" s="1"/>
  <c r="J12" i="76"/>
  <c r="K12" i="76" s="1"/>
  <c r="J14" i="76"/>
  <c r="K14" i="76" s="1"/>
  <c r="J11" i="76"/>
  <c r="K11" i="76" s="1"/>
  <c r="J13" i="76"/>
  <c r="K13" i="76" s="1"/>
  <c r="C17" i="76"/>
  <c r="F16" i="76"/>
  <c r="I16" i="76"/>
  <c r="M103" i="64"/>
  <c r="R16" i="63"/>
  <c r="R17" i="62"/>
  <c r="R17" i="60"/>
  <c r="L17" i="60"/>
  <c r="L17" i="63"/>
  <c r="L18" i="63"/>
  <c r="L16" i="63"/>
  <c r="L17" i="62"/>
  <c r="H11" i="61"/>
  <c r="E14" i="75" s="1"/>
  <c r="H10" i="61"/>
  <c r="E13" i="75" s="1"/>
  <c r="T10" i="61"/>
  <c r="T11" i="61" s="1"/>
  <c r="T17" i="61" s="1"/>
  <c r="U17" i="61" s="1"/>
  <c r="Z82" i="80" l="1"/>
  <c r="AB292" i="80"/>
  <c r="AB69" i="80"/>
  <c r="AN278" i="80"/>
  <c r="AN69" i="80" s="1"/>
  <c r="AN82" i="80" s="1"/>
  <c r="J48" i="80"/>
  <c r="J59" i="80" s="1"/>
  <c r="E31" i="80"/>
  <c r="J10" i="80"/>
  <c r="AB544" i="80"/>
  <c r="AB74" i="80"/>
  <c r="AN535" i="80"/>
  <c r="AN74" i="80" s="1"/>
  <c r="J23" i="80"/>
  <c r="J31" i="80" s="1"/>
  <c r="M23" i="80"/>
  <c r="M31" i="80" s="1"/>
  <c r="E30" i="79"/>
  <c r="X59" i="79"/>
  <c r="X62" i="79" s="1"/>
  <c r="Y149" i="79"/>
  <c r="H30" i="79"/>
  <c r="K24" i="79"/>
  <c r="K30" i="79" s="1"/>
  <c r="V76" i="78"/>
  <c r="W62" i="78"/>
  <c r="W76" i="78" s="1"/>
  <c r="V56" i="78"/>
  <c r="V79" i="78" s="1"/>
  <c r="W42" i="78"/>
  <c r="W56" i="78" s="1"/>
  <c r="T79" i="78"/>
  <c r="J16" i="76"/>
  <c r="K16" i="76" s="1"/>
  <c r="F17" i="76"/>
  <c r="C18" i="76"/>
  <c r="I17" i="76"/>
  <c r="T13" i="61"/>
  <c r="U13" i="61" s="1"/>
  <c r="T14" i="61"/>
  <c r="U14" i="61" s="1"/>
  <c r="T16" i="61"/>
  <c r="U16" i="61" s="1"/>
  <c r="F33" i="71"/>
  <c r="G33" i="71"/>
  <c r="H33" i="71"/>
  <c r="I33" i="71"/>
  <c r="J33" i="71"/>
  <c r="K33" i="71"/>
  <c r="L33" i="71"/>
  <c r="M33" i="71"/>
  <c r="N33" i="71"/>
  <c r="O33" i="71"/>
  <c r="P33" i="71"/>
  <c r="E33" i="71"/>
  <c r="F23" i="71"/>
  <c r="G23" i="71"/>
  <c r="H23" i="71"/>
  <c r="I23" i="71"/>
  <c r="J23" i="71"/>
  <c r="K23" i="71"/>
  <c r="L23" i="71"/>
  <c r="M23" i="71"/>
  <c r="N23" i="71"/>
  <c r="O23" i="71"/>
  <c r="P23" i="71"/>
  <c r="E23" i="71"/>
  <c r="F103" i="64"/>
  <c r="F16" i="64"/>
  <c r="F17" i="64"/>
  <c r="F18" i="64"/>
  <c r="F19" i="64"/>
  <c r="F20" i="64"/>
  <c r="F21" i="64"/>
  <c r="F22" i="64"/>
  <c r="F23" i="64"/>
  <c r="F24" i="64"/>
  <c r="F25" i="64"/>
  <c r="F26" i="64"/>
  <c r="F27" i="64"/>
  <c r="F28" i="64"/>
  <c r="F29" i="64"/>
  <c r="F30" i="64"/>
  <c r="F31" i="64"/>
  <c r="F32" i="64"/>
  <c r="F33" i="64"/>
  <c r="F34" i="64"/>
  <c r="F35" i="64"/>
  <c r="F36" i="64"/>
  <c r="F37" i="64"/>
  <c r="F38" i="64"/>
  <c r="F39" i="64"/>
  <c r="F40" i="64"/>
  <c r="F41" i="64"/>
  <c r="F42" i="64"/>
  <c r="F43" i="64"/>
  <c r="F44" i="64"/>
  <c r="F45" i="64"/>
  <c r="F46" i="64"/>
  <c r="F47" i="64"/>
  <c r="F48" i="64"/>
  <c r="F49" i="64"/>
  <c r="F50" i="64"/>
  <c r="F51" i="64"/>
  <c r="F52" i="64"/>
  <c r="F53" i="64"/>
  <c r="F54" i="64"/>
  <c r="F55" i="64"/>
  <c r="F56" i="64"/>
  <c r="F57" i="64"/>
  <c r="F58" i="64"/>
  <c r="F59" i="64"/>
  <c r="F60" i="64"/>
  <c r="F61" i="64"/>
  <c r="F62" i="64"/>
  <c r="F63" i="64"/>
  <c r="F64" i="64"/>
  <c r="F65" i="64"/>
  <c r="F66" i="64"/>
  <c r="F67" i="64"/>
  <c r="F68" i="64"/>
  <c r="F69" i="64"/>
  <c r="F70" i="64"/>
  <c r="F71" i="64"/>
  <c r="F72" i="64"/>
  <c r="F73" i="64"/>
  <c r="F74" i="64"/>
  <c r="F75" i="64"/>
  <c r="F76" i="64"/>
  <c r="F77" i="64"/>
  <c r="F78" i="64"/>
  <c r="F79" i="64"/>
  <c r="F80" i="64"/>
  <c r="F81" i="64"/>
  <c r="F82" i="64"/>
  <c r="F83" i="64"/>
  <c r="F84" i="64"/>
  <c r="F85" i="64"/>
  <c r="F86" i="64"/>
  <c r="F87" i="64"/>
  <c r="F88" i="64"/>
  <c r="F89" i="64"/>
  <c r="F90" i="64"/>
  <c r="F91" i="64"/>
  <c r="F92" i="64"/>
  <c r="F93" i="64"/>
  <c r="F94" i="64"/>
  <c r="F95" i="64"/>
  <c r="F96" i="64"/>
  <c r="F97" i="64"/>
  <c r="F98" i="64"/>
  <c r="F99" i="64"/>
  <c r="F100" i="64"/>
  <c r="F101" i="64"/>
  <c r="F15" i="64"/>
  <c r="E24" i="64"/>
  <c r="E25" i="64"/>
  <c r="E26" i="64"/>
  <c r="E27" i="64"/>
  <c r="E28" i="64"/>
  <c r="E29" i="64"/>
  <c r="E30" i="64"/>
  <c r="E31" i="64"/>
  <c r="E32" i="64"/>
  <c r="E33" i="64"/>
  <c r="E34" i="64"/>
  <c r="E35" i="64"/>
  <c r="E36" i="64"/>
  <c r="E37" i="64"/>
  <c r="E38" i="64"/>
  <c r="E39" i="64"/>
  <c r="E40" i="64"/>
  <c r="E41" i="64"/>
  <c r="E42" i="64"/>
  <c r="E43" i="64"/>
  <c r="E44" i="64"/>
  <c r="E45" i="64"/>
  <c r="E46" i="64"/>
  <c r="E47" i="64"/>
  <c r="E48" i="64"/>
  <c r="E49" i="64"/>
  <c r="E50" i="64"/>
  <c r="E51" i="64"/>
  <c r="E52" i="64"/>
  <c r="E53" i="64"/>
  <c r="E54" i="64"/>
  <c r="E55" i="64"/>
  <c r="E56" i="64"/>
  <c r="E57" i="64"/>
  <c r="E58" i="64"/>
  <c r="E59" i="64"/>
  <c r="E60" i="64"/>
  <c r="E61" i="64"/>
  <c r="E62" i="64"/>
  <c r="E63" i="64"/>
  <c r="E64" i="64"/>
  <c r="E65" i="64"/>
  <c r="E66" i="64"/>
  <c r="E67" i="64"/>
  <c r="E68" i="64"/>
  <c r="E69" i="64"/>
  <c r="E70" i="64"/>
  <c r="E71" i="64"/>
  <c r="E72" i="64"/>
  <c r="E73" i="64"/>
  <c r="E74" i="64"/>
  <c r="E75" i="64"/>
  <c r="E76" i="64"/>
  <c r="E77" i="64"/>
  <c r="E78" i="64"/>
  <c r="E79" i="64"/>
  <c r="E80" i="64"/>
  <c r="E81" i="64"/>
  <c r="E82" i="64"/>
  <c r="E83" i="64"/>
  <c r="E84" i="64"/>
  <c r="E85" i="64"/>
  <c r="E86" i="64"/>
  <c r="E87" i="64"/>
  <c r="E88" i="64"/>
  <c r="E89" i="64"/>
  <c r="E90" i="64"/>
  <c r="E91" i="64"/>
  <c r="E92" i="64"/>
  <c r="E93" i="64"/>
  <c r="E94" i="64"/>
  <c r="E95" i="64"/>
  <c r="E96" i="64"/>
  <c r="E97" i="64"/>
  <c r="E98" i="64"/>
  <c r="E99" i="64"/>
  <c r="E100" i="64"/>
  <c r="E101" i="64"/>
  <c r="E16" i="64"/>
  <c r="E17" i="64"/>
  <c r="E18" i="64"/>
  <c r="E19" i="64"/>
  <c r="E20" i="64"/>
  <c r="E21" i="64"/>
  <c r="E22" i="64"/>
  <c r="E23" i="64"/>
  <c r="E15" i="64"/>
  <c r="D33" i="64"/>
  <c r="D34" i="64"/>
  <c r="D35" i="64"/>
  <c r="D36" i="64"/>
  <c r="D37" i="64"/>
  <c r="D38" i="64"/>
  <c r="D39" i="64"/>
  <c r="D40" i="64"/>
  <c r="D41" i="64"/>
  <c r="D42" i="64"/>
  <c r="D43" i="64"/>
  <c r="D44" i="64"/>
  <c r="D45" i="64"/>
  <c r="D46" i="64"/>
  <c r="D47" i="64"/>
  <c r="D48" i="64"/>
  <c r="D49" i="64"/>
  <c r="D50" i="64"/>
  <c r="D51" i="64"/>
  <c r="D52" i="64"/>
  <c r="D53" i="64"/>
  <c r="D54" i="64"/>
  <c r="D55" i="64"/>
  <c r="D56" i="64"/>
  <c r="D57" i="64"/>
  <c r="D58" i="64"/>
  <c r="D59" i="64"/>
  <c r="D60" i="64"/>
  <c r="D61" i="64"/>
  <c r="D62" i="64"/>
  <c r="D63" i="64"/>
  <c r="D64" i="64"/>
  <c r="D65" i="64"/>
  <c r="D66" i="64"/>
  <c r="D67" i="64"/>
  <c r="D68" i="64"/>
  <c r="D69" i="64"/>
  <c r="D70" i="64"/>
  <c r="D71" i="64"/>
  <c r="D72" i="64"/>
  <c r="D73" i="64"/>
  <c r="D74" i="64"/>
  <c r="D75" i="64"/>
  <c r="D76" i="64"/>
  <c r="D77" i="64"/>
  <c r="D78" i="64"/>
  <c r="D79" i="64"/>
  <c r="D80" i="64"/>
  <c r="D81" i="64"/>
  <c r="D82" i="64"/>
  <c r="D83" i="64"/>
  <c r="D84" i="64"/>
  <c r="D85" i="64"/>
  <c r="D86" i="64"/>
  <c r="D87" i="64"/>
  <c r="D88" i="64"/>
  <c r="D89" i="64"/>
  <c r="D90" i="64"/>
  <c r="D91" i="64"/>
  <c r="D92" i="64"/>
  <c r="D93" i="64"/>
  <c r="D94" i="64"/>
  <c r="D95" i="64"/>
  <c r="D96" i="64"/>
  <c r="D97" i="64"/>
  <c r="D98" i="64"/>
  <c r="D99" i="64"/>
  <c r="D100" i="64"/>
  <c r="D101" i="64"/>
  <c r="D28" i="64"/>
  <c r="D29" i="64"/>
  <c r="D30" i="64"/>
  <c r="D31" i="64"/>
  <c r="D32" i="64"/>
  <c r="D16" i="64"/>
  <c r="D17" i="64"/>
  <c r="D18" i="64"/>
  <c r="D19" i="64"/>
  <c r="D20" i="64"/>
  <c r="D22" i="64"/>
  <c r="D23" i="64"/>
  <c r="D25" i="64"/>
  <c r="D26" i="64"/>
  <c r="D27" i="64"/>
  <c r="D15" i="64"/>
  <c r="P275" i="72"/>
  <c r="O275" i="72"/>
  <c r="N275" i="72"/>
  <c r="M275" i="72"/>
  <c r="L275" i="72"/>
  <c r="J275" i="72"/>
  <c r="H275" i="72"/>
  <c r="G275" i="72"/>
  <c r="F275" i="72"/>
  <c r="E275" i="72"/>
  <c r="Q275" i="72" s="1"/>
  <c r="D274" i="72"/>
  <c r="C274" i="72"/>
  <c r="C273" i="72"/>
  <c r="D273" i="72" s="1"/>
  <c r="C272" i="72"/>
  <c r="D272" i="72" s="1"/>
  <c r="C271" i="72"/>
  <c r="D271" i="72" s="1"/>
  <c r="D270" i="72"/>
  <c r="C270" i="72"/>
  <c r="C269" i="72"/>
  <c r="C275" i="72" s="1"/>
  <c r="O262" i="72"/>
  <c r="M262" i="72"/>
  <c r="G242" i="72"/>
  <c r="I187" i="72"/>
  <c r="G174" i="72"/>
  <c r="O173" i="72"/>
  <c r="N173" i="72"/>
  <c r="N262" i="72" s="1"/>
  <c r="M173" i="72"/>
  <c r="L173" i="72"/>
  <c r="L262" i="72" s="1"/>
  <c r="K173" i="72"/>
  <c r="K262" i="72" s="1"/>
  <c r="J173" i="72"/>
  <c r="J262" i="72" s="1"/>
  <c r="D158" i="72"/>
  <c r="O152" i="72"/>
  <c r="N152" i="72"/>
  <c r="L152" i="72"/>
  <c r="K152" i="72"/>
  <c r="J151" i="72"/>
  <c r="J150" i="72"/>
  <c r="D137" i="72"/>
  <c r="H146" i="72" s="1"/>
  <c r="I262" i="72" s="1"/>
  <c r="AB130" i="72"/>
  <c r="AA130" i="72"/>
  <c r="Z130" i="72"/>
  <c r="Y130" i="72"/>
  <c r="X130" i="72"/>
  <c r="W130" i="72"/>
  <c r="V130" i="72"/>
  <c r="U130" i="72"/>
  <c r="T130" i="72"/>
  <c r="S130" i="72"/>
  <c r="R130" i="72"/>
  <c r="Q130" i="72"/>
  <c r="AB128" i="72"/>
  <c r="AA128" i="72"/>
  <c r="Z128" i="72"/>
  <c r="Y128" i="72"/>
  <c r="X128" i="72"/>
  <c r="W128" i="72"/>
  <c r="V128" i="72"/>
  <c r="U128" i="72"/>
  <c r="T128" i="72"/>
  <c r="S128" i="72"/>
  <c r="R128" i="72"/>
  <c r="Q128" i="72"/>
  <c r="AB126" i="72"/>
  <c r="AA126" i="72"/>
  <c r="Z126" i="72"/>
  <c r="Y126" i="72"/>
  <c r="X126" i="72"/>
  <c r="W126" i="72"/>
  <c r="V126" i="72"/>
  <c r="U126" i="72"/>
  <c r="T126" i="72"/>
  <c r="S126" i="72"/>
  <c r="R126" i="72"/>
  <c r="Q126" i="72"/>
  <c r="AB125" i="72"/>
  <c r="AA125" i="72"/>
  <c r="Z125" i="72"/>
  <c r="Y125" i="72"/>
  <c r="X125" i="72"/>
  <c r="W125" i="72"/>
  <c r="V125" i="72"/>
  <c r="U125" i="72"/>
  <c r="T125" i="72"/>
  <c r="S125" i="72"/>
  <c r="R125" i="72"/>
  <c r="Q125" i="72"/>
  <c r="G117" i="72"/>
  <c r="G116" i="72"/>
  <c r="AO115" i="72"/>
  <c r="AN115" i="72"/>
  <c r="AM115" i="72"/>
  <c r="AL115" i="72"/>
  <c r="AK115" i="72"/>
  <c r="AJ115" i="72"/>
  <c r="AI115" i="72"/>
  <c r="AH115" i="72"/>
  <c r="AG115" i="72"/>
  <c r="AF115" i="72"/>
  <c r="AP115" i="72" s="1"/>
  <c r="AE115" i="72"/>
  <c r="AD115" i="72"/>
  <c r="G115" i="72"/>
  <c r="AO114" i="72"/>
  <c r="AN114" i="72"/>
  <c r="AM114" i="72"/>
  <c r="AL114" i="72"/>
  <c r="AK114" i="72"/>
  <c r="AJ114" i="72"/>
  <c r="AI114" i="72"/>
  <c r="AH114" i="72"/>
  <c r="AG114" i="72"/>
  <c r="AF114" i="72"/>
  <c r="AE114" i="72"/>
  <c r="AP114" i="72" s="1"/>
  <c r="AD114" i="72"/>
  <c r="G114" i="72"/>
  <c r="AO113" i="72"/>
  <c r="AN113" i="72"/>
  <c r="AM113" i="72"/>
  <c r="AL113" i="72"/>
  <c r="AK113" i="72"/>
  <c r="AJ113" i="72"/>
  <c r="AI113" i="72"/>
  <c r="AH113" i="72"/>
  <c r="AG113" i="72"/>
  <c r="AF113" i="72"/>
  <c r="AE113" i="72"/>
  <c r="AD113" i="72"/>
  <c r="AP113" i="72" s="1"/>
  <c r="G113" i="72"/>
  <c r="AO112" i="72"/>
  <c r="AN112" i="72"/>
  <c r="AM112" i="72"/>
  <c r="AL112" i="72"/>
  <c r="AK112" i="72"/>
  <c r="AJ112" i="72"/>
  <c r="AI112" i="72"/>
  <c r="AH112" i="72"/>
  <c r="AG112" i="72"/>
  <c r="AF112" i="72"/>
  <c r="AE112" i="72"/>
  <c r="AD112" i="72"/>
  <c r="AP112" i="72" s="1"/>
  <c r="G112" i="72"/>
  <c r="G118" i="72" s="1"/>
  <c r="AO111" i="72"/>
  <c r="AN111" i="72"/>
  <c r="AM111" i="72"/>
  <c r="AL111" i="72"/>
  <c r="AK111" i="72"/>
  <c r="AJ111" i="72"/>
  <c r="AI111" i="72"/>
  <c r="AH111" i="72"/>
  <c r="AG111" i="72"/>
  <c r="AF111" i="72"/>
  <c r="AE111" i="72"/>
  <c r="AD111" i="72"/>
  <c r="AP111" i="72" s="1"/>
  <c r="G111" i="72"/>
  <c r="G119" i="72" s="1"/>
  <c r="E111" i="72"/>
  <c r="O107" i="72"/>
  <c r="O106" i="72"/>
  <c r="O108" i="72" s="1"/>
  <c r="L105" i="72"/>
  <c r="N105" i="72" s="1"/>
  <c r="K105" i="72"/>
  <c r="F105" i="72"/>
  <c r="D105" i="72"/>
  <c r="AB104" i="72"/>
  <c r="AA104" i="72"/>
  <c r="Z104" i="72"/>
  <c r="Y104" i="72"/>
  <c r="X104" i="72"/>
  <c r="V104" i="72"/>
  <c r="T104" i="72"/>
  <c r="S104" i="72"/>
  <c r="R104" i="72"/>
  <c r="Q104" i="72"/>
  <c r="O104" i="72" s="1"/>
  <c r="N104" i="72"/>
  <c r="L104" i="72"/>
  <c r="J104" i="72"/>
  <c r="S103" i="72"/>
  <c r="R103" i="72"/>
  <c r="O103" i="72"/>
  <c r="AB102" i="72"/>
  <c r="AA102" i="72"/>
  <c r="Z102" i="72"/>
  <c r="Y102" i="72"/>
  <c r="X102" i="72"/>
  <c r="W102" i="72"/>
  <c r="V102" i="72"/>
  <c r="O102" i="72" s="1"/>
  <c r="U102" i="72"/>
  <c r="T102" i="72"/>
  <c r="S102" i="72"/>
  <c r="R102" i="72"/>
  <c r="Q102" i="72"/>
  <c r="AP101" i="72"/>
  <c r="O101" i="72"/>
  <c r="M100" i="72"/>
  <c r="H100" i="72"/>
  <c r="J100" i="72" s="1"/>
  <c r="G100" i="72"/>
  <c r="E100" i="72"/>
  <c r="M98" i="72"/>
  <c r="H98" i="72"/>
  <c r="L98" i="72" s="1"/>
  <c r="G98" i="72"/>
  <c r="E98" i="72"/>
  <c r="M95" i="72"/>
  <c r="N95" i="72" s="1"/>
  <c r="L95" i="72"/>
  <c r="H95" i="72"/>
  <c r="J95" i="72" s="1"/>
  <c r="G95" i="72"/>
  <c r="E95" i="72"/>
  <c r="M94" i="72"/>
  <c r="N94" i="72" s="1"/>
  <c r="L94" i="72"/>
  <c r="H94" i="72"/>
  <c r="J94" i="72" s="1"/>
  <c r="G94" i="72"/>
  <c r="E94" i="72"/>
  <c r="M93" i="72"/>
  <c r="N93" i="72" s="1"/>
  <c r="L93" i="72"/>
  <c r="H93" i="72"/>
  <c r="J93" i="72" s="1"/>
  <c r="G93" i="72"/>
  <c r="E93" i="72"/>
  <c r="N90" i="72"/>
  <c r="M90" i="72"/>
  <c r="H90" i="72"/>
  <c r="L90" i="72" s="1"/>
  <c r="G90" i="72"/>
  <c r="E90" i="72"/>
  <c r="N88" i="72"/>
  <c r="M88" i="72"/>
  <c r="H88" i="72"/>
  <c r="L88" i="72" s="1"/>
  <c r="G88" i="72"/>
  <c r="E88" i="72"/>
  <c r="N86" i="72"/>
  <c r="M86" i="72"/>
  <c r="L86" i="72"/>
  <c r="J86" i="72"/>
  <c r="H86" i="72"/>
  <c r="G86" i="72"/>
  <c r="E86" i="72"/>
  <c r="N85" i="72"/>
  <c r="M85" i="72"/>
  <c r="L85" i="72"/>
  <c r="J85" i="72"/>
  <c r="H85" i="72"/>
  <c r="G85" i="72"/>
  <c r="E85" i="72"/>
  <c r="N84" i="72"/>
  <c r="M84" i="72"/>
  <c r="L84" i="72"/>
  <c r="J84" i="72"/>
  <c r="H84" i="72"/>
  <c r="G84" i="72"/>
  <c r="E84" i="72"/>
  <c r="M81" i="72"/>
  <c r="H81" i="72"/>
  <c r="N81" i="72" s="1"/>
  <c r="G81" i="72"/>
  <c r="E81" i="72"/>
  <c r="M80" i="72"/>
  <c r="H80" i="72"/>
  <c r="N80" i="72" s="1"/>
  <c r="G80" i="72"/>
  <c r="E80" i="72"/>
  <c r="M79" i="72"/>
  <c r="H79" i="72"/>
  <c r="M78" i="72"/>
  <c r="N78" i="72" s="1"/>
  <c r="L78" i="72"/>
  <c r="J78" i="72"/>
  <c r="H78" i="72"/>
  <c r="G78" i="72"/>
  <c r="E78" i="72"/>
  <c r="M77" i="72"/>
  <c r="N77" i="72" s="1"/>
  <c r="L77" i="72"/>
  <c r="J77" i="72"/>
  <c r="H77" i="72"/>
  <c r="G77" i="72"/>
  <c r="E77" i="72"/>
  <c r="M76" i="72"/>
  <c r="H76" i="72"/>
  <c r="N75" i="72"/>
  <c r="M75" i="72"/>
  <c r="L75" i="72"/>
  <c r="J75" i="72"/>
  <c r="H75" i="72"/>
  <c r="G75" i="72"/>
  <c r="E75" i="72"/>
  <c r="N74" i="72"/>
  <c r="M74" i="72"/>
  <c r="L74" i="72"/>
  <c r="J74" i="72"/>
  <c r="H74" i="72"/>
  <c r="G74" i="72"/>
  <c r="E74" i="72"/>
  <c r="M73" i="72"/>
  <c r="H73" i="72"/>
  <c r="M72" i="72"/>
  <c r="H72" i="72"/>
  <c r="J72" i="72" s="1"/>
  <c r="G72" i="72"/>
  <c r="E72" i="72"/>
  <c r="M71" i="72"/>
  <c r="H71" i="72"/>
  <c r="J71" i="72" s="1"/>
  <c r="G71" i="72"/>
  <c r="E71" i="72"/>
  <c r="M70" i="72"/>
  <c r="H70" i="72"/>
  <c r="J70" i="72" s="1"/>
  <c r="G70" i="72"/>
  <c r="E70" i="72"/>
  <c r="V66" i="72"/>
  <c r="M66" i="72"/>
  <c r="N66" i="72" s="1"/>
  <c r="H66" i="72"/>
  <c r="L66" i="72" s="1"/>
  <c r="G66" i="72"/>
  <c r="E66" i="72"/>
  <c r="N65" i="72"/>
  <c r="M65" i="72"/>
  <c r="L65" i="72"/>
  <c r="H65" i="72"/>
  <c r="G65" i="72"/>
  <c r="E65" i="72"/>
  <c r="M64" i="72"/>
  <c r="H64" i="72"/>
  <c r="N63" i="72"/>
  <c r="M63" i="72"/>
  <c r="H63" i="72"/>
  <c r="L63" i="72" s="1"/>
  <c r="G63" i="72"/>
  <c r="E63" i="72"/>
  <c r="M62" i="72"/>
  <c r="N62" i="72" s="1"/>
  <c r="H62" i="72"/>
  <c r="L62" i="72" s="1"/>
  <c r="G62" i="72"/>
  <c r="E62" i="72"/>
  <c r="M61" i="72"/>
  <c r="H61" i="72"/>
  <c r="M60" i="72"/>
  <c r="L60" i="72"/>
  <c r="H60" i="72"/>
  <c r="N60" i="72" s="1"/>
  <c r="G60" i="72"/>
  <c r="E60" i="72"/>
  <c r="N59" i="72"/>
  <c r="M59" i="72"/>
  <c r="H59" i="72"/>
  <c r="L59" i="72" s="1"/>
  <c r="G59" i="72"/>
  <c r="E59" i="72"/>
  <c r="M58" i="72"/>
  <c r="N58" i="72" s="1"/>
  <c r="H58" i="72"/>
  <c r="L58" i="72" s="1"/>
  <c r="G58" i="72"/>
  <c r="E58" i="72"/>
  <c r="M54" i="72"/>
  <c r="H54" i="72"/>
  <c r="N54" i="72" s="1"/>
  <c r="G54" i="72"/>
  <c r="E54" i="72"/>
  <c r="M53" i="72"/>
  <c r="H53" i="72"/>
  <c r="N53" i="72" s="1"/>
  <c r="G53" i="72"/>
  <c r="E53" i="72"/>
  <c r="M52" i="72"/>
  <c r="H52" i="72"/>
  <c r="N52" i="72" s="1"/>
  <c r="G52" i="72"/>
  <c r="E52" i="72"/>
  <c r="M51" i="72"/>
  <c r="H51" i="72"/>
  <c r="N51" i="72" s="1"/>
  <c r="G51" i="72"/>
  <c r="E51" i="72"/>
  <c r="M50" i="72"/>
  <c r="C50" i="72"/>
  <c r="E50" i="72" s="1"/>
  <c r="M49" i="72"/>
  <c r="H49" i="72"/>
  <c r="N49" i="72" s="1"/>
  <c r="G49" i="72"/>
  <c r="E49" i="72"/>
  <c r="C49" i="72"/>
  <c r="M46" i="72"/>
  <c r="N46" i="72" s="1"/>
  <c r="L46" i="72"/>
  <c r="J46" i="72"/>
  <c r="H46" i="72"/>
  <c r="G46" i="72"/>
  <c r="E46" i="72"/>
  <c r="M45" i="72"/>
  <c r="N45" i="72" s="1"/>
  <c r="L45" i="72"/>
  <c r="J45" i="72"/>
  <c r="H45" i="72"/>
  <c r="G45" i="72"/>
  <c r="E45" i="72"/>
  <c r="M44" i="72"/>
  <c r="N44" i="72" s="1"/>
  <c r="L44" i="72"/>
  <c r="J44" i="72"/>
  <c r="H44" i="72"/>
  <c r="G44" i="72"/>
  <c r="E44" i="72"/>
  <c r="M43" i="72"/>
  <c r="N43" i="72" s="1"/>
  <c r="L43" i="72"/>
  <c r="J43" i="72"/>
  <c r="H43" i="72"/>
  <c r="G43" i="72"/>
  <c r="E43" i="72"/>
  <c r="M42" i="72"/>
  <c r="N42" i="72" s="1"/>
  <c r="L42" i="72"/>
  <c r="J42" i="72"/>
  <c r="H42" i="72"/>
  <c r="G42" i="72"/>
  <c r="E42" i="72"/>
  <c r="M41" i="72"/>
  <c r="N41" i="72" s="1"/>
  <c r="L41" i="72"/>
  <c r="J41" i="72"/>
  <c r="H41" i="72"/>
  <c r="G41" i="72"/>
  <c r="E41" i="72"/>
  <c r="M38" i="72"/>
  <c r="N38" i="72" s="1"/>
  <c r="H38" i="72"/>
  <c r="L38" i="72" s="1"/>
  <c r="G38" i="72"/>
  <c r="E38" i="72"/>
  <c r="M37" i="72"/>
  <c r="N37" i="72" s="1"/>
  <c r="H37" i="72"/>
  <c r="L37" i="72" s="1"/>
  <c r="G37" i="72"/>
  <c r="E37" i="72"/>
  <c r="M36" i="72"/>
  <c r="N36" i="72" s="1"/>
  <c r="H36" i="72"/>
  <c r="L36" i="72" s="1"/>
  <c r="G36" i="72"/>
  <c r="E36" i="72"/>
  <c r="M35" i="72"/>
  <c r="N35" i="72" s="1"/>
  <c r="H35" i="72"/>
  <c r="L35" i="72" s="1"/>
  <c r="G35" i="72"/>
  <c r="E35" i="72"/>
  <c r="M34" i="72"/>
  <c r="N34" i="72" s="1"/>
  <c r="H34" i="72"/>
  <c r="L34" i="72" s="1"/>
  <c r="G34" i="72"/>
  <c r="E34" i="72"/>
  <c r="M33" i="72"/>
  <c r="N33" i="72" s="1"/>
  <c r="H33" i="72"/>
  <c r="L33" i="72" s="1"/>
  <c r="G33" i="72"/>
  <c r="E33" i="72"/>
  <c r="N31" i="72"/>
  <c r="M31" i="72"/>
  <c r="L31" i="72"/>
  <c r="J31" i="72"/>
  <c r="H31" i="72"/>
  <c r="G31" i="72"/>
  <c r="E31" i="72"/>
  <c r="M26" i="72"/>
  <c r="H26" i="72"/>
  <c r="J26" i="72" s="1"/>
  <c r="G26" i="72"/>
  <c r="E26" i="72"/>
  <c r="M25" i="72"/>
  <c r="H25" i="72"/>
  <c r="L25" i="72" s="1"/>
  <c r="G25" i="72"/>
  <c r="E25" i="72"/>
  <c r="M24" i="72"/>
  <c r="H24" i="72"/>
  <c r="L24" i="72" s="1"/>
  <c r="G24" i="72"/>
  <c r="E24" i="72"/>
  <c r="M22" i="72"/>
  <c r="N22" i="72" s="1"/>
  <c r="L22" i="72"/>
  <c r="J22" i="72"/>
  <c r="H22" i="72"/>
  <c r="G22" i="72"/>
  <c r="E22" i="72"/>
  <c r="M21" i="72"/>
  <c r="N21" i="72" s="1"/>
  <c r="L21" i="72"/>
  <c r="J21" i="72"/>
  <c r="H21" i="72"/>
  <c r="G21" i="72"/>
  <c r="E21" i="72"/>
  <c r="C21" i="72"/>
  <c r="C105" i="72" s="1"/>
  <c r="M19" i="72"/>
  <c r="N19" i="72" s="1"/>
  <c r="H19" i="72"/>
  <c r="L19" i="72" s="1"/>
  <c r="G19" i="72"/>
  <c r="E19" i="72"/>
  <c r="M18" i="72"/>
  <c r="N18" i="72" s="1"/>
  <c r="H18" i="72"/>
  <c r="L18" i="72" s="1"/>
  <c r="G18" i="72"/>
  <c r="E18" i="72"/>
  <c r="M17" i="72"/>
  <c r="N17" i="72" s="1"/>
  <c r="H17" i="72"/>
  <c r="L17" i="72" s="1"/>
  <c r="G17" i="72"/>
  <c r="E17" i="72"/>
  <c r="M16" i="72"/>
  <c r="N16" i="72" s="1"/>
  <c r="H16" i="72"/>
  <c r="L16" i="72" s="1"/>
  <c r="G16" i="72"/>
  <c r="E16" i="72"/>
  <c r="M15" i="72"/>
  <c r="N15" i="72" s="1"/>
  <c r="H15" i="72"/>
  <c r="L15" i="72" s="1"/>
  <c r="G15" i="72"/>
  <c r="E15" i="72"/>
  <c r="M14" i="72"/>
  <c r="N14" i="72" s="1"/>
  <c r="H14" i="72"/>
  <c r="L14" i="72" s="1"/>
  <c r="G14" i="72"/>
  <c r="E14" i="72"/>
  <c r="E101" i="72" s="1"/>
  <c r="E103" i="72" s="1"/>
  <c r="E106" i="72" s="1"/>
  <c r="E107" i="72" s="1"/>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9" i="72" s="1"/>
  <c r="A110" i="72" s="1"/>
  <c r="A111" i="72" s="1"/>
  <c r="A112" i="72" s="1"/>
  <c r="A113" i="72" s="1"/>
  <c r="A114" i="72" s="1"/>
  <c r="A115" i="72" s="1"/>
  <c r="A116" i="72" s="1"/>
  <c r="A117" i="72" s="1"/>
  <c r="A119" i="72" s="1"/>
  <c r="A120" i="72" s="1"/>
  <c r="A121" i="72" s="1"/>
  <c r="A122" i="72" s="1"/>
  <c r="A123" i="72" s="1"/>
  <c r="A124" i="72" s="1"/>
  <c r="A125" i="72" s="1"/>
  <c r="A126" i="72" s="1"/>
  <c r="A127" i="72" s="1"/>
  <c r="A128" i="72" s="1"/>
  <c r="A129" i="72" s="1"/>
  <c r="A130" i="72" s="1"/>
  <c r="A131" i="72" s="1"/>
  <c r="A132" i="72" s="1"/>
  <c r="A133" i="72" s="1"/>
  <c r="A11" i="72"/>
  <c r="U32" i="63"/>
  <c r="U33" i="63"/>
  <c r="U31" i="63"/>
  <c r="O32" i="63"/>
  <c r="O33" i="63"/>
  <c r="O31" i="63"/>
  <c r="J32" i="63"/>
  <c r="J33" i="63"/>
  <c r="J31" i="63"/>
  <c r="E48" i="80" l="1"/>
  <c r="G60" i="80"/>
  <c r="J60" i="80"/>
  <c r="K59" i="80"/>
  <c r="AB82" i="80"/>
  <c r="M32" i="80"/>
  <c r="F16" i="78"/>
  <c r="W79" i="78"/>
  <c r="Q80" i="78" s="1"/>
  <c r="Q81" i="78" s="1"/>
  <c r="J17" i="76"/>
  <c r="K17" i="76" s="1"/>
  <c r="F18" i="76"/>
  <c r="C19" i="76"/>
  <c r="I18" i="76"/>
  <c r="O105" i="72"/>
  <c r="G102" i="72"/>
  <c r="F102" i="72" s="1"/>
  <c r="K263" i="72"/>
  <c r="O109" i="72"/>
  <c r="J25" i="72"/>
  <c r="L26" i="72"/>
  <c r="G50" i="72"/>
  <c r="G101" i="72" s="1"/>
  <c r="G103" i="72" s="1"/>
  <c r="G106" i="72" s="1"/>
  <c r="J49" i="72"/>
  <c r="H50" i="72"/>
  <c r="L70" i="72"/>
  <c r="L71" i="72"/>
  <c r="L72" i="72"/>
  <c r="J80" i="72"/>
  <c r="J81" i="72"/>
  <c r="L100" i="72"/>
  <c r="D269" i="72"/>
  <c r="D275" i="72" s="1"/>
  <c r="N24" i="72"/>
  <c r="N25" i="72"/>
  <c r="N26" i="72"/>
  <c r="L49" i="72"/>
  <c r="J51" i="72"/>
  <c r="J52" i="72"/>
  <c r="J53" i="72"/>
  <c r="J54" i="72"/>
  <c r="L80" i="72"/>
  <c r="L81" i="72"/>
  <c r="N98" i="72"/>
  <c r="L52" i="72"/>
  <c r="L54" i="72"/>
  <c r="N70" i="72"/>
  <c r="N72" i="72"/>
  <c r="N100" i="72"/>
  <c r="J14" i="72"/>
  <c r="J15" i="72"/>
  <c r="J16" i="72"/>
  <c r="J17" i="72"/>
  <c r="J18" i="72"/>
  <c r="J19" i="72"/>
  <c r="J33" i="72"/>
  <c r="J34" i="72"/>
  <c r="J35" i="72"/>
  <c r="J36" i="72"/>
  <c r="J37" i="72"/>
  <c r="J38" i="72"/>
  <c r="L51" i="72"/>
  <c r="L53" i="72"/>
  <c r="N71" i="72"/>
  <c r="J24" i="72"/>
  <c r="J98" i="72"/>
  <c r="I16" i="78" l="1"/>
  <c r="Q82" i="78"/>
  <c r="Q83" i="78" s="1"/>
  <c r="F17" i="78"/>
  <c r="J18" i="76"/>
  <c r="K18" i="76" s="1"/>
  <c r="C20" i="76"/>
  <c r="I19" i="76"/>
  <c r="F19" i="76"/>
  <c r="L101" i="72"/>
  <c r="N101" i="72"/>
  <c r="J101" i="72"/>
  <c r="N50" i="72"/>
  <c r="L50" i="72"/>
  <c r="J50" i="72"/>
  <c r="L16" i="78" l="1"/>
  <c r="I17" i="78"/>
  <c r="L17" i="78" s="1"/>
  <c r="J19" i="76"/>
  <c r="K19" i="76" s="1"/>
  <c r="C21" i="76"/>
  <c r="I20" i="76"/>
  <c r="F20" i="76"/>
  <c r="L102" i="72"/>
  <c r="N102" i="72" s="1"/>
  <c r="N103" i="72" s="1"/>
  <c r="N106" i="72" s="1"/>
  <c r="J106" i="72"/>
  <c r="C22" i="76" l="1"/>
  <c r="I21" i="76"/>
  <c r="F21" i="76"/>
  <c r="J20" i="76"/>
  <c r="K20" i="76" s="1"/>
  <c r="L103" i="72"/>
  <c r="L106" i="72" s="1"/>
  <c r="C23" i="76" l="1"/>
  <c r="I22" i="76"/>
  <c r="F22" i="76"/>
  <c r="J21" i="76"/>
  <c r="K21" i="76" s="1"/>
  <c r="H30" i="61"/>
  <c r="E47" i="75" s="1"/>
  <c r="H29" i="61"/>
  <c r="E50" i="75" s="1"/>
  <c r="H28" i="61"/>
  <c r="E49" i="75" s="1"/>
  <c r="H27" i="61"/>
  <c r="E45" i="75" s="1"/>
  <c r="H26" i="61"/>
  <c r="E38" i="75" s="1"/>
  <c r="H25" i="61"/>
  <c r="E42" i="75" s="1"/>
  <c r="H24" i="61"/>
  <c r="E41" i="75" s="1"/>
  <c r="H23" i="61"/>
  <c r="E40" i="75" s="1"/>
  <c r="H22" i="61"/>
  <c r="E36" i="75" s="1"/>
  <c r="H20" i="61"/>
  <c r="E26" i="75" s="1"/>
  <c r="H19" i="61"/>
  <c r="E30" i="75" s="1"/>
  <c r="H18" i="61"/>
  <c r="E29" i="75" s="1"/>
  <c r="H17" i="61"/>
  <c r="E28" i="75" s="1"/>
  <c r="H16" i="61"/>
  <c r="E24" i="75" s="1"/>
  <c r="H14" i="61"/>
  <c r="E19" i="75" s="1"/>
  <c r="H13" i="61"/>
  <c r="E18" i="75" s="1"/>
  <c r="J22" i="76" l="1"/>
  <c r="K22" i="76" s="1"/>
  <c r="C24" i="76"/>
  <c r="F23" i="76"/>
  <c r="I23" i="76"/>
  <c r="H97" i="64"/>
  <c r="K97" i="64"/>
  <c r="L97" i="64"/>
  <c r="M97" i="64"/>
  <c r="A1" i="64"/>
  <c r="D11" i="13"/>
  <c r="M16" i="64"/>
  <c r="M17" i="64"/>
  <c r="M18" i="64"/>
  <c r="M19" i="64"/>
  <c r="M20" i="64"/>
  <c r="M22" i="64"/>
  <c r="M23" i="64"/>
  <c r="M25" i="64"/>
  <c r="M26" i="64"/>
  <c r="M27" i="64"/>
  <c r="M32" i="64"/>
  <c r="M34" i="64"/>
  <c r="M35" i="64"/>
  <c r="M36" i="64"/>
  <c r="M37" i="64"/>
  <c r="M38" i="64"/>
  <c r="M39" i="64"/>
  <c r="M42" i="64"/>
  <c r="M43" i="64"/>
  <c r="M44" i="64"/>
  <c r="M45" i="64"/>
  <c r="M46" i="64"/>
  <c r="M47" i="64"/>
  <c r="M50" i="64"/>
  <c r="M51" i="64"/>
  <c r="M52" i="64"/>
  <c r="M53" i="64"/>
  <c r="M54" i="64"/>
  <c r="M55" i="64"/>
  <c r="M59" i="64"/>
  <c r="M60" i="64"/>
  <c r="M61" i="64"/>
  <c r="M63" i="64"/>
  <c r="M64" i="64"/>
  <c r="M66" i="64"/>
  <c r="M67" i="64"/>
  <c r="M71" i="64"/>
  <c r="M72" i="64"/>
  <c r="M73" i="64"/>
  <c r="M75" i="64"/>
  <c r="M76" i="64"/>
  <c r="M78" i="64"/>
  <c r="M79" i="64"/>
  <c r="M81" i="64"/>
  <c r="M82" i="64"/>
  <c r="M85" i="64"/>
  <c r="M86" i="64"/>
  <c r="M87" i="64"/>
  <c r="M89" i="64"/>
  <c r="M91" i="64"/>
  <c r="M94" i="64"/>
  <c r="M95" i="64"/>
  <c r="M96" i="64"/>
  <c r="M99" i="64"/>
  <c r="M101" i="64"/>
  <c r="M15" i="64"/>
  <c r="D103" i="64"/>
  <c r="E108" i="64"/>
  <c r="K15" i="64"/>
  <c r="K16" i="64"/>
  <c r="K17" i="64"/>
  <c r="K18" i="64"/>
  <c r="K19" i="64"/>
  <c r="K20" i="64"/>
  <c r="K22" i="64"/>
  <c r="K23" i="64"/>
  <c r="K25" i="64"/>
  <c r="K26" i="64"/>
  <c r="K27" i="64"/>
  <c r="K32" i="64"/>
  <c r="K34" i="64"/>
  <c r="K35" i="64"/>
  <c r="K36" i="64"/>
  <c r="K37" i="64"/>
  <c r="K38" i="64"/>
  <c r="K39" i="64"/>
  <c r="K42" i="64"/>
  <c r="K43" i="64"/>
  <c r="K44" i="64"/>
  <c r="K45" i="64"/>
  <c r="K46" i="64"/>
  <c r="K47" i="64"/>
  <c r="K50" i="64"/>
  <c r="K51" i="64"/>
  <c r="K52" i="64"/>
  <c r="K53" i="64"/>
  <c r="K54" i="64"/>
  <c r="K55" i="64"/>
  <c r="K59" i="64"/>
  <c r="K60" i="64"/>
  <c r="K61" i="64"/>
  <c r="K63" i="64"/>
  <c r="K64" i="64"/>
  <c r="K66" i="64"/>
  <c r="K67" i="64"/>
  <c r="K71" i="64"/>
  <c r="K72" i="64"/>
  <c r="K73" i="64"/>
  <c r="K75" i="64"/>
  <c r="K76" i="64"/>
  <c r="K78" i="64"/>
  <c r="K79" i="64"/>
  <c r="K81" i="64"/>
  <c r="K82" i="64"/>
  <c r="K85" i="64"/>
  <c r="K86" i="64"/>
  <c r="K87" i="64"/>
  <c r="K89" i="64"/>
  <c r="K91" i="64"/>
  <c r="K94" i="64"/>
  <c r="K95" i="64"/>
  <c r="K96" i="64"/>
  <c r="K99" i="64"/>
  <c r="K101" i="64"/>
  <c r="H15" i="64"/>
  <c r="H16" i="64"/>
  <c r="H17" i="64"/>
  <c r="H18" i="64"/>
  <c r="H19" i="64"/>
  <c r="H20" i="64"/>
  <c r="H22" i="64"/>
  <c r="H23" i="64"/>
  <c r="H25" i="64"/>
  <c r="H26" i="64"/>
  <c r="H27" i="64"/>
  <c r="H32" i="64"/>
  <c r="H34" i="64"/>
  <c r="H35" i="64"/>
  <c r="H36" i="64"/>
  <c r="H37" i="64"/>
  <c r="H38" i="64"/>
  <c r="H39" i="64"/>
  <c r="H42" i="64"/>
  <c r="H43" i="64"/>
  <c r="H44" i="64"/>
  <c r="H45" i="64"/>
  <c r="H46" i="64"/>
  <c r="H47" i="64"/>
  <c r="H50" i="64"/>
  <c r="H51" i="64"/>
  <c r="H52" i="64"/>
  <c r="H53" i="64"/>
  <c r="H54" i="64"/>
  <c r="H55" i="64"/>
  <c r="H59" i="64"/>
  <c r="H60" i="64"/>
  <c r="H61" i="64"/>
  <c r="H63" i="64"/>
  <c r="H64" i="64"/>
  <c r="H66" i="64"/>
  <c r="H67" i="64"/>
  <c r="H71" i="64"/>
  <c r="H72" i="64"/>
  <c r="H73" i="64"/>
  <c r="H75" i="64"/>
  <c r="H76" i="64"/>
  <c r="H78" i="64"/>
  <c r="H79" i="64"/>
  <c r="H81" i="64"/>
  <c r="H82" i="64"/>
  <c r="H85" i="64"/>
  <c r="H86" i="64"/>
  <c r="H87" i="64"/>
  <c r="H89" i="64"/>
  <c r="H91" i="64"/>
  <c r="H94" i="64"/>
  <c r="H95" i="64"/>
  <c r="H96" i="64"/>
  <c r="H99" i="64"/>
  <c r="H101" i="64"/>
  <c r="B86" i="64"/>
  <c r="B87" i="64"/>
  <c r="B88" i="64"/>
  <c r="B89" i="64"/>
  <c r="B90" i="64"/>
  <c r="B91" i="64"/>
  <c r="B92" i="64"/>
  <c r="B93" i="64"/>
  <c r="B94" i="64"/>
  <c r="B95" i="64"/>
  <c r="B96" i="64"/>
  <c r="B97" i="64"/>
  <c r="B98" i="64"/>
  <c r="B99" i="64"/>
  <c r="B100" i="64"/>
  <c r="B101" i="64"/>
  <c r="L96" i="64"/>
  <c r="L95" i="64"/>
  <c r="L94" i="64"/>
  <c r="L91" i="64"/>
  <c r="L89" i="64"/>
  <c r="O89" i="64" s="1"/>
  <c r="L87" i="64"/>
  <c r="B12" i="64"/>
  <c r="B13" i="64"/>
  <c r="B14" i="64"/>
  <c r="B15" i="64"/>
  <c r="B16" i="64"/>
  <c r="B17" i="64"/>
  <c r="B18" i="64"/>
  <c r="B19" i="64"/>
  <c r="B20" i="64"/>
  <c r="B21" i="64"/>
  <c r="B22" i="64"/>
  <c r="B23" i="64"/>
  <c r="B24" i="64"/>
  <c r="B25" i="64"/>
  <c r="B26" i="64"/>
  <c r="B27" i="64"/>
  <c r="B28" i="64"/>
  <c r="B29" i="64"/>
  <c r="B30" i="64"/>
  <c r="B31" i="64"/>
  <c r="B32" i="64"/>
  <c r="B33" i="64"/>
  <c r="B34" i="64"/>
  <c r="B35" i="64"/>
  <c r="B36" i="64"/>
  <c r="B37" i="64"/>
  <c r="B38" i="64"/>
  <c r="B39" i="64"/>
  <c r="B40" i="64"/>
  <c r="B41" i="64"/>
  <c r="B42" i="64"/>
  <c r="B43" i="64"/>
  <c r="B44" i="64"/>
  <c r="B45" i="64"/>
  <c r="B46" i="64"/>
  <c r="B47" i="64"/>
  <c r="B48" i="64"/>
  <c r="B49" i="64"/>
  <c r="B50" i="64"/>
  <c r="B51" i="64"/>
  <c r="B52" i="64"/>
  <c r="B53" i="64"/>
  <c r="B54" i="64"/>
  <c r="B55" i="64"/>
  <c r="B56" i="64"/>
  <c r="B57" i="64"/>
  <c r="B58" i="64"/>
  <c r="B59" i="64"/>
  <c r="B60" i="64"/>
  <c r="B61" i="64"/>
  <c r="B62" i="64"/>
  <c r="B63" i="64"/>
  <c r="B64" i="64"/>
  <c r="B65" i="64"/>
  <c r="B66" i="64"/>
  <c r="B67" i="64"/>
  <c r="B68" i="64"/>
  <c r="B69" i="64"/>
  <c r="B70" i="64"/>
  <c r="B71" i="64"/>
  <c r="B72" i="64"/>
  <c r="B73" i="64"/>
  <c r="B74" i="64"/>
  <c r="B75" i="64"/>
  <c r="B76" i="64"/>
  <c r="B77" i="64"/>
  <c r="B78" i="64"/>
  <c r="B79" i="64"/>
  <c r="B80" i="64"/>
  <c r="B81" i="64"/>
  <c r="B82" i="64"/>
  <c r="B83" i="64"/>
  <c r="B84" i="64"/>
  <c r="B85" i="64"/>
  <c r="B11" i="64"/>
  <c r="L67" i="64"/>
  <c r="L64" i="64"/>
  <c r="L61" i="64"/>
  <c r="L60" i="64"/>
  <c r="L55" i="64"/>
  <c r="L54" i="64"/>
  <c r="L53" i="64"/>
  <c r="O53" i="64" s="1"/>
  <c r="L52" i="64"/>
  <c r="L51" i="64"/>
  <c r="L50" i="64"/>
  <c r="L42" i="64"/>
  <c r="L39" i="64"/>
  <c r="L38" i="64"/>
  <c r="L37" i="64"/>
  <c r="O37" i="64" s="1"/>
  <c r="L36" i="64"/>
  <c r="L35" i="64"/>
  <c r="L34" i="64"/>
  <c r="O34" i="64" s="1"/>
  <c r="L32" i="64"/>
  <c r="L27" i="64"/>
  <c r="L26" i="64"/>
  <c r="O26" i="64" s="1"/>
  <c r="L25" i="64"/>
  <c r="L23" i="64"/>
  <c r="L22" i="64"/>
  <c r="L20" i="64"/>
  <c r="L19" i="64"/>
  <c r="L17" i="64"/>
  <c r="L16" i="64"/>
  <c r="L15" i="64"/>
  <c r="L71" i="64"/>
  <c r="L46" i="64"/>
  <c r="L45" i="64"/>
  <c r="O45" i="64" s="1"/>
  <c r="L44" i="64"/>
  <c r="L43" i="64"/>
  <c r="L78" i="64"/>
  <c r="L75" i="64"/>
  <c r="L86" i="64"/>
  <c r="L81" i="64"/>
  <c r="O81" i="64" s="1"/>
  <c r="L101" i="64"/>
  <c r="O101" i="64" s="1"/>
  <c r="J23" i="76" l="1"/>
  <c r="K23" i="76" s="1"/>
  <c r="C25" i="76"/>
  <c r="F24" i="76"/>
  <c r="I24" i="76"/>
  <c r="O25" i="64"/>
  <c r="O61" i="64"/>
  <c r="O42" i="64"/>
  <c r="O97" i="64"/>
  <c r="O50" i="64"/>
  <c r="O15" i="64"/>
  <c r="O64" i="64"/>
  <c r="O44" i="64"/>
  <c r="O96" i="64"/>
  <c r="O32" i="64"/>
  <c r="O19" i="64"/>
  <c r="O35" i="64"/>
  <c r="O27" i="64"/>
  <c r="O20" i="64"/>
  <c r="O16" i="64"/>
  <c r="O36" i="64"/>
  <c r="O43" i="64"/>
  <c r="O51" i="64"/>
  <c r="O60" i="64"/>
  <c r="H102" i="64"/>
  <c r="H104" i="64" s="1"/>
  <c r="H108" i="64" s="1"/>
  <c r="H110" i="64" s="1"/>
  <c r="O67" i="64"/>
  <c r="O75" i="64"/>
  <c r="O91" i="64"/>
  <c r="K103" i="64"/>
  <c r="K108" i="64" s="1"/>
  <c r="O52" i="64"/>
  <c r="D108" i="64"/>
  <c r="C11" i="13" s="1"/>
  <c r="O95" i="64"/>
  <c r="O87" i="64"/>
  <c r="O71" i="64"/>
  <c r="O55" i="64"/>
  <c r="O39" i="64"/>
  <c r="O23" i="64"/>
  <c r="O94" i="64"/>
  <c r="O86" i="64"/>
  <c r="O78" i="64"/>
  <c r="O54" i="64"/>
  <c r="O46" i="64"/>
  <c r="O38" i="64"/>
  <c r="O22" i="64"/>
  <c r="O17" i="64"/>
  <c r="L63" i="64"/>
  <c r="O63" i="64" s="1"/>
  <c r="L66" i="64"/>
  <c r="O66" i="64" s="1"/>
  <c r="L18" i="64"/>
  <c r="O18" i="64" s="1"/>
  <c r="L59" i="64"/>
  <c r="O59" i="64" s="1"/>
  <c r="L72" i="64"/>
  <c r="O72" i="64" s="1"/>
  <c r="L47" i="64"/>
  <c r="O47" i="64" s="1"/>
  <c r="L85" i="64"/>
  <c r="O85" i="64" s="1"/>
  <c r="L73" i="64"/>
  <c r="O73" i="64" s="1"/>
  <c r="L76" i="64"/>
  <c r="O76" i="64" s="1"/>
  <c r="L79" i="64"/>
  <c r="O79" i="64" s="1"/>
  <c r="L82" i="64"/>
  <c r="O82" i="64" s="1"/>
  <c r="L99" i="64"/>
  <c r="O99" i="64" s="1"/>
  <c r="J24" i="76" l="1"/>
  <c r="K24" i="76" s="1"/>
  <c r="C26" i="76"/>
  <c r="F25" i="76"/>
  <c r="I25" i="76"/>
  <c r="O103" i="64"/>
  <c r="O102" i="64"/>
  <c r="E11" i="13"/>
  <c r="F11" i="13" s="1"/>
  <c r="G11" i="13" s="1"/>
  <c r="M32" i="61"/>
  <c r="L108" i="64"/>
  <c r="J25" i="76" l="1"/>
  <c r="K25" i="76" s="1"/>
  <c r="F26" i="76"/>
  <c r="C27" i="76"/>
  <c r="I26" i="76"/>
  <c r="O104" i="64"/>
  <c r="J26" i="76" l="1"/>
  <c r="K26" i="76" s="1"/>
  <c r="C28" i="76"/>
  <c r="F27" i="76"/>
  <c r="I27" i="76"/>
  <c r="O108" i="64"/>
  <c r="J21" i="62"/>
  <c r="J22" i="62"/>
  <c r="J23" i="62"/>
  <c r="J20" i="62"/>
  <c r="U44" i="74"/>
  <c r="S38" i="74"/>
  <c r="O37" i="74"/>
  <c r="U37" i="74" s="1"/>
  <c r="O38" i="74"/>
  <c r="U38" i="74" s="1"/>
  <c r="O39" i="74"/>
  <c r="U39" i="74" s="1"/>
  <c r="O44" i="74"/>
  <c r="O45" i="74"/>
  <c r="U45" i="74" s="1"/>
  <c r="O46" i="74"/>
  <c r="U46" i="74" s="1"/>
  <c r="M37" i="74"/>
  <c r="S37" i="74" s="1"/>
  <c r="M38" i="74"/>
  <c r="M39" i="74"/>
  <c r="S39" i="74" s="1"/>
  <c r="L19" i="74"/>
  <c r="R19" i="74" s="1"/>
  <c r="L20" i="74"/>
  <c r="R20" i="74" s="1"/>
  <c r="L22" i="74"/>
  <c r="R22" i="74" s="1"/>
  <c r="L23" i="74"/>
  <c r="R23" i="74" s="1"/>
  <c r="L18" i="74"/>
  <c r="R18" i="74" s="1"/>
  <c r="J34" i="74"/>
  <c r="J35" i="74"/>
  <c r="J36" i="74"/>
  <c r="J37" i="74"/>
  <c r="J38" i="74"/>
  <c r="J39" i="74"/>
  <c r="J40" i="74"/>
  <c r="J41" i="74"/>
  <c r="J42" i="74"/>
  <c r="J43" i="74"/>
  <c r="J44" i="74"/>
  <c r="J45" i="74"/>
  <c r="J46" i="74"/>
  <c r="J33" i="74"/>
  <c r="J29" i="74"/>
  <c r="J28" i="74"/>
  <c r="J23" i="74"/>
  <c r="J22" i="74"/>
  <c r="J19" i="74"/>
  <c r="J20" i="74"/>
  <c r="J18" i="74"/>
  <c r="J13" i="74"/>
  <c r="J14" i="74"/>
  <c r="J12" i="74"/>
  <c r="I40" i="74"/>
  <c r="I33" i="74"/>
  <c r="I29" i="74"/>
  <c r="I28" i="74"/>
  <c r="I22" i="74"/>
  <c r="I18" i="74"/>
  <c r="I13" i="74"/>
  <c r="I12" i="74"/>
  <c r="R18" i="63"/>
  <c r="R17" i="63"/>
  <c r="L12" i="63"/>
  <c r="R12" i="63" s="1"/>
  <c r="J27" i="63"/>
  <c r="J28" i="63"/>
  <c r="J29" i="63"/>
  <c r="J26" i="63"/>
  <c r="L12" i="62"/>
  <c r="R12" i="62" s="1"/>
  <c r="L12" i="60"/>
  <c r="R12" i="60" s="1"/>
  <c r="J21" i="60"/>
  <c r="J22" i="60"/>
  <c r="J23" i="60"/>
  <c r="J20" i="60"/>
  <c r="J27" i="76" l="1"/>
  <c r="K27" i="76" s="1"/>
  <c r="C29" i="76"/>
  <c r="F28" i="76"/>
  <c r="I28" i="76"/>
  <c r="G7" i="68"/>
  <c r="D7" i="68"/>
  <c r="D10" i="13"/>
  <c r="J28" i="76" l="1"/>
  <c r="K28" i="76" s="1"/>
  <c r="C30" i="76"/>
  <c r="F29" i="76"/>
  <c r="I29" i="76"/>
  <c r="H7" i="68"/>
  <c r="D24" i="74"/>
  <c r="L24" i="74" s="1"/>
  <c r="R24" i="74" s="1"/>
  <c r="D21" i="74"/>
  <c r="L21" i="74" s="1"/>
  <c r="R21" i="74" s="1"/>
  <c r="J29" i="76" l="1"/>
  <c r="K29" i="76" s="1"/>
  <c r="C31" i="76"/>
  <c r="I30" i="76"/>
  <c r="F30" i="76"/>
  <c r="C10" i="13"/>
  <c r="P73" i="71"/>
  <c r="O73" i="71"/>
  <c r="N73" i="71"/>
  <c r="M73" i="71"/>
  <c r="L73" i="71"/>
  <c r="K73" i="71"/>
  <c r="J73" i="71"/>
  <c r="I73" i="71"/>
  <c r="H73" i="71"/>
  <c r="G73" i="71"/>
  <c r="F73" i="71"/>
  <c r="E73" i="71"/>
  <c r="P63" i="71"/>
  <c r="O63" i="71"/>
  <c r="N63" i="71"/>
  <c r="M63" i="71"/>
  <c r="L63" i="71"/>
  <c r="K63" i="71"/>
  <c r="J63" i="71"/>
  <c r="I63" i="71"/>
  <c r="H63" i="71"/>
  <c r="G63" i="71"/>
  <c r="F63" i="71"/>
  <c r="E63" i="71"/>
  <c r="P53" i="71"/>
  <c r="O53" i="71"/>
  <c r="N53" i="71"/>
  <c r="M53" i="71"/>
  <c r="L53" i="71"/>
  <c r="K53" i="71"/>
  <c r="J53" i="71"/>
  <c r="I53" i="71"/>
  <c r="H53" i="71"/>
  <c r="G53" i="71"/>
  <c r="F53" i="71"/>
  <c r="E53" i="71"/>
  <c r="P43" i="71"/>
  <c r="O43" i="71"/>
  <c r="N43" i="71"/>
  <c r="M43" i="71"/>
  <c r="L43" i="71"/>
  <c r="K43" i="71"/>
  <c r="J43" i="71"/>
  <c r="I43" i="71"/>
  <c r="H43" i="71"/>
  <c r="G43" i="71"/>
  <c r="F43" i="71"/>
  <c r="E43" i="71"/>
  <c r="P32" i="71"/>
  <c r="O32" i="71"/>
  <c r="N32" i="71"/>
  <c r="M32" i="71"/>
  <c r="L32" i="71"/>
  <c r="K32" i="71"/>
  <c r="J32" i="71"/>
  <c r="I32" i="71"/>
  <c r="H32" i="71"/>
  <c r="G32" i="71"/>
  <c r="F32" i="71"/>
  <c r="E32" i="71"/>
  <c r="E22" i="71"/>
  <c r="P12" i="71"/>
  <c r="O12" i="71"/>
  <c r="N12" i="71"/>
  <c r="M12" i="71"/>
  <c r="L12" i="71"/>
  <c r="K12" i="71"/>
  <c r="J12" i="71"/>
  <c r="I12" i="71"/>
  <c r="H12" i="71"/>
  <c r="G12" i="71"/>
  <c r="F12" i="71"/>
  <c r="E12" i="71"/>
  <c r="Q72" i="71"/>
  <c r="R72" i="71" s="1"/>
  <c r="Q71" i="71"/>
  <c r="R71" i="71" s="1"/>
  <c r="Q70" i="71"/>
  <c r="G36" i="74" s="1"/>
  <c r="O36" i="74" s="1"/>
  <c r="U36" i="74" s="1"/>
  <c r="Q69" i="71"/>
  <c r="R69" i="71" s="1"/>
  <c r="Q68" i="71"/>
  <c r="R68" i="71" s="1"/>
  <c r="Q67" i="71"/>
  <c r="Q62" i="71"/>
  <c r="R62" i="71" s="1"/>
  <c r="Q61" i="71"/>
  <c r="G42" i="74" s="1"/>
  <c r="O42" i="74" s="1"/>
  <c r="U42" i="74" s="1"/>
  <c r="Q60" i="71"/>
  <c r="R60" i="71" s="1"/>
  <c r="Q59" i="71"/>
  <c r="R59" i="71" s="1"/>
  <c r="Q58" i="71"/>
  <c r="R58" i="71" s="1"/>
  <c r="Q57" i="71"/>
  <c r="R57" i="71" s="1"/>
  <c r="Q52" i="71"/>
  <c r="R52" i="71" s="1"/>
  <c r="Q51" i="71"/>
  <c r="R51" i="71" s="1"/>
  <c r="Q50" i="71"/>
  <c r="R50" i="71" s="1"/>
  <c r="Q49" i="71"/>
  <c r="R49" i="71" s="1"/>
  <c r="Q48" i="71"/>
  <c r="Q47" i="71"/>
  <c r="R47" i="71" s="1"/>
  <c r="Q42" i="71"/>
  <c r="R42" i="71" s="1"/>
  <c r="Q41" i="71"/>
  <c r="R41" i="71" s="1"/>
  <c r="Q40" i="71"/>
  <c r="R40" i="71" s="1"/>
  <c r="Q39" i="71"/>
  <c r="R39" i="71" s="1"/>
  <c r="Q38" i="71"/>
  <c r="R38" i="71" s="1"/>
  <c r="Q37" i="71"/>
  <c r="Q31" i="71"/>
  <c r="R31" i="71" s="1"/>
  <c r="Q30" i="71"/>
  <c r="R30" i="71" s="1"/>
  <c r="Q29" i="71"/>
  <c r="R29" i="71" s="1"/>
  <c r="Q28" i="71"/>
  <c r="Q27" i="71"/>
  <c r="R27" i="71" s="1"/>
  <c r="Q26" i="71"/>
  <c r="Q20" i="71"/>
  <c r="R20" i="71" s="1"/>
  <c r="Q19" i="71"/>
  <c r="R19" i="71" s="1"/>
  <c r="Q18" i="71"/>
  <c r="R18" i="71" s="1"/>
  <c r="Q17" i="71"/>
  <c r="R17" i="71" s="1"/>
  <c r="R16" i="71"/>
  <c r="Q16" i="71"/>
  <c r="Q11" i="71"/>
  <c r="R11" i="71" s="1"/>
  <c r="Q10" i="71"/>
  <c r="R10" i="71" s="1"/>
  <c r="Q9" i="71"/>
  <c r="R9" i="71" s="1"/>
  <c r="Q8" i="71"/>
  <c r="R8" i="71" s="1"/>
  <c r="Q7" i="71"/>
  <c r="Q6" i="71"/>
  <c r="S29" i="74"/>
  <c r="S23" i="74"/>
  <c r="S13" i="74"/>
  <c r="S28" i="74"/>
  <c r="S20" i="74"/>
  <c r="S19" i="74"/>
  <c r="S12" i="74"/>
  <c r="S23" i="63"/>
  <c r="S17" i="63"/>
  <c r="S16" i="63"/>
  <c r="S18" i="63"/>
  <c r="S22" i="74"/>
  <c r="S18" i="74"/>
  <c r="G33" i="74"/>
  <c r="F21" i="71"/>
  <c r="J30" i="76" l="1"/>
  <c r="K30" i="76" s="1"/>
  <c r="C32" i="76"/>
  <c r="F31" i="76"/>
  <c r="I31" i="76"/>
  <c r="G21" i="71"/>
  <c r="F22" i="71"/>
  <c r="R61" i="71"/>
  <c r="Q32" i="71"/>
  <c r="R32" i="71" s="1"/>
  <c r="Q63" i="71"/>
  <c r="R63" i="71" s="1"/>
  <c r="R28" i="71"/>
  <c r="Q12" i="71"/>
  <c r="R12" i="71" s="1"/>
  <c r="Q73" i="71"/>
  <c r="R73" i="71" s="1"/>
  <c r="Q53" i="71"/>
  <c r="R53" i="71" s="1"/>
  <c r="Q43" i="71"/>
  <c r="R43" i="71" s="1"/>
  <c r="R6" i="71"/>
  <c r="E33" i="74"/>
  <c r="M33" i="74" s="1"/>
  <c r="O33" i="74"/>
  <c r="U33" i="74" s="1"/>
  <c r="E42" i="74"/>
  <c r="M42" i="74" s="1"/>
  <c r="S42" i="74" s="1"/>
  <c r="E36" i="74"/>
  <c r="M36" i="74" s="1"/>
  <c r="S36" i="74" s="1"/>
  <c r="R7" i="71"/>
  <c r="R37" i="71"/>
  <c r="R48" i="71"/>
  <c r="R70" i="71"/>
  <c r="G35" i="74"/>
  <c r="O35" i="74" s="1"/>
  <c r="U35" i="74" s="1"/>
  <c r="R26" i="71"/>
  <c r="R67" i="71"/>
  <c r="G40" i="74"/>
  <c r="O40" i="74" s="1"/>
  <c r="U40" i="74" s="1"/>
  <c r="G41" i="74"/>
  <c r="O41" i="74" s="1"/>
  <c r="U41" i="74" s="1"/>
  <c r="G43" i="74"/>
  <c r="O43" i="74" s="1"/>
  <c r="U43" i="74" s="1"/>
  <c r="G34" i="74"/>
  <c r="O34" i="74" s="1"/>
  <c r="U34" i="74" s="1"/>
  <c r="E29" i="74"/>
  <c r="M29" i="74" s="1"/>
  <c r="E28" i="74"/>
  <c r="M28" i="74" s="1"/>
  <c r="D29" i="74"/>
  <c r="L29" i="74" s="1"/>
  <c r="R29" i="74" s="1"/>
  <c r="D28" i="74"/>
  <c r="L28" i="74" s="1"/>
  <c r="R28" i="74" s="1"/>
  <c r="E23" i="74"/>
  <c r="M23" i="74" s="1"/>
  <c r="O23" i="74" s="1"/>
  <c r="E19" i="74"/>
  <c r="M19" i="74" s="1"/>
  <c r="O19" i="74" s="1"/>
  <c r="E20" i="74"/>
  <c r="M20" i="74" s="1"/>
  <c r="O20" i="74" s="1"/>
  <c r="E22" i="74"/>
  <c r="M22" i="74" s="1"/>
  <c r="O22" i="74" s="1"/>
  <c r="E18" i="74"/>
  <c r="E13" i="74"/>
  <c r="M13" i="74" s="1"/>
  <c r="E12" i="74"/>
  <c r="M12" i="74" s="1"/>
  <c r="E17" i="63"/>
  <c r="M17" i="63" s="1"/>
  <c r="O17" i="63" s="1"/>
  <c r="E18" i="63"/>
  <c r="M18" i="63" s="1"/>
  <c r="O18" i="63" s="1"/>
  <c r="E16" i="63"/>
  <c r="M16" i="63" s="1"/>
  <c r="E12" i="63"/>
  <c r="M12" i="63" s="1"/>
  <c r="O12" i="63" s="1"/>
  <c r="D12" i="63"/>
  <c r="G29" i="63"/>
  <c r="G28" i="63"/>
  <c r="G27" i="63"/>
  <c r="G26" i="63"/>
  <c r="E23" i="63"/>
  <c r="M23" i="63" s="1"/>
  <c r="D23" i="63"/>
  <c r="L23" i="63" s="1"/>
  <c r="R23" i="63" s="1"/>
  <c r="D19" i="63"/>
  <c r="D13" i="74"/>
  <c r="L13" i="74" s="1"/>
  <c r="R13" i="74" s="1"/>
  <c r="D12" i="74"/>
  <c r="A1" i="74"/>
  <c r="B32" i="61"/>
  <c r="A2" i="64" s="1"/>
  <c r="C32" i="61"/>
  <c r="A3" i="64" s="1"/>
  <c r="J31" i="76" l="1"/>
  <c r="K31" i="76" s="1"/>
  <c r="C33" i="76"/>
  <c r="F32" i="76"/>
  <c r="I32" i="76"/>
  <c r="O13" i="74"/>
  <c r="H21" i="71"/>
  <c r="G22" i="71"/>
  <c r="O28" i="74"/>
  <c r="L12" i="74"/>
  <c r="R12" i="74" s="1"/>
  <c r="U12" i="74" s="1"/>
  <c r="O29" i="74"/>
  <c r="O24" i="74"/>
  <c r="S33" i="74"/>
  <c r="R19" i="63"/>
  <c r="L19" i="63"/>
  <c r="O23" i="63"/>
  <c r="O16" i="63"/>
  <c r="O19" i="63" s="1"/>
  <c r="G18" i="74"/>
  <c r="M18" i="74"/>
  <c r="O18" i="74" s="1"/>
  <c r="O21" i="74" s="1"/>
  <c r="E43" i="74"/>
  <c r="M43" i="74" s="1"/>
  <c r="S43" i="74" s="1"/>
  <c r="E41" i="74"/>
  <c r="M41" i="74" s="1"/>
  <c r="S41" i="74" s="1"/>
  <c r="E40" i="74"/>
  <c r="E35" i="74"/>
  <c r="M35" i="74" s="1"/>
  <c r="S35" i="74" s="1"/>
  <c r="E34" i="74"/>
  <c r="E27" i="63"/>
  <c r="M27" i="63" s="1"/>
  <c r="E28" i="63"/>
  <c r="M28" i="63" s="1"/>
  <c r="E29" i="63"/>
  <c r="M29" i="63" s="1"/>
  <c r="E26" i="63"/>
  <c r="D42" i="63"/>
  <c r="D37" i="69" s="1"/>
  <c r="G12" i="63"/>
  <c r="G13" i="74"/>
  <c r="D30" i="74"/>
  <c r="L30" i="74" s="1"/>
  <c r="R30" i="74" s="1"/>
  <c r="G12" i="74"/>
  <c r="U19" i="74"/>
  <c r="V19" i="74" s="1"/>
  <c r="U18" i="74"/>
  <c r="V18" i="74" s="1"/>
  <c r="U20" i="74"/>
  <c r="V20" i="74" s="1"/>
  <c r="G29" i="74"/>
  <c r="G20" i="74"/>
  <c r="G19" i="74"/>
  <c r="U28" i="74"/>
  <c r="U23" i="74"/>
  <c r="V23" i="74" s="1"/>
  <c r="G28" i="74"/>
  <c r="G23" i="74"/>
  <c r="G22" i="74"/>
  <c r="U18" i="63"/>
  <c r="V18" i="63" s="1"/>
  <c r="U17" i="63"/>
  <c r="V17" i="63" s="1"/>
  <c r="G18" i="63"/>
  <c r="G17" i="63"/>
  <c r="U13" i="74"/>
  <c r="V13" i="74" s="1"/>
  <c r="U29" i="74"/>
  <c r="V29" i="74" s="1"/>
  <c r="D14" i="74"/>
  <c r="L14" i="74" s="1"/>
  <c r="R14" i="74" s="1"/>
  <c r="J32" i="76" l="1"/>
  <c r="K32" i="76" s="1"/>
  <c r="C34" i="76"/>
  <c r="F33" i="76"/>
  <c r="I33" i="76"/>
  <c r="V28" i="74"/>
  <c r="H22" i="71"/>
  <c r="I21" i="71"/>
  <c r="E63" i="74"/>
  <c r="M34" i="74"/>
  <c r="E64" i="74"/>
  <c r="M40" i="74"/>
  <c r="O30" i="74"/>
  <c r="O12" i="74"/>
  <c r="O14" i="74" s="1"/>
  <c r="O29" i="63"/>
  <c r="U29" i="63" s="1"/>
  <c r="O27" i="63"/>
  <c r="U27" i="63" s="1"/>
  <c r="O28" i="63"/>
  <c r="U28" i="63" s="1"/>
  <c r="E30" i="63"/>
  <c r="M26" i="63"/>
  <c r="M30" i="63" s="1"/>
  <c r="G21" i="74"/>
  <c r="E21" i="74" s="1"/>
  <c r="M21" i="74" s="1"/>
  <c r="U22" i="74"/>
  <c r="G24" i="74"/>
  <c r="E24" i="74" s="1"/>
  <c r="M24" i="74" s="1"/>
  <c r="U21" i="74"/>
  <c r="D58" i="74"/>
  <c r="U48" i="74"/>
  <c r="U30" i="74"/>
  <c r="G48" i="74"/>
  <c r="O48" i="74" s="1"/>
  <c r="G49" i="74"/>
  <c r="O49" i="74" s="1"/>
  <c r="G30" i="74"/>
  <c r="E30" i="74" s="1"/>
  <c r="M30" i="74" s="1"/>
  <c r="U14" i="74"/>
  <c r="V14" i="74" s="1"/>
  <c r="G14" i="74"/>
  <c r="J33" i="76" l="1"/>
  <c r="K33" i="76" s="1"/>
  <c r="C35" i="76"/>
  <c r="F34" i="76"/>
  <c r="I34" i="76"/>
  <c r="J34" i="76" s="1"/>
  <c r="K34" i="76" s="1"/>
  <c r="V30" i="74"/>
  <c r="S21" i="74"/>
  <c r="V21" i="74"/>
  <c r="U24" i="74"/>
  <c r="V22" i="74"/>
  <c r="V48" i="74"/>
  <c r="V12" i="74"/>
  <c r="I22" i="71"/>
  <c r="J21" i="71"/>
  <c r="S40" i="74"/>
  <c r="S64" i="74" s="1"/>
  <c r="M64" i="74"/>
  <c r="S34" i="74"/>
  <c r="S63" i="74" s="1"/>
  <c r="M63" i="74"/>
  <c r="O26" i="63"/>
  <c r="O35" i="63" s="1"/>
  <c r="O51" i="74"/>
  <c r="U49" i="74"/>
  <c r="G60" i="74"/>
  <c r="S30" i="74"/>
  <c r="S14" i="74"/>
  <c r="G51" i="74"/>
  <c r="E14" i="74"/>
  <c r="M14" i="74" s="1"/>
  <c r="C36" i="76" l="1"/>
  <c r="I35" i="76"/>
  <c r="F35" i="76"/>
  <c r="S24" i="74"/>
  <c r="V24" i="74"/>
  <c r="U51" i="74"/>
  <c r="V49" i="74"/>
  <c r="J22" i="71"/>
  <c r="K21" i="71"/>
  <c r="U26" i="63"/>
  <c r="M16" i="61"/>
  <c r="O53" i="74"/>
  <c r="M22" i="61"/>
  <c r="E10" i="13"/>
  <c r="G55" i="74"/>
  <c r="G57" i="74" s="1"/>
  <c r="U53" i="74"/>
  <c r="O22" i="61" s="1"/>
  <c r="C178" i="75" s="1"/>
  <c r="J35" i="76" l="1"/>
  <c r="K35" i="76" s="1"/>
  <c r="C37" i="76"/>
  <c r="I36" i="76"/>
  <c r="F36" i="76"/>
  <c r="N22" i="61"/>
  <c r="V51" i="74"/>
  <c r="K22" i="71"/>
  <c r="L21" i="71"/>
  <c r="O55" i="74"/>
  <c r="O57" i="74"/>
  <c r="U57" i="74"/>
  <c r="Q22" i="61" s="1"/>
  <c r="E197" i="75" s="1"/>
  <c r="U55" i="74"/>
  <c r="P22" i="61" s="1"/>
  <c r="J36" i="76" l="1"/>
  <c r="K36" i="76" s="1"/>
  <c r="C38" i="76"/>
  <c r="F37" i="76"/>
  <c r="I37" i="76"/>
  <c r="F197" i="75"/>
  <c r="E178" i="75"/>
  <c r="L22" i="71"/>
  <c r="M21" i="71"/>
  <c r="C39" i="76" l="1"/>
  <c r="F38" i="76"/>
  <c r="I38" i="76"/>
  <c r="J37" i="76"/>
  <c r="K37" i="76" s="1"/>
  <c r="M22" i="71"/>
  <c r="N21" i="71"/>
  <c r="J38" i="76" l="1"/>
  <c r="K38" i="76" s="1"/>
  <c r="F39" i="76"/>
  <c r="I39" i="76"/>
  <c r="N22" i="71"/>
  <c r="O21" i="71"/>
  <c r="J30" i="61"/>
  <c r="I30" i="61"/>
  <c r="J27" i="61"/>
  <c r="I27" i="61"/>
  <c r="A1" i="13"/>
  <c r="A1" i="63"/>
  <c r="A1" i="62"/>
  <c r="A1" i="60"/>
  <c r="G23" i="60"/>
  <c r="G20" i="60"/>
  <c r="D17" i="60"/>
  <c r="C22" i="61"/>
  <c r="A3" i="74" s="1"/>
  <c r="B10" i="13" s="1"/>
  <c r="C16" i="61"/>
  <c r="C13" i="61"/>
  <c r="C10" i="61"/>
  <c r="B22" i="61"/>
  <c r="A2" i="74" s="1"/>
  <c r="A10" i="13" s="1"/>
  <c r="B16" i="61"/>
  <c r="B13" i="61"/>
  <c r="B10" i="61"/>
  <c r="J39" i="76" l="1"/>
  <c r="K39" i="76" s="1"/>
  <c r="O22" i="71"/>
  <c r="P21" i="71"/>
  <c r="L34" i="60"/>
  <c r="E20" i="60"/>
  <c r="M20" i="60" s="1"/>
  <c r="O20" i="60" s="1"/>
  <c r="U20" i="60" s="1"/>
  <c r="E23" i="60"/>
  <c r="M23" i="60" s="1"/>
  <c r="O23" i="60" s="1"/>
  <c r="U23" i="60" s="1"/>
  <c r="G21" i="60"/>
  <c r="E21" i="60" s="1"/>
  <c r="D17" i="62"/>
  <c r="G21" i="62"/>
  <c r="G23" i="62"/>
  <c r="G22" i="60"/>
  <c r="E22" i="60" s="1"/>
  <c r="M22" i="60" s="1"/>
  <c r="O22" i="60" s="1"/>
  <c r="U22" i="60" s="1"/>
  <c r="G20" i="62"/>
  <c r="G22" i="62"/>
  <c r="K27" i="61"/>
  <c r="K30" i="61"/>
  <c r="P22" i="71" l="1"/>
  <c r="Q21" i="71"/>
  <c r="E24" i="60"/>
  <c r="M21" i="60"/>
  <c r="E22" i="62"/>
  <c r="M22" i="62" s="1"/>
  <c r="O22" i="62" s="1"/>
  <c r="U22" i="62" s="1"/>
  <c r="E23" i="62"/>
  <c r="M23" i="62" s="1"/>
  <c r="O23" i="62" s="1"/>
  <c r="U23" i="62" s="1"/>
  <c r="E20" i="62"/>
  <c r="M20" i="62" s="1"/>
  <c r="E21" i="62"/>
  <c r="M21" i="62" s="1"/>
  <c r="O21" i="62" s="1"/>
  <c r="U21" i="62" s="1"/>
  <c r="R21" i="71" l="1"/>
  <c r="Q22" i="71"/>
  <c r="R22" i="71" s="1"/>
  <c r="O20" i="62"/>
  <c r="U20" i="62" s="1"/>
  <c r="M24" i="62"/>
  <c r="O21" i="60"/>
  <c r="U21" i="60" s="1"/>
  <c r="M24" i="60"/>
  <c r="E24" i="62"/>
  <c r="D17" i="68" l="1"/>
  <c r="D9" i="13"/>
  <c r="D8" i="13"/>
  <c r="C35" i="69"/>
  <c r="C36" i="69"/>
  <c r="C37" i="69"/>
  <c r="C38" i="69"/>
  <c r="C34" i="69"/>
  <c r="C25" i="69"/>
  <c r="C26" i="69"/>
  <c r="C27" i="69"/>
  <c r="C28" i="69"/>
  <c r="C24" i="69"/>
  <c r="A1" i="70"/>
  <c r="E14" i="69"/>
  <c r="E13" i="69"/>
  <c r="E7" i="68"/>
  <c r="E9" i="68" s="1"/>
  <c r="A1" i="68"/>
  <c r="C9" i="68"/>
  <c r="C10" i="68" s="1"/>
  <c r="I25" i="61"/>
  <c r="I14" i="61"/>
  <c r="K13" i="61"/>
  <c r="I11" i="61"/>
  <c r="F14" i="69"/>
  <c r="S17" i="60"/>
  <c r="B11" i="13"/>
  <c r="A11" i="13"/>
  <c r="A3" i="63"/>
  <c r="B9" i="13" s="1"/>
  <c r="A2" i="63"/>
  <c r="A9" i="13" s="1"/>
  <c r="E17" i="62"/>
  <c r="M17" i="62" s="1"/>
  <c r="O17" i="62" s="1"/>
  <c r="E12" i="62"/>
  <c r="A3" i="62"/>
  <c r="B8" i="13" s="1"/>
  <c r="A2" i="62"/>
  <c r="A8" i="13" s="1"/>
  <c r="E17" i="60"/>
  <c r="M17" i="60" s="1"/>
  <c r="O17" i="60" s="1"/>
  <c r="E12" i="60"/>
  <c r="A3" i="60"/>
  <c r="B7" i="13" s="1"/>
  <c r="A2" i="60"/>
  <c r="A7" i="13" s="1"/>
  <c r="J20" i="61"/>
  <c r="D17" i="28"/>
  <c r="T17" i="28" s="1"/>
  <c r="W17" i="28" s="1"/>
  <c r="E18" i="24"/>
  <c r="G18" i="24"/>
  <c r="D20" i="28"/>
  <c r="G20" i="28"/>
  <c r="D19" i="28"/>
  <c r="G19" i="28"/>
  <c r="G106" i="28"/>
  <c r="E106" i="28"/>
  <c r="D106" i="28"/>
  <c r="C106" i="28"/>
  <c r="G88" i="28"/>
  <c r="E88" i="28"/>
  <c r="D88" i="28"/>
  <c r="C88" i="28"/>
  <c r="D18" i="28"/>
  <c r="G70" i="28"/>
  <c r="E70" i="28"/>
  <c r="D70" i="28"/>
  <c r="C70" i="28"/>
  <c r="U12" i="24"/>
  <c r="U18" i="28"/>
  <c r="U12" i="28"/>
  <c r="M22" i="28"/>
  <c r="T24" i="28"/>
  <c r="W24" i="28"/>
  <c r="U19" i="24"/>
  <c r="M19" i="24"/>
  <c r="G52" i="28"/>
  <c r="G28" i="28" s="1"/>
  <c r="O24" i="28"/>
  <c r="E66" i="24"/>
  <c r="E46" i="24"/>
  <c r="D46" i="24"/>
  <c r="E52" i="28"/>
  <c r="F66" i="24"/>
  <c r="D66" i="24"/>
  <c r="D16" i="24" s="1"/>
  <c r="G16" i="24" s="1"/>
  <c r="C66" i="24"/>
  <c r="F46" i="24"/>
  <c r="C46" i="24"/>
  <c r="D12" i="24" s="1"/>
  <c r="D52" i="28"/>
  <c r="D12" i="28"/>
  <c r="G12" i="28" s="1"/>
  <c r="H12" i="13"/>
  <c r="C52" i="28"/>
  <c r="T18" i="28"/>
  <c r="W18" i="28" s="1"/>
  <c r="G18" i="28"/>
  <c r="G24" i="24"/>
  <c r="L16" i="24"/>
  <c r="L18" i="24" s="1"/>
  <c r="D21" i="28"/>
  <c r="L17" i="28" s="1"/>
  <c r="J11" i="61"/>
  <c r="J19" i="61"/>
  <c r="J16" i="61"/>
  <c r="J26" i="61"/>
  <c r="J22" i="61"/>
  <c r="J13" i="61"/>
  <c r="J14" i="61"/>
  <c r="J25" i="61"/>
  <c r="J10" i="61"/>
  <c r="K22" i="61"/>
  <c r="I19" i="61"/>
  <c r="D7" i="13"/>
  <c r="K11" i="61"/>
  <c r="D10" i="68"/>
  <c r="G12" i="62" l="1"/>
  <c r="M12" i="62"/>
  <c r="O12" i="62" s="1"/>
  <c r="O26" i="62" s="1"/>
  <c r="M13" i="61" s="1"/>
  <c r="G12" i="60"/>
  <c r="M12" i="60"/>
  <c r="O12" i="60" s="1"/>
  <c r="O26" i="60" s="1"/>
  <c r="M10" i="61" s="1"/>
  <c r="D37" i="68"/>
  <c r="D35" i="68"/>
  <c r="D21" i="68"/>
  <c r="D13" i="68"/>
  <c r="D26" i="68"/>
  <c r="D39" i="68"/>
  <c r="I18" i="61"/>
  <c r="S12" i="63"/>
  <c r="U12" i="63" s="1"/>
  <c r="V12" i="63" s="1"/>
  <c r="K16" i="61"/>
  <c r="D11" i="68"/>
  <c r="D9" i="68"/>
  <c r="F9" i="68" s="1"/>
  <c r="D16" i="68"/>
  <c r="D33" i="68"/>
  <c r="D27" i="68"/>
  <c r="D36" i="68"/>
  <c r="D31" i="68"/>
  <c r="D12" i="68"/>
  <c r="D38" i="68"/>
  <c r="D19" i="68"/>
  <c r="D20" i="68"/>
  <c r="I17" i="61"/>
  <c r="E8" i="68"/>
  <c r="D30" i="68"/>
  <c r="D8" i="68"/>
  <c r="D18" i="68"/>
  <c r="I22" i="61"/>
  <c r="D29" i="68"/>
  <c r="D28" i="68"/>
  <c r="D14" i="68"/>
  <c r="D34" i="68"/>
  <c r="K19" i="61"/>
  <c r="D24" i="68"/>
  <c r="D23" i="68"/>
  <c r="D32" i="68"/>
  <c r="K26" i="61"/>
  <c r="D25" i="68"/>
  <c r="D22" i="68"/>
  <c r="D15" i="68"/>
  <c r="I16" i="61"/>
  <c r="I26" i="61"/>
  <c r="O18" i="24"/>
  <c r="T16" i="24"/>
  <c r="L18" i="28"/>
  <c r="O18" i="28" s="1"/>
  <c r="L21" i="28"/>
  <c r="O21" i="28" s="1"/>
  <c r="O17" i="28"/>
  <c r="E10" i="68"/>
  <c r="F10" i="68" s="1"/>
  <c r="C11" i="68"/>
  <c r="W21" i="28"/>
  <c r="L12" i="24"/>
  <c r="G12" i="24"/>
  <c r="G22" i="24" s="1"/>
  <c r="G26" i="24" s="1"/>
  <c r="G28" i="24" s="1"/>
  <c r="L12" i="28"/>
  <c r="K25" i="61"/>
  <c r="G17" i="28"/>
  <c r="G21" i="28" s="1"/>
  <c r="G26" i="28" s="1"/>
  <c r="G30" i="28" s="1"/>
  <c r="G32" i="28" s="1"/>
  <c r="L17" i="24"/>
  <c r="O17" i="24" s="1"/>
  <c r="O16" i="24"/>
  <c r="K20" i="61"/>
  <c r="S12" i="62"/>
  <c r="K14" i="61"/>
  <c r="S17" i="62"/>
  <c r="I13" i="61"/>
  <c r="I20" i="61"/>
  <c r="H9" i="68"/>
  <c r="H11" i="68"/>
  <c r="H10" i="68"/>
  <c r="H8" i="68"/>
  <c r="D34" i="60"/>
  <c r="C39" i="68" s="1"/>
  <c r="H39" i="68" s="1"/>
  <c r="D34" i="62"/>
  <c r="E39" i="68" l="1"/>
  <c r="O39" i="60"/>
  <c r="U12" i="62"/>
  <c r="V12" i="62" s="1"/>
  <c r="F39" i="68"/>
  <c r="F8" i="68"/>
  <c r="D35" i="69"/>
  <c r="O12" i="24"/>
  <c r="T12" i="24"/>
  <c r="W12" i="24" s="1"/>
  <c r="O22" i="28"/>
  <c r="O19" i="24"/>
  <c r="O12" i="28"/>
  <c r="T12" i="28"/>
  <c r="W12" i="28" s="1"/>
  <c r="W27" i="28" s="1"/>
  <c r="W29" i="28" s="1"/>
  <c r="W31" i="28" s="1"/>
  <c r="W16" i="24"/>
  <c r="T17" i="24"/>
  <c r="W17" i="24" s="1"/>
  <c r="T18" i="24"/>
  <c r="W18" i="24" s="1"/>
  <c r="D34" i="69"/>
  <c r="C12" i="68"/>
  <c r="E11" i="68"/>
  <c r="F11" i="68" s="1"/>
  <c r="F10" i="13"/>
  <c r="G10" i="13" s="1"/>
  <c r="D12" i="13"/>
  <c r="U23" i="63"/>
  <c r="V23" i="63" s="1"/>
  <c r="G23" i="63"/>
  <c r="C9" i="13"/>
  <c r="G16" i="63"/>
  <c r="G19" i="63" s="1"/>
  <c r="G44" i="63" s="1"/>
  <c r="G17" i="60"/>
  <c r="G36" i="60" s="1"/>
  <c r="C7" i="13"/>
  <c r="C8" i="13"/>
  <c r="G17" i="62"/>
  <c r="G35" i="63" l="1"/>
  <c r="U16" i="63"/>
  <c r="U17" i="60"/>
  <c r="V17" i="60" s="1"/>
  <c r="S23" i="60"/>
  <c r="S22" i="60"/>
  <c r="S21" i="60"/>
  <c r="S20" i="60"/>
  <c r="U17" i="62"/>
  <c r="S21" i="62"/>
  <c r="S23" i="62"/>
  <c r="S22" i="62"/>
  <c r="S20" i="62"/>
  <c r="G26" i="62"/>
  <c r="G35" i="62"/>
  <c r="E19" i="63"/>
  <c r="M19" i="63" s="1"/>
  <c r="O37" i="63"/>
  <c r="I10" i="13"/>
  <c r="J10" i="13" s="1"/>
  <c r="D36" i="69"/>
  <c r="O23" i="24"/>
  <c r="O25" i="24" s="1"/>
  <c r="O27" i="24" s="1"/>
  <c r="C13" i="68"/>
  <c r="E12" i="68"/>
  <c r="F12" i="68" s="1"/>
  <c r="H12" i="68"/>
  <c r="O27" i="28"/>
  <c r="O29" i="28" s="1"/>
  <c r="O31" i="28" s="1"/>
  <c r="W19" i="24"/>
  <c r="W23" i="24" s="1"/>
  <c r="W25" i="24" s="1"/>
  <c r="W27" i="24" s="1"/>
  <c r="E37" i="69"/>
  <c r="G26" i="60"/>
  <c r="C12" i="13"/>
  <c r="U26" i="62" l="1"/>
  <c r="V17" i="62"/>
  <c r="U19" i="63"/>
  <c r="V19" i="63" s="1"/>
  <c r="V16" i="63"/>
  <c r="U35" i="63"/>
  <c r="O39" i="63"/>
  <c r="O41" i="63"/>
  <c r="S19" i="63"/>
  <c r="S29" i="63"/>
  <c r="S26" i="63"/>
  <c r="S27" i="63"/>
  <c r="S28" i="63"/>
  <c r="O28" i="62"/>
  <c r="S24" i="62"/>
  <c r="G39" i="60"/>
  <c r="O28" i="60"/>
  <c r="S24" i="60"/>
  <c r="G30" i="62"/>
  <c r="G32" i="62" s="1"/>
  <c r="E8" i="13"/>
  <c r="I8" i="13" s="1"/>
  <c r="J8" i="13" s="1"/>
  <c r="N13" i="61"/>
  <c r="E13" i="68"/>
  <c r="F13" i="68" s="1"/>
  <c r="C14" i="68"/>
  <c r="H13" i="68"/>
  <c r="H116" i="64"/>
  <c r="H114" i="64"/>
  <c r="O110" i="64"/>
  <c r="D27" i="69"/>
  <c r="E7" i="13"/>
  <c r="G30" i="60"/>
  <c r="G32" i="60" s="1"/>
  <c r="E9" i="13"/>
  <c r="G39" i="63"/>
  <c r="G41" i="63" s="1"/>
  <c r="E27" i="69"/>
  <c r="F37" i="69"/>
  <c r="U37" i="63" l="1"/>
  <c r="U39" i="63" s="1"/>
  <c r="V35" i="63"/>
  <c r="U28" i="62"/>
  <c r="V26" i="62"/>
  <c r="N32" i="61"/>
  <c r="N16" i="61"/>
  <c r="U41" i="63"/>
  <c r="Q16" i="61" s="1"/>
  <c r="E196" i="75" s="1"/>
  <c r="S30" i="63"/>
  <c r="O30" i="62"/>
  <c r="O32" i="62"/>
  <c r="O32" i="60"/>
  <c r="O30" i="60"/>
  <c r="F8" i="13"/>
  <c r="G8" i="13" s="1"/>
  <c r="E12" i="13"/>
  <c r="I11" i="13"/>
  <c r="J11" i="13" s="1"/>
  <c r="O112" i="64"/>
  <c r="O32" i="61" s="1"/>
  <c r="C15" i="68"/>
  <c r="E14" i="68"/>
  <c r="F14" i="68" s="1"/>
  <c r="H14" i="68"/>
  <c r="M34" i="61"/>
  <c r="F9" i="13"/>
  <c r="G9" i="13" s="1"/>
  <c r="I9" i="13"/>
  <c r="J9" i="13" s="1"/>
  <c r="O16" i="61"/>
  <c r="C177" i="75" s="1"/>
  <c r="P16" i="61"/>
  <c r="F7" i="13"/>
  <c r="G7" i="13" s="1"/>
  <c r="I7" i="13"/>
  <c r="U30" i="62" l="1"/>
  <c r="P13" i="61" s="1"/>
  <c r="U32" i="62"/>
  <c r="Q13" i="61" s="1"/>
  <c r="O13" i="61"/>
  <c r="D28" i="69"/>
  <c r="C179" i="75"/>
  <c r="F196" i="75"/>
  <c r="E177" i="75"/>
  <c r="C16" i="68"/>
  <c r="E15" i="68"/>
  <c r="F15" i="68" s="1"/>
  <c r="H15" i="68"/>
  <c r="O116" i="64"/>
  <c r="Q32" i="61" s="1"/>
  <c r="E38" i="69" s="1"/>
  <c r="O114" i="64"/>
  <c r="P32" i="61" s="1"/>
  <c r="D26" i="69"/>
  <c r="E36" i="69"/>
  <c r="F36" i="69"/>
  <c r="E26" i="69"/>
  <c r="J7" i="13"/>
  <c r="I12" i="13"/>
  <c r="J12" i="13" s="1"/>
  <c r="F12" i="13"/>
  <c r="G12" i="13" s="1"/>
  <c r="C176" i="75" l="1"/>
  <c r="D25" i="69"/>
  <c r="E195" i="75"/>
  <c r="E35" i="69"/>
  <c r="F35" i="69"/>
  <c r="E25" i="69"/>
  <c r="F195" i="75"/>
  <c r="E176" i="75"/>
  <c r="E179" i="75"/>
  <c r="F198" i="75"/>
  <c r="F38" i="69"/>
  <c r="E28" i="69"/>
  <c r="C17" i="68"/>
  <c r="E16" i="68"/>
  <c r="F16" i="68" s="1"/>
  <c r="H16" i="68"/>
  <c r="E17" i="68" l="1"/>
  <c r="F17" i="68" s="1"/>
  <c r="C18" i="68"/>
  <c r="H17" i="68"/>
  <c r="C19" i="68" l="1"/>
  <c r="E18" i="68"/>
  <c r="F18" i="68" s="1"/>
  <c r="H18" i="68"/>
  <c r="F13" i="69"/>
  <c r="S12" i="60"/>
  <c r="U12" i="60" s="1"/>
  <c r="V12" i="60" s="1"/>
  <c r="K10" i="61"/>
  <c r="I10" i="61"/>
  <c r="C20" i="68" l="1"/>
  <c r="E19" i="68"/>
  <c r="F19" i="68" s="1"/>
  <c r="H19" i="68"/>
  <c r="G24" i="68"/>
  <c r="G15" i="68"/>
  <c r="I15" i="68" s="1"/>
  <c r="J15" i="68" s="1"/>
  <c r="K15" i="68" s="1"/>
  <c r="G21" i="68"/>
  <c r="G26" i="68"/>
  <c r="G11" i="68"/>
  <c r="I11" i="68" s="1"/>
  <c r="J11" i="68" s="1"/>
  <c r="K11" i="68" s="1"/>
  <c r="G23" i="68"/>
  <c r="G34" i="68"/>
  <c r="G39" i="68"/>
  <c r="I39" i="68" s="1"/>
  <c r="J39" i="68" s="1"/>
  <c r="K39" i="68" s="1"/>
  <c r="G22" i="68"/>
  <c r="G30" i="68"/>
  <c r="G31" i="68"/>
  <c r="G36" i="68"/>
  <c r="G20" i="68"/>
  <c r="G38" i="68"/>
  <c r="G29" i="68"/>
  <c r="G25" i="68"/>
  <c r="G14" i="68"/>
  <c r="I14" i="68" s="1"/>
  <c r="J14" i="68" s="1"/>
  <c r="K14" i="68" s="1"/>
  <c r="G33" i="68"/>
  <c r="G12" i="68"/>
  <c r="I12" i="68" s="1"/>
  <c r="J12" i="68" s="1"/>
  <c r="K12" i="68" s="1"/>
  <c r="G27" i="68"/>
  <c r="G35" i="68"/>
  <c r="G16" i="68"/>
  <c r="I16" i="68" s="1"/>
  <c r="J16" i="68" s="1"/>
  <c r="K16" i="68" s="1"/>
  <c r="G19" i="68"/>
  <c r="G28" i="68"/>
  <c r="G32" i="68"/>
  <c r="G37" i="68"/>
  <c r="G8" i="68"/>
  <c r="I8" i="68" s="1"/>
  <c r="J8" i="68" s="1"/>
  <c r="K8" i="68" s="1"/>
  <c r="G13" i="68"/>
  <c r="I13" i="68" s="1"/>
  <c r="J13" i="68" s="1"/>
  <c r="K13" i="68" s="1"/>
  <c r="G10" i="68"/>
  <c r="I10" i="68" s="1"/>
  <c r="J10" i="68" s="1"/>
  <c r="K10" i="68" s="1"/>
  <c r="G17" i="68"/>
  <c r="I17" i="68" s="1"/>
  <c r="J17" i="68" s="1"/>
  <c r="K17" i="68" s="1"/>
  <c r="G9" i="68"/>
  <c r="I9" i="68" s="1"/>
  <c r="J9" i="68" s="1"/>
  <c r="K9" i="68" s="1"/>
  <c r="G18" i="68"/>
  <c r="I18" i="68" s="1"/>
  <c r="J18" i="68" s="1"/>
  <c r="K18" i="68" s="1"/>
  <c r="U26" i="60"/>
  <c r="V26" i="60" s="1"/>
  <c r="U39" i="60" l="1"/>
  <c r="U28" i="60"/>
  <c r="U30" i="60" s="1"/>
  <c r="I19" i="68"/>
  <c r="J19" i="68" s="1"/>
  <c r="K19" i="68" s="1"/>
  <c r="C21" i="68"/>
  <c r="E20" i="68"/>
  <c r="F20" i="68" s="1"/>
  <c r="H20" i="68"/>
  <c r="I20" i="68" s="1"/>
  <c r="N10" i="61"/>
  <c r="N34" i="61" s="1"/>
  <c r="J20" i="68" l="1"/>
  <c r="K20" i="68" s="1"/>
  <c r="E21" i="68"/>
  <c r="F21" i="68" s="1"/>
  <c r="C22" i="68"/>
  <c r="H21" i="68"/>
  <c r="I21" i="68" s="1"/>
  <c r="P10" i="61"/>
  <c r="O10" i="61"/>
  <c r="C175" i="75" s="1"/>
  <c r="C183" i="75" s="1"/>
  <c r="U32" i="60"/>
  <c r="Q10" i="61" s="1"/>
  <c r="E194" i="75" s="1"/>
  <c r="E175" i="75" l="1"/>
  <c r="F194" i="75"/>
  <c r="J21" i="68"/>
  <c r="K21" i="68" s="1"/>
  <c r="E22" i="68"/>
  <c r="F22" i="68" s="1"/>
  <c r="C23" i="68"/>
  <c r="H22" i="68"/>
  <c r="I22" i="68" s="1"/>
  <c r="E34" i="69"/>
  <c r="D24" i="69"/>
  <c r="O34" i="61"/>
  <c r="E24" i="69"/>
  <c r="F34" i="69"/>
  <c r="S3" i="61" l="1"/>
  <c r="J22" i="68"/>
  <c r="K22" i="68" s="1"/>
  <c r="E23" i="68"/>
  <c r="F23" i="68" s="1"/>
  <c r="C24" i="68"/>
  <c r="H23" i="68"/>
  <c r="I23" i="68" s="1"/>
  <c r="D29" i="69"/>
  <c r="O37" i="61"/>
  <c r="T3" i="61" s="1"/>
  <c r="P34" i="61"/>
  <c r="E183" i="75" s="1"/>
  <c r="O38" i="61" l="1"/>
  <c r="J23" i="68"/>
  <c r="K23" i="68" s="1"/>
  <c r="E24" i="68"/>
  <c r="F24" i="68" s="1"/>
  <c r="C25" i="68"/>
  <c r="H24" i="68"/>
  <c r="I24" i="68" s="1"/>
  <c r="E29" i="69"/>
  <c r="F39" i="69"/>
  <c r="J24" i="68" l="1"/>
  <c r="K24" i="68" s="1"/>
  <c r="E25" i="68"/>
  <c r="F25" i="68" s="1"/>
  <c r="C26" i="68"/>
  <c r="H25" i="68"/>
  <c r="I25" i="68" s="1"/>
  <c r="J25" i="68" l="1"/>
  <c r="K25" i="68" s="1"/>
  <c r="E26" i="68"/>
  <c r="F26" i="68" s="1"/>
  <c r="C27" i="68"/>
  <c r="H26" i="68"/>
  <c r="I26" i="68" s="1"/>
  <c r="J26" i="68" l="1"/>
  <c r="K26" i="68" s="1"/>
  <c r="C28" i="68"/>
  <c r="E27" i="68"/>
  <c r="F27" i="68" s="1"/>
  <c r="H27" i="68"/>
  <c r="I27" i="68" s="1"/>
  <c r="J27" i="68" l="1"/>
  <c r="K27" i="68" s="1"/>
  <c r="C29" i="68"/>
  <c r="E28" i="68"/>
  <c r="F28" i="68" s="1"/>
  <c r="H28" i="68"/>
  <c r="I28" i="68" s="1"/>
  <c r="J28" i="68" l="1"/>
  <c r="K28" i="68" s="1"/>
  <c r="C30" i="68"/>
  <c r="E29" i="68"/>
  <c r="F29" i="68" s="1"/>
  <c r="H29" i="68"/>
  <c r="I29" i="68" s="1"/>
  <c r="J29" i="68" l="1"/>
  <c r="K29" i="68" s="1"/>
  <c r="C31" i="68"/>
  <c r="E30" i="68"/>
  <c r="F30" i="68" s="1"/>
  <c r="H30" i="68"/>
  <c r="I30" i="68" s="1"/>
  <c r="J30" i="68" l="1"/>
  <c r="K30" i="68" s="1"/>
  <c r="C32" i="68"/>
  <c r="E31" i="68"/>
  <c r="F31" i="68" s="1"/>
  <c r="H31" i="68"/>
  <c r="I31" i="68" s="1"/>
  <c r="J31" i="68" l="1"/>
  <c r="K31" i="68" s="1"/>
  <c r="C33" i="68"/>
  <c r="E32" i="68"/>
  <c r="F32" i="68" s="1"/>
  <c r="H32" i="68"/>
  <c r="I32" i="68" s="1"/>
  <c r="J32" i="68" l="1"/>
  <c r="K32" i="68" s="1"/>
  <c r="C34" i="68"/>
  <c r="E33" i="68"/>
  <c r="F33" i="68" s="1"/>
  <c r="H33" i="68"/>
  <c r="I33" i="68" s="1"/>
  <c r="J33" i="68" l="1"/>
  <c r="K33" i="68" s="1"/>
  <c r="E34" i="68"/>
  <c r="F34" i="68" s="1"/>
  <c r="H34" i="68"/>
  <c r="I34" i="68" s="1"/>
  <c r="C35" i="68"/>
  <c r="J34" i="68" l="1"/>
  <c r="K34" i="68" s="1"/>
  <c r="C36" i="68"/>
  <c r="E35" i="68"/>
  <c r="F35" i="68" s="1"/>
  <c r="H35" i="68"/>
  <c r="I35" i="68" s="1"/>
  <c r="J35" i="68" l="1"/>
  <c r="K35" i="68" s="1"/>
  <c r="C37" i="68"/>
  <c r="E36" i="68"/>
  <c r="F36" i="68" s="1"/>
  <c r="H36" i="68"/>
  <c r="I36" i="68" s="1"/>
  <c r="J36" i="68" l="1"/>
  <c r="K36" i="68" s="1"/>
  <c r="C38" i="68"/>
  <c r="E37" i="68"/>
  <c r="F37" i="68" s="1"/>
  <c r="H37" i="68"/>
  <c r="I37" i="68" s="1"/>
  <c r="J37" i="68" l="1"/>
  <c r="K37" i="68" s="1"/>
  <c r="E38" i="68"/>
  <c r="F38" i="68" s="1"/>
  <c r="H38" i="68"/>
  <c r="I38" i="68" s="1"/>
  <c r="J38" i="68" l="1"/>
  <c r="K38" i="68" s="1"/>
</calcChain>
</file>

<file path=xl/sharedStrings.xml><?xml version="1.0" encoding="utf-8"?>
<sst xmlns="http://schemas.openxmlformats.org/spreadsheetml/2006/main" count="4246" uniqueCount="710">
  <si>
    <t>Proposed Rate</t>
  </si>
  <si>
    <t>Billing</t>
  </si>
  <si>
    <t>Calculated</t>
  </si>
  <si>
    <t>Description</t>
  </si>
  <si>
    <t>Units</t>
  </si>
  <si>
    <t>Rate</t>
  </si>
  <si>
    <t>Billings</t>
  </si>
  <si>
    <t>Energy Charge</t>
  </si>
  <si>
    <t>kWh</t>
  </si>
  <si>
    <t>Customer Months</t>
  </si>
  <si>
    <t>Customer Charge</t>
  </si>
  <si>
    <t>Per kWh</t>
  </si>
  <si>
    <t>Per Customer</t>
  </si>
  <si>
    <t>Difference</t>
  </si>
  <si>
    <t>Customer Class</t>
  </si>
  <si>
    <t>Current  Rate Calculated Billings</t>
  </si>
  <si>
    <t>Lights</t>
  </si>
  <si>
    <t>Per Light</t>
  </si>
  <si>
    <t>Minimum Bills</t>
  </si>
  <si>
    <t>Revenue Per Books</t>
  </si>
  <si>
    <t>Percentage Difference</t>
  </si>
  <si>
    <t>All Kwh's</t>
  </si>
  <si>
    <t>Percent Change</t>
  </si>
  <si>
    <t>All kWh</t>
  </si>
  <si>
    <t>Cust</t>
  </si>
  <si>
    <t>MO-YR</t>
  </si>
  <si>
    <t>Percent Difference</t>
  </si>
  <si>
    <t>Distribution Demand</t>
  </si>
  <si>
    <t>Residential Service</t>
  </si>
  <si>
    <t>All Cust. Months</t>
  </si>
  <si>
    <t>Test Year Rate</t>
  </si>
  <si>
    <t>Purchased Power Demand</t>
  </si>
  <si>
    <t>Purchased Power Energy</t>
  </si>
  <si>
    <t>Test Year Rate Calculated Billings</t>
  </si>
  <si>
    <t>Facility Charge</t>
  </si>
  <si>
    <t>Total Rate 11</t>
  </si>
  <si>
    <t>Total Rate 10 &amp; 13</t>
  </si>
  <si>
    <t xml:space="preserve">No. Consumers </t>
  </si>
  <si>
    <t>On Peak</t>
  </si>
  <si>
    <t>Off Peak</t>
  </si>
  <si>
    <t>All Months</t>
  </si>
  <si>
    <t>Revenue</t>
  </si>
  <si>
    <t>Cost Based Rate @ 7% ROR</t>
  </si>
  <si>
    <t>All Customers</t>
  </si>
  <si>
    <t>kWh Sold</t>
  </si>
  <si>
    <t>kWh Revenue</t>
  </si>
  <si>
    <t>Service Revenue</t>
  </si>
  <si>
    <t>Cost Based Rates - 7% ROR</t>
  </si>
  <si>
    <t xml:space="preserve">Purchased Power Energy </t>
  </si>
  <si>
    <t>On Peak Energy</t>
  </si>
  <si>
    <t>Off Peak Energy</t>
  </si>
  <si>
    <t>Cost Based TOU Rates - 7% ROR</t>
  </si>
  <si>
    <t>Present and Proposed Rates</t>
  </si>
  <si>
    <t>Rate Class</t>
  </si>
  <si>
    <t xml:space="preserve">Billing  </t>
  </si>
  <si>
    <t>Present</t>
  </si>
  <si>
    <t xml:space="preserve">Increase </t>
  </si>
  <si>
    <t>Proposed</t>
  </si>
  <si>
    <t>Increase</t>
  </si>
  <si>
    <t>Classification</t>
  </si>
  <si>
    <t>Code</t>
  </si>
  <si>
    <t>Unit</t>
  </si>
  <si>
    <t>(Decrease)</t>
  </si>
  <si>
    <t>$</t>
  </si>
  <si>
    <t>%</t>
  </si>
  <si>
    <t>TOTAL</t>
  </si>
  <si>
    <t>Intermountain Rural Electric Association</t>
  </si>
  <si>
    <t>Service $</t>
  </si>
  <si>
    <t>Energy $</t>
  </si>
  <si>
    <t>Residential - Overhead A02</t>
  </si>
  <si>
    <t>Residential - Underground A03</t>
  </si>
  <si>
    <t>Residential TOU - Overhead A02T</t>
  </si>
  <si>
    <t>Residential TOU - Underground A03T</t>
  </si>
  <si>
    <t>Residential TOU Service</t>
  </si>
  <si>
    <t>On Peak Kwh - Rural</t>
  </si>
  <si>
    <t>Off Peak Kwh - Rural</t>
  </si>
  <si>
    <t>On Peak Kwh - City</t>
  </si>
  <si>
    <t>Off Peak Kwh - City</t>
  </si>
  <si>
    <t>Residential TOU - City Overhead CS2T</t>
  </si>
  <si>
    <t>Residential TOU - City Underground CS3T</t>
  </si>
  <si>
    <t>Total Rate Revenue</t>
  </si>
  <si>
    <t>Rate Code</t>
  </si>
  <si>
    <t>A02 &amp; A03</t>
  </si>
  <si>
    <t>A02T, A03T, C02T, C03T</t>
  </si>
  <si>
    <t>Total</t>
  </si>
  <si>
    <t>Difference from Test Year</t>
  </si>
  <si>
    <t>Percent Change from Test Year</t>
  </si>
  <si>
    <t>Avg Incr/(Decr) Per Customer Per Month</t>
  </si>
  <si>
    <t>Current</t>
  </si>
  <si>
    <t>Revenues</t>
  </si>
  <si>
    <t>Variance</t>
  </si>
  <si>
    <t xml:space="preserve">Present </t>
  </si>
  <si>
    <t>from Cost</t>
  </si>
  <si>
    <t>Based Rate</t>
  </si>
  <si>
    <t>Energy Charge (per kWh)</t>
  </si>
  <si>
    <t>Demand Charge (per kW)</t>
  </si>
  <si>
    <t>Proposed Rates</t>
  </si>
  <si>
    <t>Avg Bill</t>
  </si>
  <si>
    <t>Jan to Dec</t>
  </si>
  <si>
    <t>Other Charges</t>
  </si>
  <si>
    <t>Customers</t>
  </si>
  <si>
    <t>Environmental Surcharge</t>
  </si>
  <si>
    <t>Member Rate Stability</t>
  </si>
  <si>
    <t>Non-FAC PPA</t>
  </si>
  <si>
    <t>Fuel Adjustment Clause</t>
  </si>
  <si>
    <t>Charge 0-100 KVA</t>
  </si>
  <si>
    <t>Demand Charge</t>
  </si>
  <si>
    <t>kW</t>
  </si>
  <si>
    <t>Per kW</t>
  </si>
  <si>
    <t>Per Month</t>
  </si>
  <si>
    <t>Summary of Consumption Analysis</t>
  </si>
  <si>
    <t>Monthly</t>
  </si>
  <si>
    <t>Annual</t>
  </si>
  <si>
    <t>Rates</t>
  </si>
  <si>
    <t>Cost-Based</t>
  </si>
  <si>
    <t xml:space="preserve">Rate </t>
  </si>
  <si>
    <t xml:space="preserve">Customer </t>
  </si>
  <si>
    <t>Energy</t>
  </si>
  <si>
    <t>Customer</t>
  </si>
  <si>
    <t xml:space="preserve">Residential </t>
  </si>
  <si>
    <t>Present Base Rates</t>
  </si>
  <si>
    <t>Proposed Base Rates</t>
  </si>
  <si>
    <t>#</t>
  </si>
  <si>
    <t xml:space="preserve">Energy </t>
  </si>
  <si>
    <t>AVG</t>
  </si>
  <si>
    <t>The amount of the change requested in both dollar amounts and percentage change for each customer classification to which the proposed rates will apply is set forth below:</t>
  </si>
  <si>
    <t>Dollars</t>
  </si>
  <si>
    <t>Percent</t>
  </si>
  <si>
    <t>The amount of the average usage and the effect upon the average bill for each customer classification to which the proposed rates will apply is set forth below:</t>
  </si>
  <si>
    <t>Average</t>
  </si>
  <si>
    <t>Usage (kWh)</t>
  </si>
  <si>
    <t>NA</t>
  </si>
  <si>
    <t>List of Rate Schedules</t>
  </si>
  <si>
    <t>May</t>
  </si>
  <si>
    <t>AVERAGE</t>
  </si>
  <si>
    <t>Target:</t>
  </si>
  <si>
    <t>Variance $:</t>
  </si>
  <si>
    <t>Variance %:</t>
  </si>
  <si>
    <t>Rate 1</t>
  </si>
  <si>
    <t>KENERGY CORP.</t>
  </si>
  <si>
    <t>Unmetered Lighting</t>
  </si>
  <si>
    <t>Res</t>
  </si>
  <si>
    <t>Com1</t>
  </si>
  <si>
    <t>Com3</t>
  </si>
  <si>
    <t>Com1000</t>
  </si>
  <si>
    <t>Residential (Single and Three Phase)</t>
  </si>
  <si>
    <t>Commercial &amp; All Other Single Phase</t>
  </si>
  <si>
    <t>BILLING DETERMINANTS</t>
  </si>
  <si>
    <t>CUSTOMERS</t>
  </si>
  <si>
    <t>Jan</t>
  </si>
  <si>
    <t>Feb</t>
  </si>
  <si>
    <t>Mar</t>
  </si>
  <si>
    <t>Apr</t>
  </si>
  <si>
    <t>Jun</t>
  </si>
  <si>
    <t>Jul</t>
  </si>
  <si>
    <t>Aug</t>
  </si>
  <si>
    <t>Sep</t>
  </si>
  <si>
    <t>Oct</t>
  </si>
  <si>
    <t>Nov</t>
  </si>
  <si>
    <t>Dec</t>
  </si>
  <si>
    <t>ENERGY (KWH)</t>
  </si>
  <si>
    <t xml:space="preserve">BILLED DEMAND (KW) </t>
  </si>
  <si>
    <t>FAC ($)</t>
  </si>
  <si>
    <t>ES ($)</t>
  </si>
  <si>
    <t>MRSM ($)</t>
  </si>
  <si>
    <t>NON-FAC PPA ($)</t>
  </si>
  <si>
    <t>Customer Charge (per month)</t>
  </si>
  <si>
    <t>Energy Charge (1st 200 kWh per kW)</t>
  </si>
  <si>
    <t>Energy Charge (Next 200 kWh per kW)</t>
  </si>
  <si>
    <t>Energy Charge (Over 400 kWh per kW)</t>
  </si>
  <si>
    <t>Option A - HLF</t>
  </si>
  <si>
    <t>Option B - LLF</t>
  </si>
  <si>
    <t>Energy Charge (1st 150 kWh per kW)</t>
  </si>
  <si>
    <t>Energy Charge (Over 150 kWh per kW)</t>
  </si>
  <si>
    <t>Primary Discount</t>
  </si>
  <si>
    <t>various</t>
  </si>
  <si>
    <t>Commercial Three Phase (1001 kW +) HLF</t>
  </si>
  <si>
    <t>Commercial Three Phase (1001 kW +) LLF</t>
  </si>
  <si>
    <t>Commercial &amp; Public Bldgs Three Phase (&lt;1000 kW)</t>
  </si>
  <si>
    <t>Per unit per month</t>
  </si>
  <si>
    <t>Next 200 kWh per kW</t>
  </si>
  <si>
    <t>1st 200 kWh per kW</t>
  </si>
  <si>
    <t>Over 400 kWh per kW</t>
  </si>
  <si>
    <t>HLF</t>
  </si>
  <si>
    <t>LLF</t>
  </si>
  <si>
    <t>Subtotal</t>
  </si>
  <si>
    <t>1st 150 kWh per kW</t>
  </si>
  <si>
    <t>Over 150 kWh per kW</t>
  </si>
  <si>
    <t>Facilities Charge</t>
  </si>
  <si>
    <t>Power Factor Adj</t>
  </si>
  <si>
    <t>Commercial &amp; Public Bldgs Three Phase (&lt; 1000 kW)</t>
  </si>
  <si>
    <t>Commercial Three Phase (1001 kW +)</t>
  </si>
  <si>
    <t>Customer Charge Per Month</t>
  </si>
  <si>
    <t>Energy Charge Per kWh</t>
  </si>
  <si>
    <t>Present Rates</t>
  </si>
  <si>
    <t>Private Outdoor Lighting</t>
  </si>
  <si>
    <t>Tariff sheet 15</t>
  </si>
  <si>
    <t xml:space="preserve">Standard(served overhead) </t>
  </si>
  <si>
    <t>Not available for New Installations after December 1, 2012:</t>
  </si>
  <si>
    <t>7000 LUMEN-175W-MERCURY VAPOR</t>
  </si>
  <si>
    <t>12000 LUMEN-250W-MERCURY VAPOR</t>
  </si>
  <si>
    <t>20000 LUMEN-400W-MERCURY VAPOR</t>
  </si>
  <si>
    <t>9500 LUMEN-100W-HPS</t>
  </si>
  <si>
    <t>9000 LUMEN-100W METAL HALIDE (MH)</t>
  </si>
  <si>
    <t>24000 LUMEN-400W METAL HALIDE (MH)</t>
  </si>
  <si>
    <t>Not available for New Installations after November 2014:</t>
  </si>
  <si>
    <t>20000/27000 LUMEN-200/250W- HPS</t>
  </si>
  <si>
    <t>61000 LUMEN-400W-HPS-FLOOD LGT</t>
  </si>
  <si>
    <t>Available for New Installations after November 2014:</t>
  </si>
  <si>
    <t>5200 LUMEN-60W-LED NEMA HEAD</t>
  </si>
  <si>
    <t>9500 LUMEN-108W-LED MID OUTPUT</t>
  </si>
  <si>
    <t>11000 LUMEN-135W-LED HIGH OUTPUT</t>
  </si>
  <si>
    <t>Tariff sheet 15A</t>
  </si>
  <si>
    <t>Commercial and Industrial Lighting</t>
  </si>
  <si>
    <t>Flood Lighting Fixture</t>
  </si>
  <si>
    <t>18500 LUMEN 192W-LED FLOOD</t>
  </si>
  <si>
    <t>28000 LUMEN HPS-250W-FLOOD LGT</t>
  </si>
  <si>
    <t>140000 LUM-1000W-HPS-FLOOD LGT</t>
  </si>
  <si>
    <t>19500 LUMEN-250W-MH-FLOOD LGT</t>
  </si>
  <si>
    <t>32000 LUMEN-400W-MH-FLOOD LGT</t>
  </si>
  <si>
    <t>107000 LUM-1000W-MH-FLOOD LGT</t>
  </si>
  <si>
    <t>Not Available for New Installations after April 1 , 2011:</t>
  </si>
  <si>
    <t>Contemporary(Shoebox)</t>
  </si>
  <si>
    <t>28000 LUMEN-250W-HPS SHOEBOX</t>
  </si>
  <si>
    <t>61000 LUMEN-400W-HPS SHOEBOX</t>
  </si>
  <si>
    <t>140000 LUMENS-1000W-HPS SHOEBOX</t>
  </si>
  <si>
    <t>19500 LUMEN-250W-MH SHOEBOX</t>
  </si>
  <si>
    <t>32000 LUMENS-400W-MH SHOEBOX</t>
  </si>
  <si>
    <t>107000 LUMENS-1000W-MH SHOEBOX</t>
  </si>
  <si>
    <t>Decorative Lighting</t>
  </si>
  <si>
    <t>9000 LUM-100W-MH ACORN GLOBE</t>
  </si>
  <si>
    <t>16600 LUM-175W-MH ACORN GLOBE</t>
  </si>
  <si>
    <t>9000 LUM-100W-MH ROUND GLOBE</t>
  </si>
  <si>
    <t>16600 LUM-175W-MH ROUND GLOBE</t>
  </si>
  <si>
    <t>16600 LUM-175W-MH LANTERN GLOBE</t>
  </si>
  <si>
    <t>9500 LUM-100W-HPS ACORN GLOBE</t>
  </si>
  <si>
    <t>Tariff sheet 15B</t>
  </si>
  <si>
    <t>Pedestal Mounted Pole</t>
  </si>
  <si>
    <t>STEEL 25 FT PEDESTAL MT POLE</t>
  </si>
  <si>
    <t>STEEL 30 FT PEDESTAL MT POLE</t>
  </si>
  <si>
    <t>STEEL 39 FT PEDESTAL MT POLE</t>
  </si>
  <si>
    <t>Not Available for New Installations after January 1, 2017:</t>
  </si>
  <si>
    <t>WOOD 30 FT DIRECT BURIAL POLE</t>
  </si>
  <si>
    <t>ALUMINUM 28 FT DIRECT BURIAL</t>
  </si>
  <si>
    <t>FLUTED FIBERGLASS 15 FT POLE</t>
  </si>
  <si>
    <t>FLUTED ALUMINUM 14FT POLE</t>
  </si>
  <si>
    <t>Street Lighting Service</t>
  </si>
  <si>
    <t>Tariff sheet 16</t>
  </si>
  <si>
    <t>Special street lighting districts</t>
  </si>
  <si>
    <t>BASKETT STREET LIGHTING</t>
  </si>
  <si>
    <t>MEADOW HILL STREET LIGHTING</t>
  </si>
  <si>
    <t>SPOTTSVILLE STREET LIGHTING</t>
  </si>
  <si>
    <t>9500 LUMEN-100W-HPS STREET LGT</t>
  </si>
  <si>
    <t>27000 LUMEN-250W-HPS ST LIGHT</t>
  </si>
  <si>
    <t>9000 LUMEN-100W MH</t>
  </si>
  <si>
    <t>24000 LUMEN-400W MH</t>
  </si>
  <si>
    <t>Tariff sheet 16A</t>
  </si>
  <si>
    <t>Underground service with non-std. pole</t>
  </si>
  <si>
    <t>UG NON-STD POLE-GOVT &amp; DISTRICT</t>
  </si>
  <si>
    <t>Overhead service to street lighting districts</t>
  </si>
  <si>
    <t>OH FAC-STREET LIGHT DISTRICT</t>
  </si>
  <si>
    <t>Decorative Underground service</t>
  </si>
  <si>
    <t>6300 LUMEN-DECOR-70W-HPS ACORN</t>
  </si>
  <si>
    <t>6300 LUM DECOR-70W-HPS LANTERN</t>
  </si>
  <si>
    <t>12600 LUM HPS-70W-2 DECOR FIX</t>
  </si>
  <si>
    <t>Tariff sheet 16B</t>
  </si>
  <si>
    <t>9500 LUM - HPS ACORN GL 14 FT POLE</t>
  </si>
  <si>
    <t>2900 LUM - LED ACORN GL 14 FT POLE</t>
  </si>
  <si>
    <t xml:space="preserve">Line </t>
  </si>
  <si>
    <t>(a)</t>
  </si>
  <si>
    <t>(b)</t>
  </si>
  <si>
    <t>(c)</t>
  </si>
  <si>
    <t>(d)</t>
  </si>
  <si>
    <t>(e)</t>
  </si>
  <si>
    <t>(f)</t>
  </si>
  <si>
    <t>(g)</t>
  </si>
  <si>
    <t>(h)</t>
  </si>
  <si>
    <t>No.</t>
  </si>
  <si>
    <t>Normalized</t>
  </si>
  <si>
    <t>Test Period</t>
  </si>
  <si>
    <t>Distribution</t>
  </si>
  <si>
    <t xml:space="preserve">Number </t>
  </si>
  <si>
    <t>Billed</t>
  </si>
  <si>
    <t>Assigned</t>
  </si>
  <si>
    <t>kwh</t>
  </si>
  <si>
    <t>DESCRIPTION</t>
  </si>
  <si>
    <t>billed</t>
  </si>
  <si>
    <t>kWh/light</t>
  </si>
  <si>
    <t>kwh/light</t>
  </si>
  <si>
    <t>rate</t>
  </si>
  <si>
    <t>Original billing base charge</t>
  </si>
  <si>
    <t>base</t>
  </si>
  <si>
    <t>Original billing factors</t>
  </si>
  <si>
    <t>factors</t>
  </si>
  <si>
    <t>adj base</t>
  </si>
  <si>
    <t>Adjustments base charge</t>
  </si>
  <si>
    <t>adj factors</t>
  </si>
  <si>
    <t>Adjustments factors</t>
  </si>
  <si>
    <t>kwh base</t>
  </si>
  <si>
    <t>kwh adj</t>
  </si>
  <si>
    <t>fac</t>
  </si>
  <si>
    <t>es</t>
  </si>
  <si>
    <t>mrsm</t>
  </si>
  <si>
    <t>ppa</t>
  </si>
  <si>
    <t>BRC</t>
  </si>
  <si>
    <t>RER</t>
  </si>
  <si>
    <t>Residential</t>
  </si>
  <si>
    <t>ES</t>
  </si>
  <si>
    <t>175w mv</t>
  </si>
  <si>
    <t>July</t>
  </si>
  <si>
    <t>5200 lumens 60w led nema head</t>
  </si>
  <si>
    <t>August</t>
  </si>
  <si>
    <t>sept</t>
  </si>
  <si>
    <t>175 w mv</t>
  </si>
  <si>
    <t>Count</t>
  </si>
  <si>
    <t>CASE NO. 2023xxxxx</t>
  </si>
  <si>
    <t xml:space="preserve">PRIVATE AND OUTDOOR LIGHTING CONSUMPTION ANALYSIS </t>
  </si>
  <si>
    <t>includes adjustments</t>
  </si>
  <si>
    <t>FAC</t>
  </si>
  <si>
    <t>MRSM</t>
  </si>
  <si>
    <t>NFPPA</t>
  </si>
  <si>
    <t>February adjustmnets:</t>
  </si>
  <si>
    <t>9000  lumens 100w metal halide</t>
  </si>
  <si>
    <t>prior yrs</t>
  </si>
  <si>
    <t>current yr</t>
  </si>
  <si>
    <t>Street Lighting</t>
  </si>
  <si>
    <t>7000 lumens 175w mv</t>
  </si>
  <si>
    <t>9500 lumens led mid output</t>
  </si>
  <si>
    <t>January adjustmnets:</t>
  </si>
  <si>
    <t>Prior yrs</t>
  </si>
  <si>
    <t>prior yr</t>
  </si>
  <si>
    <t>175 w  mv</t>
  </si>
  <si>
    <t>december</t>
  </si>
  <si>
    <t>-434 is incorrect</t>
  </si>
  <si>
    <t xml:space="preserve">it is missing 21 kwh </t>
  </si>
  <si>
    <t>-350 is incorrect</t>
  </si>
  <si>
    <t>it is missing -21 kwh</t>
  </si>
  <si>
    <t>November adjustments</t>
  </si>
  <si>
    <t xml:space="preserve">5200 lumens 60W led nema </t>
  </si>
  <si>
    <t>october</t>
  </si>
  <si>
    <t>none</t>
  </si>
  <si>
    <t>5200 lumens 60wlednema</t>
  </si>
  <si>
    <t>175 w MV</t>
  </si>
  <si>
    <t>june</t>
  </si>
  <si>
    <t>5200 lumens 60w led</t>
  </si>
  <si>
    <t>175watt MV</t>
  </si>
  <si>
    <t>175watt mv</t>
  </si>
  <si>
    <t>5200 lumens</t>
  </si>
  <si>
    <t>60w led nema</t>
  </si>
  <si>
    <t>april</t>
  </si>
  <si>
    <t>mar</t>
  </si>
  <si>
    <t>250w hps</t>
  </si>
  <si>
    <t>60w led nema head</t>
  </si>
  <si>
    <t>total all months</t>
  </si>
  <si>
    <t>Cost Based</t>
  </si>
  <si>
    <t>Year End Cust Adj KWH</t>
  </si>
  <si>
    <t>Year End Cust Adj KWW</t>
  </si>
  <si>
    <t>No revisions to any other rates are proposed.</t>
  </si>
  <si>
    <t>NOTICE</t>
  </si>
  <si>
    <t xml:space="preserve">Kenergy Corp., 6402 Old Corydon Road, Henderson, KY  42420, will file an application for an adjustment in existing rates on or around xxxxx xx, 2023 with the Kentucky Public Service Commission ("KPSC") in Case No. 2023-xxxxx. The proposed changes are designed to increase revenues $x,xxx,xxx and are proposed to be effective on xxxxxx xx, 2023. </t>
  </si>
  <si>
    <t>The present and proposed rates are as follows:</t>
  </si>
  <si>
    <t>Present Rate Schedule</t>
  </si>
  <si>
    <t>Proposed Rate Schedule</t>
  </si>
  <si>
    <t>Residential Service (Single &amp; Three-Phase):</t>
  </si>
  <si>
    <t>Customer Charge per Delivery Point</t>
  </si>
  <si>
    <t>per month</t>
  </si>
  <si>
    <t>Energy Charge per KWH</t>
  </si>
  <si>
    <t>All Non-Residential Single Phase:</t>
  </si>
  <si>
    <t xml:space="preserve">Three-Phase Demand </t>
  </si>
  <si>
    <t>Non-Dedicated Delivery Points (0 - 1,000 KW):</t>
  </si>
  <si>
    <t>Demand Charge:</t>
  </si>
  <si>
    <t xml:space="preserve">  All KW During Month</t>
  </si>
  <si>
    <t>Energy Charge:</t>
  </si>
  <si>
    <t xml:space="preserve">  First 200 KWH per KW, per KWH</t>
  </si>
  <si>
    <t xml:space="preserve">  Next 200 KWH per KW, per KWH</t>
  </si>
  <si>
    <t xml:space="preserve">  All Over 400 KWH per KW, per KWH</t>
  </si>
  <si>
    <t>Three-Phase Demand</t>
  </si>
  <si>
    <t>Non-Dedicated Delivery Points (1,001 KW and Over):</t>
  </si>
  <si>
    <t>Option A - High Load Factor (above 50%)</t>
  </si>
  <si>
    <t xml:space="preserve">  Customer Charge per Delivery Point</t>
  </si>
  <si>
    <t>Option B - Low Load Factor (below 50%)</t>
  </si>
  <si>
    <t xml:space="preserve">  First 150 KWH per KW, per KWH</t>
  </si>
  <si>
    <t xml:space="preserve">  Over 150 KWH per KW, per KWH</t>
  </si>
  <si>
    <t>Private Outdoor Lighting(per month)</t>
  </si>
  <si>
    <t>Not Available for new installations after November 2014:</t>
  </si>
  <si>
    <t>Available for new installations after November 2014:</t>
  </si>
  <si>
    <t>Not Available for new installations after December 1, 2012:</t>
  </si>
  <si>
    <t>Not Available for new installations after April 1, 2011:</t>
  </si>
  <si>
    <t>Available for new installations after April 1, 2011:</t>
  </si>
  <si>
    <t>Street Lighting Service(per month)</t>
  </si>
  <si>
    <t>Not available for new installations after April 1, 2011:</t>
  </si>
  <si>
    <t>Special Charges:(per trip)</t>
  </si>
  <si>
    <t xml:space="preserve">Turn on Service Charge </t>
  </si>
  <si>
    <t xml:space="preserve">Reconnect Charge - Regular  </t>
  </si>
  <si>
    <t xml:space="preserve">Reconnect Charge - After hours </t>
  </si>
  <si>
    <t xml:space="preserve">Terminate Service Charge </t>
  </si>
  <si>
    <t xml:space="preserve">Meter Reading Charge </t>
  </si>
  <si>
    <t xml:space="preserve">Meter Test Charge </t>
  </si>
  <si>
    <t>Returned check charge</t>
  </si>
  <si>
    <t>Trip by service tech Regular</t>
  </si>
  <si>
    <t>Trip by service tech After hours</t>
  </si>
  <si>
    <t>Remote Disconnect/Reconnect</t>
  </si>
  <si>
    <t>Large Industrial Customers Served Under Special Contract</t>
  </si>
  <si>
    <t>Dedicated Delivery Points (Class C)</t>
  </si>
  <si>
    <t>Facilities Charge per Assigned Dollars of</t>
  </si>
  <si>
    <t>Kenergy Investment for Facilities</t>
  </si>
  <si>
    <t>Cable Television Attachment Tariff:</t>
  </si>
  <si>
    <t>per year</t>
  </si>
  <si>
    <t>Two-Party Pole Attachment</t>
  </si>
  <si>
    <t>Three-Party Pole Attachment</t>
  </si>
  <si>
    <t>Two-Party Anchor Fee</t>
  </si>
  <si>
    <t>Three-Party Anchor Fee</t>
  </si>
  <si>
    <t>Residential deposit amount</t>
  </si>
  <si>
    <t>Kenergy proposes changes to its present tariff schedules to reflect the foregoing proposed changes in rates. The tariff schedules being proposed by Kenergy are attached to the application in this case.</t>
  </si>
  <si>
    <t>The amount of the change requested in both dollar amounts and percentage change for each customer classification to which the proposed rate will apply is set forth below:</t>
  </si>
  <si>
    <t>% of Change</t>
  </si>
  <si>
    <t>All Non-Residential Single Phase</t>
  </si>
  <si>
    <t>Three-Phase (less than 1,000 KW)</t>
  </si>
  <si>
    <t>Three-Phase (1,001 KW &amp; Over)</t>
  </si>
  <si>
    <t>Special Charges</t>
  </si>
  <si>
    <t>Cable Television Attachment</t>
  </si>
  <si>
    <t>Unbilled Revenue</t>
  </si>
  <si>
    <t>n/a</t>
  </si>
  <si>
    <t>Total Non-Direct Served</t>
  </si>
  <si>
    <t>Direct Served Customers Class A</t>
  </si>
  <si>
    <t>Direct Served Customers Class B</t>
  </si>
  <si>
    <t>Direct Served Customers Class C</t>
  </si>
  <si>
    <t>The effect of the proposed rates on the average monthly bill by rate class is as follows:</t>
  </si>
  <si>
    <t>Change</t>
  </si>
  <si>
    <t>A person may examine the application and any related documents Kenergy Corp. has filed with the KPSC: (i) at the utility's principal office at the above stated address or at 3111 Fairview Drive, Owensboro, KY 42303 during normal business hours; or (ii)  through the KPSC's website at http://psc.ky.gov.  Additional information and links may also be accessed via Kenergy's website at https://www.kenergycorp.com and via social media on Twitter @KenergyCorp.com and Facebook www.facebook.com/KenergyCorp.</t>
  </si>
  <si>
    <t>A person may submit a timely written request for intervention to the KPSC, 211 Sower Boulevard, Post Office Box 615, Frankfort, KY 40602, establishing the grounds for the request including the status and interest of the party. Comments regarding this application may be submitted to the KPSC through its website or by mail to the Public Service Commission , Post Office Box 615, Frankfort, Kentucky 40602. If the Commission does not receive a written request for intervention within (30) days of the initial publication or mailing of this notice, the commission may take final action on the application.The rates contained in this notice are the rates proposed by Kenergy Corp. but the KPSC may order rates to be charged that differ from the proposed rates contained in this notice.</t>
  </si>
  <si>
    <t>By:  Tim Lindahl, President and CEO</t>
  </si>
  <si>
    <t xml:space="preserve">Kenergy Corp., 6402 Old Corydon Road, Henderson, KY 42420, will file an application for an adjustment in existing rates pursuant to the streamlined procedure pilot program on or around xxxxxx xx, 2023 with the Kentucky Public Service Commission ("KPSC") in Case No. 2023-xxxxx. The proposed changes are designed to increase revenues $x,xxx,xxx and are proposed to be effective on xxxxx xx, 2024. </t>
  </si>
  <si>
    <t>The present and proposed rates that are changing are as follows:</t>
  </si>
  <si>
    <t>Additional information, links, and a copy of Kenergy Corp.'s full notice concerning its proposed rate adjustment can be found at Kenergy Corp.'s principal office at the above stated address or at 3111 Fairview Drive, Owensboro, KY, 42303, its website at https://www.kenergycorp.com, and via social media on Twitter @KenergyCorp.com and Facebook www.facebook.com/KenergyCorp.</t>
  </si>
  <si>
    <t>A person may submit a timely written request for intervention to the KPSC, 211 Sower Boulevard, Post Office Box 615, Frankfort, KY 40602, establishing the grounds for the request including the status and interest of the party. The KPSC's phone number is (502) 564-3940 and its website is https://psc.ky.gov. The KPSC is required to take action on Kenergy's application within 75 days of filing. The rates contained in this notice are the rates proposed by Kenergy Corp. but the KPSC may order rates to be charged that differ from the proposed rates contained in this notice.</t>
  </si>
  <si>
    <t xml:space="preserve">Average </t>
  </si>
  <si>
    <t xml:space="preserve">n/a  </t>
  </si>
  <si>
    <t>Monthly Base Rate Increase by KWH Level</t>
  </si>
  <si>
    <t>Monthly Estimated Rate Increase by KWH Level</t>
  </si>
  <si>
    <t>&lt; base</t>
  </si>
  <si>
    <t>&lt; riders</t>
  </si>
  <si>
    <t>CLASS A DIRECT SERVED CUSTOMERS  CONSUMPTION ANALYSIS FEBRUARY  2023 TEST YEAR</t>
  </si>
  <si>
    <t>(i)</t>
  </si>
  <si>
    <t>(j)</t>
  </si>
  <si>
    <t>Test year amounts</t>
  </si>
  <si>
    <t>Normalized amounts</t>
  </si>
  <si>
    <t>Proposed amounts</t>
  </si>
  <si>
    <t>Power cost per books</t>
  </si>
  <si>
    <t>Retail fee:</t>
  </si>
  <si>
    <t>KWH Total @</t>
  </si>
  <si>
    <t>Customer charge</t>
  </si>
  <si>
    <t xml:space="preserve"> x 12 months x 2</t>
  </si>
  <si>
    <t>PSC assessment</t>
  </si>
  <si>
    <t>Kenergy administriative costs</t>
  </si>
  <si>
    <t>Revenue per books</t>
  </si>
  <si>
    <t>Trial balance account numbers:</t>
  </si>
  <si>
    <t>Revenue per bks</t>
  </si>
  <si>
    <t>Pwr cost per bks</t>
  </si>
  <si>
    <t>555.401</t>
  </si>
  <si>
    <t>555.6</t>
  </si>
  <si>
    <t>442.214</t>
  </si>
  <si>
    <t>442.215</t>
  </si>
  <si>
    <t>555.601</t>
  </si>
  <si>
    <t>442.216</t>
  </si>
  <si>
    <t>CENTURY - HAWESVILLE</t>
  </si>
  <si>
    <t>WHOLESALE</t>
  </si>
  <si>
    <t>Adjust for</t>
  </si>
  <si>
    <t>CONTRACT</t>
  </si>
  <si>
    <t>METERED</t>
  </si>
  <si>
    <t>POWER FACTOR</t>
  </si>
  <si>
    <t>ADJUSTMENT</t>
  </si>
  <si>
    <t>Lagged</t>
  </si>
  <si>
    <t>accrual vs</t>
  </si>
  <si>
    <t>MINIMUM</t>
  </si>
  <si>
    <t>KW</t>
  </si>
  <si>
    <t>KWH</t>
  </si>
  <si>
    <t>DEMAND</t>
  </si>
  <si>
    <t>ENERGY</t>
  </si>
  <si>
    <t>FACTORS</t>
  </si>
  <si>
    <t>DOLLARS</t>
  </si>
  <si>
    <t>TOTAL COST</t>
  </si>
  <si>
    <t>REVENUE</t>
  </si>
  <si>
    <t>MARKUP</t>
  </si>
  <si>
    <t>1 mo</t>
  </si>
  <si>
    <t>PSC</t>
  </si>
  <si>
    <t>Markup</t>
  </si>
  <si>
    <t>-</t>
  </si>
  <si>
    <t xml:space="preserve">internal &amp; </t>
  </si>
  <si>
    <t>assessment</t>
  </si>
  <si>
    <t>variance</t>
  </si>
  <si>
    <t>direct cost</t>
  </si>
  <si>
    <t>APR</t>
  </si>
  <si>
    <t>MAY</t>
  </si>
  <si>
    <t>JUN</t>
  </si>
  <si>
    <t>JUL</t>
  </si>
  <si>
    <t>AUG</t>
  </si>
  <si>
    <t>SEP</t>
  </si>
  <si>
    <t>OCT</t>
  </si>
  <si>
    <t>NOV</t>
  </si>
  <si>
    <t>DEC</t>
  </si>
  <si>
    <t>=</t>
  </si>
  <si>
    <t xml:space="preserve">                             CENTURY - SEBREE  </t>
  </si>
  <si>
    <t>CASE NO. 2023-00276</t>
  </si>
  <si>
    <t>CLASS B DIRECT SERVED CUSTOMERS  CONSUMPTION ANALYSIS FEBRUARY 28 2023 TEST YEAR</t>
  </si>
  <si>
    <t>TEST YEAR DATA</t>
  </si>
  <si>
    <t>NORMALIZED</t>
  </si>
  <si>
    <t>PROPOSED</t>
  </si>
  <si>
    <t>Wholesale charges:</t>
  </si>
  <si>
    <t xml:space="preserve">Demand charge firm kw </t>
  </si>
  <si>
    <t>EDR Credit</t>
  </si>
  <si>
    <t>Cogen credit(less adm fee)</t>
  </si>
  <si>
    <t>Energy charge per firm kwh</t>
  </si>
  <si>
    <t>Charges related to providing backup power</t>
  </si>
  <si>
    <t>for the Cogeneration load:</t>
  </si>
  <si>
    <t>Wholesale Adjustment Factors</t>
  </si>
  <si>
    <t>Fuel Adjustment</t>
  </si>
  <si>
    <t>Total WAF's</t>
  </si>
  <si>
    <t>(1)</t>
  </si>
  <si>
    <t>Retail adder:</t>
  </si>
  <si>
    <t>Customer charge:</t>
  </si>
  <si>
    <t>Energy charge per kwh(line 4 plus 14 col.b)</t>
  </si>
  <si>
    <t>Energy generated at site - retail adder</t>
  </si>
  <si>
    <t>Total energy consumed at site</t>
  </si>
  <si>
    <t>(1) per trial balance account numbers:</t>
  </si>
  <si>
    <t xml:space="preserve">2023-XXXXX RATE APPLICATION </t>
  </si>
  <si>
    <t>Purchased Power from Big Rivers Electric-Direct Serves Class B</t>
  </si>
  <si>
    <t>Twelve months ending February 28, 2023</t>
  </si>
  <si>
    <t>domtar</t>
  </si>
  <si>
    <t>KC</t>
  </si>
  <si>
    <t>aleris</t>
  </si>
  <si>
    <t xml:space="preserve">includes </t>
  </si>
  <si>
    <t>includes</t>
  </si>
  <si>
    <t>backup</t>
  </si>
  <si>
    <t>demand credits</t>
  </si>
  <si>
    <t>Backup charges</t>
  </si>
  <si>
    <t>row</t>
  </si>
  <si>
    <t>Month</t>
  </si>
  <si>
    <t>March 2022</t>
  </si>
  <si>
    <t>April</t>
  </si>
  <si>
    <t>June</t>
  </si>
  <si>
    <t>September</t>
  </si>
  <si>
    <t>October</t>
  </si>
  <si>
    <t>November</t>
  </si>
  <si>
    <t>December</t>
  </si>
  <si>
    <t>Jan 2023</t>
  </si>
  <si>
    <t>Feb 2023</t>
  </si>
  <si>
    <t>backup kwh</t>
  </si>
  <si>
    <t>Other kwh</t>
  </si>
  <si>
    <t>NON-SMELTER</t>
  </si>
  <si>
    <t>FUEL</t>
  </si>
  <si>
    <t>NON-FAC</t>
  </si>
  <si>
    <t>ENVIRONMENTAL</t>
  </si>
  <si>
    <t>RER BASE</t>
  </si>
  <si>
    <t>MRSM BASE</t>
  </si>
  <si>
    <t>MRSM LG</t>
  </si>
  <si>
    <t>MRSM LG IND</t>
  </si>
  <si>
    <t>UNWIND</t>
  </si>
  <si>
    <t>PPA</t>
  </si>
  <si>
    <t>SURCHARGE</t>
  </si>
  <si>
    <t>RATE CR</t>
  </si>
  <si>
    <t>RATE CREDIT</t>
  </si>
  <si>
    <t>IND ADJ</t>
  </si>
  <si>
    <t>BASE RATE CR</t>
  </si>
  <si>
    <t>SURCREDIT</t>
  </si>
  <si>
    <t>FEB 2023</t>
  </si>
  <si>
    <t>including</t>
  </si>
  <si>
    <t>DOMTAR PAPER</t>
  </si>
  <si>
    <t>self gemeration</t>
  </si>
  <si>
    <t>Billed or</t>
  </si>
  <si>
    <t>Firm at</t>
  </si>
  <si>
    <t>including backup</t>
  </si>
  <si>
    <t xml:space="preserve">All other </t>
  </si>
  <si>
    <t xml:space="preserve">Total </t>
  </si>
  <si>
    <t>charges</t>
  </si>
  <si>
    <t>back up power</t>
  </si>
  <si>
    <t>verification</t>
  </si>
  <si>
    <t>retail fee</t>
  </si>
  <si>
    <t>monthlky</t>
  </si>
  <si>
    <t>Back up</t>
  </si>
  <si>
    <t>Firm power</t>
  </si>
  <si>
    <t xml:space="preserve">charges </t>
  </si>
  <si>
    <t>wholesale</t>
  </si>
  <si>
    <t>consumed at</t>
  </si>
  <si>
    <t>at</t>
  </si>
  <si>
    <t>customer</t>
  </si>
  <si>
    <t>energy kwh</t>
  </si>
  <si>
    <t>cost</t>
  </si>
  <si>
    <t>plant</t>
  </si>
  <si>
    <t>charge</t>
  </si>
  <si>
    <t>Mar 2022</t>
  </si>
  <si>
    <t>JAN 2023</t>
  </si>
  <si>
    <t>firm kwh from BREC</t>
  </si>
  <si>
    <t xml:space="preserve"> </t>
  </si>
  <si>
    <t>back up kwh purchased</t>
  </si>
  <si>
    <t>kwh self generation</t>
  </si>
  <si>
    <t>RER BUS.</t>
  </si>
  <si>
    <t>ADJ</t>
  </si>
  <si>
    <t>ALERIS INTERNATIONAL</t>
  </si>
  <si>
    <t>EDR kW</t>
  </si>
  <si>
    <t>MAR</t>
  </si>
  <si>
    <t>MAR 2022</t>
  </si>
  <si>
    <t>KIMBERLY CLARK</t>
  </si>
  <si>
    <t>includes Cogen</t>
  </si>
  <si>
    <t>backup charges</t>
  </si>
  <si>
    <t>credit</t>
  </si>
  <si>
    <t>Transmission</t>
  </si>
  <si>
    <t>EDR</t>
  </si>
  <si>
    <t>in demand</t>
  </si>
  <si>
    <t>CLASS C DIRECT SERVED CUSTOMERS  CONSUMPTION ANALYSIS  FEBRUARY 28, 2023 TEST YEAR</t>
  </si>
  <si>
    <t>(k)</t>
  </si>
  <si>
    <t>Demand charge per kw</t>
  </si>
  <si>
    <t>Power factor penalty per kw</t>
  </si>
  <si>
    <t>Energy charge per kwh</t>
  </si>
  <si>
    <t>Special transmission charges</t>
  </si>
  <si>
    <t>Adjustment For Rounding</t>
  </si>
  <si>
    <t>Energy charge per kwh(line 4 col. B</t>
  </si>
  <si>
    <t>Adder on special delivery point charges</t>
  </si>
  <si>
    <t>Facilities charge @ 1.15% * $ of invest.</t>
  </si>
  <si>
    <t>Out of period adjustments</t>
  </si>
  <si>
    <t>Rev. per bks</t>
  </si>
  <si>
    <t>REVENUE-COMM- PRECOAT METALS</t>
  </si>
  <si>
    <t>442.28</t>
  </si>
  <si>
    <t>555.9</t>
  </si>
  <si>
    <t>REVENUE-KY LAND RESOURCES-DOCK</t>
  </si>
  <si>
    <t>442.355</t>
  </si>
  <si>
    <t>555.355</t>
  </si>
  <si>
    <t>REVENUE-KY LAND RESOURCES-EQUALITY</t>
  </si>
  <si>
    <t>442.356</t>
  </si>
  <si>
    <t>555.356</t>
  </si>
  <si>
    <t>REVENUE-KY LAND RESOURCES-LEWIS CREEK</t>
  </si>
  <si>
    <t>442.357</t>
  </si>
  <si>
    <t>555.357</t>
  </si>
  <si>
    <t>REVENUE-KY LAND RESOURCES-MIDWAY</t>
  </si>
  <si>
    <t>442.358</t>
  </si>
  <si>
    <t>555.358</t>
  </si>
  <si>
    <t>REVENUE-ACCURIDE</t>
  </si>
  <si>
    <t>442.801</t>
  </si>
  <si>
    <t>555.101</t>
  </si>
  <si>
    <t>REVENUE-HOPKINS CO COAL</t>
  </si>
  <si>
    <t>442.805</t>
  </si>
  <si>
    <t>555.105</t>
  </si>
  <si>
    <t>REVENUE-DOTIKI #3</t>
  </si>
  <si>
    <t>442.806</t>
  </si>
  <si>
    <t>555.106</t>
  </si>
  <si>
    <t>REVENUE-TYSON</t>
  </si>
  <si>
    <t>442.807</t>
  </si>
  <si>
    <t>555.107</t>
  </si>
  <si>
    <t>REVENUE-AMG ALUMINUM</t>
  </si>
  <si>
    <t>442.808</t>
  </si>
  <si>
    <t>555.108</t>
  </si>
  <si>
    <t>REVENUE-SOUTHWIRE</t>
  </si>
  <si>
    <t>442.812</t>
  </si>
  <si>
    <t>555.112</t>
  </si>
  <si>
    <t>REVENUE-AZTECA (VALLEY GRAIN)</t>
  </si>
  <si>
    <t>442.814</t>
  </si>
  <si>
    <t>555.114</t>
  </si>
  <si>
    <t>Purchased power from Big Rivers Electric - Direct Serves class C</t>
  </si>
  <si>
    <t>Twelve Months ending February 28, 2023</t>
  </si>
  <si>
    <t>Spec.</t>
  </si>
  <si>
    <t>power</t>
  </si>
  <si>
    <t>sum</t>
  </si>
  <si>
    <t>Delivery Point</t>
  </si>
  <si>
    <t xml:space="preserve">Spec. </t>
  </si>
  <si>
    <t xml:space="preserve">CONTRACT </t>
  </si>
  <si>
    <t>factor</t>
  </si>
  <si>
    <t>special charges</t>
  </si>
  <si>
    <t>of</t>
  </si>
  <si>
    <t>Demand</t>
  </si>
  <si>
    <t>Charge</t>
  </si>
  <si>
    <t>Wholesale</t>
  </si>
  <si>
    <t>Retail</t>
  </si>
  <si>
    <t>Metered</t>
  </si>
  <si>
    <t>Facilities</t>
  </si>
  <si>
    <t>Delivery</t>
  </si>
  <si>
    <t>month</t>
  </si>
  <si>
    <t>Imbalance</t>
  </si>
  <si>
    <t>kw</t>
  </si>
  <si>
    <t>Charges</t>
  </si>
  <si>
    <t>*.003</t>
  </si>
  <si>
    <t>Point</t>
  </si>
  <si>
    <t>March 22</t>
  </si>
  <si>
    <t>Novermber</t>
  </si>
  <si>
    <t>Jan 23</t>
  </si>
  <si>
    <t>Feb 23</t>
  </si>
  <si>
    <t xml:space="preserve">divided by </t>
  </si>
  <si>
    <t>$100 =</t>
  </si>
  <si>
    <t>ACCURIDE</t>
  </si>
  <si>
    <t>FEB</t>
  </si>
  <si>
    <t>ALCOA CASTINGS</t>
  </si>
  <si>
    <r>
      <t xml:space="preserve">AMG ALUMINUM, </t>
    </r>
    <r>
      <rPr>
        <sz val="10"/>
        <rFont val="Arial"/>
        <family val="2"/>
      </rPr>
      <t>FORMERLY KBI ALLOY</t>
    </r>
  </si>
  <si>
    <t>KY RESOURCES - Dock</t>
  </si>
  <si>
    <t>KY Resources - Equality</t>
  </si>
  <si>
    <t>KY Resources - Lewis Creek</t>
  </si>
  <si>
    <t xml:space="preserve">billed or </t>
  </si>
  <si>
    <t>DOTIKI</t>
  </si>
  <si>
    <t>Hartshorne Mining</t>
  </si>
  <si>
    <t>billed or</t>
  </si>
  <si>
    <t>JAN 2019</t>
  </si>
  <si>
    <t>HOPKINS CO COAL</t>
  </si>
  <si>
    <t>KY RESOURCES - Midway</t>
  </si>
  <si>
    <t>UNNAMED</t>
  </si>
  <si>
    <t>BILLED</t>
  </si>
  <si>
    <t>Pennyrile Energy</t>
  </si>
  <si>
    <t>Pre Coat</t>
  </si>
  <si>
    <t>SEBREE KMMC</t>
  </si>
  <si>
    <t>SEBREE STEAMPORT</t>
  </si>
  <si>
    <t>Southwire</t>
  </si>
  <si>
    <t>TYSON FOODS</t>
  </si>
  <si>
    <t>AZTECA(VALLEY GRAIN)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</si>
</sst>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00"/>
    <numFmt numFmtId="166" formatCode="&quot;$&quot;#,##0.00000"/>
    <numFmt numFmtId="167" formatCode="0.0%"/>
    <numFmt numFmtId="168" formatCode="0.000%"/>
    <numFmt numFmtId="169" formatCode="_(* #,##0_);_(* \(#,##0\);_(* &quot;-&quot;??_);_(@_)"/>
    <numFmt numFmtId="170" formatCode="_(* #,##0.000_);_(* \(#,##0.000\);_(* &quot;-&quot;??_);_(@_)"/>
    <numFmt numFmtId="171" formatCode="_(* #,##0.0000_);_(* \(#,##0.0000\);_(* &quot;-&quot;??_);_(@_)"/>
    <numFmt numFmtId="172" formatCode="_(* #,##0.00000_);_(* \(#,##0.00000\);_(* &quot;-&quot;??_);_(@_)"/>
    <numFmt numFmtId="173" formatCode="_(* #,##0.000000_);_(* \(#,##0.000000\);_(* &quot;-&quot;??_);_(@_)"/>
    <numFmt numFmtId="174" formatCode="_(&quot;$&quot;* #,##0.0000_);_(&quot;$&quot;* \(#,##0.0000\);_(&quot;$&quot;* &quot;-&quot;??_);_(@_)"/>
    <numFmt numFmtId="175" formatCode="_(&quot;$&quot;* #,##0.00000_);_(&quot;$&quot;* \(#,##0.00000\);_(&quot;$&quot;* &quot;-&quot;??_);_(@_)"/>
    <numFmt numFmtId="176" formatCode="&quot;$&quot;#,##0.00"/>
    <numFmt numFmtId="177" formatCode="0.000000"/>
    <numFmt numFmtId="178" formatCode="[$-409]mmmm\-yy;@"/>
    <numFmt numFmtId="179" formatCode="&quot;$&quot;#,##0"/>
    <numFmt numFmtId="180" formatCode="_(&quot;$&quot;* #,##0.000_);_(&quot;$&quot;* \(#,##0.000\);_(&quot;$&quot;* &quot;-&quot;??_);_(@_)"/>
    <numFmt numFmtId="181" formatCode="&quot;$&quot;#,##0.000000"/>
    <numFmt numFmtId="182" formatCode="&quot;$&quot;#,##0.0000_);[Red]\(&quot;$&quot;#,##0.0000\)"/>
    <numFmt numFmtId="183" formatCode="_(&quot;$&quot;* #,##0.00000000_);_(&quot;$&quot;* \(#,##0.00000000\);_(&quot;$&quot;* &quot;-&quot;??_);_(@_)"/>
    <numFmt numFmtId="184" formatCode="_(* #,##0.00000000_);_(* \(#,##0.00000000\);_(* &quot;-&quot;??_);_(@_)"/>
    <numFmt numFmtId="185" formatCode="_(* #,##0.0000000_);_(* \(#,##0.0000000\);_(* &quot;-&quot;??_);_(@_)"/>
    <numFmt numFmtId="186" formatCode="&quot;$&quot;#,##0.000000_);[Red]\(&quot;$&quot;#,##0.000000\)"/>
    <numFmt numFmtId="187" formatCode="_(&quot;$&quot;* #,##0.000000_);_(&quot;$&quot;* \(#,##0.000000\);_(&quot;$&quot;* &quot;-&quot;??_);_(@_)"/>
    <numFmt numFmtId="188" formatCode="0.000"/>
    <numFmt numFmtId="189" formatCode="#,##0.00;\-#,##0.00;0.00"/>
    <numFmt numFmtId="190" formatCode="#,##0;\-#,##0;0"/>
    <numFmt numFmtId="191" formatCode="#,##0.00000;\-#,##0.00000;0.00000"/>
    <numFmt numFmtId="192" formatCode="0.0000000"/>
    <numFmt numFmtId="193" formatCode="&quot;$&quot;#,##0.0000000_);\(&quot;$&quot;#,##0.0000000\)"/>
    <numFmt numFmtId="194" formatCode="_(* #,##0.00_);_(* \(#,##0.00\);_(* &quot;-&quot;???_);_(@_)"/>
    <numFmt numFmtId="195" formatCode="_(&quot;$&quot;* #,##0.0000000_);_(&quot;$&quot;* \(#,##0.0000000\);_(&quot;$&quot;* &quot;-&quot;??_);_(@_)"/>
    <numFmt numFmtId="196" formatCode="&quot;$&quot;#,##0.000_);[Red]\(&quot;$&quot;#,##0.000\)"/>
    <numFmt numFmtId="197" formatCode="&quot;$&quot;#,##0.00000000_);\(&quot;$&quot;#,##0.00000000\)"/>
    <numFmt numFmtId="198" formatCode="&quot;$&quot;#,##0.0000_);\(&quot;$&quot;#,##0.0000\)"/>
    <numFmt numFmtId="199" formatCode="[$-409]mmm\-yy;@"/>
  </numFmts>
  <fonts count="53"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i/>
      <sz val="12"/>
      <name val="Times New Roman"/>
      <family val="1"/>
    </font>
    <font>
      <sz val="10"/>
      <name val="Arial"/>
      <family val="2"/>
    </font>
    <font>
      <b/>
      <sz val="14"/>
      <name val="Times New Roman"/>
      <family val="1"/>
    </font>
    <font>
      <sz val="10"/>
      <name val="Arial"/>
      <family val="2"/>
    </font>
    <font>
      <sz val="11"/>
      <name val="Times New Roman"/>
      <family val="1"/>
    </font>
    <font>
      <b/>
      <sz val="10"/>
      <name val="Arial"/>
      <family val="2"/>
    </font>
    <font>
      <i/>
      <sz val="10"/>
      <name val="Arial"/>
      <family val="2"/>
    </font>
    <font>
      <b/>
      <u/>
      <sz val="10"/>
      <name val="Arial"/>
      <family val="2"/>
    </font>
    <font>
      <u/>
      <sz val="10"/>
      <name val="Arial"/>
      <family val="2"/>
    </font>
    <font>
      <b/>
      <sz val="12"/>
      <color rgb="FFC00000"/>
      <name val="Times New Roman"/>
      <family val="1"/>
    </font>
    <font>
      <sz val="10"/>
      <color theme="1"/>
      <name val="Arial"/>
      <family val="2"/>
    </font>
    <font>
      <b/>
      <sz val="10"/>
      <color theme="1"/>
      <name val="Arial"/>
      <family val="2"/>
    </font>
    <font>
      <sz val="12"/>
      <color rgb="FF7030A0"/>
      <name val="Times New Roman"/>
      <family val="1"/>
    </font>
    <font>
      <u/>
      <sz val="10"/>
      <color theme="1"/>
      <name val="Arial"/>
      <family val="2"/>
    </font>
    <font>
      <b/>
      <sz val="11"/>
      <name val="Arial"/>
      <family val="2"/>
    </font>
    <font>
      <sz val="11"/>
      <name val="Arial"/>
      <family val="2"/>
    </font>
    <font>
      <sz val="9"/>
      <name val="Arial"/>
      <family val="2"/>
    </font>
    <font>
      <sz val="10"/>
      <color theme="4"/>
      <name val="Arial"/>
      <family val="2"/>
    </font>
    <font>
      <sz val="10"/>
      <color rgb="FFFF0000"/>
      <name val="Arial"/>
      <family val="2"/>
    </font>
    <font>
      <sz val="10"/>
      <color rgb="FF0000FF"/>
      <name val="Arial"/>
      <family val="2"/>
    </font>
    <font>
      <sz val="10"/>
      <color theme="6"/>
      <name val="Arial"/>
      <family val="2"/>
    </font>
    <font>
      <sz val="11"/>
      <color theme="6"/>
      <name val="Arial"/>
      <family val="2"/>
    </font>
    <font>
      <sz val="10"/>
      <color theme="5"/>
      <name val="Arial"/>
      <family val="2"/>
    </font>
    <font>
      <sz val="11"/>
      <color rgb="FFFF0000"/>
      <name val="Arial"/>
      <family val="2"/>
    </font>
    <font>
      <strike/>
      <sz val="10"/>
      <name val="Arial"/>
      <family val="2"/>
    </font>
    <font>
      <sz val="12"/>
      <name val="Arial"/>
      <family val="2"/>
    </font>
    <font>
      <b/>
      <sz val="12"/>
      <name val="Arial"/>
      <family val="2"/>
    </font>
    <font>
      <sz val="11"/>
      <name val="Calibri"/>
      <family val="2"/>
    </font>
    <font>
      <b/>
      <u/>
      <sz val="11"/>
      <color rgb="FF000000"/>
      <name val="Arial"/>
      <family val="2"/>
    </font>
    <font>
      <b/>
      <sz val="11"/>
      <color rgb="FF000000"/>
      <name val="Arial"/>
      <family val="2"/>
    </font>
    <font>
      <sz val="11"/>
      <color rgb="FF000000"/>
      <name val="Arial"/>
      <family val="2"/>
    </font>
    <font>
      <b/>
      <u/>
      <sz val="12"/>
      <name val="Arial"/>
      <family val="2"/>
    </font>
    <font>
      <sz val="14"/>
      <name val="Arial"/>
      <family val="2"/>
    </font>
    <font>
      <sz val="11"/>
      <color theme="1"/>
      <name val="Arial"/>
      <family val="2"/>
    </font>
    <font>
      <b/>
      <u/>
      <sz val="11"/>
      <color theme="1"/>
      <name val="Arial"/>
      <family val="2"/>
    </font>
    <font>
      <sz val="12"/>
      <color theme="0"/>
      <name val="Times New Roman"/>
      <family val="1"/>
    </font>
    <font>
      <sz val="8"/>
      <name val="Times New Roman"/>
      <family val="1"/>
    </font>
    <font>
      <sz val="11"/>
      <name val="Calibri"/>
      <family val="2"/>
      <scheme val="minor"/>
    </font>
    <font>
      <b/>
      <sz val="14"/>
      <name val="Helv"/>
    </font>
    <font>
      <b/>
      <sz val="14"/>
      <name val="Arial"/>
      <family val="2"/>
    </font>
    <font>
      <sz val="12"/>
      <name val="Helv"/>
    </font>
    <font>
      <b/>
      <sz val="12"/>
      <name val="Helv"/>
    </font>
    <font>
      <sz val="10"/>
      <name val="Gigi"/>
      <family val="5"/>
    </font>
    <font>
      <sz val="12"/>
      <color indexed="12"/>
      <name val="Helv"/>
    </font>
    <font>
      <b/>
      <strike/>
      <sz val="12"/>
      <name val="Cambria"/>
      <family val="1"/>
    </font>
    <font>
      <strike/>
      <sz val="10"/>
      <name val="Cambria"/>
      <family val="1"/>
    </font>
    <font>
      <b/>
      <strike/>
      <sz val="12"/>
      <name val="Helv"/>
    </font>
  </fonts>
  <fills count="8">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4.9989318521683403E-2"/>
        <bgColor indexed="64"/>
      </patternFill>
    </fill>
  </fills>
  <borders count="45">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43" fontId="3"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0" fontId="10" fillId="0" borderId="0"/>
    <xf numFmtId="9" fontId="3"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xf numFmtId="44" fontId="1" fillId="0" borderId="0" applyFont="0" applyFill="0" applyBorder="0" applyAlignment="0" applyProtection="0"/>
    <xf numFmtId="0" fontId="46" fillId="0" borderId="0"/>
    <xf numFmtId="0" fontId="1" fillId="0" borderId="0"/>
  </cellStyleXfs>
  <cellXfs count="642">
    <xf numFmtId="0" fontId="0" fillId="0" borderId="0" xfId="0"/>
    <xf numFmtId="0" fontId="4" fillId="0" borderId="0" xfId="0" applyFont="1"/>
    <xf numFmtId="0" fontId="5" fillId="0" borderId="0" xfId="0" applyFont="1"/>
    <xf numFmtId="0" fontId="4" fillId="0" borderId="0" xfId="0" applyFont="1" applyAlignment="1">
      <alignment horizontal="center"/>
    </xf>
    <xf numFmtId="0" fontId="4" fillId="0" borderId="0" xfId="0" applyFont="1" applyAlignment="1">
      <alignment horizontal="right"/>
    </xf>
    <xf numFmtId="0" fontId="4" fillId="0" borderId="1" xfId="0" applyFont="1" applyBorder="1" applyAlignment="1">
      <alignment horizontal="right"/>
    </xf>
    <xf numFmtId="0" fontId="6" fillId="0" borderId="2" xfId="0" applyFont="1" applyBorder="1" applyAlignment="1">
      <alignment wrapText="1"/>
    </xf>
    <xf numFmtId="0" fontId="5" fillId="0" borderId="2" xfId="0" applyFont="1" applyBorder="1"/>
    <xf numFmtId="41" fontId="5" fillId="0" borderId="0" xfId="0" applyNumberFormat="1" applyFont="1"/>
    <xf numFmtId="44" fontId="5" fillId="0" borderId="0" xfId="5" applyFont="1"/>
    <xf numFmtId="44" fontId="5" fillId="0" borderId="0" xfId="0" applyNumberFormat="1" applyFont="1"/>
    <xf numFmtId="164" fontId="5" fillId="0" borderId="0" xfId="0" applyNumberFormat="1" applyFont="1"/>
    <xf numFmtId="0" fontId="6" fillId="0" borderId="2" xfId="0" applyFont="1" applyBorder="1"/>
    <xf numFmtId="41" fontId="6" fillId="0" borderId="2" xfId="0" applyNumberFormat="1" applyFont="1" applyBorder="1"/>
    <xf numFmtId="169" fontId="5" fillId="0" borderId="0" xfId="1" applyNumberFormat="1" applyFont="1"/>
    <xf numFmtId="165" fontId="5" fillId="0" borderId="0" xfId="0" applyNumberFormat="1" applyFont="1"/>
    <xf numFmtId="0" fontId="6" fillId="0" borderId="0" xfId="0" applyFont="1"/>
    <xf numFmtId="41" fontId="5" fillId="0" borderId="2" xfId="0" applyNumberFormat="1" applyFont="1" applyBorder="1"/>
    <xf numFmtId="166" fontId="5" fillId="0" borderId="0" xfId="0" applyNumberFormat="1" applyFont="1"/>
    <xf numFmtId="169" fontId="5" fillId="0" borderId="0" xfId="0" applyNumberFormat="1" applyFont="1"/>
    <xf numFmtId="43" fontId="5" fillId="0" borderId="0" xfId="0" applyNumberFormat="1" applyFont="1"/>
    <xf numFmtId="174" fontId="5" fillId="0" borderId="0" xfId="0" applyNumberFormat="1" applyFont="1"/>
    <xf numFmtId="164" fontId="5" fillId="0" borderId="0" xfId="12" applyNumberFormat="1" applyFont="1"/>
    <xf numFmtId="10" fontId="5" fillId="0" borderId="0" xfId="12" applyNumberFormat="1" applyFont="1" applyBorder="1"/>
    <xf numFmtId="164" fontId="5" fillId="0" borderId="3" xfId="0" applyNumberFormat="1" applyFont="1" applyBorder="1"/>
    <xf numFmtId="10" fontId="5" fillId="0" borderId="0" xfId="12" applyNumberFormat="1" applyFont="1"/>
    <xf numFmtId="43" fontId="5" fillId="0" borderId="0" xfId="1" applyFont="1"/>
    <xf numFmtId="175" fontId="5" fillId="0" borderId="0" xfId="0" applyNumberFormat="1" applyFont="1"/>
    <xf numFmtId="166" fontId="5" fillId="0" borderId="2" xfId="0" applyNumberFormat="1" applyFont="1" applyBorder="1"/>
    <xf numFmtId="0" fontId="4" fillId="0" borderId="2" xfId="0" applyFont="1" applyBorder="1"/>
    <xf numFmtId="0" fontId="4" fillId="0" borderId="2" xfId="0" applyFont="1" applyBorder="1" applyAlignment="1">
      <alignment horizontal="right" wrapText="1"/>
    </xf>
    <xf numFmtId="164" fontId="5" fillId="0" borderId="0" xfId="5" applyNumberFormat="1" applyFont="1"/>
    <xf numFmtId="169" fontId="5" fillId="0" borderId="2" xfId="1" applyNumberFormat="1" applyFont="1" applyBorder="1" applyAlignment="1">
      <alignment horizontal="right"/>
    </xf>
    <xf numFmtId="44" fontId="5" fillId="0" borderId="0" xfId="5" applyFont="1" applyBorder="1"/>
    <xf numFmtId="43" fontId="5" fillId="0" borderId="0" xfId="1" applyFont="1" applyBorder="1"/>
    <xf numFmtId="164" fontId="5" fillId="0" borderId="0" xfId="5" applyNumberFormat="1" applyFont="1" applyBorder="1" applyAlignment="1">
      <alignment horizontal="right"/>
    </xf>
    <xf numFmtId="169" fontId="5" fillId="0" borderId="0" xfId="1" applyNumberFormat="1" applyFont="1" applyBorder="1"/>
    <xf numFmtId="169" fontId="5" fillId="0" borderId="2" xfId="1" applyNumberFormat="1" applyFont="1" applyBorder="1"/>
    <xf numFmtId="41" fontId="5" fillId="0" borderId="0" xfId="0" applyNumberFormat="1" applyFont="1" applyAlignment="1">
      <alignment horizontal="right"/>
    </xf>
    <xf numFmtId="164" fontId="5" fillId="0" borderId="0" xfId="5" applyNumberFormat="1" applyFont="1" applyBorder="1"/>
    <xf numFmtId="169" fontId="5" fillId="0" borderId="0" xfId="1" applyNumberFormat="1" applyFont="1" applyBorder="1" applyAlignment="1">
      <alignment horizontal="right"/>
    </xf>
    <xf numFmtId="0" fontId="5" fillId="0" borderId="0" xfId="0" applyFont="1" applyAlignment="1">
      <alignment horizontal="right"/>
    </xf>
    <xf numFmtId="169" fontId="5" fillId="0" borderId="0" xfId="1" applyNumberFormat="1" applyFont="1" applyAlignment="1">
      <alignment horizontal="right"/>
    </xf>
    <xf numFmtId="17" fontId="5" fillId="0" borderId="0" xfId="0" applyNumberFormat="1" applyFont="1"/>
    <xf numFmtId="0" fontId="5" fillId="0" borderId="0" xfId="0" applyFont="1" applyAlignment="1">
      <alignment horizontal="left"/>
    </xf>
    <xf numFmtId="169" fontId="5" fillId="0" borderId="0" xfId="1" applyNumberFormat="1" applyFont="1" applyFill="1"/>
    <xf numFmtId="169" fontId="5" fillId="0" borderId="0" xfId="1" applyNumberFormat="1" applyFont="1" applyFill="1" applyBorder="1"/>
    <xf numFmtId="10" fontId="5" fillId="0" borderId="0" xfId="12" applyNumberFormat="1" applyFont="1" applyFill="1" applyBorder="1"/>
    <xf numFmtId="175" fontId="5" fillId="0" borderId="0" xfId="5" applyNumberFormat="1" applyFont="1" applyBorder="1"/>
    <xf numFmtId="175" fontId="5" fillId="0" borderId="0" xfId="5" applyNumberFormat="1" applyFont="1"/>
    <xf numFmtId="177" fontId="5" fillId="0" borderId="0" xfId="0" applyNumberFormat="1" applyFont="1"/>
    <xf numFmtId="164" fontId="5" fillId="0" borderId="0" xfId="1" applyNumberFormat="1" applyFont="1"/>
    <xf numFmtId="164" fontId="5" fillId="0" borderId="0" xfId="5" applyNumberFormat="1" applyFont="1" applyFill="1" applyBorder="1"/>
    <xf numFmtId="0" fontId="5" fillId="0" borderId="2" xfId="0" applyFont="1" applyBorder="1" applyAlignment="1">
      <alignment horizontal="right"/>
    </xf>
    <xf numFmtId="0" fontId="5" fillId="0" borderId="0" xfId="0" applyFont="1" applyAlignment="1">
      <alignment horizontal="center"/>
    </xf>
    <xf numFmtId="2" fontId="5" fillId="0" borderId="0" xfId="0" applyNumberFormat="1" applyFont="1"/>
    <xf numFmtId="169" fontId="5" fillId="0" borderId="2" xfId="0" applyNumberFormat="1" applyFont="1" applyBorder="1"/>
    <xf numFmtId="41" fontId="5" fillId="0" borderId="3" xfId="0" applyNumberFormat="1" applyFont="1" applyBorder="1"/>
    <xf numFmtId="10" fontId="5" fillId="0" borderId="3" xfId="12" applyNumberFormat="1" applyFont="1" applyFill="1" applyBorder="1"/>
    <xf numFmtId="164" fontId="5" fillId="0" borderId="3" xfId="5" applyNumberFormat="1" applyFont="1" applyFill="1" applyBorder="1"/>
    <xf numFmtId="8" fontId="5" fillId="0" borderId="0" xfId="0" applyNumberFormat="1" applyFont="1"/>
    <xf numFmtId="2" fontId="5" fillId="0" borderId="0" xfId="0" applyNumberFormat="1" applyFont="1" applyAlignment="1">
      <alignment horizontal="right"/>
    </xf>
    <xf numFmtId="169" fontId="5" fillId="0" borderId="0" xfId="1" applyNumberFormat="1" applyFont="1" applyFill="1" applyBorder="1" applyAlignment="1">
      <alignment horizontal="right"/>
    </xf>
    <xf numFmtId="169" fontId="5" fillId="0" borderId="0" xfId="1" applyNumberFormat="1" applyFont="1" applyFill="1" applyAlignment="1">
      <alignment horizontal="right"/>
    </xf>
    <xf numFmtId="0" fontId="4" fillId="0" borderId="0" xfId="0" applyFont="1" applyAlignment="1">
      <alignment horizontal="left"/>
    </xf>
    <xf numFmtId="1" fontId="5" fillId="0" borderId="0" xfId="0" applyNumberFormat="1" applyFont="1"/>
    <xf numFmtId="171" fontId="5" fillId="0" borderId="0" xfId="1" applyNumberFormat="1" applyFont="1" applyBorder="1" applyAlignment="1">
      <alignment horizontal="right"/>
    </xf>
    <xf numFmtId="44" fontId="5" fillId="0" borderId="0" xfId="5" applyFont="1" applyBorder="1" applyAlignment="1">
      <alignment horizontal="right"/>
    </xf>
    <xf numFmtId="0" fontId="4" fillId="0" borderId="0" xfId="0" applyFont="1" applyAlignment="1">
      <alignment horizontal="right" wrapText="1"/>
    </xf>
    <xf numFmtId="176" fontId="5" fillId="0" borderId="0" xfId="0" applyNumberFormat="1" applyFont="1"/>
    <xf numFmtId="172" fontId="5" fillId="0" borderId="2" xfId="1" applyNumberFormat="1" applyFont="1" applyBorder="1"/>
    <xf numFmtId="1" fontId="5" fillId="0" borderId="0" xfId="0" applyNumberFormat="1" applyFont="1" applyAlignment="1">
      <alignment horizontal="right"/>
    </xf>
    <xf numFmtId="44" fontId="5" fillId="0" borderId="0" xfId="5" applyFont="1" applyFill="1"/>
    <xf numFmtId="169" fontId="5" fillId="0" borderId="0" xfId="12" applyNumberFormat="1" applyFont="1"/>
    <xf numFmtId="169" fontId="5" fillId="0" borderId="0" xfId="0" applyNumberFormat="1" applyFont="1" applyAlignment="1">
      <alignment horizontal="left"/>
    </xf>
    <xf numFmtId="10" fontId="5" fillId="0" borderId="0" xfId="12" applyNumberFormat="1" applyFont="1" applyFill="1" applyBorder="1" applyAlignment="1">
      <alignment horizontal="right"/>
    </xf>
    <xf numFmtId="1" fontId="5" fillId="0" borderId="2" xfId="0" applyNumberFormat="1" applyFont="1" applyBorder="1" applyAlignment="1">
      <alignment horizontal="right"/>
    </xf>
    <xf numFmtId="1" fontId="5" fillId="0" borderId="2" xfId="0" applyNumberFormat="1" applyFont="1" applyBorder="1"/>
    <xf numFmtId="172" fontId="5" fillId="0" borderId="0" xfId="1" applyNumberFormat="1" applyFont="1" applyBorder="1"/>
    <xf numFmtId="172" fontId="5" fillId="0" borderId="0" xfId="1" applyNumberFormat="1" applyFont="1"/>
    <xf numFmtId="0" fontId="8" fillId="0" borderId="0" xfId="0" applyFont="1"/>
    <xf numFmtId="0" fontId="4" fillId="0" borderId="2" xfId="0" applyFont="1" applyBorder="1" applyAlignment="1">
      <alignment horizontal="center"/>
    </xf>
    <xf numFmtId="164" fontId="5" fillId="0" borderId="0" xfId="6" applyNumberFormat="1" applyFont="1"/>
    <xf numFmtId="164" fontId="5" fillId="0" borderId="0" xfId="5" applyNumberFormat="1" applyFont="1" applyFill="1" applyAlignment="1">
      <alignment horizontal="right"/>
    </xf>
    <xf numFmtId="164" fontId="5" fillId="0" borderId="0" xfId="5" applyNumberFormat="1" applyFont="1" applyFill="1"/>
    <xf numFmtId="10" fontId="5" fillId="0" borderId="0" xfId="12" applyNumberFormat="1" applyFont="1" applyFill="1"/>
    <xf numFmtId="178" fontId="5" fillId="0" borderId="0" xfId="0" applyNumberFormat="1" applyFont="1"/>
    <xf numFmtId="2" fontId="5" fillId="0" borderId="2" xfId="0" applyNumberFormat="1" applyFont="1" applyBorder="1" applyAlignment="1">
      <alignment horizontal="right"/>
    </xf>
    <xf numFmtId="44" fontId="5" fillId="0" borderId="0" xfId="5" applyFont="1" applyFill="1" applyBorder="1"/>
    <xf numFmtId="44" fontId="5" fillId="0" borderId="2" xfId="5" applyFont="1" applyBorder="1"/>
    <xf numFmtId="44" fontId="5" fillId="0" borderId="2" xfId="5" applyFont="1" applyFill="1" applyBorder="1"/>
    <xf numFmtId="44" fontId="5" fillId="0" borderId="0" xfId="0" applyNumberFormat="1" applyFont="1" applyAlignment="1">
      <alignment horizontal="left"/>
    </xf>
    <xf numFmtId="0" fontId="8" fillId="0" borderId="0" xfId="0" applyFont="1" applyAlignment="1">
      <alignment horizontal="center"/>
    </xf>
    <xf numFmtId="0" fontId="5" fillId="0" borderId="0" xfId="11" applyFont="1"/>
    <xf numFmtId="10" fontId="5" fillId="0" borderId="0" xfId="15" applyNumberFormat="1" applyFont="1"/>
    <xf numFmtId="0" fontId="8" fillId="0" borderId="0" xfId="11" applyFont="1"/>
    <xf numFmtId="0" fontId="4" fillId="0" borderId="2" xfId="11" applyFont="1" applyBorder="1" applyAlignment="1">
      <alignment horizontal="center"/>
    </xf>
    <xf numFmtId="0" fontId="4" fillId="0" borderId="0" xfId="11" applyFont="1" applyAlignment="1">
      <alignment horizontal="right"/>
    </xf>
    <xf numFmtId="0" fontId="4" fillId="0" borderId="0" xfId="11" applyFont="1"/>
    <xf numFmtId="0" fontId="4" fillId="0" borderId="0" xfId="11" applyFont="1" applyAlignment="1">
      <alignment horizontal="center"/>
    </xf>
    <xf numFmtId="0" fontId="4" fillId="0" borderId="2" xfId="11" applyFont="1" applyBorder="1"/>
    <xf numFmtId="0" fontId="4" fillId="0" borderId="2" xfId="11" applyFont="1" applyBorder="1" applyAlignment="1">
      <alignment horizontal="right"/>
    </xf>
    <xf numFmtId="0" fontId="5" fillId="0" borderId="0" xfId="9" applyFont="1"/>
    <xf numFmtId="43" fontId="5" fillId="0" borderId="0" xfId="3" applyFont="1"/>
    <xf numFmtId="172" fontId="5" fillId="0" borderId="0" xfId="3" applyNumberFormat="1" applyFont="1"/>
    <xf numFmtId="0" fontId="5" fillId="2" borderId="0" xfId="9" applyFont="1" applyFill="1"/>
    <xf numFmtId="0" fontId="5" fillId="2" borderId="0" xfId="11" applyFont="1" applyFill="1"/>
    <xf numFmtId="164" fontId="5" fillId="2" borderId="0" xfId="6" applyNumberFormat="1" applyFont="1" applyFill="1"/>
    <xf numFmtId="167" fontId="5" fillId="2" borderId="0" xfId="14" applyNumberFormat="1" applyFont="1" applyFill="1"/>
    <xf numFmtId="167" fontId="5" fillId="0" borderId="0" xfId="15" applyNumberFormat="1" applyFont="1"/>
    <xf numFmtId="0" fontId="5" fillId="0" borderId="3" xfId="11" applyFont="1" applyBorder="1" applyAlignment="1">
      <alignment vertical="center"/>
    </xf>
    <xf numFmtId="164" fontId="5" fillId="0" borderId="3" xfId="11" applyNumberFormat="1" applyFont="1" applyBorder="1" applyAlignment="1">
      <alignment vertical="center"/>
    </xf>
    <xf numFmtId="10" fontId="4" fillId="0" borderId="0" xfId="14" applyNumberFormat="1" applyFont="1" applyAlignment="1">
      <alignment vertical="center"/>
    </xf>
    <xf numFmtId="0" fontId="5" fillId="0" borderId="0" xfId="11" applyFont="1" applyAlignment="1">
      <alignment vertical="center"/>
    </xf>
    <xf numFmtId="5" fontId="5" fillId="0" borderId="0" xfId="5" applyNumberFormat="1" applyFont="1" applyFill="1"/>
    <xf numFmtId="5" fontId="5" fillId="2" borderId="0" xfId="5" applyNumberFormat="1" applyFont="1" applyFill="1"/>
    <xf numFmtId="0" fontId="15" fillId="0" borderId="0" xfId="11" applyFont="1"/>
    <xf numFmtId="170" fontId="5" fillId="0" borderId="0" xfId="3" applyNumberFormat="1" applyFont="1"/>
    <xf numFmtId="173" fontId="5" fillId="0" borderId="0" xfId="3" applyNumberFormat="1" applyFont="1"/>
    <xf numFmtId="0" fontId="5" fillId="0" borderId="0" xfId="11" applyFont="1" applyAlignment="1">
      <alignment horizontal="right"/>
    </xf>
    <xf numFmtId="0" fontId="7" fillId="0" borderId="0" xfId="0" applyFont="1"/>
    <xf numFmtId="0" fontId="8" fillId="0" borderId="0" xfId="10" applyFont="1"/>
    <xf numFmtId="0" fontId="7" fillId="0" borderId="0" xfId="10" applyAlignment="1">
      <alignment horizontal="center"/>
    </xf>
    <xf numFmtId="0" fontId="7" fillId="0" borderId="0" xfId="10"/>
    <xf numFmtId="0" fontId="8" fillId="0" borderId="0" xfId="10" applyFont="1" applyAlignment="1">
      <alignment horizontal="left"/>
    </xf>
    <xf numFmtId="0" fontId="11" fillId="0" borderId="7" xfId="10" applyFont="1" applyBorder="1" applyAlignment="1">
      <alignment horizontal="center" vertical="center"/>
    </xf>
    <xf numFmtId="0" fontId="11" fillId="0" borderId="8" xfId="10" applyFont="1" applyBorder="1" applyAlignment="1">
      <alignment horizontal="center" vertical="center"/>
    </xf>
    <xf numFmtId="0" fontId="11" fillId="0" borderId="9" xfId="10" applyFont="1" applyBorder="1" applyAlignment="1">
      <alignment horizontal="center" vertical="center"/>
    </xf>
    <xf numFmtId="0" fontId="11" fillId="0" borderId="10" xfId="10" applyFont="1" applyBorder="1" applyAlignment="1">
      <alignment horizontal="center" vertical="center"/>
    </xf>
    <xf numFmtId="0" fontId="11" fillId="0" borderId="11" xfId="10" applyFont="1" applyBorder="1" applyAlignment="1">
      <alignment horizontal="center" vertical="center"/>
    </xf>
    <xf numFmtId="0" fontId="11" fillId="0" borderId="12" xfId="10" applyFont="1" applyBorder="1" applyAlignment="1">
      <alignment horizontal="center" vertical="center"/>
    </xf>
    <xf numFmtId="0" fontId="11" fillId="0" borderId="0" xfId="10" applyFont="1"/>
    <xf numFmtId="0" fontId="11" fillId="0" borderId="13" xfId="10" applyFont="1" applyBorder="1" applyAlignment="1">
      <alignment horizontal="center" vertical="center"/>
    </xf>
    <xf numFmtId="0" fontId="11" fillId="0" borderId="14" xfId="10" applyFont="1" applyBorder="1" applyAlignment="1">
      <alignment horizontal="center" vertical="center"/>
    </xf>
    <xf numFmtId="44" fontId="12" fillId="0" borderId="14" xfId="10" applyNumberFormat="1" applyFont="1" applyBorder="1" applyAlignment="1">
      <alignment horizontal="center" vertical="center"/>
    </xf>
    <xf numFmtId="175" fontId="12" fillId="0" borderId="14" xfId="6" applyNumberFormat="1" applyFont="1" applyBorder="1" applyAlignment="1">
      <alignment horizontal="center" vertical="center"/>
    </xf>
    <xf numFmtId="0" fontId="12" fillId="0" borderId="14" xfId="10" applyFont="1" applyBorder="1" applyAlignment="1">
      <alignment horizontal="center" vertical="center"/>
    </xf>
    <xf numFmtId="0" fontId="11" fillId="0" borderId="15" xfId="10" applyFont="1" applyBorder="1" applyAlignment="1">
      <alignment horizontal="center" vertical="center"/>
    </xf>
    <xf numFmtId="0" fontId="7" fillId="0" borderId="16" xfId="10" applyBorder="1" applyAlignment="1">
      <alignment horizontal="center"/>
    </xf>
    <xf numFmtId="169" fontId="0" fillId="0" borderId="17" xfId="4" applyNumberFormat="1" applyFont="1" applyBorder="1"/>
    <xf numFmtId="44" fontId="7" fillId="0" borderId="18" xfId="10" applyNumberFormat="1" applyBorder="1"/>
    <xf numFmtId="44" fontId="7" fillId="0" borderId="0" xfId="10" applyNumberFormat="1"/>
    <xf numFmtId="44" fontId="7" fillId="0" borderId="5" xfId="10" applyNumberFormat="1" applyBorder="1"/>
    <xf numFmtId="44" fontId="7" fillId="0" borderId="18" xfId="7" applyFont="1" applyBorder="1"/>
    <xf numFmtId="44" fontId="7" fillId="0" borderId="5" xfId="7" applyFont="1" applyBorder="1"/>
    <xf numFmtId="167" fontId="7" fillId="0" borderId="19" xfId="16" applyNumberFormat="1" applyFont="1" applyBorder="1"/>
    <xf numFmtId="0" fontId="7" fillId="0" borderId="13" xfId="10" applyBorder="1" applyAlignment="1">
      <alignment horizontal="center"/>
    </xf>
    <xf numFmtId="169" fontId="7" fillId="0" borderId="20" xfId="3" applyNumberFormat="1" applyFont="1" applyBorder="1"/>
    <xf numFmtId="44" fontId="7" fillId="0" borderId="20" xfId="10" applyNumberFormat="1" applyBorder="1"/>
    <xf numFmtId="44" fontId="7" fillId="0" borderId="21" xfId="10" applyNumberFormat="1" applyBorder="1"/>
    <xf numFmtId="44" fontId="7" fillId="0" borderId="22" xfId="10" applyNumberFormat="1" applyBorder="1"/>
    <xf numFmtId="44" fontId="7" fillId="0" borderId="20" xfId="7" applyFont="1" applyBorder="1"/>
    <xf numFmtId="44" fontId="7" fillId="0" borderId="22" xfId="7" applyFont="1" applyBorder="1"/>
    <xf numFmtId="167" fontId="7" fillId="0" borderId="23" xfId="16" applyNumberFormat="1" applyFont="1" applyBorder="1"/>
    <xf numFmtId="0" fontId="7" fillId="0" borderId="0" xfId="10" applyAlignment="1">
      <alignment vertical="center"/>
    </xf>
    <xf numFmtId="0" fontId="7" fillId="0" borderId="24" xfId="10" applyBorder="1" applyAlignment="1">
      <alignment horizontal="center" vertical="center"/>
    </xf>
    <xf numFmtId="169" fontId="0" fillId="0" borderId="25" xfId="4" applyNumberFormat="1" applyFont="1" applyBorder="1" applyAlignment="1">
      <alignment vertical="center"/>
    </xf>
    <xf numFmtId="44" fontId="7" fillId="0" borderId="26" xfId="10" applyNumberFormat="1" applyBorder="1" applyAlignment="1">
      <alignment vertical="center"/>
    </xf>
    <xf numFmtId="44" fontId="7" fillId="0" borderId="27" xfId="10" applyNumberFormat="1" applyBorder="1" applyAlignment="1">
      <alignment vertical="center"/>
    </xf>
    <xf numFmtId="44" fontId="7" fillId="0" borderId="28" xfId="10" applyNumberFormat="1" applyBorder="1" applyAlignment="1">
      <alignment vertical="center"/>
    </xf>
    <xf numFmtId="44" fontId="7" fillId="0" borderId="26" xfId="7" applyFont="1" applyBorder="1" applyAlignment="1">
      <alignment vertical="center"/>
    </xf>
    <xf numFmtId="44" fontId="7" fillId="0" borderId="28" xfId="7" applyFont="1" applyBorder="1" applyAlignment="1">
      <alignment vertical="center"/>
    </xf>
    <xf numFmtId="167" fontId="7" fillId="0" borderId="29" xfId="16" applyNumberFormat="1" applyFont="1" applyBorder="1" applyAlignment="1">
      <alignment vertical="center"/>
    </xf>
    <xf numFmtId="0" fontId="11" fillId="0" borderId="0" xfId="0" applyFont="1"/>
    <xf numFmtId="0" fontId="13" fillId="0" borderId="0" xfId="0" applyFont="1"/>
    <xf numFmtId="0" fontId="14" fillId="0" borderId="0" xfId="0" applyFont="1" applyAlignment="1">
      <alignment horizontal="center"/>
    </xf>
    <xf numFmtId="0" fontId="14" fillId="0" borderId="0" xfId="0" applyFont="1" applyAlignment="1">
      <alignment horizontal="right"/>
    </xf>
    <xf numFmtId="0" fontId="14" fillId="0" borderId="0" xfId="0" applyFont="1"/>
    <xf numFmtId="0" fontId="7" fillId="0" borderId="0" xfId="0" applyFont="1" applyAlignment="1">
      <alignment horizontal="center"/>
    </xf>
    <xf numFmtId="0" fontId="7" fillId="0" borderId="0" xfId="11" applyFont="1"/>
    <xf numFmtId="0" fontId="14" fillId="0" borderId="0" xfId="9" applyFont="1"/>
    <xf numFmtId="166" fontId="7" fillId="0" borderId="0" xfId="3" applyNumberFormat="1" applyFont="1" applyFill="1"/>
    <xf numFmtId="0" fontId="16" fillId="0" borderId="0" xfId="0" applyFont="1"/>
    <xf numFmtId="0" fontId="11" fillId="0" borderId="0" xfId="0" applyFont="1" applyAlignment="1">
      <alignment horizontal="center" vertical="top" wrapText="1"/>
    </xf>
    <xf numFmtId="0" fontId="17" fillId="0" borderId="30" xfId="0" applyFont="1" applyBorder="1" applyAlignment="1">
      <alignment horizontal="right"/>
    </xf>
    <xf numFmtId="179" fontId="16" fillId="0" borderId="0" xfId="0" applyNumberFormat="1" applyFont="1"/>
    <xf numFmtId="176" fontId="16" fillId="0" borderId="0" xfId="0" applyNumberFormat="1" applyFont="1"/>
    <xf numFmtId="0" fontId="7" fillId="0" borderId="4" xfId="0" applyFont="1" applyBorder="1"/>
    <xf numFmtId="179" fontId="16" fillId="0" borderId="4" xfId="0" applyNumberFormat="1" applyFont="1" applyBorder="1"/>
    <xf numFmtId="0" fontId="11" fillId="0" borderId="0" xfId="0" applyFont="1" applyAlignment="1">
      <alignment horizontal="center"/>
    </xf>
    <xf numFmtId="0" fontId="11" fillId="0" borderId="2" xfId="0" applyFont="1" applyBorder="1" applyAlignment="1">
      <alignment horizontal="center"/>
    </xf>
    <xf numFmtId="169" fontId="0" fillId="0" borderId="0" xfId="3" applyNumberFormat="1" applyFont="1"/>
    <xf numFmtId="0" fontId="11" fillId="0" borderId="0" xfId="0" applyFont="1" applyAlignment="1">
      <alignment horizontal="left"/>
    </xf>
    <xf numFmtId="0" fontId="0" fillId="0" borderId="0" xfId="0" applyAlignment="1">
      <alignment horizontal="center"/>
    </xf>
    <xf numFmtId="0" fontId="13" fillId="0" borderId="0" xfId="0" applyFont="1" applyAlignment="1">
      <alignment horizontal="center"/>
    </xf>
    <xf numFmtId="169" fontId="0" fillId="0" borderId="4" xfId="3" applyNumberFormat="1" applyFont="1" applyBorder="1" applyAlignment="1">
      <alignment horizontal="right"/>
    </xf>
    <xf numFmtId="7" fontId="5" fillId="0" borderId="0" xfId="5" applyNumberFormat="1" applyFont="1" applyFill="1"/>
    <xf numFmtId="10" fontId="5" fillId="0" borderId="0" xfId="14" applyNumberFormat="1" applyFont="1"/>
    <xf numFmtId="10" fontId="5" fillId="2" borderId="0" xfId="14" applyNumberFormat="1" applyFont="1" applyFill="1"/>
    <xf numFmtId="10" fontId="16" fillId="0" borderId="0" xfId="12" applyNumberFormat="1" applyFont="1"/>
    <xf numFmtId="10" fontId="16" fillId="0" borderId="4" xfId="15" applyNumberFormat="1" applyFont="1" applyBorder="1"/>
    <xf numFmtId="10" fontId="16" fillId="0" borderId="0" xfId="15" applyNumberFormat="1" applyFont="1"/>
    <xf numFmtId="0" fontId="18" fillId="0" borderId="0" xfId="11" applyFont="1" applyAlignment="1">
      <alignment horizontal="right"/>
    </xf>
    <xf numFmtId="0" fontId="18" fillId="0" borderId="0" xfId="11" applyFont="1"/>
    <xf numFmtId="9" fontId="16" fillId="0" borderId="0" xfId="12" applyFont="1"/>
    <xf numFmtId="9" fontId="16" fillId="0" borderId="0" xfId="15" applyFont="1"/>
    <xf numFmtId="0" fontId="3" fillId="0" borderId="0" xfId="0" applyFont="1" applyAlignment="1">
      <alignment horizontal="center"/>
    </xf>
    <xf numFmtId="169" fontId="5" fillId="0" borderId="3" xfId="1" applyNumberFormat="1" applyFont="1" applyFill="1" applyBorder="1"/>
    <xf numFmtId="164" fontId="3" fillId="0" borderId="0" xfId="0" applyNumberFormat="1" applyFont="1"/>
    <xf numFmtId="0" fontId="5" fillId="0" borderId="3" xfId="0" applyFont="1" applyBorder="1"/>
    <xf numFmtId="0" fontId="5" fillId="0" borderId="3" xfId="0" applyFont="1" applyBorder="1" applyAlignment="1">
      <alignment horizontal="center"/>
    </xf>
    <xf numFmtId="176" fontId="7" fillId="0" borderId="0" xfId="3" applyNumberFormat="1" applyFont="1" applyFill="1"/>
    <xf numFmtId="181" fontId="7" fillId="0" borderId="0" xfId="3" applyNumberFormat="1" applyFont="1" applyFill="1"/>
    <xf numFmtId="0" fontId="3" fillId="0" borderId="0" xfId="0" applyFont="1"/>
    <xf numFmtId="0" fontId="5" fillId="0" borderId="0" xfId="11" applyFont="1" applyAlignment="1">
      <alignment horizontal="center"/>
    </xf>
    <xf numFmtId="0" fontId="5" fillId="0" borderId="0" xfId="1" applyNumberFormat="1" applyFont="1" applyFill="1" applyAlignment="1">
      <alignment horizontal="center"/>
    </xf>
    <xf numFmtId="0" fontId="5" fillId="0" borderId="0" xfId="14" applyNumberFormat="1" applyFont="1" applyFill="1" applyAlignment="1">
      <alignment horizontal="center"/>
    </xf>
    <xf numFmtId="0" fontId="5" fillId="2" borderId="0" xfId="14" applyNumberFormat="1" applyFont="1" applyFill="1" applyAlignment="1">
      <alignment horizontal="center"/>
    </xf>
    <xf numFmtId="10" fontId="5" fillId="2" borderId="0" xfId="14" applyNumberFormat="1" applyFont="1" applyFill="1" applyAlignment="1">
      <alignment horizontal="center"/>
    </xf>
    <xf numFmtId="0" fontId="5" fillId="0" borderId="3" xfId="11" applyFont="1" applyBorder="1" applyAlignment="1">
      <alignment horizontal="center" vertical="center"/>
    </xf>
    <xf numFmtId="169" fontId="16" fillId="0" borderId="0" xfId="1" applyNumberFormat="1" applyFont="1"/>
    <xf numFmtId="0" fontId="16" fillId="0" borderId="0" xfId="17" applyFont="1"/>
    <xf numFmtId="0" fontId="17" fillId="0" borderId="0" xfId="0" applyFont="1"/>
    <xf numFmtId="0" fontId="19" fillId="0" borderId="0" xfId="0" applyFont="1" applyAlignment="1">
      <alignment horizontal="right"/>
    </xf>
    <xf numFmtId="169" fontId="19" fillId="0" borderId="0" xfId="1" applyNumberFormat="1" applyFont="1" applyAlignment="1">
      <alignment horizontal="right"/>
    </xf>
    <xf numFmtId="0" fontId="16" fillId="0" borderId="4" xfId="0" applyFont="1" applyBorder="1"/>
    <xf numFmtId="0" fontId="3" fillId="0" borderId="4" xfId="0" applyFont="1" applyBorder="1"/>
    <xf numFmtId="169" fontId="16" fillId="0" borderId="4" xfId="1" applyNumberFormat="1" applyFont="1" applyBorder="1"/>
    <xf numFmtId="169" fontId="16" fillId="0" borderId="0" xfId="1" applyNumberFormat="1" applyFont="1" applyBorder="1"/>
    <xf numFmtId="169" fontId="16" fillId="0" borderId="0" xfId="0" applyNumberFormat="1" applyFont="1"/>
    <xf numFmtId="0" fontId="5" fillId="0" borderId="0" xfId="9" applyFont="1" applyAlignment="1">
      <alignment horizontal="right" vertical="top"/>
    </xf>
    <xf numFmtId="167" fontId="5" fillId="0" borderId="3" xfId="15" applyNumberFormat="1" applyFont="1" applyBorder="1" applyAlignment="1">
      <alignment horizontal="right" vertical="center"/>
    </xf>
    <xf numFmtId="44" fontId="11" fillId="0" borderId="14" xfId="10" applyNumberFormat="1" applyFont="1" applyBorder="1" applyAlignment="1">
      <alignment horizontal="center" vertical="center"/>
    </xf>
    <xf numFmtId="0" fontId="3" fillId="0" borderId="0" xfId="11" applyFont="1"/>
    <xf numFmtId="169" fontId="3" fillId="0" borderId="0" xfId="3" applyNumberFormat="1" applyFont="1" applyAlignment="1">
      <alignment horizontal="right"/>
    </xf>
    <xf numFmtId="167" fontId="5" fillId="0" borderId="3" xfId="15" applyNumberFormat="1" applyFont="1" applyBorder="1" applyAlignment="1">
      <alignment vertical="center"/>
    </xf>
    <xf numFmtId="10" fontId="5" fillId="0" borderId="0" xfId="0" applyNumberFormat="1" applyFont="1"/>
    <xf numFmtId="0" fontId="20" fillId="0" borderId="0" xfId="0" applyFont="1" applyAlignment="1">
      <alignment horizontal="center"/>
    </xf>
    <xf numFmtId="0" fontId="20" fillId="0" borderId="0" xfId="0" applyFont="1"/>
    <xf numFmtId="0" fontId="21" fillId="0" borderId="0" xfId="0" applyFont="1"/>
    <xf numFmtId="0" fontId="20" fillId="0" borderId="0" xfId="0" applyFont="1" applyAlignment="1">
      <alignment horizontal="justify"/>
    </xf>
    <xf numFmtId="164" fontId="3" fillId="0" borderId="0" xfId="0" applyNumberFormat="1" applyFont="1" applyAlignment="1">
      <alignment horizontal="center"/>
    </xf>
    <xf numFmtId="0" fontId="11" fillId="0" borderId="0" xfId="0" quotePrefix="1" applyFont="1" applyAlignment="1">
      <alignment horizontal="center"/>
    </xf>
    <xf numFmtId="0" fontId="20" fillId="0" borderId="1" xfId="0" applyFont="1" applyBorder="1" applyAlignment="1">
      <alignment horizontal="center"/>
    </xf>
    <xf numFmtId="3" fontId="20" fillId="0" borderId="1" xfId="0" applyNumberFormat="1" applyFont="1" applyBorder="1" applyAlignment="1">
      <alignment horizontal="center"/>
    </xf>
    <xf numFmtId="3" fontId="20" fillId="0" borderId="0" xfId="0" applyNumberFormat="1" applyFont="1" applyAlignment="1">
      <alignment horizontal="center"/>
    </xf>
    <xf numFmtId="43" fontId="20" fillId="0" borderId="0" xfId="1" applyFont="1" applyBorder="1" applyAlignment="1">
      <alignment horizontal="center"/>
    </xf>
    <xf numFmtId="169" fontId="20" fillId="0" borderId="0" xfId="1" applyNumberFormat="1" applyFont="1" applyBorder="1" applyAlignment="1">
      <alignment horizontal="center"/>
    </xf>
    <xf numFmtId="43" fontId="20" fillId="0" borderId="0" xfId="1" applyFont="1"/>
    <xf numFmtId="169" fontId="20" fillId="0" borderId="0" xfId="1" applyNumberFormat="1" applyFont="1"/>
    <xf numFmtId="3" fontId="20" fillId="0" borderId="0" xfId="0" applyNumberFormat="1" applyFont="1"/>
    <xf numFmtId="169" fontId="21" fillId="4" borderId="0" xfId="1" applyNumberFormat="1" applyFont="1" applyFill="1"/>
    <xf numFmtId="43" fontId="21" fillId="4" borderId="0" xfId="1" applyFont="1" applyFill="1"/>
    <xf numFmtId="169" fontId="21" fillId="0" borderId="0" xfId="1" applyNumberFormat="1" applyFont="1"/>
    <xf numFmtId="44" fontId="21" fillId="0" borderId="0" xfId="5" applyFont="1"/>
    <xf numFmtId="164" fontId="21" fillId="0" borderId="0" xfId="5" applyNumberFormat="1" applyFont="1"/>
    <xf numFmtId="44" fontId="3" fillId="0" borderId="0" xfId="0" applyNumberFormat="1" applyFont="1"/>
    <xf numFmtId="182" fontId="0" fillId="0" borderId="0" xfId="0" applyNumberFormat="1"/>
    <xf numFmtId="164" fontId="0" fillId="0" borderId="0" xfId="0" applyNumberFormat="1"/>
    <xf numFmtId="167" fontId="23" fillId="0" borderId="0" xfId="12" applyNumberFormat="1" applyFont="1"/>
    <xf numFmtId="164" fontId="0" fillId="0" borderId="0" xfId="5" applyNumberFormat="1" applyFont="1"/>
    <xf numFmtId="44" fontId="23" fillId="0" borderId="0" xfId="0" applyNumberFormat="1" applyFont="1"/>
    <xf numFmtId="44" fontId="0" fillId="0" borderId="0" xfId="0" applyNumberFormat="1"/>
    <xf numFmtId="169" fontId="23" fillId="0" borderId="0" xfId="1" applyNumberFormat="1" applyFont="1"/>
    <xf numFmtId="44" fontId="0" fillId="0" borderId="0" xfId="5" applyFont="1"/>
    <xf numFmtId="169" fontId="20" fillId="4" borderId="0" xfId="1" applyNumberFormat="1" applyFont="1" applyFill="1" applyAlignment="1">
      <alignment horizontal="center"/>
    </xf>
    <xf numFmtId="43" fontId="20" fillId="4" borderId="0" xfId="1" applyFont="1" applyFill="1" applyAlignment="1">
      <alignment horizontal="center"/>
    </xf>
    <xf numFmtId="8" fontId="21" fillId="0" borderId="0" xfId="5" applyNumberFormat="1" applyFont="1"/>
    <xf numFmtId="0" fontId="23" fillId="0" borderId="0" xfId="0" applyFont="1"/>
    <xf numFmtId="169" fontId="20" fillId="4" borderId="0" xfId="1" applyNumberFormat="1" applyFont="1" applyFill="1"/>
    <xf numFmtId="43" fontId="20" fillId="4" borderId="0" xfId="1" applyFont="1" applyFill="1"/>
    <xf numFmtId="44" fontId="23" fillId="0" borderId="0" xfId="5" applyFont="1"/>
    <xf numFmtId="169" fontId="21" fillId="0" borderId="0" xfId="1" applyNumberFormat="1" applyFont="1" applyBorder="1"/>
    <xf numFmtId="169" fontId="20" fillId="4" borderId="0" xfId="1" applyNumberFormat="1" applyFont="1" applyFill="1" applyBorder="1" applyAlignment="1">
      <alignment horizontal="center"/>
    </xf>
    <xf numFmtId="43" fontId="20" fillId="4" borderId="0" xfId="1" applyFont="1" applyFill="1" applyBorder="1" applyAlignment="1">
      <alignment horizontal="center"/>
    </xf>
    <xf numFmtId="170" fontId="21" fillId="0" borderId="0" xfId="1" applyNumberFormat="1" applyFont="1"/>
    <xf numFmtId="43" fontId="3" fillId="0" borderId="0" xfId="0" applyNumberFormat="1" applyFont="1"/>
    <xf numFmtId="2" fontId="0" fillId="0" borderId="0" xfId="0" applyNumberFormat="1"/>
    <xf numFmtId="183" fontId="3" fillId="0" borderId="0" xfId="5" applyNumberFormat="1" applyFont="1"/>
    <xf numFmtId="183" fontId="3" fillId="0" borderId="0" xfId="0" applyNumberFormat="1" applyFont="1"/>
    <xf numFmtId="169" fontId="0" fillId="0" borderId="0" xfId="0" applyNumberFormat="1"/>
    <xf numFmtId="175" fontId="0" fillId="0" borderId="0" xfId="5" applyNumberFormat="1" applyFont="1"/>
    <xf numFmtId="2" fontId="3" fillId="0" borderId="0" xfId="0" applyNumberFormat="1" applyFont="1"/>
    <xf numFmtId="169" fontId="3" fillId="0" borderId="0" xfId="0" applyNumberFormat="1" applyFont="1"/>
    <xf numFmtId="170" fontId="3" fillId="0" borderId="0" xfId="0" applyNumberFormat="1" applyFont="1"/>
    <xf numFmtId="169" fontId="0" fillId="0" borderId="0" xfId="1" applyNumberFormat="1" applyFont="1"/>
    <xf numFmtId="0" fontId="21" fillId="0" borderId="1" xfId="0" applyFont="1" applyBorder="1"/>
    <xf numFmtId="3" fontId="21" fillId="0" borderId="1" xfId="0" applyNumberFormat="1" applyFont="1" applyBorder="1"/>
    <xf numFmtId="17" fontId="3" fillId="0" borderId="0" xfId="0" applyNumberFormat="1" applyFont="1"/>
    <xf numFmtId="170" fontId="20" fillId="0" borderId="0" xfId="0" applyNumberFormat="1" applyFont="1"/>
    <xf numFmtId="169" fontId="20" fillId="0" borderId="0" xfId="0" applyNumberFormat="1" applyFont="1"/>
    <xf numFmtId="43" fontId="20" fillId="0" borderId="0" xfId="0" applyNumberFormat="1" applyFont="1"/>
    <xf numFmtId="3" fontId="21" fillId="0" borderId="0" xfId="0" applyNumberFormat="1" applyFont="1"/>
    <xf numFmtId="44" fontId="21" fillId="0" borderId="0" xfId="0" applyNumberFormat="1" applyFont="1"/>
    <xf numFmtId="164" fontId="21" fillId="0" borderId="0" xfId="5" applyNumberFormat="1" applyFont="1" applyBorder="1"/>
    <xf numFmtId="43" fontId="0" fillId="0" borderId="0" xfId="0" applyNumberFormat="1"/>
    <xf numFmtId="169" fontId="3" fillId="0" borderId="0" xfId="1" applyNumberFormat="1" applyFont="1"/>
    <xf numFmtId="44" fontId="3" fillId="0" borderId="0" xfId="5" applyFont="1"/>
    <xf numFmtId="6" fontId="0" fillId="0" borderId="0" xfId="0" applyNumberFormat="1"/>
    <xf numFmtId="175" fontId="0" fillId="0" borderId="0" xfId="0" applyNumberFormat="1"/>
    <xf numFmtId="0" fontId="0" fillId="0" borderId="0" xfId="0" quotePrefix="1"/>
    <xf numFmtId="0" fontId="0" fillId="5" borderId="0" xfId="0" applyFill="1" applyAlignment="1">
      <alignment horizontal="right"/>
    </xf>
    <xf numFmtId="0" fontId="0" fillId="5" borderId="0" xfId="0" applyFill="1"/>
    <xf numFmtId="0" fontId="0" fillId="0" borderId="5" xfId="0" applyBorder="1"/>
    <xf numFmtId="43" fontId="0" fillId="0" borderId="0" xfId="1" applyFont="1"/>
    <xf numFmtId="169" fontId="3" fillId="0" borderId="0" xfId="1" applyNumberFormat="1" applyFont="1" applyFill="1" applyAlignment="1">
      <alignment horizontal="right"/>
    </xf>
    <xf numFmtId="169" fontId="3" fillId="0" borderId="0" xfId="1" applyNumberFormat="1" applyFont="1" applyFill="1"/>
    <xf numFmtId="169" fontId="3" fillId="0" borderId="0" xfId="1" applyNumberFormat="1" applyFont="1" applyFill="1" applyBorder="1"/>
    <xf numFmtId="43" fontId="3" fillId="0" borderId="0" xfId="1" applyFont="1" applyFill="1"/>
    <xf numFmtId="164" fontId="3" fillId="0" borderId="0" xfId="5" applyNumberFormat="1" applyFont="1" applyFill="1" applyBorder="1"/>
    <xf numFmtId="173" fontId="3" fillId="0" borderId="0" xfId="1" applyNumberFormat="1" applyFont="1" applyFill="1"/>
    <xf numFmtId="184" fontId="3" fillId="0" borderId="0" xfId="1" applyNumberFormat="1" applyFont="1" applyFill="1"/>
    <xf numFmtId="164" fontId="3" fillId="0" borderId="3" xfId="5" applyNumberFormat="1" applyFont="1" applyFill="1" applyBorder="1"/>
    <xf numFmtId="164" fontId="3" fillId="0" borderId="0" xfId="12" applyNumberFormat="1" applyFont="1" applyFill="1" applyBorder="1"/>
    <xf numFmtId="164" fontId="3" fillId="0" borderId="0" xfId="12" applyNumberFormat="1" applyFont="1" applyFill="1"/>
    <xf numFmtId="9" fontId="3" fillId="0" borderId="0" xfId="12" applyFont="1" applyFill="1"/>
    <xf numFmtId="168" fontId="3" fillId="0" borderId="0" xfId="12" applyNumberFormat="1" applyFont="1" applyFill="1" applyBorder="1"/>
    <xf numFmtId="44" fontId="3" fillId="0" borderId="0" xfId="5" applyFont="1" applyFill="1" applyBorder="1"/>
    <xf numFmtId="169" fontId="3" fillId="0" borderId="4" xfId="1" applyNumberFormat="1" applyFont="1" applyFill="1" applyBorder="1" applyAlignment="1">
      <alignment horizontal="right"/>
    </xf>
    <xf numFmtId="169" fontId="3" fillId="0" borderId="4" xfId="1" applyNumberFormat="1" applyFont="1" applyFill="1" applyBorder="1"/>
    <xf numFmtId="43" fontId="3" fillId="0" borderId="4" xfId="1" applyFont="1" applyFill="1" applyBorder="1"/>
    <xf numFmtId="0" fontId="4" fillId="0" borderId="2" xfId="0" applyFont="1" applyBorder="1" applyAlignment="1">
      <alignment horizontal="center" wrapText="1"/>
    </xf>
    <xf numFmtId="43" fontId="5" fillId="0" borderId="0" xfId="3" quotePrefix="1" applyFont="1" applyAlignment="1">
      <alignment horizontal="center"/>
    </xf>
    <xf numFmtId="164" fontId="5" fillId="0" borderId="0" xfId="11" applyNumberFormat="1" applyFont="1"/>
    <xf numFmtId="169" fontId="24" fillId="3" borderId="0" xfId="1" applyNumberFormat="1" applyFont="1" applyFill="1"/>
    <xf numFmtId="169" fontId="25" fillId="3" borderId="0" xfId="1" applyNumberFormat="1" applyFont="1" applyFill="1"/>
    <xf numFmtId="0" fontId="3" fillId="4" borderId="0" xfId="0" applyFont="1" applyFill="1" applyAlignment="1">
      <alignment horizontal="center"/>
    </xf>
    <xf numFmtId="169" fontId="22" fillId="0" borderId="0" xfId="0" applyNumberFormat="1" applyFont="1"/>
    <xf numFmtId="0" fontId="26" fillId="4" borderId="0" xfId="0" applyFont="1" applyFill="1" applyAlignment="1">
      <alignment horizontal="center"/>
    </xf>
    <xf numFmtId="169" fontId="27" fillId="4" borderId="0" xfId="1" applyNumberFormat="1" applyFont="1" applyFill="1"/>
    <xf numFmtId="169" fontId="21" fillId="4" borderId="0" xfId="1" applyNumberFormat="1" applyFont="1" applyFill="1" applyAlignment="1">
      <alignment horizontal="center"/>
    </xf>
    <xf numFmtId="0" fontId="28" fillId="4" borderId="0" xfId="0" applyFont="1" applyFill="1" applyAlignment="1">
      <alignment horizontal="center"/>
    </xf>
    <xf numFmtId="169" fontId="29" fillId="4" borderId="0" xfId="1" applyNumberFormat="1" applyFont="1" applyFill="1"/>
    <xf numFmtId="169" fontId="29" fillId="0" borderId="0" xfId="1" applyNumberFormat="1" applyFont="1"/>
    <xf numFmtId="185" fontId="0" fillId="0" borderId="0" xfId="0" applyNumberFormat="1"/>
    <xf numFmtId="0" fontId="30" fillId="0" borderId="0" xfId="0" applyFont="1"/>
    <xf numFmtId="44" fontId="30" fillId="0" borderId="0" xfId="0" applyNumberFormat="1" applyFont="1"/>
    <xf numFmtId="0" fontId="3" fillId="0" borderId="0" xfId="0" quotePrefix="1" applyFont="1"/>
    <xf numFmtId="43" fontId="0" fillId="5" borderId="0" xfId="1" applyFont="1" applyFill="1"/>
    <xf numFmtId="17" fontId="0" fillId="0" borderId="0" xfId="0" applyNumberFormat="1"/>
    <xf numFmtId="9" fontId="5" fillId="0" borderId="0" xfId="11" applyNumberFormat="1" applyFont="1"/>
    <xf numFmtId="43" fontId="5" fillId="0" borderId="0" xfId="11" applyNumberFormat="1" applyFont="1"/>
    <xf numFmtId="0" fontId="12" fillId="0" borderId="0" xfId="11" applyFont="1"/>
    <xf numFmtId="0" fontId="31" fillId="0" borderId="0" xfId="0" applyFont="1" applyAlignment="1">
      <alignment vertical="top" wrapText="1"/>
    </xf>
    <xf numFmtId="0" fontId="21" fillId="0" borderId="0" xfId="0" applyFont="1" applyAlignment="1">
      <alignment horizontal="center"/>
    </xf>
    <xf numFmtId="0" fontId="31" fillId="0" borderId="0" xfId="0" applyFont="1" applyAlignment="1">
      <alignment wrapText="1"/>
    </xf>
    <xf numFmtId="0" fontId="31" fillId="0" borderId="0" xfId="0" applyFont="1"/>
    <xf numFmtId="0" fontId="32" fillId="0" borderId="0" xfId="0" applyFont="1" applyAlignment="1">
      <alignment horizontal="center"/>
    </xf>
    <xf numFmtId="0" fontId="21" fillId="0" borderId="0" xfId="0" applyFont="1" applyAlignment="1">
      <alignment wrapText="1"/>
    </xf>
    <xf numFmtId="10" fontId="31" fillId="0" borderId="0" xfId="0" applyNumberFormat="1" applyFont="1"/>
    <xf numFmtId="0" fontId="21" fillId="0" borderId="0" xfId="0" applyFont="1" applyAlignment="1">
      <alignment horizontal="left"/>
    </xf>
    <xf numFmtId="0" fontId="33" fillId="0" borderId="0" xfId="0" applyFont="1"/>
    <xf numFmtId="0" fontId="34" fillId="0" borderId="0" xfId="0" applyFont="1"/>
    <xf numFmtId="0" fontId="35" fillId="0" borderId="0" xfId="0" applyFont="1"/>
    <xf numFmtId="0" fontId="31" fillId="0" borderId="0" xfId="0" applyFont="1" applyAlignment="1">
      <alignment horizontal="center"/>
    </xf>
    <xf numFmtId="0" fontId="36" fillId="0" borderId="0" xfId="0" applyFont="1"/>
    <xf numFmtId="8" fontId="36" fillId="0" borderId="0" xfId="0" applyNumberFormat="1" applyFont="1"/>
    <xf numFmtId="186" fontId="36" fillId="0" borderId="0" xfId="0" applyNumberFormat="1" applyFont="1"/>
    <xf numFmtId="174" fontId="36" fillId="0" borderId="0" xfId="0" applyNumberFormat="1" applyFont="1"/>
    <xf numFmtId="0" fontId="31" fillId="0" borderId="0" xfId="0" applyFont="1" applyAlignment="1">
      <alignment horizontal="left"/>
    </xf>
    <xf numFmtId="0" fontId="34" fillId="0" borderId="0" xfId="0" applyFont="1" applyAlignment="1">
      <alignment horizontal="center"/>
    </xf>
    <xf numFmtId="0" fontId="31" fillId="0" borderId="0" xfId="0" applyFont="1" applyAlignment="1">
      <alignment horizontal="left" wrapText="1"/>
    </xf>
    <xf numFmtId="0" fontId="20" fillId="0" borderId="0" xfId="0" applyFont="1" applyAlignment="1">
      <alignment horizontal="left"/>
    </xf>
    <xf numFmtId="8" fontId="36" fillId="0" borderId="0" xfId="0" applyNumberFormat="1" applyFont="1" applyAlignment="1">
      <alignment horizontal="right"/>
    </xf>
    <xf numFmtId="0" fontId="21" fillId="0" borderId="0" xfId="0" applyFont="1" applyAlignment="1">
      <alignment horizontal="right"/>
    </xf>
    <xf numFmtId="0" fontId="2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right"/>
    </xf>
    <xf numFmtId="0" fontId="0" fillId="0" borderId="0" xfId="0" applyAlignment="1">
      <alignment horizontal="right"/>
    </xf>
    <xf numFmtId="0" fontId="22" fillId="0" borderId="0" xfId="0" applyFont="1"/>
    <xf numFmtId="0" fontId="33" fillId="0" borderId="0" xfId="0" applyFont="1" applyAlignment="1">
      <alignment horizontal="right"/>
    </xf>
    <xf numFmtId="10" fontId="36" fillId="0" borderId="0" xfId="0" applyNumberFormat="1" applyFont="1" applyAlignment="1">
      <alignment horizontal="right"/>
    </xf>
    <xf numFmtId="0" fontId="35" fillId="0" borderId="0" xfId="0" applyFont="1" applyAlignment="1">
      <alignment horizontal="center"/>
    </xf>
    <xf numFmtId="8" fontId="36" fillId="0" borderId="0" xfId="0" applyNumberFormat="1" applyFont="1" applyAlignment="1">
      <alignment horizontal="center"/>
    </xf>
    <xf numFmtId="0" fontId="33" fillId="0" borderId="0" xfId="0" applyFont="1" applyAlignment="1">
      <alignment horizontal="center"/>
    </xf>
    <xf numFmtId="44" fontId="21" fillId="0" borderId="0" xfId="5" applyFont="1" applyAlignment="1">
      <alignment horizontal="center"/>
    </xf>
    <xf numFmtId="0" fontId="21" fillId="0" borderId="0" xfId="0" applyFont="1" applyAlignment="1">
      <alignment horizontal="centerContinuous"/>
    </xf>
    <xf numFmtId="0" fontId="37" fillId="0" borderId="0" xfId="0" applyFont="1"/>
    <xf numFmtId="0" fontId="32" fillId="0" borderId="2" xfId="0" applyFont="1" applyBorder="1" applyAlignment="1">
      <alignment horizontal="center"/>
    </xf>
    <xf numFmtId="5" fontId="31" fillId="0" borderId="0" xfId="0" applyNumberFormat="1" applyFont="1"/>
    <xf numFmtId="10" fontId="31" fillId="0" borderId="0" xfId="0" applyNumberFormat="1" applyFont="1" applyAlignment="1">
      <alignment horizontal="center"/>
    </xf>
    <xf numFmtId="42" fontId="31" fillId="0" borderId="0" xfId="0" applyNumberFormat="1" applyFont="1"/>
    <xf numFmtId="7" fontId="31" fillId="0" borderId="0" xfId="0" applyNumberFormat="1" applyFont="1"/>
    <xf numFmtId="167" fontId="31" fillId="0" borderId="0" xfId="12" applyNumberFormat="1" applyFont="1"/>
    <xf numFmtId="0" fontId="38" fillId="0" borderId="0" xfId="0" applyFont="1" applyAlignment="1">
      <alignment horizontal="center"/>
    </xf>
    <xf numFmtId="0" fontId="38" fillId="0" borderId="0" xfId="0" applyFont="1"/>
    <xf numFmtId="0" fontId="38" fillId="0" borderId="0" xfId="0" applyFont="1" applyAlignment="1">
      <alignment horizontal="left"/>
    </xf>
    <xf numFmtId="0" fontId="38" fillId="0" borderId="0" xfId="0" applyFont="1" applyAlignment="1">
      <alignment wrapText="1"/>
    </xf>
    <xf numFmtId="0" fontId="38" fillId="0" borderId="0" xfId="0" applyFont="1" applyAlignment="1">
      <alignment vertical="top" wrapText="1"/>
    </xf>
    <xf numFmtId="0" fontId="38" fillId="0" borderId="0" xfId="0" applyFont="1" applyAlignment="1">
      <alignment horizontal="left" wrapText="1"/>
    </xf>
    <xf numFmtId="43" fontId="36" fillId="0" borderId="0" xfId="0" applyNumberFormat="1" applyFont="1"/>
    <xf numFmtId="43" fontId="31" fillId="0" borderId="0" xfId="1" applyFont="1" applyAlignment="1">
      <alignment horizontal="left" wrapText="1"/>
    </xf>
    <xf numFmtId="169" fontId="31" fillId="0" borderId="0" xfId="1" applyNumberFormat="1" applyFont="1"/>
    <xf numFmtId="10" fontId="31" fillId="0" borderId="0" xfId="0" applyNumberFormat="1" applyFont="1" applyAlignment="1">
      <alignment horizontal="right"/>
    </xf>
    <xf numFmtId="0" fontId="3" fillId="0" borderId="0" xfId="0" applyFont="1" applyAlignment="1">
      <alignment wrapText="1"/>
    </xf>
    <xf numFmtId="0" fontId="3" fillId="0" borderId="0" xfId="0" applyFont="1" applyAlignment="1">
      <alignment horizontal="left"/>
    </xf>
    <xf numFmtId="8" fontId="39" fillId="0" borderId="0" xfId="0" applyNumberFormat="1" applyFont="1" applyAlignment="1">
      <alignment horizontal="right"/>
    </xf>
    <xf numFmtId="10" fontId="39" fillId="0" borderId="0" xfId="0" applyNumberFormat="1" applyFont="1" applyAlignment="1">
      <alignment horizontal="right"/>
    </xf>
    <xf numFmtId="8" fontId="39" fillId="0" borderId="0" xfId="0" applyNumberFormat="1" applyFont="1" applyAlignment="1">
      <alignment horizontal="center"/>
    </xf>
    <xf numFmtId="44" fontId="39" fillId="0" borderId="0" xfId="5" applyFont="1" applyAlignment="1">
      <alignment horizontal="center"/>
    </xf>
    <xf numFmtId="0" fontId="40" fillId="0" borderId="0" xfId="0" applyFont="1" applyAlignment="1">
      <alignment horizontal="center"/>
    </xf>
    <xf numFmtId="0" fontId="39" fillId="0" borderId="0" xfId="0" applyFont="1"/>
    <xf numFmtId="43" fontId="5" fillId="0" borderId="0" xfId="3" applyFont="1" applyFill="1"/>
    <xf numFmtId="173" fontId="5" fillId="0" borderId="0" xfId="3" applyNumberFormat="1" applyFont="1" applyFill="1"/>
    <xf numFmtId="0" fontId="4" fillId="0" borderId="5"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right"/>
    </xf>
    <xf numFmtId="0" fontId="5" fillId="0" borderId="5" xfId="0" applyFont="1" applyBorder="1"/>
    <xf numFmtId="0" fontId="6" fillId="0" borderId="2" xfId="0" applyFont="1" applyBorder="1" applyAlignment="1">
      <alignment horizontal="right" wrapText="1"/>
    </xf>
    <xf numFmtId="164" fontId="5" fillId="0" borderId="5" xfId="0" applyNumberFormat="1" applyFont="1" applyBorder="1"/>
    <xf numFmtId="41" fontId="6" fillId="0" borderId="2" xfId="0" applyNumberFormat="1" applyFont="1" applyBorder="1" applyAlignment="1">
      <alignment horizontal="right"/>
    </xf>
    <xf numFmtId="0" fontId="6" fillId="0" borderId="2" xfId="0" applyFont="1" applyBorder="1" applyAlignment="1">
      <alignment horizontal="right"/>
    </xf>
    <xf numFmtId="181" fontId="5" fillId="0" borderId="0" xfId="0" applyNumberFormat="1" applyFont="1"/>
    <xf numFmtId="166" fontId="6" fillId="0" borderId="0" xfId="0" applyNumberFormat="1" applyFont="1"/>
    <xf numFmtId="164" fontId="5" fillId="0" borderId="0" xfId="1" applyNumberFormat="1" applyFont="1" applyFill="1" applyBorder="1"/>
    <xf numFmtId="169" fontId="5" fillId="0" borderId="5" xfId="1" applyNumberFormat="1" applyFont="1" applyFill="1" applyBorder="1"/>
    <xf numFmtId="166" fontId="6" fillId="0" borderId="4" xfId="0" applyNumberFormat="1" applyFont="1" applyBorder="1"/>
    <xf numFmtId="44" fontId="5" fillId="0" borderId="5" xfId="0" applyNumberFormat="1" applyFont="1" applyBorder="1"/>
    <xf numFmtId="164" fontId="5" fillId="0" borderId="0" xfId="12" applyNumberFormat="1" applyFont="1" applyFill="1"/>
    <xf numFmtId="164" fontId="5" fillId="0" borderId="5" xfId="12" applyNumberFormat="1" applyFont="1" applyFill="1" applyBorder="1"/>
    <xf numFmtId="167" fontId="5" fillId="0" borderId="0" xfId="12" applyNumberFormat="1" applyFont="1" applyFill="1"/>
    <xf numFmtId="10" fontId="5" fillId="0" borderId="5" xfId="12" applyNumberFormat="1" applyFont="1" applyFill="1" applyBorder="1"/>
    <xf numFmtId="164" fontId="5" fillId="0" borderId="0" xfId="12" applyNumberFormat="1" applyFont="1" applyFill="1" applyBorder="1"/>
    <xf numFmtId="43" fontId="5" fillId="0" borderId="0" xfId="1" applyFont="1" applyFill="1" applyBorder="1"/>
    <xf numFmtId="164" fontId="5" fillId="0" borderId="5" xfId="5" applyNumberFormat="1" applyFont="1" applyFill="1" applyBorder="1"/>
    <xf numFmtId="9" fontId="5" fillId="0" borderId="0" xfId="12" applyFont="1" applyFill="1"/>
    <xf numFmtId="9" fontId="5" fillId="0" borderId="5" xfId="12" applyFont="1" applyFill="1" applyBorder="1"/>
    <xf numFmtId="180" fontId="5" fillId="0" borderId="0" xfId="5" applyNumberFormat="1" applyFont="1" applyFill="1"/>
    <xf numFmtId="0" fontId="5" fillId="0" borderId="4" xfId="0" applyFont="1" applyBorder="1" applyAlignment="1">
      <alignment horizontal="right"/>
    </xf>
    <xf numFmtId="41" fontId="5" fillId="0" borderId="4" xfId="0" applyNumberFormat="1" applyFont="1" applyBorder="1"/>
    <xf numFmtId="181" fontId="6" fillId="0" borderId="4" xfId="0" applyNumberFormat="1" applyFont="1" applyBorder="1"/>
    <xf numFmtId="164" fontId="5" fillId="0" borderId="4" xfId="0" applyNumberFormat="1" applyFont="1" applyBorder="1"/>
    <xf numFmtId="181" fontId="5" fillId="0" borderId="4" xfId="0" applyNumberFormat="1" applyFont="1" applyBorder="1"/>
    <xf numFmtId="44" fontId="6" fillId="0" borderId="4" xfId="5" applyFont="1" applyFill="1" applyBorder="1"/>
    <xf numFmtId="176" fontId="6" fillId="0" borderId="4" xfId="0" applyNumberFormat="1" applyFont="1" applyBorder="1"/>
    <xf numFmtId="0" fontId="3" fillId="0" borderId="5" xfId="0" applyFont="1" applyBorder="1"/>
    <xf numFmtId="0" fontId="11" fillId="0" borderId="5" xfId="0" applyFont="1" applyBorder="1" applyAlignment="1">
      <alignment horizontal="center"/>
    </xf>
    <xf numFmtId="0" fontId="11" fillId="0" borderId="0" xfId="0" applyFont="1" applyAlignment="1">
      <alignment horizontal="right"/>
    </xf>
    <xf numFmtId="0" fontId="11" fillId="0" borderId="5" xfId="0" applyFont="1" applyBorder="1" applyAlignment="1">
      <alignment horizontal="right"/>
    </xf>
    <xf numFmtId="0" fontId="11" fillId="0" borderId="1" xfId="0" applyFont="1" applyBorder="1"/>
    <xf numFmtId="0" fontId="3" fillId="0" borderId="1" xfId="0" applyFont="1" applyBorder="1"/>
    <xf numFmtId="0" fontId="11" fillId="0" borderId="1" xfId="0" applyFont="1" applyBorder="1" applyAlignment="1">
      <alignment horizontal="right"/>
    </xf>
    <xf numFmtId="41" fontId="12" fillId="0" borderId="0" xfId="0" applyNumberFormat="1" applyFont="1" applyAlignment="1">
      <alignment horizontal="right"/>
    </xf>
    <xf numFmtId="41" fontId="3" fillId="0" borderId="0" xfId="0" applyNumberFormat="1" applyFont="1"/>
    <xf numFmtId="0" fontId="12" fillId="0" borderId="2" xfId="0" applyFont="1" applyBorder="1" applyAlignment="1">
      <alignment horizontal="right"/>
    </xf>
    <xf numFmtId="41" fontId="12" fillId="0" borderId="2" xfId="0" applyNumberFormat="1" applyFont="1" applyBorder="1" applyAlignment="1">
      <alignment horizontal="right"/>
    </xf>
    <xf numFmtId="0" fontId="3" fillId="0" borderId="0" xfId="0" applyFont="1" applyAlignment="1">
      <alignment horizontal="right"/>
    </xf>
    <xf numFmtId="41" fontId="12" fillId="0" borderId="0" xfId="0" applyNumberFormat="1" applyFont="1" applyAlignment="1">
      <alignment horizontal="left"/>
    </xf>
    <xf numFmtId="0" fontId="12" fillId="0" borderId="0" xfId="0" applyFont="1"/>
    <xf numFmtId="176" fontId="3" fillId="0" borderId="0" xfId="0" applyNumberFormat="1" applyFont="1"/>
    <xf numFmtId="0" fontId="3" fillId="0" borderId="0" xfId="0" applyFont="1" applyAlignment="1">
      <alignment horizontal="left" indent="1"/>
    </xf>
    <xf numFmtId="0" fontId="3" fillId="0" borderId="4" xfId="0" applyFont="1" applyBorder="1" applyAlignment="1">
      <alignment horizontal="center"/>
    </xf>
    <xf numFmtId="43" fontId="3" fillId="0" borderId="4" xfId="0" applyNumberFormat="1" applyFont="1" applyBorder="1"/>
    <xf numFmtId="183" fontId="3" fillId="0" borderId="0" xfId="5" applyNumberFormat="1" applyFont="1" applyFill="1"/>
    <xf numFmtId="0" fontId="3" fillId="0" borderId="2" xfId="0" applyFont="1" applyBorder="1"/>
    <xf numFmtId="41" fontId="3" fillId="0" borderId="2" xfId="0" applyNumberFormat="1" applyFont="1" applyBorder="1"/>
    <xf numFmtId="176" fontId="3" fillId="0" borderId="2" xfId="0" applyNumberFormat="1" applyFont="1" applyBorder="1"/>
    <xf numFmtId="164" fontId="3" fillId="0" borderId="2" xfId="0" applyNumberFormat="1" applyFont="1" applyBorder="1"/>
    <xf numFmtId="164" fontId="3" fillId="0" borderId="4" xfId="5" applyNumberFormat="1" applyFont="1" applyFill="1" applyBorder="1"/>
    <xf numFmtId="0" fontId="11" fillId="0" borderId="5" xfId="0" quotePrefix="1" applyFont="1" applyBorder="1"/>
    <xf numFmtId="166" fontId="3" fillId="0" borderId="0" xfId="0" applyNumberFormat="1" applyFont="1"/>
    <xf numFmtId="0" fontId="11" fillId="0" borderId="0" xfId="0" quotePrefix="1" applyFont="1"/>
    <xf numFmtId="164" fontId="3" fillId="0" borderId="5" xfId="0" applyNumberFormat="1" applyFont="1" applyBorder="1"/>
    <xf numFmtId="43" fontId="3" fillId="0" borderId="0" xfId="1" applyFont="1" applyFill="1" applyBorder="1"/>
    <xf numFmtId="167" fontId="3" fillId="0" borderId="0" xfId="12" applyNumberFormat="1" applyFont="1" applyFill="1"/>
    <xf numFmtId="0" fontId="5" fillId="0" borderId="0" xfId="11" applyFont="1" applyAlignment="1">
      <alignment horizontal="left"/>
    </xf>
    <xf numFmtId="0" fontId="41" fillId="0" borderId="0" xfId="11" applyFont="1" applyAlignment="1">
      <alignment horizontal="left"/>
    </xf>
    <xf numFmtId="0" fontId="11" fillId="0" borderId="40" xfId="10" applyFont="1" applyBorder="1" applyAlignment="1">
      <alignment horizontal="center" vertical="center"/>
    </xf>
    <xf numFmtId="0" fontId="11" fillId="0" borderId="41" xfId="10" applyFont="1" applyBorder="1" applyAlignment="1">
      <alignment horizontal="center" vertical="center"/>
    </xf>
    <xf numFmtId="0" fontId="12" fillId="0" borderId="41" xfId="10" applyFont="1" applyBorder="1" applyAlignment="1">
      <alignment horizontal="center" vertical="center"/>
    </xf>
    <xf numFmtId="0" fontId="11" fillId="0" borderId="42" xfId="10" applyFont="1" applyBorder="1" applyAlignment="1">
      <alignment horizontal="center" vertical="center"/>
    </xf>
    <xf numFmtId="44" fontId="12" fillId="0" borderId="41" xfId="5" applyFont="1" applyBorder="1" applyAlignment="1">
      <alignment horizontal="center" vertical="center"/>
    </xf>
    <xf numFmtId="0" fontId="3" fillId="0" borderId="0" xfId="0" applyFont="1" applyAlignment="1">
      <alignment horizontal="centerContinuous"/>
    </xf>
    <xf numFmtId="0" fontId="3" fillId="0" borderId="0" xfId="0" quotePrefix="1" applyFont="1" applyAlignment="1">
      <alignment horizontal="center"/>
    </xf>
    <xf numFmtId="169" fontId="3" fillId="0" borderId="0" xfId="1" applyNumberFormat="1" applyFont="1" applyBorder="1"/>
    <xf numFmtId="164" fontId="3" fillId="0" borderId="0" xfId="5" applyNumberFormat="1" applyFont="1" applyBorder="1"/>
    <xf numFmtId="187" fontId="3" fillId="0" borderId="0" xfId="5" applyNumberFormat="1" applyFont="1"/>
    <xf numFmtId="175" fontId="3" fillId="0" borderId="0" xfId="5" applyNumberFormat="1" applyFont="1"/>
    <xf numFmtId="164" fontId="3" fillId="0" borderId="0" xfId="5" applyNumberFormat="1" applyFont="1"/>
    <xf numFmtId="3" fontId="3" fillId="0" borderId="0" xfId="0" applyNumberFormat="1" applyFont="1"/>
    <xf numFmtId="164" fontId="3" fillId="0" borderId="3" xfId="0" applyNumberFormat="1" applyFont="1" applyBorder="1"/>
    <xf numFmtId="188" fontId="3" fillId="0" borderId="0" xfId="0" applyNumberFormat="1" applyFont="1"/>
    <xf numFmtId="49" fontId="3" fillId="0" borderId="0" xfId="0" applyNumberFormat="1" applyFont="1" applyAlignment="1">
      <alignment horizontal="right" vertical="top"/>
    </xf>
    <xf numFmtId="0" fontId="0" fillId="0" borderId="0" xfId="0" applyProtection="1">
      <protection locked="0"/>
    </xf>
    <xf numFmtId="49" fontId="42" fillId="0" borderId="0" xfId="0" applyNumberFormat="1" applyFont="1" applyAlignment="1">
      <alignment horizontal="left" vertical="top"/>
    </xf>
    <xf numFmtId="189" fontId="42" fillId="0" borderId="0" xfId="0" applyNumberFormat="1" applyFont="1" applyAlignment="1">
      <alignment horizontal="right" vertical="top"/>
    </xf>
    <xf numFmtId="164" fontId="3" fillId="0" borderId="3" xfId="5" applyNumberFormat="1" applyFont="1" applyBorder="1"/>
    <xf numFmtId="164" fontId="43" fillId="0" borderId="0" xfId="18" applyNumberFormat="1" applyFont="1"/>
    <xf numFmtId="0" fontId="44" fillId="0" borderId="0" xfId="0" applyFont="1" applyAlignment="1">
      <alignment horizontal="centerContinuous"/>
    </xf>
    <xf numFmtId="0" fontId="0" fillId="0" borderId="0" xfId="0" applyAlignment="1">
      <alignment horizontal="centerContinuous"/>
    </xf>
    <xf numFmtId="0" fontId="0" fillId="0" borderId="0" xfId="0" quotePrefix="1" applyAlignment="1">
      <alignment horizontal="center"/>
    </xf>
    <xf numFmtId="0" fontId="0" fillId="0" borderId="0" xfId="0" applyAlignment="1">
      <alignment horizontal="fill"/>
    </xf>
    <xf numFmtId="37" fontId="0" fillId="0" borderId="0" xfId="0" applyNumberFormat="1"/>
    <xf numFmtId="7" fontId="0" fillId="0" borderId="0" xfId="0" applyNumberFormat="1"/>
    <xf numFmtId="16" fontId="0" fillId="0" borderId="0" xfId="0" applyNumberFormat="1"/>
    <xf numFmtId="43" fontId="0" fillId="0" borderId="0" xfId="1" applyFont="1" applyProtection="1"/>
    <xf numFmtId="43" fontId="0" fillId="0" borderId="0" xfId="1" applyFont="1" applyFill="1"/>
    <xf numFmtId="43" fontId="0" fillId="6" borderId="0" xfId="1" applyFont="1" applyFill="1"/>
    <xf numFmtId="37" fontId="0" fillId="0" borderId="0" xfId="0" applyNumberFormat="1" applyAlignment="1">
      <alignment horizontal="fill"/>
    </xf>
    <xf numFmtId="7" fontId="0" fillId="0" borderId="0" xfId="0" applyNumberFormat="1" applyAlignment="1">
      <alignment horizontal="fill"/>
    </xf>
    <xf numFmtId="43" fontId="0" fillId="0" borderId="0" xfId="1" applyFont="1" applyAlignment="1" applyProtection="1">
      <alignment horizontal="fill"/>
    </xf>
    <xf numFmtId="1" fontId="0" fillId="0" borderId="0" xfId="0" applyNumberFormat="1"/>
    <xf numFmtId="2" fontId="0" fillId="0" borderId="0" xfId="5" applyNumberFormat="1" applyFont="1"/>
    <xf numFmtId="0" fontId="45" fillId="5" borderId="0" xfId="0" applyFont="1" applyFill="1"/>
    <xf numFmtId="176" fontId="0" fillId="0" borderId="0" xfId="0" applyNumberFormat="1"/>
    <xf numFmtId="39" fontId="0" fillId="0" borderId="0" xfId="0" applyNumberFormat="1"/>
    <xf numFmtId="189" fontId="0" fillId="0" borderId="0" xfId="0" applyNumberFormat="1"/>
    <xf numFmtId="190" fontId="10" fillId="0" borderId="0" xfId="0" applyNumberFormat="1" applyFont="1" applyAlignment="1">
      <alignment horizontal="right" vertical="top"/>
    </xf>
    <xf numFmtId="190" fontId="3" fillId="0" borderId="3" xfId="5" applyNumberFormat="1" applyFont="1" applyBorder="1"/>
    <xf numFmtId="190" fontId="0" fillId="0" borderId="0" xfId="0" applyNumberFormat="1"/>
    <xf numFmtId="190" fontId="10" fillId="0" borderId="2" xfId="0" applyNumberFormat="1" applyFont="1" applyBorder="1" applyAlignment="1">
      <alignment horizontal="right" vertical="top"/>
    </xf>
    <xf numFmtId="190" fontId="0" fillId="0" borderId="3" xfId="0" applyNumberFormat="1" applyBorder="1"/>
    <xf numFmtId="190" fontId="3" fillId="0" borderId="0" xfId="0" applyNumberFormat="1" applyFont="1"/>
    <xf numFmtId="191" fontId="3" fillId="0" borderId="0" xfId="0" applyNumberFormat="1" applyFont="1" applyAlignment="1">
      <alignment horizontal="right" vertical="top"/>
    </xf>
    <xf numFmtId="191" fontId="0" fillId="0" borderId="0" xfId="0" applyNumberFormat="1"/>
    <xf numFmtId="180" fontId="3" fillId="0" borderId="0" xfId="0" applyNumberFormat="1" applyFont="1"/>
    <xf numFmtId="174" fontId="3" fillId="0" borderId="0" xfId="0" applyNumberFormat="1" applyFont="1"/>
    <xf numFmtId="192" fontId="3" fillId="0" borderId="0" xfId="0" applyNumberFormat="1" applyFont="1"/>
    <xf numFmtId="187" fontId="3" fillId="0" borderId="0" xfId="0" applyNumberFormat="1" applyFont="1"/>
    <xf numFmtId="175" fontId="3" fillId="0" borderId="0" xfId="0" applyNumberFormat="1" applyFont="1"/>
    <xf numFmtId="180" fontId="3" fillId="0" borderId="0" xfId="5" applyNumberFormat="1" applyFont="1"/>
    <xf numFmtId="172" fontId="0" fillId="0" borderId="0" xfId="0" applyNumberFormat="1"/>
    <xf numFmtId="174" fontId="0" fillId="0" borderId="0" xfId="0" applyNumberFormat="1"/>
    <xf numFmtId="173" fontId="3" fillId="0" borderId="0" xfId="0" applyNumberFormat="1" applyFont="1"/>
    <xf numFmtId="164" fontId="3" fillId="0" borderId="2" xfId="5" applyNumberFormat="1" applyFont="1" applyBorder="1"/>
    <xf numFmtId="177" fontId="3" fillId="0" borderId="0" xfId="0" applyNumberFormat="1" applyFont="1"/>
    <xf numFmtId="171" fontId="3" fillId="0" borderId="0" xfId="0" applyNumberFormat="1" applyFont="1"/>
    <xf numFmtId="186" fontId="3" fillId="0" borderId="0" xfId="0" applyNumberFormat="1" applyFont="1"/>
    <xf numFmtId="164" fontId="3" fillId="0" borderId="21" xfId="0" applyNumberFormat="1" applyFont="1" applyBorder="1"/>
    <xf numFmtId="0" fontId="11" fillId="0" borderId="0" xfId="0" applyFont="1" applyAlignment="1">
      <alignment horizontal="centerContinuous"/>
    </xf>
    <xf numFmtId="0" fontId="46" fillId="0" borderId="0" xfId="0" quotePrefix="1" applyFont="1" applyAlignment="1">
      <alignment horizontal="center"/>
    </xf>
    <xf numFmtId="0" fontId="0" fillId="0" borderId="2" xfId="0" applyBorder="1" applyAlignment="1">
      <alignment horizontal="center"/>
    </xf>
    <xf numFmtId="169" fontId="0" fillId="0" borderId="21" xfId="0" applyNumberFormat="1" applyBorder="1"/>
    <xf numFmtId="0" fontId="3" fillId="0" borderId="2" xfId="0" applyFont="1" applyBorder="1" applyAlignment="1">
      <alignment horizontal="center"/>
    </xf>
    <xf numFmtId="0" fontId="47" fillId="0" borderId="0" xfId="0" applyFont="1" applyAlignment="1">
      <alignment horizontal="centerContinuous"/>
    </xf>
    <xf numFmtId="0" fontId="0" fillId="4" borderId="0" xfId="0" applyFill="1" applyAlignment="1">
      <alignment horizontal="center"/>
    </xf>
    <xf numFmtId="193" fontId="0" fillId="0" borderId="0" xfId="0" applyNumberFormat="1"/>
    <xf numFmtId="169" fontId="0" fillId="0" borderId="0" xfId="1" applyNumberFormat="1" applyFont="1" applyProtection="1"/>
    <xf numFmtId="194" fontId="0" fillId="0" borderId="0" xfId="0" applyNumberFormat="1"/>
    <xf numFmtId="37" fontId="46" fillId="0" borderId="0" xfId="19" applyNumberFormat="1" applyAlignment="1">
      <alignment horizontal="center"/>
    </xf>
    <xf numFmtId="169" fontId="0" fillId="0" borderId="0" xfId="0" applyNumberFormat="1" applyAlignment="1">
      <alignment horizontal="center"/>
    </xf>
    <xf numFmtId="0" fontId="46" fillId="0" borderId="0" xfId="19" applyAlignment="1">
      <alignment horizontal="center"/>
    </xf>
    <xf numFmtId="43" fontId="0" fillId="0" borderId="0" xfId="1" applyFont="1" applyFill="1" applyProtection="1"/>
    <xf numFmtId="43" fontId="46" fillId="0" borderId="0" xfId="1" applyFont="1"/>
    <xf numFmtId="0" fontId="46" fillId="0" borderId="0" xfId="19"/>
    <xf numFmtId="44" fontId="0" fillId="0" borderId="3" xfId="5" applyFont="1" applyBorder="1"/>
    <xf numFmtId="37" fontId="0" fillId="0" borderId="3" xfId="0" applyNumberFormat="1" applyBorder="1"/>
    <xf numFmtId="43" fontId="46" fillId="0" borderId="0" xfId="1" applyFont="1" applyBorder="1"/>
    <xf numFmtId="43" fontId="0" fillId="0" borderId="0" xfId="1" applyFont="1" applyFill="1" applyBorder="1"/>
    <xf numFmtId="187" fontId="0" fillId="0" borderId="0" xfId="0" applyNumberFormat="1"/>
    <xf numFmtId="43" fontId="46" fillId="0" borderId="0" xfId="1" applyFont="1" applyFill="1"/>
    <xf numFmtId="17" fontId="3" fillId="0" borderId="0" xfId="0" quotePrefix="1" applyNumberFormat="1" applyFont="1"/>
    <xf numFmtId="43" fontId="0" fillId="0" borderId="3" xfId="1" applyFont="1" applyBorder="1"/>
    <xf numFmtId="37" fontId="46" fillId="0" borderId="0" xfId="19" applyNumberFormat="1"/>
    <xf numFmtId="7" fontId="46" fillId="0" borderId="0" xfId="19" applyNumberFormat="1"/>
    <xf numFmtId="169" fontId="21" fillId="0" borderId="0" xfId="1" applyNumberFormat="1" applyFont="1" applyProtection="1"/>
    <xf numFmtId="37" fontId="21" fillId="0" borderId="0" xfId="0" applyNumberFormat="1" applyFont="1"/>
    <xf numFmtId="7" fontId="21" fillId="0" borderId="0" xfId="0" applyNumberFormat="1" applyFont="1"/>
    <xf numFmtId="43" fontId="21" fillId="0" borderId="0" xfId="0" applyNumberFormat="1" applyFont="1"/>
    <xf numFmtId="43" fontId="31" fillId="0" borderId="0" xfId="1" applyFont="1"/>
    <xf numFmtId="43" fontId="48" fillId="0" borderId="0" xfId="1" applyFont="1"/>
    <xf numFmtId="43" fontId="21" fillId="0" borderId="3" xfId="1" applyFont="1" applyBorder="1"/>
    <xf numFmtId="164" fontId="3" fillId="0" borderId="0" xfId="0" quotePrefix="1" applyNumberFormat="1" applyFont="1" applyAlignment="1">
      <alignment horizontal="center"/>
    </xf>
    <xf numFmtId="195" fontId="3" fillId="0" borderId="0" xfId="0" applyNumberFormat="1" applyFont="1"/>
    <xf numFmtId="164" fontId="3" fillId="0" borderId="0" xfId="0" quotePrefix="1" applyNumberFormat="1" applyFont="1"/>
    <xf numFmtId="43" fontId="3" fillId="0" borderId="0" xfId="1" applyFont="1" applyBorder="1"/>
    <xf numFmtId="196" fontId="3" fillId="0" borderId="0" xfId="0" applyNumberFormat="1" applyFont="1"/>
    <xf numFmtId="168" fontId="3" fillId="0" borderId="0" xfId="12" applyNumberFormat="1" applyFont="1"/>
    <xf numFmtId="44" fontId="3" fillId="0" borderId="0" xfId="5" applyFont="1" applyBorder="1"/>
    <xf numFmtId="49" fontId="42" fillId="4" borderId="0" xfId="0" applyNumberFormat="1" applyFont="1" applyFill="1" applyAlignment="1">
      <alignment horizontal="left" vertical="top"/>
    </xf>
    <xf numFmtId="0" fontId="0" fillId="4" borderId="0" xfId="0" applyFill="1"/>
    <xf numFmtId="0" fontId="43" fillId="4" borderId="0" xfId="20" applyFont="1" applyFill="1"/>
    <xf numFmtId="188" fontId="43" fillId="0" borderId="0" xfId="20" applyNumberFormat="1" applyFont="1" applyAlignment="1">
      <alignment horizontal="center"/>
    </xf>
    <xf numFmtId="164" fontId="43" fillId="0" borderId="0" xfId="5" applyNumberFormat="1" applyFont="1"/>
    <xf numFmtId="0" fontId="3" fillId="0" borderId="0" xfId="0" quotePrefix="1" applyFont="1" applyAlignment="1">
      <alignment horizontal="left"/>
    </xf>
    <xf numFmtId="0" fontId="3" fillId="4" borderId="0" xfId="0" applyFont="1" applyFill="1"/>
    <xf numFmtId="37" fontId="0" fillId="0" borderId="0" xfId="0" applyNumberFormat="1" applyAlignment="1">
      <alignment horizontal="center"/>
    </xf>
    <xf numFmtId="16" fontId="3" fillId="0" borderId="0" xfId="0" quotePrefix="1" applyNumberFormat="1" applyFont="1"/>
    <xf numFmtId="169" fontId="0" fillId="0" borderId="2" xfId="1" applyNumberFormat="1" applyFont="1" applyBorder="1"/>
    <xf numFmtId="43" fontId="0" fillId="0" borderId="2" xfId="1" applyFont="1" applyBorder="1"/>
    <xf numFmtId="169" fontId="0" fillId="0" borderId="21" xfId="1" applyNumberFormat="1" applyFont="1" applyBorder="1"/>
    <xf numFmtId="43" fontId="0" fillId="0" borderId="21" xfId="1" applyFont="1" applyBorder="1"/>
    <xf numFmtId="43" fontId="0" fillId="0" borderId="3" xfId="0" applyNumberFormat="1" applyBorder="1"/>
    <xf numFmtId="0" fontId="0" fillId="7" borderId="0" xfId="0" applyFill="1" applyAlignment="1">
      <alignment horizontal="center"/>
    </xf>
    <xf numFmtId="0" fontId="3" fillId="7" borderId="0" xfId="0" applyFont="1" applyFill="1" applyAlignment="1">
      <alignment horizontal="center"/>
    </xf>
    <xf numFmtId="0" fontId="0" fillId="7" borderId="0" xfId="0" applyFill="1"/>
    <xf numFmtId="0" fontId="0" fillId="7" borderId="0" xfId="0" applyFill="1" applyAlignment="1">
      <alignment horizontal="fill"/>
    </xf>
    <xf numFmtId="197" fontId="0" fillId="0" borderId="0" xfId="0" applyNumberFormat="1"/>
    <xf numFmtId="198" fontId="0" fillId="0" borderId="0" xfId="0" applyNumberFormat="1"/>
    <xf numFmtId="7" fontId="49" fillId="0" borderId="0" xfId="0" applyNumberFormat="1" applyFont="1" applyProtection="1">
      <protection locked="0"/>
    </xf>
    <xf numFmtId="37" fontId="0" fillId="7" borderId="0" xfId="0" applyNumberFormat="1" applyFill="1"/>
    <xf numFmtId="43" fontId="0" fillId="7" borderId="0" xfId="1" applyFont="1" applyFill="1"/>
    <xf numFmtId="178" fontId="0" fillId="0" borderId="0" xfId="0" applyNumberFormat="1"/>
    <xf numFmtId="39" fontId="0" fillId="7" borderId="0" xfId="0" applyNumberFormat="1" applyFill="1"/>
    <xf numFmtId="7" fontId="0" fillId="7" borderId="0" xfId="0" applyNumberFormat="1" applyFill="1"/>
    <xf numFmtId="7" fontId="0" fillId="7" borderId="0" xfId="0" applyNumberFormat="1" applyFill="1" applyAlignment="1">
      <alignment horizontal="fill"/>
    </xf>
    <xf numFmtId="39" fontId="0" fillId="0" borderId="0" xfId="0" applyNumberFormat="1" applyAlignment="1">
      <alignment horizontal="center"/>
    </xf>
    <xf numFmtId="37" fontId="0" fillId="0" borderId="2" xfId="0" applyNumberFormat="1" applyBorder="1" applyAlignment="1">
      <alignment horizontal="center"/>
    </xf>
    <xf numFmtId="39" fontId="0" fillId="0" borderId="2" xfId="0" applyNumberFormat="1" applyBorder="1" applyAlignment="1">
      <alignment horizontal="center"/>
    </xf>
    <xf numFmtId="43" fontId="0" fillId="0" borderId="3" xfId="1" applyFont="1" applyBorder="1" applyProtection="1"/>
    <xf numFmtId="0" fontId="50" fillId="0" borderId="0" xfId="0" applyFont="1" applyAlignment="1">
      <alignment horizontal="centerContinuous"/>
    </xf>
    <xf numFmtId="0" fontId="51" fillId="0" borderId="0" xfId="0" applyFont="1" applyAlignment="1">
      <alignment horizontal="centerContinuous"/>
    </xf>
    <xf numFmtId="5" fontId="0" fillId="0" borderId="0" xfId="0" applyNumberFormat="1"/>
    <xf numFmtId="43" fontId="0" fillId="0" borderId="18" xfId="1" applyFont="1" applyFill="1" applyBorder="1"/>
    <xf numFmtId="43" fontId="0" fillId="5" borderId="0" xfId="0" applyNumberFormat="1" applyFill="1"/>
    <xf numFmtId="0" fontId="52" fillId="0" borderId="0" xfId="0" applyFont="1" applyAlignment="1">
      <alignment horizontal="centerContinuous"/>
    </xf>
    <xf numFmtId="0" fontId="30" fillId="0" borderId="0" xfId="0" applyFont="1" applyAlignment="1">
      <alignment horizontal="centerContinuous"/>
    </xf>
    <xf numFmtId="37" fontId="0" fillId="4" borderId="0" xfId="0" applyNumberFormat="1" applyFill="1"/>
    <xf numFmtId="199" fontId="0" fillId="0" borderId="0" xfId="0" applyNumberFormat="1"/>
    <xf numFmtId="0" fontId="4" fillId="0" borderId="2" xfId="11" applyFont="1" applyBorder="1" applyAlignment="1">
      <alignment horizontal="center"/>
    </xf>
    <xf numFmtId="0" fontId="5" fillId="0" borderId="0" xfId="9" applyFont="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1" xfId="0" applyFont="1" applyBorder="1" applyAlignment="1">
      <alignment horizontal="center"/>
    </xf>
    <xf numFmtId="0" fontId="4" fillId="0" borderId="35"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0" fontId="11" fillId="0" borderId="1" xfId="0" applyFont="1" applyBorder="1" applyAlignment="1">
      <alignment horizontal="center"/>
    </xf>
    <xf numFmtId="0" fontId="11" fillId="0" borderId="35" xfId="0" applyFont="1" applyBorder="1" applyAlignment="1">
      <alignment horizontal="center"/>
    </xf>
    <xf numFmtId="0" fontId="11" fillId="0" borderId="0" xfId="0" applyFont="1" applyAlignment="1">
      <alignment horizontal="center"/>
    </xf>
    <xf numFmtId="49" fontId="42" fillId="0" borderId="0" xfId="0" applyNumberFormat="1" applyFont="1" applyAlignment="1">
      <alignment horizontal="left" vertical="top"/>
    </xf>
    <xf numFmtId="0" fontId="3" fillId="0" borderId="43" xfId="0" applyFont="1" applyBorder="1" applyAlignment="1">
      <alignment horizontal="center"/>
    </xf>
    <xf numFmtId="0" fontId="3" fillId="0" borderId="30" xfId="0" applyFont="1" applyBorder="1" applyAlignment="1">
      <alignment horizontal="center"/>
    </xf>
    <xf numFmtId="0" fontId="3" fillId="0" borderId="44" xfId="0" applyFont="1" applyBorder="1" applyAlignment="1">
      <alignment horizontal="center"/>
    </xf>
    <xf numFmtId="0" fontId="11" fillId="0" borderId="36" xfId="10" applyFont="1" applyBorder="1" applyAlignment="1">
      <alignment horizontal="center" vertical="center"/>
    </xf>
    <xf numFmtId="0" fontId="11" fillId="0" borderId="37" xfId="10" applyFont="1" applyBorder="1" applyAlignment="1">
      <alignment horizontal="center" vertical="center"/>
    </xf>
    <xf numFmtId="0" fontId="11" fillId="0" borderId="38" xfId="10" applyFont="1" applyBorder="1" applyAlignment="1">
      <alignment horizontal="center" vertical="center"/>
    </xf>
    <xf numFmtId="0" fontId="11" fillId="0" borderId="39" xfId="10" applyFont="1" applyBorder="1" applyAlignment="1">
      <alignment horizontal="center" vertical="center"/>
    </xf>
    <xf numFmtId="0" fontId="35" fillId="0" borderId="0" xfId="0" applyFont="1"/>
    <xf numFmtId="0" fontId="31" fillId="0" borderId="0" xfId="0" applyFont="1" applyAlignment="1">
      <alignment horizontal="left" vertical="top" wrapText="1"/>
    </xf>
    <xf numFmtId="0" fontId="31" fillId="0" borderId="0" xfId="0" applyFont="1" applyAlignment="1">
      <alignment horizontal="left" wrapText="1"/>
    </xf>
    <xf numFmtId="0" fontId="34" fillId="0" borderId="0" xfId="0" applyFont="1" applyAlignment="1">
      <alignment horizontal="center"/>
    </xf>
    <xf numFmtId="0" fontId="31" fillId="0" borderId="0" xfId="0" applyFont="1" applyAlignment="1">
      <alignment horizontal="center"/>
    </xf>
    <xf numFmtId="0" fontId="36" fillId="0" borderId="0" xfId="0" applyFont="1"/>
    <xf numFmtId="0" fontId="33" fillId="0" borderId="0" xfId="0" applyFont="1"/>
    <xf numFmtId="0" fontId="20" fillId="0" borderId="0" xfId="0" applyFont="1" applyAlignment="1">
      <alignment horizontal="center"/>
    </xf>
    <xf numFmtId="0" fontId="21" fillId="0" borderId="0" xfId="0" applyFont="1" applyAlignment="1">
      <alignment horizontal="left" wrapText="1"/>
    </xf>
    <xf numFmtId="0" fontId="21" fillId="0" borderId="0" xfId="0" applyFont="1" applyAlignment="1">
      <alignment horizontal="left"/>
    </xf>
    <xf numFmtId="0" fontId="34" fillId="0" borderId="0" xfId="0" applyFont="1"/>
    <xf numFmtId="0" fontId="3" fillId="0" borderId="0" xfId="0" applyFont="1" applyAlignment="1">
      <alignment horizontal="left" wrapText="1"/>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xf>
    <xf numFmtId="0" fontId="7" fillId="0" borderId="2" xfId="0" applyFont="1" applyBorder="1" applyAlignment="1">
      <alignment horizontal="center"/>
    </xf>
    <xf numFmtId="0" fontId="17" fillId="0" borderId="2" xfId="0" applyFont="1" applyBorder="1" applyAlignment="1">
      <alignment horizontal="center"/>
    </xf>
    <xf numFmtId="0" fontId="11" fillId="0" borderId="0" xfId="0" applyFont="1" applyAlignment="1">
      <alignment horizontal="left" vertical="top" wrapText="1"/>
    </xf>
    <xf numFmtId="0" fontId="11" fillId="0" borderId="2" xfId="0" quotePrefix="1" applyFont="1" applyBorder="1" applyAlignment="1">
      <alignment horizontal="center"/>
    </xf>
    <xf numFmtId="0" fontId="20" fillId="0" borderId="2" xfId="0" applyFont="1" applyBorder="1" applyAlignment="1">
      <alignment horizontal="center"/>
    </xf>
  </cellXfs>
  <cellStyles count="21">
    <cellStyle name="Comma" xfId="1" builtinId="3"/>
    <cellStyle name="Comma 2" xfId="2" xr:uid="{00000000-0005-0000-0000-000001000000}"/>
    <cellStyle name="Comma 3" xfId="3" xr:uid="{00000000-0005-0000-0000-000002000000}"/>
    <cellStyle name="Comma 3 2"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6" xfId="18" xr:uid="{4C8BC4C9-C41E-4F60-A2F5-303CEB811E6A}"/>
    <cellStyle name="Normal" xfId="0" builtinId="0"/>
    <cellStyle name="Normal 10" xfId="19" xr:uid="{368C178C-BD6E-44C7-9DAF-EEFC76C122FC}"/>
    <cellStyle name="Normal 11" xfId="20" xr:uid="{FA977948-7181-4947-A018-7D57B447A766}"/>
    <cellStyle name="Normal 2" xfId="9" xr:uid="{00000000-0005-0000-0000-000009000000}"/>
    <cellStyle name="Normal 2 2" xfId="10" xr:uid="{00000000-0005-0000-0000-00000A000000}"/>
    <cellStyle name="Normal 3" xfId="11" xr:uid="{00000000-0005-0000-0000-00000B000000}"/>
    <cellStyle name="Normal 4" xfId="17" xr:uid="{95C724CA-0681-4D61-BA70-6466BB027915}"/>
    <cellStyle name="Percent" xfId="12" builtinId="5"/>
    <cellStyle name="Percent 2" xfId="13" xr:uid="{00000000-0005-0000-0000-00000D000000}"/>
    <cellStyle name="Percent 2 2" xfId="14" xr:uid="{00000000-0005-0000-0000-00000E000000}"/>
    <cellStyle name="Percent 3" xfId="15" xr:uid="{00000000-0005-0000-0000-00000F000000}"/>
    <cellStyle name="Percent 3 2" xfId="16" xr:uid="{00000000-0005-0000-0000-000010000000}"/>
  </cellStyles>
  <dxfs count="0"/>
  <tableStyles count="0" defaultTableStyle="TableStyleMedium9" defaultPivotStyle="PivotStyleLight16"/>
  <colors>
    <mruColors>
      <color rgb="FF0000FF"/>
      <color rgb="FFFFFFCC"/>
      <color rgb="FF0000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X:\Travis\Rate%20Applications\2023%20rate%20application\Consumption%20analysis\Direct%202023%20feb.xlsx" TargetMode="External"/><Relationship Id="rId1" Type="http://schemas.openxmlformats.org/officeDocument/2006/relationships/externalLinkPath" Target="/Travis/Rate%20Applications/2023%20rate%20application/Consumption%20analysis-Kenergy%20work%20papers/Direct%202023%20feb.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X:\Travis\Rate%20Applications\2023%20rate%20application\Consumption%20analysis-Kenergy%20work%20papers\Consumption%20analysis%20test%20year.xlsx" TargetMode="External"/><Relationship Id="rId1" Type="http://schemas.openxmlformats.org/officeDocument/2006/relationships/externalLinkPath" Target="/Travis/Rate%20Applications/2023%20rate%20application/Consumption%20analysis-Kenergy%20work%20papers/Consumption%20analysis%20test%20year.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Travis\Rate%20Applications\2023%20rate%20application\Consumption%20analysis\Direct%202022.xlsx" TargetMode="External"/><Relationship Id="rId1" Type="http://schemas.openxmlformats.org/officeDocument/2006/relationships/externalLinkPath" Target="/Travis/Rate%20Applications/2023%20rate%20application/Consumption%20analysis-Kenergy%20work%20papers/Direct%202022.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2ac385686f0d07d2/Documents/CATALYST%20Consulting/Clients/Kenergy/Rate%20Case%202023-00276/COS%20%5e0%20Rates/Consumption%20analysis%20test%20year.xlsx" TargetMode="External"/><Relationship Id="rId1" Type="http://schemas.openxmlformats.org/officeDocument/2006/relationships/externalLinkPath" Target="https://d.docs.live.net/2ac385686f0d07d2/Documents/CATALYST%20Consulting/Clients/Kenergy/Rate%20Case%202023-00276/COS%20%5e0%20Rates/Consumption%20analysis%20test%20ye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ride"/>
      <sheetName val="AMG"/>
      <sheetName val="Azteca"/>
      <sheetName val="Century - Hawesville"/>
      <sheetName val="Century - Sebree"/>
      <sheetName val="C'wealth Rolled"/>
      <sheetName val="Domtar"/>
      <sheetName val="Dotiki"/>
      <sheetName val="Hopkins"/>
      <sheetName val="KC"/>
      <sheetName val="KY Res - Dock"/>
      <sheetName val="KY Res - Equality"/>
      <sheetName val="KY Res - Lewis Crk"/>
      <sheetName val="KY Res - Midway"/>
      <sheetName val="Precoat"/>
      <sheetName val="Southwire"/>
      <sheetName val="Tyson"/>
      <sheetName val="TOTAL"/>
      <sheetName val="spare 3"/>
      <sheetName val="spare 4"/>
      <sheetName val="spare 5"/>
      <sheetName val="Aleris"/>
      <sheetName val="Hartshorne"/>
      <sheetName val="Pennyrile"/>
      <sheetName val="Rough Creek"/>
      <sheetName val="Sebree Steamport"/>
      <sheetName val="Sebree KMMC"/>
      <sheetName val="Alcoa"/>
    </sheetNames>
    <sheetDataSet>
      <sheetData sheetId="0">
        <row r="56">
          <cell r="W5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actors"/>
      <sheetName val="RevSum"/>
      <sheetName val="Res"/>
      <sheetName val="Comm1p"/>
      <sheetName val="Comm3p"/>
      <sheetName val="Comm1000"/>
      <sheetName val="lights"/>
      <sheetName val="unbilled"/>
      <sheetName val="dir A"/>
      <sheetName val="dir B"/>
      <sheetName val="dir C"/>
      <sheetName val="Miscrev"/>
      <sheetName val="billsmon"/>
      <sheetName val="rurpwrcs"/>
      <sheetName val="ydlonly"/>
      <sheetName val="revpergl"/>
      <sheetName val="IS"/>
      <sheetName val="IScompareto"/>
      <sheetName val="BS"/>
      <sheetName val="adjrecap"/>
      <sheetName val="BoardPres"/>
      <sheetName val="psctax"/>
      <sheetName val="retailrates"/>
      <sheetName val="notice-Full"/>
      <sheetName val="notice-sh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U9">
            <v>19302535.699999999</v>
          </cell>
        </row>
        <row r="13">
          <cell r="U13">
            <v>21374681.5</v>
          </cell>
        </row>
        <row r="17">
          <cell r="U17">
            <v>1814498.39</v>
          </cell>
        </row>
        <row r="18">
          <cell r="U18">
            <v>13088394.859999999</v>
          </cell>
        </row>
        <row r="19">
          <cell r="U19">
            <v>438390.88</v>
          </cell>
        </row>
        <row r="20">
          <cell r="U20">
            <v>32525.73</v>
          </cell>
        </row>
        <row r="21">
          <cell r="U21">
            <v>40594.080000000002</v>
          </cell>
        </row>
        <row r="22">
          <cell r="U22">
            <v>249493.94</v>
          </cell>
        </row>
        <row r="23">
          <cell r="U23">
            <v>2297060.86</v>
          </cell>
        </row>
        <row r="24">
          <cell r="U24">
            <v>29726.81</v>
          </cell>
        </row>
        <row r="25">
          <cell r="U25">
            <v>43835.61</v>
          </cell>
        </row>
        <row r="26">
          <cell r="U26">
            <v>6420126.9199999999</v>
          </cell>
        </row>
        <row r="27">
          <cell r="U27">
            <v>624212.36</v>
          </cell>
        </row>
        <row r="28">
          <cell r="U28">
            <v>4494053.82</v>
          </cell>
        </row>
        <row r="29">
          <cell r="U29">
            <v>1065939.83</v>
          </cell>
        </row>
        <row r="48">
          <cell r="U48">
            <v>2192338.81</v>
          </cell>
        </row>
        <row r="49">
          <cell r="U49">
            <v>27809.360000000001</v>
          </cell>
        </row>
        <row r="50">
          <cell r="U50">
            <v>41289.22</v>
          </cell>
        </row>
        <row r="51">
          <cell r="U51">
            <v>6033034.0599999996</v>
          </cell>
        </row>
        <row r="52">
          <cell r="U52">
            <v>604251.05000000005</v>
          </cell>
        </row>
        <row r="53">
          <cell r="U53">
            <v>4320471.09</v>
          </cell>
        </row>
        <row r="54">
          <cell r="U54">
            <v>1007038.9</v>
          </cell>
        </row>
        <row r="55">
          <cell r="U55">
            <v>19252304.18</v>
          </cell>
        </row>
        <row r="56">
          <cell r="U56">
            <v>21266547.800000001</v>
          </cell>
        </row>
        <row r="57">
          <cell r="U57">
            <v>432869.39</v>
          </cell>
        </row>
        <row r="58">
          <cell r="U58">
            <v>30828.54</v>
          </cell>
        </row>
        <row r="59">
          <cell r="U59">
            <v>38716.74</v>
          </cell>
        </row>
        <row r="60">
          <cell r="U60">
            <v>241945.46</v>
          </cell>
        </row>
        <row r="65">
          <cell r="U65">
            <v>1749625.89</v>
          </cell>
        </row>
        <row r="66">
          <cell r="U66">
            <v>13032618.48</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ride"/>
      <sheetName val="AMG"/>
      <sheetName val="Azteca"/>
      <sheetName val="Century - Hawesville"/>
      <sheetName val="Century - Sebree"/>
      <sheetName val="C'wealth Rolled"/>
      <sheetName val="Domtar"/>
      <sheetName val="Dotiki"/>
      <sheetName val="Hopkins"/>
      <sheetName val="KC"/>
      <sheetName val="KY Res - Dock"/>
      <sheetName val="KY Res - Equality"/>
      <sheetName val="KY Res - Lewis Crk"/>
      <sheetName val="KY Res - Midway"/>
      <sheetName val="Precoat"/>
      <sheetName val="Southwire"/>
      <sheetName val="Tyson"/>
      <sheetName val="TOTAL"/>
      <sheetName val="spare 3"/>
      <sheetName val="spare 4"/>
      <sheetName val="spare 5"/>
      <sheetName val="Aleris"/>
      <sheetName val="Hartshorne"/>
      <sheetName val="Pennyrile"/>
      <sheetName val="Rough Creek"/>
      <sheetName val="Sebree Steamport"/>
      <sheetName val="Sebree KMMC"/>
      <sheetName val="Alcoa"/>
    </sheetNames>
    <sheetDataSet>
      <sheetData sheetId="0"/>
      <sheetData sheetId="1"/>
      <sheetData sheetId="2"/>
      <sheetData sheetId="3"/>
      <sheetData sheetId="4"/>
      <sheetData sheetId="5"/>
      <sheetData sheetId="6"/>
      <sheetData sheetId="7"/>
      <sheetData sheetId="8"/>
      <sheetData sheetId="9"/>
      <sheetData sheetId="10"/>
      <sheetData sheetId="11">
        <row r="9">
          <cell r="A9" t="str">
            <v>MAR</v>
          </cell>
        </row>
        <row r="10">
          <cell r="A10" t="str">
            <v>APR</v>
          </cell>
        </row>
        <row r="11">
          <cell r="A11" t="str">
            <v>MAY</v>
          </cell>
        </row>
        <row r="12">
          <cell r="A12" t="str">
            <v>JUN</v>
          </cell>
        </row>
        <row r="13">
          <cell r="A13" t="str">
            <v>JUL</v>
          </cell>
        </row>
        <row r="14">
          <cell r="A14" t="str">
            <v>AUG</v>
          </cell>
        </row>
        <row r="15">
          <cell r="A15" t="str">
            <v>SEP</v>
          </cell>
        </row>
        <row r="16">
          <cell r="A16" t="str">
            <v>OCT</v>
          </cell>
        </row>
        <row r="17">
          <cell r="A17" t="str">
            <v>NOV</v>
          </cell>
        </row>
        <row r="18">
          <cell r="A18" t="str">
            <v>DEC</v>
          </cell>
        </row>
      </sheetData>
      <sheetData sheetId="12"/>
      <sheetData sheetId="13"/>
      <sheetData sheetId="14"/>
      <sheetData sheetId="15"/>
      <sheetData sheetId="16">
        <row r="9">
          <cell r="A9" t="str">
            <v>MAR</v>
          </cell>
        </row>
        <row r="10">
          <cell r="A10" t="str">
            <v>APR</v>
          </cell>
        </row>
        <row r="11">
          <cell r="A11" t="str">
            <v>MAY</v>
          </cell>
        </row>
        <row r="12">
          <cell r="A12" t="str">
            <v>JUN</v>
          </cell>
        </row>
        <row r="13">
          <cell r="A13" t="str">
            <v>JUL</v>
          </cell>
        </row>
        <row r="14">
          <cell r="A14" t="str">
            <v>AUG</v>
          </cell>
        </row>
        <row r="15">
          <cell r="A15" t="str">
            <v>SEP</v>
          </cell>
        </row>
        <row r="16">
          <cell r="A16" t="str">
            <v>OCT</v>
          </cell>
        </row>
        <row r="17">
          <cell r="A17" t="str">
            <v>NOV</v>
          </cell>
        </row>
        <row r="18">
          <cell r="A18" t="str">
            <v>DEC</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actors"/>
      <sheetName val="RevSum"/>
      <sheetName val="Res"/>
      <sheetName val="Comm1p"/>
      <sheetName val="Comm3p"/>
      <sheetName val="Comm1000"/>
      <sheetName val="lights"/>
      <sheetName val="unbilled"/>
      <sheetName val="dir A"/>
      <sheetName val="dir B"/>
      <sheetName val="dir C"/>
      <sheetName val="Miscrev"/>
      <sheetName val="billsmon"/>
      <sheetName val="rurpwrcs"/>
      <sheetName val="ydlonly"/>
      <sheetName val="revpergl"/>
      <sheetName val="IS"/>
      <sheetName val="IScompareto"/>
      <sheetName val="BS"/>
      <sheetName val="adjrecap"/>
      <sheetName val="BoardPres"/>
      <sheetName val="psctax"/>
      <sheetName val="retailrates"/>
      <sheetName val="notice-Full"/>
      <sheetName val="notice-short"/>
    </sheetNames>
    <sheetDataSet>
      <sheetData sheetId="0"/>
      <sheetData sheetId="1">
        <row r="48">
          <cell r="J48">
            <v>0</v>
          </cell>
        </row>
        <row r="52">
          <cell r="J52">
            <v>0</v>
          </cell>
        </row>
        <row r="55">
          <cell r="J55">
            <v>0</v>
          </cell>
        </row>
      </sheetData>
      <sheetData sheetId="2"/>
      <sheetData sheetId="3"/>
      <sheetData sheetId="4"/>
      <sheetData sheetId="5"/>
      <sheetData sheetId="6">
        <row r="13">
          <cell r="B13" t="str">
            <v>Not available for New Installations after December 1, 2012:</v>
          </cell>
        </row>
        <row r="14">
          <cell r="B14" t="str">
            <v>7000 LUMEN-175W-MERCURY VAPOR</v>
          </cell>
        </row>
        <row r="15">
          <cell r="B15" t="str">
            <v>12000 LUMEN-250W-MERCURY VAPOR</v>
          </cell>
        </row>
        <row r="16">
          <cell r="B16" t="str">
            <v>20000 LUMEN-400W-MERCURY VAPOR</v>
          </cell>
        </row>
        <row r="17">
          <cell r="B17" t="str">
            <v>9500 LUMEN-100W-HPS</v>
          </cell>
        </row>
        <row r="18">
          <cell r="B18" t="str">
            <v>9000 LUMEN-100W METAL HALIDE (MH)</v>
          </cell>
        </row>
        <row r="19">
          <cell r="B19" t="str">
            <v>24000 LUMEN-400W METAL HALIDE (MH)</v>
          </cell>
        </row>
        <row r="21">
          <cell r="B21" t="str">
            <v>20000/27000 LUMEN-200/250W- HPS</v>
          </cell>
        </row>
        <row r="22">
          <cell r="B22" t="str">
            <v>61000 LUMEN-400W-HPS-FLOOD LGT</v>
          </cell>
        </row>
        <row r="24">
          <cell r="B24" t="str">
            <v>5200 LUMEN-60W-LED NEMA HEAD</v>
          </cell>
        </row>
        <row r="25">
          <cell r="B25" t="str">
            <v>9500 LUMEN-108W-LED MID OUTPUT</v>
          </cell>
        </row>
        <row r="26">
          <cell r="B26" t="str">
            <v>11000 LUMEN-135W-LED HIGH OUTPUT</v>
          </cell>
        </row>
        <row r="31">
          <cell r="B31" t="str">
            <v>18500 LUMEN 192W-LED FLOOD</v>
          </cell>
        </row>
        <row r="33">
          <cell r="B33" t="str">
            <v>28000 LUMEN HPS-250W-FLOOD LGT</v>
          </cell>
        </row>
        <row r="34">
          <cell r="B34" t="str">
            <v>61000 LUMEN-400W-HPS-FLOOD LGT</v>
          </cell>
        </row>
        <row r="35">
          <cell r="B35" t="str">
            <v>140000 LUM-1000W-HPS-FLOOD LGT</v>
          </cell>
        </row>
        <row r="36">
          <cell r="B36" t="str">
            <v>19500 LUMEN-250W-MH-FLOOD LGT</v>
          </cell>
        </row>
        <row r="37">
          <cell r="B37" t="str">
            <v>32000 LUMEN-400W-MH-FLOOD LGT</v>
          </cell>
        </row>
        <row r="38">
          <cell r="B38" t="str">
            <v>107000 LUM-1000W-MH-FLOOD LGT</v>
          </cell>
        </row>
        <row r="41">
          <cell r="B41" t="str">
            <v>28000 LUMEN-250W-HPS SHOEBOX</v>
          </cell>
        </row>
        <row r="42">
          <cell r="B42" t="str">
            <v>61000 LUMEN-400W-HPS SHOEBOX</v>
          </cell>
        </row>
        <row r="43">
          <cell r="B43" t="str">
            <v>140000 LUMENS-1000W-HPS SHOEBOX</v>
          </cell>
        </row>
        <row r="44">
          <cell r="B44" t="str">
            <v>19500 LUMEN-250W-MH SHOEBOX</v>
          </cell>
        </row>
        <row r="45">
          <cell r="B45" t="str">
            <v>32000 LUMENS-400W-MH SHOEBOX</v>
          </cell>
        </row>
        <row r="46">
          <cell r="B46" t="str">
            <v>107000 LUMENS-1000W-MH SHOEBOX</v>
          </cell>
        </row>
        <row r="49">
          <cell r="B49" t="str">
            <v>9000 LUM-100W-MH ACORN GLOBE</v>
          </cell>
        </row>
        <row r="50">
          <cell r="B50" t="str">
            <v>16600 LUM-175W-MH ACORN GLOBE</v>
          </cell>
        </row>
        <row r="51">
          <cell r="B51" t="str">
            <v>9000 LUM-100W-MH ROUND GLOBE</v>
          </cell>
        </row>
        <row r="52">
          <cell r="B52" t="str">
            <v>16600 LUM-175W-MH ROUND GLOBE</v>
          </cell>
        </row>
        <row r="53">
          <cell r="B53" t="str">
            <v>16600 LUM-175W-MH LANTERN GLOBE</v>
          </cell>
        </row>
        <row r="54">
          <cell r="B54" t="str">
            <v>9500 LUM-100W-HPS ACORN GLOBE</v>
          </cell>
        </row>
        <row r="58">
          <cell r="B58" t="str">
            <v>STEEL 25 FT PEDESTAL MT POLE</v>
          </cell>
          <cell r="K58">
            <v>9.36</v>
          </cell>
          <cell r="M58">
            <v>9.36</v>
          </cell>
        </row>
        <row r="59">
          <cell r="B59" t="str">
            <v>STEEL 30 FT PEDESTAL MT POLE</v>
          </cell>
          <cell r="K59">
            <v>10.52</v>
          </cell>
          <cell r="M59">
            <v>10.52</v>
          </cell>
        </row>
        <row r="60">
          <cell r="B60" t="str">
            <v>STEEL 39 FT PEDESTAL MT POLE</v>
          </cell>
          <cell r="K60">
            <v>16.440000000000001</v>
          </cell>
          <cell r="M60">
            <v>16.440000000000001</v>
          </cell>
        </row>
        <row r="62">
          <cell r="B62" t="str">
            <v>WOOD 30 FT DIRECT BURIAL POLE</v>
          </cell>
          <cell r="K62">
            <v>5.44</v>
          </cell>
          <cell r="M62">
            <v>5.44</v>
          </cell>
        </row>
        <row r="63">
          <cell r="B63" t="str">
            <v>ALUMINUM 28 FT DIRECT BURIAL</v>
          </cell>
          <cell r="K63">
            <v>12.05</v>
          </cell>
          <cell r="M63">
            <v>12.05</v>
          </cell>
        </row>
        <row r="65">
          <cell r="B65" t="str">
            <v>FLUTED FIBERGLASS 15 FT POLE</v>
          </cell>
          <cell r="K65">
            <v>12.88</v>
          </cell>
          <cell r="M65">
            <v>12.88</v>
          </cell>
        </row>
        <row r="66">
          <cell r="B66" t="str">
            <v>FLUTED ALUMINUM 14FT POLE</v>
          </cell>
          <cell r="K66">
            <v>14.14</v>
          </cell>
          <cell r="M66">
            <v>14.14</v>
          </cell>
        </row>
        <row r="70">
          <cell r="B70" t="str">
            <v>BASKETT STREET LIGHTING</v>
          </cell>
        </row>
        <row r="71">
          <cell r="B71" t="str">
            <v>MEADOW HILL STREET LIGHTING</v>
          </cell>
        </row>
        <row r="72">
          <cell r="B72" t="str">
            <v>SPOTTSVILLE STREET LIGHTING</v>
          </cell>
        </row>
        <row r="74">
          <cell r="B74" t="str">
            <v>7000 LUMEN-175W-MERCURY VAPOR</v>
          </cell>
        </row>
        <row r="75">
          <cell r="B75" t="str">
            <v>20000 LUMEN-400W-MERCURY VAPOR</v>
          </cell>
        </row>
        <row r="77">
          <cell r="B77" t="str">
            <v>9500 LUMEN-100W-HPS STREET LGT</v>
          </cell>
        </row>
        <row r="78">
          <cell r="B78" t="str">
            <v>27000 LUMEN-250W-HPS ST LIGHT</v>
          </cell>
        </row>
        <row r="80">
          <cell r="B80" t="str">
            <v>9000 LUMEN-100W MH</v>
          </cell>
        </row>
        <row r="81">
          <cell r="B81" t="str">
            <v>24000 LUMEN-400W MH</v>
          </cell>
        </row>
        <row r="84">
          <cell r="B84" t="str">
            <v>5200 LUMEN-60W-LED NEMA HEAD</v>
          </cell>
        </row>
        <row r="85">
          <cell r="B85" t="str">
            <v>9500 LUMEN-108W-LED MID OUTPUT</v>
          </cell>
        </row>
        <row r="86">
          <cell r="B86" t="str">
            <v>11000 LUMEN-135W-LED HIGH OUTPUT</v>
          </cell>
        </row>
        <row r="88">
          <cell r="B88" t="str">
            <v>UG NON-STD POLE-GOVT &amp; DISTRICT</v>
          </cell>
        </row>
        <row r="90">
          <cell r="B90" t="str">
            <v>OH FAC-STREET LIGHT DISTRICT</v>
          </cell>
        </row>
        <row r="93">
          <cell r="B93" t="str">
            <v>6300 LUMEN-DECOR-70W-HPS ACORN</v>
          </cell>
        </row>
        <row r="94">
          <cell r="B94" t="str">
            <v>6300 LUM DECOR-70W-HPS LANTERN</v>
          </cell>
        </row>
        <row r="95">
          <cell r="B95" t="str">
            <v>12600 LUM HPS-70W-2 DECOR FIX</v>
          </cell>
        </row>
        <row r="98">
          <cell r="B98" t="str">
            <v>9500 LUM - HPS ACORN GL 14 FT POLE</v>
          </cell>
        </row>
        <row r="100">
          <cell r="B100" t="str">
            <v>2900 LUM - LED ACORN GL 14 FT POLE</v>
          </cell>
        </row>
      </sheetData>
      <sheetData sheetId="7"/>
      <sheetData sheetId="8"/>
      <sheetData sheetId="9"/>
      <sheetData sheetId="10"/>
      <sheetData sheetId="11">
        <row r="13">
          <cell r="G13">
            <v>5.75</v>
          </cell>
        </row>
        <row r="14">
          <cell r="G14">
            <v>3.25</v>
          </cell>
        </row>
        <row r="15">
          <cell r="G15">
            <v>5.75</v>
          </cell>
        </row>
        <row r="17">
          <cell r="G17">
            <v>95.14</v>
          </cell>
        </row>
        <row r="19">
          <cell r="G19">
            <v>5.75</v>
          </cell>
        </row>
        <row r="22">
          <cell r="G22">
            <v>3.25</v>
          </cell>
        </row>
        <row r="23">
          <cell r="G23">
            <v>79</v>
          </cell>
        </row>
        <row r="24">
          <cell r="G24">
            <v>0</v>
          </cell>
        </row>
        <row r="25">
          <cell r="G25"/>
        </row>
        <row r="26">
          <cell r="G26">
            <v>95.14</v>
          </cell>
        </row>
        <row r="36">
          <cell r="G36">
            <v>6.1</v>
          </cell>
        </row>
        <row r="37">
          <cell r="G37">
            <v>4.76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5"/>
  <sheetViews>
    <sheetView view="pageBreakPreview" zoomScale="75" zoomScaleNormal="75" zoomScaleSheetLayoutView="75" workbookViewId="0">
      <pane xSplit="4" ySplit="8" topLeftCell="E18" activePane="bottomRight" state="frozen"/>
      <selection activeCell="N24" sqref="N24"/>
      <selection pane="topRight" activeCell="N24" sqref="N24"/>
      <selection pane="bottomLeft" activeCell="N24" sqref="N24"/>
      <selection pane="bottomRight" activeCell="S39" sqref="S39"/>
    </sheetView>
  </sheetViews>
  <sheetFormatPr defaultColWidth="9.140625" defaultRowHeight="15.75" x14ac:dyDescent="0.25"/>
  <cols>
    <col min="1" max="1" width="3.85546875" style="93" customWidth="1"/>
    <col min="2" max="2" width="35.140625" style="93" customWidth="1"/>
    <col min="3" max="3" width="8.28515625" style="204" hidden="1" customWidth="1"/>
    <col min="4" max="4" width="36.7109375" style="93" customWidth="1"/>
    <col min="5" max="5" width="1.7109375" style="93" customWidth="1"/>
    <col min="6" max="6" width="12.5703125" style="93" hidden="1" customWidth="1"/>
    <col min="7" max="8" width="11.42578125" style="93" bestFit="1" customWidth="1"/>
    <col min="9" max="9" width="11.7109375" style="93" bestFit="1" customWidth="1"/>
    <col min="10" max="11" width="12" style="93" hidden="1" customWidth="1"/>
    <col min="12" max="12" width="2.7109375" style="93" customWidth="1"/>
    <col min="13" max="14" width="15.5703125" style="93" bestFit="1" customWidth="1"/>
    <col min="15" max="15" width="13.140625" style="93" bestFit="1" customWidth="1"/>
    <col min="16" max="16" width="12.5703125" style="93" bestFit="1" customWidth="1"/>
    <col min="17" max="17" width="9.42578125" style="93" bestFit="1" customWidth="1"/>
    <col min="18" max="18" width="14.42578125" style="93" customWidth="1"/>
    <col min="19" max="19" width="16.42578125" style="93" customWidth="1"/>
    <col min="20" max="20" width="11.42578125" style="93" customWidth="1"/>
    <col min="21" max="21" width="9.85546875" style="93" customWidth="1"/>
    <col min="22" max="22" width="13" style="93" customWidth="1"/>
    <col min="23" max="23" width="9.140625" style="93"/>
    <col min="24" max="24" width="4.7109375" style="93" customWidth="1"/>
    <col min="25" max="25" width="13.5703125" style="93" customWidth="1"/>
    <col min="26" max="26" width="22.28515625" style="93" customWidth="1"/>
    <col min="27" max="28" width="9.140625" style="93"/>
    <col min="29" max="29" width="11.42578125" style="93" customWidth="1"/>
    <col min="30" max="30" width="12.42578125" style="93" customWidth="1"/>
    <col min="31" max="31" width="11.42578125" style="93" customWidth="1"/>
    <col min="32" max="32" width="16.140625" style="93" customWidth="1"/>
    <col min="33" max="33" width="11.42578125" style="93" customWidth="1"/>
    <col min="34" max="34" width="12.140625" style="93" customWidth="1"/>
    <col min="35" max="35" width="11.42578125" style="93" customWidth="1"/>
    <col min="36" max="16384" width="9.140625" style="93"/>
  </cols>
  <sheetData>
    <row r="1" spans="1:23" ht="18.75" x14ac:dyDescent="0.3">
      <c r="A1" s="80" t="s">
        <v>139</v>
      </c>
      <c r="C1" s="99"/>
      <c r="G1" s="98"/>
      <c r="H1" s="99"/>
      <c r="I1" s="98"/>
      <c r="N1" s="116"/>
    </row>
    <row r="2" spans="1:23" x14ac:dyDescent="0.25">
      <c r="D2" s="192"/>
      <c r="I2" s="193"/>
    </row>
    <row r="3" spans="1:23" ht="18.75" x14ac:dyDescent="0.3">
      <c r="A3" s="95" t="s">
        <v>52</v>
      </c>
      <c r="S3" s="313">
        <f>O34</f>
        <v>4869996.7972100079</v>
      </c>
      <c r="T3" s="313">
        <f>O37</f>
        <v>-149.320875659585</v>
      </c>
    </row>
    <row r="5" spans="1:23" x14ac:dyDescent="0.25">
      <c r="B5" s="599" t="s">
        <v>53</v>
      </c>
      <c r="C5" s="599"/>
      <c r="D5" s="599"/>
      <c r="E5" s="99"/>
      <c r="F5" s="599" t="s">
        <v>113</v>
      </c>
      <c r="G5" s="599"/>
      <c r="H5" s="599"/>
      <c r="I5" s="599"/>
      <c r="J5" s="97" t="s">
        <v>88</v>
      </c>
      <c r="K5" s="97" t="s">
        <v>57</v>
      </c>
      <c r="M5" s="599" t="s">
        <v>89</v>
      </c>
      <c r="N5" s="599"/>
      <c r="O5" s="599"/>
      <c r="P5" s="599"/>
      <c r="Q5" s="599"/>
    </row>
    <row r="6" spans="1:23" x14ac:dyDescent="0.25">
      <c r="J6" s="97" t="s">
        <v>90</v>
      </c>
      <c r="K6" s="97" t="s">
        <v>90</v>
      </c>
    </row>
    <row r="7" spans="1:23" s="98" customFormat="1" x14ac:dyDescent="0.25">
      <c r="C7" s="99"/>
      <c r="D7" s="99" t="s">
        <v>54</v>
      </c>
      <c r="E7" s="99"/>
      <c r="F7" s="99" t="s">
        <v>114</v>
      </c>
      <c r="G7" s="97" t="s">
        <v>91</v>
      </c>
      <c r="H7" s="97" t="s">
        <v>57</v>
      </c>
      <c r="I7" s="97" t="s">
        <v>56</v>
      </c>
      <c r="J7" s="97" t="s">
        <v>92</v>
      </c>
      <c r="K7" s="97" t="s">
        <v>92</v>
      </c>
      <c r="M7" s="97" t="s">
        <v>55</v>
      </c>
      <c r="N7" s="97" t="s">
        <v>57</v>
      </c>
      <c r="O7" s="97" t="s">
        <v>58</v>
      </c>
      <c r="P7" s="97" t="s">
        <v>58</v>
      </c>
      <c r="Q7" s="97" t="s">
        <v>58</v>
      </c>
      <c r="R7" s="93"/>
      <c r="S7" s="93"/>
      <c r="T7" s="93"/>
      <c r="U7" s="93"/>
      <c r="V7" s="93"/>
      <c r="W7" s="93"/>
    </row>
    <row r="8" spans="1:23" s="98" customFormat="1" x14ac:dyDescent="0.25">
      <c r="A8" s="98" t="s">
        <v>122</v>
      </c>
      <c r="B8" s="100" t="s">
        <v>59</v>
      </c>
      <c r="C8" s="96" t="s">
        <v>60</v>
      </c>
      <c r="D8" s="96" t="s">
        <v>61</v>
      </c>
      <c r="E8" s="99"/>
      <c r="F8" s="99" t="s">
        <v>115</v>
      </c>
      <c r="G8" s="101" t="s">
        <v>5</v>
      </c>
      <c r="H8" s="101" t="s">
        <v>5</v>
      </c>
      <c r="I8" s="101" t="s">
        <v>62</v>
      </c>
      <c r="J8" s="101" t="s">
        <v>93</v>
      </c>
      <c r="K8" s="101" t="s">
        <v>93</v>
      </c>
      <c r="M8" s="101" t="s">
        <v>41</v>
      </c>
      <c r="N8" s="101" t="s">
        <v>41</v>
      </c>
      <c r="O8" s="101" t="s">
        <v>63</v>
      </c>
      <c r="P8" s="101" t="s">
        <v>64</v>
      </c>
      <c r="Q8" s="101" t="s">
        <v>97</v>
      </c>
      <c r="R8" s="93"/>
      <c r="S8" s="93"/>
      <c r="T8" s="93"/>
      <c r="U8" s="93"/>
      <c r="V8" s="93"/>
      <c r="W8" s="93"/>
    </row>
    <row r="9" spans="1:23" x14ac:dyDescent="0.25">
      <c r="S9" s="119" t="s">
        <v>354</v>
      </c>
      <c r="T9" s="26">
        <v>33.229999999999997</v>
      </c>
    </row>
    <row r="10" spans="1:23" x14ac:dyDescent="0.25">
      <c r="A10" s="455">
        <v>1</v>
      </c>
      <c r="B10" s="102" t="str">
        <f>List!B5</f>
        <v>Residential (Single and Three Phase)</v>
      </c>
      <c r="C10" s="205">
        <f>List!C5</f>
        <v>1</v>
      </c>
      <c r="D10" s="93" t="s">
        <v>166</v>
      </c>
      <c r="F10" s="117"/>
      <c r="G10" s="103">
        <v>18.2</v>
      </c>
      <c r="H10" s="392">
        <f>ROUND(G10+R10,2)</f>
        <v>21.95</v>
      </c>
      <c r="I10" s="103">
        <f>H10-G10</f>
        <v>3.75</v>
      </c>
      <c r="J10" s="103" t="e">
        <f>G10-#REF!</f>
        <v>#REF!</v>
      </c>
      <c r="K10" s="103" t="e">
        <f>H10-#REF!</f>
        <v>#REF!</v>
      </c>
      <c r="M10" s="82">
        <f>'Res-1'!O26</f>
        <v>98727493.569236994</v>
      </c>
      <c r="N10" s="82">
        <f>'Res-1'!U26</f>
        <v>103597490.366447</v>
      </c>
      <c r="O10" s="82">
        <f>'Res-1'!U28</f>
        <v>4869996.7972100079</v>
      </c>
      <c r="P10" s="187">
        <f>'Res-1'!U30</f>
        <v>4.9327665690152546E-2</v>
      </c>
      <c r="Q10" s="186">
        <f>'Res-1'!U32</f>
        <v>8.6058159047068852</v>
      </c>
      <c r="R10" s="26">
        <v>3.75</v>
      </c>
      <c r="S10" s="119" t="s">
        <v>88</v>
      </c>
      <c r="T10" s="26">
        <f>G10</f>
        <v>18.2</v>
      </c>
    </row>
    <row r="11" spans="1:23" x14ac:dyDescent="0.25">
      <c r="A11" s="455">
        <f>A10+1</f>
        <v>2</v>
      </c>
      <c r="B11" s="102"/>
      <c r="C11" s="206"/>
      <c r="D11" s="93" t="s">
        <v>94</v>
      </c>
      <c r="F11" s="118"/>
      <c r="G11" s="118">
        <v>0.107543</v>
      </c>
      <c r="H11" s="393">
        <f>ROUND(G11*R11,6)</f>
        <v>0.111511</v>
      </c>
      <c r="I11" s="118">
        <f>H11-G11</f>
        <v>3.9679999999999993E-3</v>
      </c>
      <c r="J11" s="104" t="e">
        <f>G11-#REF!</f>
        <v>#REF!</v>
      </c>
      <c r="K11" s="104" t="e">
        <f>H11-#REF!</f>
        <v>#REF!</v>
      </c>
      <c r="M11" s="82"/>
      <c r="N11" s="82"/>
      <c r="O11" s="82"/>
      <c r="P11" s="187"/>
      <c r="Q11" s="114"/>
      <c r="R11" s="79">
        <v>1.0368999999999999</v>
      </c>
      <c r="S11" s="119" t="s">
        <v>90</v>
      </c>
      <c r="T11" s="26">
        <f>T9-T10</f>
        <v>15.029999999999998</v>
      </c>
    </row>
    <row r="12" spans="1:23" ht="9" customHeight="1" x14ac:dyDescent="0.25">
      <c r="A12" s="456">
        <f t="shared" ref="A12:A33" si="0">A11+1</f>
        <v>3</v>
      </c>
      <c r="B12" s="105"/>
      <c r="C12" s="207"/>
      <c r="D12" s="106"/>
      <c r="E12" s="106"/>
      <c r="F12" s="106"/>
      <c r="G12" s="106"/>
      <c r="H12" s="106"/>
      <c r="I12" s="106"/>
      <c r="J12" s="106"/>
      <c r="K12" s="106"/>
      <c r="L12" s="106"/>
      <c r="M12" s="107"/>
      <c r="N12" s="107"/>
      <c r="O12" s="107"/>
      <c r="P12" s="188"/>
      <c r="Q12" s="115"/>
      <c r="T12" s="26"/>
    </row>
    <row r="13" spans="1:23" x14ac:dyDescent="0.25">
      <c r="A13" s="455">
        <f t="shared" si="0"/>
        <v>4</v>
      </c>
      <c r="B13" s="102" t="str">
        <f>List!B6</f>
        <v>Commercial &amp; All Other Single Phase</v>
      </c>
      <c r="C13" s="206">
        <f>List!C6</f>
        <v>3</v>
      </c>
      <c r="D13" s="93" t="s">
        <v>166</v>
      </c>
      <c r="F13" s="117"/>
      <c r="G13" s="103">
        <v>22.1</v>
      </c>
      <c r="H13" s="103">
        <f t="shared" ref="H13:H30" si="1">G13</f>
        <v>22.1</v>
      </c>
      <c r="I13" s="103">
        <f>H13-G13</f>
        <v>0</v>
      </c>
      <c r="J13" s="103" t="e">
        <f>G13-#REF!</f>
        <v>#REF!</v>
      </c>
      <c r="K13" s="103" t="e">
        <f>H13-#REF!</f>
        <v>#REF!</v>
      </c>
      <c r="M13" s="82">
        <f>'Com1Ph-3'!O26</f>
        <v>17575831.682079997</v>
      </c>
      <c r="N13" s="82">
        <f>'Com1Ph-3'!U26</f>
        <v>17575831.682079997</v>
      </c>
      <c r="O13" s="82">
        <f>'Com1Ph-3'!U28</f>
        <v>0</v>
      </c>
      <c r="P13" s="187">
        <f>'Com1Ph-3'!U30</f>
        <v>0</v>
      </c>
      <c r="Q13" s="186">
        <f>'Com1Ph-3'!U32</f>
        <v>0</v>
      </c>
      <c r="S13" s="330">
        <v>0.25</v>
      </c>
      <c r="T13" s="26">
        <f>T10+(S13*T11)</f>
        <v>21.9575</v>
      </c>
      <c r="U13" s="331">
        <f>T13-T10</f>
        <v>3.7575000000000003</v>
      </c>
    </row>
    <row r="14" spans="1:23" x14ac:dyDescent="0.25">
      <c r="A14" s="455">
        <f t="shared" si="0"/>
        <v>5</v>
      </c>
      <c r="B14" s="102"/>
      <c r="C14" s="206"/>
      <c r="D14" s="93" t="s">
        <v>94</v>
      </c>
      <c r="F14" s="118"/>
      <c r="G14" s="118">
        <v>0.100744</v>
      </c>
      <c r="H14" s="118">
        <f t="shared" si="1"/>
        <v>0.100744</v>
      </c>
      <c r="I14" s="104">
        <f>H14-G14</f>
        <v>0</v>
      </c>
      <c r="J14" s="104" t="e">
        <f>G14-#REF!</f>
        <v>#REF!</v>
      </c>
      <c r="K14" s="104" t="e">
        <f>H14-#REF!</f>
        <v>#REF!</v>
      </c>
      <c r="M14" s="82"/>
      <c r="N14" s="82"/>
      <c r="O14" s="82"/>
      <c r="P14" s="187"/>
      <c r="Q14" s="114"/>
      <c r="S14" s="330">
        <v>0.33</v>
      </c>
      <c r="T14" s="26">
        <f>T10+S14*T11</f>
        <v>23.1599</v>
      </c>
      <c r="U14" s="331">
        <f>T14-T10</f>
        <v>4.9599000000000011</v>
      </c>
    </row>
    <row r="15" spans="1:23" ht="9" customHeight="1" x14ac:dyDescent="0.25">
      <c r="A15" s="456">
        <f t="shared" si="0"/>
        <v>6</v>
      </c>
      <c r="B15" s="105"/>
      <c r="C15" s="207"/>
      <c r="D15" s="106"/>
      <c r="E15" s="106"/>
      <c r="F15" s="106"/>
      <c r="G15" s="106"/>
      <c r="H15" s="106"/>
      <c r="I15" s="106"/>
      <c r="J15" s="106"/>
      <c r="K15" s="106"/>
      <c r="L15" s="106"/>
      <c r="M15" s="107"/>
      <c r="N15" s="107"/>
      <c r="O15" s="107"/>
      <c r="P15" s="188"/>
      <c r="Q15" s="115"/>
      <c r="S15" s="330"/>
      <c r="T15" s="26"/>
    </row>
    <row r="16" spans="1:23" x14ac:dyDescent="0.25">
      <c r="A16" s="455">
        <f t="shared" si="0"/>
        <v>7</v>
      </c>
      <c r="B16" s="600" t="str">
        <f>List!B7</f>
        <v>Commercial &amp; Public Bldgs Three Phase (&lt; 1000 kW)</v>
      </c>
      <c r="C16" s="206">
        <f>List!C7</f>
        <v>5</v>
      </c>
      <c r="D16" s="93" t="s">
        <v>166</v>
      </c>
      <c r="F16" s="117"/>
      <c r="G16" s="103">
        <v>45.52</v>
      </c>
      <c r="H16" s="117">
        <f t="shared" si="1"/>
        <v>45.52</v>
      </c>
      <c r="I16" s="117">
        <f>H16-G16</f>
        <v>0</v>
      </c>
      <c r="J16" s="103" t="e">
        <f>G16-#REF!</f>
        <v>#REF!</v>
      </c>
      <c r="K16" s="103" t="e">
        <f>H16-#REF!</f>
        <v>#REF!</v>
      </c>
      <c r="M16" s="82">
        <f>'Com3Ph&lt;1000-5'!O35</f>
        <v>22280027.619656004</v>
      </c>
      <c r="N16" s="82">
        <f>'Com3Ph&lt;1000-5'!U35</f>
        <v>22280027.619656004</v>
      </c>
      <c r="O16" s="82">
        <f>'Com3Ph&lt;1000-5'!U37</f>
        <v>0</v>
      </c>
      <c r="P16" s="187">
        <f>'Com3Ph&lt;1000-5'!U39</f>
        <v>0</v>
      </c>
      <c r="Q16" s="186">
        <f>'Com3Ph&lt;1000-5'!U41</f>
        <v>0</v>
      </c>
      <c r="S16" s="330">
        <v>0.4</v>
      </c>
      <c r="T16" s="26">
        <f>T10+S16*T11</f>
        <v>24.212</v>
      </c>
      <c r="U16" s="331">
        <f>T16-T10</f>
        <v>6.0120000000000005</v>
      </c>
    </row>
    <row r="17" spans="1:21" x14ac:dyDescent="0.25">
      <c r="A17" s="455">
        <f t="shared" si="0"/>
        <v>8</v>
      </c>
      <c r="B17" s="600"/>
      <c r="C17" s="206"/>
      <c r="D17" s="93" t="s">
        <v>167</v>
      </c>
      <c r="F17" s="117"/>
      <c r="G17" s="104">
        <v>8.7489999999999998E-2</v>
      </c>
      <c r="H17" s="104">
        <f t="shared" si="1"/>
        <v>8.7489999999999998E-2</v>
      </c>
      <c r="I17" s="117">
        <f>H17-G17</f>
        <v>0</v>
      </c>
      <c r="J17" s="103"/>
      <c r="K17" s="103"/>
      <c r="M17" s="82"/>
      <c r="N17" s="82"/>
      <c r="O17" s="82"/>
      <c r="P17" s="187"/>
      <c r="Q17" s="114"/>
      <c r="S17" s="330">
        <v>0.5</v>
      </c>
      <c r="T17" s="26">
        <f>T10+S17*T11</f>
        <v>25.714999999999996</v>
      </c>
      <c r="U17" s="331">
        <f>T17-T10</f>
        <v>7.514999999999997</v>
      </c>
    </row>
    <row r="18" spans="1:21" x14ac:dyDescent="0.25">
      <c r="A18" s="455">
        <f t="shared" si="0"/>
        <v>9</v>
      </c>
      <c r="B18" s="102"/>
      <c r="C18" s="206"/>
      <c r="D18" s="93" t="s">
        <v>168</v>
      </c>
      <c r="F18" s="117"/>
      <c r="G18" s="104">
        <v>6.7100000000000007E-2</v>
      </c>
      <c r="H18" s="104">
        <f t="shared" si="1"/>
        <v>6.7100000000000007E-2</v>
      </c>
      <c r="I18" s="117">
        <f>H18-G18</f>
        <v>0</v>
      </c>
      <c r="J18" s="103"/>
      <c r="K18" s="103"/>
      <c r="M18" s="82"/>
      <c r="N18" s="82"/>
      <c r="O18" s="82"/>
      <c r="P18" s="187"/>
      <c r="Q18" s="114"/>
      <c r="S18" s="330"/>
    </row>
    <row r="19" spans="1:21" x14ac:dyDescent="0.25">
      <c r="A19" s="455">
        <f t="shared" si="0"/>
        <v>10</v>
      </c>
      <c r="B19" s="102"/>
      <c r="C19" s="206"/>
      <c r="D19" s="93" t="s">
        <v>169</v>
      </c>
      <c r="F19" s="118"/>
      <c r="G19" s="104">
        <v>5.9400000000000001E-2</v>
      </c>
      <c r="H19" s="104">
        <f t="shared" si="1"/>
        <v>5.9400000000000001E-2</v>
      </c>
      <c r="I19" s="104">
        <f>H19-G19</f>
        <v>0</v>
      </c>
      <c r="J19" s="104" t="e">
        <f>G19-#REF!</f>
        <v>#REF!</v>
      </c>
      <c r="K19" s="104" t="e">
        <f>H19-#REF!</f>
        <v>#REF!</v>
      </c>
      <c r="M19" s="82"/>
      <c r="N19" s="82"/>
      <c r="O19" s="82"/>
      <c r="P19" s="187"/>
      <c r="Q19" s="114"/>
    </row>
    <row r="20" spans="1:21" x14ac:dyDescent="0.25">
      <c r="A20" s="455">
        <f t="shared" si="0"/>
        <v>11</v>
      </c>
      <c r="B20" s="102"/>
      <c r="C20" s="206"/>
      <c r="D20" s="93" t="s">
        <v>95</v>
      </c>
      <c r="F20" s="26"/>
      <c r="G20" s="26">
        <v>5.78</v>
      </c>
      <c r="H20" s="103">
        <f t="shared" si="1"/>
        <v>5.78</v>
      </c>
      <c r="I20" s="103">
        <f>H20-G20</f>
        <v>0</v>
      </c>
      <c r="J20" s="26" t="e">
        <f>G20-#REF!</f>
        <v>#REF!</v>
      </c>
      <c r="K20" s="26" t="e">
        <f>H20-#REF!</f>
        <v>#REF!</v>
      </c>
      <c r="M20" s="82"/>
      <c r="N20" s="82"/>
      <c r="O20" s="82"/>
      <c r="P20" s="187"/>
      <c r="Q20" s="114"/>
    </row>
    <row r="21" spans="1:21" ht="9" customHeight="1" x14ac:dyDescent="0.25">
      <c r="A21" s="456">
        <f t="shared" si="0"/>
        <v>12</v>
      </c>
      <c r="B21" s="105"/>
      <c r="C21" s="207"/>
      <c r="D21" s="106"/>
      <c r="E21" s="106"/>
      <c r="F21" s="106"/>
      <c r="G21" s="106"/>
      <c r="H21" s="106"/>
      <c r="I21" s="106"/>
      <c r="J21" s="106"/>
      <c r="K21" s="106"/>
      <c r="L21" s="106"/>
      <c r="M21" s="107"/>
      <c r="N21" s="107"/>
      <c r="O21" s="107"/>
      <c r="P21" s="188"/>
      <c r="Q21" s="115"/>
    </row>
    <row r="22" spans="1:21" x14ac:dyDescent="0.25">
      <c r="A22" s="455">
        <f t="shared" si="0"/>
        <v>13</v>
      </c>
      <c r="B22" s="102" t="str">
        <f>List!B8</f>
        <v>Commercial Three Phase (1001 kW +)</v>
      </c>
      <c r="C22" s="206">
        <f>List!C8</f>
        <v>7</v>
      </c>
      <c r="D22" s="93" t="s">
        <v>166</v>
      </c>
      <c r="F22" s="117"/>
      <c r="G22" s="103">
        <v>975.27</v>
      </c>
      <c r="H22" s="117">
        <f t="shared" si="1"/>
        <v>975.27</v>
      </c>
      <c r="I22" s="117">
        <f>H22-G22</f>
        <v>0</v>
      </c>
      <c r="J22" s="103" t="e">
        <f>G22-#REF!</f>
        <v>#REF!</v>
      </c>
      <c r="K22" s="103" t="e">
        <f>H22-#REF!</f>
        <v>#REF!</v>
      </c>
      <c r="M22" s="82">
        <f>'Com3Ph1000-7'!O51</f>
        <v>9055348.3657599986</v>
      </c>
      <c r="N22" s="82">
        <f>'Com3Ph1000-7'!U51</f>
        <v>9055348.3657599986</v>
      </c>
      <c r="O22" s="82">
        <f>'Com3Ph1000-7'!U53</f>
        <v>0</v>
      </c>
      <c r="P22" s="187">
        <f>'Com3Ph1000-7'!U55</f>
        <v>0</v>
      </c>
      <c r="Q22" s="186">
        <f>'Com3Ph1000-7'!U57</f>
        <v>0</v>
      </c>
    </row>
    <row r="23" spans="1:21" x14ac:dyDescent="0.25">
      <c r="A23" s="455">
        <f t="shared" si="0"/>
        <v>14</v>
      </c>
      <c r="B23" s="220" t="s">
        <v>170</v>
      </c>
      <c r="C23" s="206"/>
      <c r="D23" s="93" t="s">
        <v>167</v>
      </c>
      <c r="F23" s="117"/>
      <c r="G23" s="118">
        <v>5.4068999999999999E-2</v>
      </c>
      <c r="H23" s="118">
        <f t="shared" si="1"/>
        <v>5.4068999999999999E-2</v>
      </c>
      <c r="I23" s="117"/>
      <c r="J23" s="103"/>
      <c r="K23" s="103"/>
      <c r="M23" s="82"/>
      <c r="N23" s="82"/>
      <c r="O23" s="82"/>
      <c r="P23" s="187"/>
      <c r="Q23" s="114"/>
    </row>
    <row r="24" spans="1:21" x14ac:dyDescent="0.25">
      <c r="A24" s="455">
        <f t="shared" si="0"/>
        <v>15</v>
      </c>
      <c r="B24" s="102"/>
      <c r="C24" s="206"/>
      <c r="D24" s="93" t="s">
        <v>168</v>
      </c>
      <c r="F24" s="117"/>
      <c r="G24" s="118">
        <v>4.9666000000000002E-2</v>
      </c>
      <c r="H24" s="118">
        <f t="shared" si="1"/>
        <v>4.9666000000000002E-2</v>
      </c>
      <c r="I24" s="117"/>
      <c r="J24" s="103"/>
      <c r="K24" s="103"/>
      <c r="M24" s="82"/>
      <c r="N24" s="82"/>
      <c r="O24" s="82"/>
      <c r="P24" s="187"/>
      <c r="Q24" s="114"/>
    </row>
    <row r="25" spans="1:21" x14ac:dyDescent="0.25">
      <c r="A25" s="455">
        <f t="shared" si="0"/>
        <v>16</v>
      </c>
      <c r="B25" s="102"/>
      <c r="C25" s="206"/>
      <c r="D25" s="93" t="s">
        <v>169</v>
      </c>
      <c r="F25" s="118"/>
      <c r="G25" s="118">
        <v>4.7012999999999999E-2</v>
      </c>
      <c r="H25" s="118">
        <f t="shared" si="1"/>
        <v>4.7012999999999999E-2</v>
      </c>
      <c r="I25" s="104">
        <f>H25-G25</f>
        <v>0</v>
      </c>
      <c r="J25" s="104" t="e">
        <f>G25-#REF!</f>
        <v>#REF!</v>
      </c>
      <c r="K25" s="104" t="e">
        <f>H25-#REF!</f>
        <v>#REF!</v>
      </c>
      <c r="M25" s="82"/>
      <c r="N25" s="82"/>
      <c r="O25" s="82"/>
      <c r="P25" s="187"/>
      <c r="Q25" s="114"/>
    </row>
    <row r="26" spans="1:21" x14ac:dyDescent="0.25">
      <c r="A26" s="455">
        <f t="shared" si="0"/>
        <v>17</v>
      </c>
      <c r="B26" s="102"/>
      <c r="C26" s="206"/>
      <c r="D26" s="93" t="s">
        <v>95</v>
      </c>
      <c r="F26" s="26"/>
      <c r="G26" s="26">
        <v>12.7</v>
      </c>
      <c r="H26" s="103">
        <f t="shared" si="1"/>
        <v>12.7</v>
      </c>
      <c r="I26" s="103">
        <f>H26-G26</f>
        <v>0</v>
      </c>
      <c r="J26" s="26" t="e">
        <f>G26-#REF!</f>
        <v>#REF!</v>
      </c>
      <c r="K26" s="26" t="e">
        <f>H26-#REF!</f>
        <v>#REF!</v>
      </c>
      <c r="M26" s="82"/>
      <c r="N26" s="82"/>
      <c r="O26" s="82"/>
      <c r="P26" s="187"/>
      <c r="Q26" s="114"/>
    </row>
    <row r="27" spans="1:21" x14ac:dyDescent="0.25">
      <c r="A27" s="455">
        <f t="shared" si="0"/>
        <v>18</v>
      </c>
      <c r="B27" s="220" t="s">
        <v>171</v>
      </c>
      <c r="C27" s="206"/>
      <c r="D27" s="93" t="s">
        <v>166</v>
      </c>
      <c r="F27" s="117"/>
      <c r="G27" s="103">
        <v>975.27</v>
      </c>
      <c r="H27" s="117">
        <f t="shared" si="1"/>
        <v>975.27</v>
      </c>
      <c r="I27" s="117">
        <f>H27-G27</f>
        <v>0</v>
      </c>
      <c r="J27" s="103" t="e">
        <f>G27-#REF!</f>
        <v>#REF!</v>
      </c>
      <c r="K27" s="103" t="e">
        <f>H27-#REF!</f>
        <v>#REF!</v>
      </c>
      <c r="M27" s="82"/>
      <c r="N27" s="82"/>
      <c r="O27" s="82"/>
      <c r="P27" s="187"/>
      <c r="Q27" s="114"/>
    </row>
    <row r="28" spans="1:21" x14ac:dyDescent="0.25">
      <c r="A28" s="455">
        <f t="shared" si="0"/>
        <v>19</v>
      </c>
      <c r="B28" s="102"/>
      <c r="C28" s="206"/>
      <c r="D28" s="93" t="s">
        <v>172</v>
      </c>
      <c r="F28" s="117"/>
      <c r="G28" s="118">
        <v>7.4912999999999993E-2</v>
      </c>
      <c r="H28" s="118">
        <f t="shared" si="1"/>
        <v>7.4912999999999993E-2</v>
      </c>
      <c r="I28" s="117"/>
      <c r="J28" s="103"/>
      <c r="K28" s="103"/>
      <c r="M28" s="82"/>
      <c r="N28" s="82"/>
      <c r="O28" s="82"/>
      <c r="P28" s="187"/>
      <c r="Q28" s="114"/>
    </row>
    <row r="29" spans="1:21" x14ac:dyDescent="0.25">
      <c r="A29" s="455">
        <f t="shared" si="0"/>
        <v>20</v>
      </c>
      <c r="B29" s="102"/>
      <c r="C29" s="206"/>
      <c r="D29" s="93" t="s">
        <v>173</v>
      </c>
      <c r="F29" s="117"/>
      <c r="G29" s="118">
        <v>6.5609000000000001E-2</v>
      </c>
      <c r="H29" s="118">
        <f t="shared" si="1"/>
        <v>6.5609000000000001E-2</v>
      </c>
      <c r="I29" s="117"/>
      <c r="J29" s="103"/>
      <c r="K29" s="103"/>
      <c r="M29" s="82"/>
      <c r="N29" s="82"/>
      <c r="O29" s="82"/>
      <c r="P29" s="187"/>
      <c r="Q29" s="114"/>
    </row>
    <row r="30" spans="1:21" x14ac:dyDescent="0.25">
      <c r="A30" s="455">
        <f t="shared" si="0"/>
        <v>21</v>
      </c>
      <c r="B30" s="102"/>
      <c r="C30" s="206"/>
      <c r="D30" s="93" t="s">
        <v>95</v>
      </c>
      <c r="F30" s="26"/>
      <c r="G30" s="26">
        <v>7.15</v>
      </c>
      <c r="H30" s="103">
        <f t="shared" si="1"/>
        <v>7.15</v>
      </c>
      <c r="I30" s="103">
        <f>H30-G30</f>
        <v>0</v>
      </c>
      <c r="J30" s="26" t="e">
        <f>G30-#REF!</f>
        <v>#REF!</v>
      </c>
      <c r="K30" s="26" t="e">
        <f>H30-#REF!</f>
        <v>#REF!</v>
      </c>
      <c r="M30" s="82"/>
      <c r="N30" s="82"/>
      <c r="O30" s="82"/>
      <c r="P30" s="187"/>
      <c r="Q30" s="114"/>
    </row>
    <row r="31" spans="1:21" ht="9" customHeight="1" x14ac:dyDescent="0.25">
      <c r="A31" s="456">
        <f t="shared" si="0"/>
        <v>22</v>
      </c>
      <c r="B31" s="105"/>
      <c r="C31" s="207"/>
      <c r="D31" s="106"/>
      <c r="E31" s="106"/>
      <c r="F31" s="106"/>
      <c r="G31" s="106"/>
      <c r="H31" s="106"/>
      <c r="I31" s="106"/>
      <c r="J31" s="106"/>
      <c r="K31" s="106"/>
      <c r="L31" s="106"/>
      <c r="M31" s="107"/>
      <c r="N31" s="107"/>
      <c r="O31" s="107"/>
      <c r="P31" s="188"/>
      <c r="Q31" s="115"/>
    </row>
    <row r="32" spans="1:21" x14ac:dyDescent="0.25">
      <c r="A32" s="455">
        <f t="shared" si="0"/>
        <v>23</v>
      </c>
      <c r="B32" s="102" t="str">
        <f>List!B9</f>
        <v>Unmetered Lighting</v>
      </c>
      <c r="C32" s="206">
        <f>List!C9</f>
        <v>15</v>
      </c>
      <c r="D32" s="2" t="s">
        <v>179</v>
      </c>
      <c r="E32" s="2"/>
      <c r="F32" s="103"/>
      <c r="G32" s="312"/>
      <c r="H32" s="103" t="s">
        <v>175</v>
      </c>
      <c r="I32" s="103"/>
      <c r="J32" s="106"/>
      <c r="K32" s="106"/>
      <c r="M32" s="82">
        <f>Lighting!H110</f>
        <v>2370924.1800000006</v>
      </c>
      <c r="N32" s="82">
        <f>Lighting!O110</f>
        <v>2370924.1800000006</v>
      </c>
      <c r="O32" s="82">
        <f>Lighting!O112</f>
        <v>0</v>
      </c>
      <c r="P32" s="187">
        <f>Lighting!O114</f>
        <v>0</v>
      </c>
      <c r="Q32" s="72">
        <f>Lighting!O116</f>
        <v>0</v>
      </c>
    </row>
    <row r="33" spans="1:19" ht="9" customHeight="1" x14ac:dyDescent="0.25">
      <c r="A33" s="456">
        <f t="shared" si="0"/>
        <v>24</v>
      </c>
      <c r="B33" s="105"/>
      <c r="C33" s="208"/>
      <c r="D33" s="106"/>
      <c r="E33" s="106"/>
      <c r="F33" s="106"/>
      <c r="G33" s="106"/>
      <c r="H33" s="106"/>
      <c r="I33" s="106"/>
      <c r="J33" s="106"/>
      <c r="K33" s="106"/>
      <c r="L33" s="106"/>
      <c r="M33" s="107"/>
      <c r="N33" s="107"/>
      <c r="O33" s="107"/>
      <c r="P33" s="108"/>
      <c r="Q33" s="106"/>
    </row>
    <row r="34" spans="1:19" s="113" customFormat="1" ht="31.5" customHeight="1" thickBot="1" x14ac:dyDescent="0.3">
      <c r="A34" s="455">
        <f>A33+1</f>
        <v>25</v>
      </c>
      <c r="B34" s="110" t="s">
        <v>65</v>
      </c>
      <c r="C34" s="209"/>
      <c r="D34" s="110"/>
      <c r="F34" s="110"/>
      <c r="G34" s="110"/>
      <c r="H34" s="110"/>
      <c r="I34" s="110"/>
      <c r="J34" s="110"/>
      <c r="K34" s="110"/>
      <c r="L34" s="93"/>
      <c r="M34" s="111">
        <f>SUM(M10:M33)</f>
        <v>150009625.416733</v>
      </c>
      <c r="N34" s="111">
        <f>SUM(N10:N33)</f>
        <v>154879622.213943</v>
      </c>
      <c r="O34" s="111">
        <f>SUM(O10:O33)</f>
        <v>4869996.7972100079</v>
      </c>
      <c r="P34" s="225">
        <f>O34/M34</f>
        <v>3.2464562081806106E-2</v>
      </c>
      <c r="Q34" s="221"/>
      <c r="R34" s="112"/>
    </row>
    <row r="35" spans="1:19" ht="16.5" thickTop="1" x14ac:dyDescent="0.25"/>
    <row r="36" spans="1:19" x14ac:dyDescent="0.25">
      <c r="M36" s="31"/>
      <c r="N36" s="119" t="s">
        <v>135</v>
      </c>
      <c r="O36" s="84">
        <v>4870146.1180856675</v>
      </c>
      <c r="P36" s="109"/>
    </row>
    <row r="37" spans="1:19" x14ac:dyDescent="0.25">
      <c r="M37" s="31"/>
      <c r="N37" s="119" t="s">
        <v>136</v>
      </c>
      <c r="O37" s="31">
        <f>O34-O36</f>
        <v>-149.320875659585</v>
      </c>
      <c r="P37" s="94"/>
    </row>
    <row r="38" spans="1:19" x14ac:dyDescent="0.25">
      <c r="M38" s="25"/>
      <c r="N38" s="119" t="s">
        <v>137</v>
      </c>
      <c r="O38" s="25">
        <f>O37/O36</f>
        <v>-3.0660450844599976E-5</v>
      </c>
    </row>
    <row r="39" spans="1:19" x14ac:dyDescent="0.25">
      <c r="B39" s="102"/>
      <c r="S39" s="313"/>
    </row>
    <row r="40" spans="1:19" x14ac:dyDescent="0.25">
      <c r="B40" s="102"/>
    </row>
    <row r="41" spans="1:19" x14ac:dyDescent="0.25">
      <c r="B41" s="102"/>
      <c r="O41" s="31"/>
    </row>
    <row r="42" spans="1:19" x14ac:dyDescent="0.25">
      <c r="B42" s="102"/>
      <c r="O42" s="31"/>
    </row>
    <row r="43" spans="1:19" x14ac:dyDescent="0.25">
      <c r="B43" s="102"/>
    </row>
    <row r="44" spans="1:19" x14ac:dyDescent="0.25">
      <c r="B44" s="102"/>
      <c r="O44" s="31"/>
    </row>
    <row r="45" spans="1:19" x14ac:dyDescent="0.25">
      <c r="B45" s="102"/>
    </row>
    <row r="46" spans="1:19" x14ac:dyDescent="0.25">
      <c r="B46" s="102"/>
    </row>
    <row r="55" spans="15:15" x14ac:dyDescent="0.25">
      <c r="O55" s="31"/>
    </row>
  </sheetData>
  <dataConsolidate/>
  <mergeCells count="4">
    <mergeCell ref="B5:D5"/>
    <mergeCell ref="M5:Q5"/>
    <mergeCell ref="F5:I5"/>
    <mergeCell ref="B16:B17"/>
  </mergeCells>
  <printOptions horizontalCentered="1"/>
  <pageMargins left="0.25" right="0.25" top="0.75" bottom="0.75" header="0.3" footer="0.3"/>
  <pageSetup scale="75" orientation="landscape" r:id="rId1"/>
  <headerFooter>
    <oddFooter>&amp;RExhibit JW-9
Page &amp;P of &amp;N</oddFooter>
  </headerFooter>
  <colBreaks count="1" manualBreakCount="1">
    <brk id="17" max="4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4625-92E2-4181-8950-08C0080169C2}">
  <sheetPr>
    <pageSetUpPr fitToPage="1"/>
  </sheetPr>
  <dimension ref="A1:Y83"/>
  <sheetViews>
    <sheetView view="pageBreakPreview" zoomScale="60" zoomScaleNormal="100" workbookViewId="0">
      <selection activeCell="Y9" sqref="Y9"/>
    </sheetView>
  </sheetViews>
  <sheetFormatPr defaultRowHeight="12.75" x14ac:dyDescent="0.2"/>
  <cols>
    <col min="1" max="2" width="9" bestFit="1" customWidth="1"/>
    <col min="3" max="3" width="27.42578125" bestFit="1" customWidth="1"/>
    <col min="4" max="4" width="15.5703125" bestFit="1" customWidth="1"/>
    <col min="5" max="5" width="12.7109375" bestFit="1" customWidth="1"/>
    <col min="6" max="6" width="15.140625" bestFit="1" customWidth="1"/>
    <col min="7" max="7" width="15.5703125" bestFit="1" customWidth="1"/>
    <col min="8" max="8" width="11.140625" bestFit="1" customWidth="1"/>
    <col min="9" max="9" width="15.140625" bestFit="1" customWidth="1"/>
    <col min="10" max="10" width="15.5703125" bestFit="1" customWidth="1"/>
    <col min="11" max="11" width="11.140625" bestFit="1" customWidth="1"/>
    <col min="12" max="13" width="15.85546875" bestFit="1" customWidth="1"/>
    <col min="14" max="14" width="11.28515625" bestFit="1" customWidth="1"/>
    <col min="15" max="15" width="10.85546875" bestFit="1" customWidth="1"/>
    <col min="16" max="16" width="9.7109375" bestFit="1" customWidth="1"/>
  </cols>
  <sheetData>
    <row r="1" spans="1:15" x14ac:dyDescent="0.2">
      <c r="B1" s="613" t="s">
        <v>139</v>
      </c>
      <c r="C1" s="613"/>
      <c r="D1" s="613"/>
      <c r="E1" s="613"/>
      <c r="F1" s="613"/>
      <c r="G1" s="613"/>
      <c r="H1" s="613"/>
      <c r="I1" s="613"/>
      <c r="J1" s="613"/>
      <c r="K1" s="613"/>
      <c r="L1" s="613"/>
    </row>
    <row r="2" spans="1:15" x14ac:dyDescent="0.2">
      <c r="B2" s="613" t="s">
        <v>503</v>
      </c>
      <c r="C2" s="613"/>
      <c r="D2" s="613"/>
      <c r="E2" s="613"/>
      <c r="F2" s="613"/>
      <c r="G2" s="613"/>
      <c r="H2" s="613"/>
      <c r="I2" s="613"/>
      <c r="J2" s="613"/>
      <c r="K2" s="613"/>
      <c r="L2" s="613"/>
    </row>
    <row r="3" spans="1:15" x14ac:dyDescent="0.2">
      <c r="B3" s="613" t="s">
        <v>442</v>
      </c>
      <c r="C3" s="613"/>
      <c r="D3" s="613"/>
      <c r="E3" s="613"/>
      <c r="F3" s="613"/>
      <c r="G3" s="613"/>
      <c r="H3" s="613"/>
      <c r="I3" s="613"/>
      <c r="J3" s="613"/>
      <c r="K3" s="613"/>
      <c r="L3" s="613"/>
      <c r="M3" s="203"/>
      <c r="N3" s="203"/>
      <c r="O3" s="203"/>
    </row>
    <row r="4" spans="1:15" x14ac:dyDescent="0.2">
      <c r="A4" s="231" t="s">
        <v>268</v>
      </c>
      <c r="C4" s="462"/>
      <c r="D4" s="462"/>
      <c r="E4" s="462"/>
      <c r="F4" s="462"/>
      <c r="G4" s="462"/>
      <c r="H4" s="462"/>
      <c r="I4" s="462"/>
      <c r="J4" s="462"/>
      <c r="K4" s="462"/>
      <c r="L4" s="462"/>
    </row>
    <row r="5" spans="1:15" x14ac:dyDescent="0.2">
      <c r="A5" s="231" t="s">
        <v>277</v>
      </c>
      <c r="C5" s="463" t="s">
        <v>269</v>
      </c>
      <c r="D5" s="463" t="s">
        <v>270</v>
      </c>
      <c r="E5" s="463" t="s">
        <v>271</v>
      </c>
      <c r="F5" s="463" t="s">
        <v>272</v>
      </c>
      <c r="G5" s="463" t="s">
        <v>273</v>
      </c>
      <c r="H5" s="463" t="s">
        <v>274</v>
      </c>
      <c r="I5" s="463" t="s">
        <v>275</v>
      </c>
      <c r="J5" s="463" t="s">
        <v>276</v>
      </c>
      <c r="K5" s="463" t="s">
        <v>443</v>
      </c>
      <c r="L5" s="463" t="s">
        <v>444</v>
      </c>
    </row>
    <row r="6" spans="1:15" x14ac:dyDescent="0.2">
      <c r="C6" s="196"/>
      <c r="D6" s="615" t="s">
        <v>445</v>
      </c>
      <c r="E6" s="616"/>
      <c r="F6" s="617"/>
      <c r="G6" s="615" t="s">
        <v>446</v>
      </c>
      <c r="H6" s="616"/>
      <c r="I6" s="617"/>
      <c r="J6" s="615" t="s">
        <v>447</v>
      </c>
      <c r="K6" s="616"/>
      <c r="L6" s="617"/>
    </row>
    <row r="7" spans="1:15" x14ac:dyDescent="0.2">
      <c r="A7" s="183">
        <v>1</v>
      </c>
      <c r="C7" s="163"/>
      <c r="E7" s="203"/>
      <c r="F7" s="464"/>
      <c r="G7" s="286"/>
      <c r="H7" s="286"/>
      <c r="I7" s="286"/>
      <c r="J7" s="286"/>
      <c r="K7" s="286"/>
      <c r="L7" s="286"/>
    </row>
    <row r="8" spans="1:15" x14ac:dyDescent="0.2">
      <c r="A8" s="183">
        <f>A7+1</f>
        <v>2</v>
      </c>
      <c r="C8" s="203"/>
      <c r="E8" s="273"/>
      <c r="F8" s="465"/>
      <c r="G8" s="466"/>
    </row>
    <row r="9" spans="1:15" x14ac:dyDescent="0.2">
      <c r="A9" s="183">
        <f t="shared" ref="A9:A27" si="0">A8+1</f>
        <v>3</v>
      </c>
      <c r="C9" s="203"/>
      <c r="D9" s="196" t="s">
        <v>284</v>
      </c>
      <c r="E9" s="203"/>
      <c r="G9" s="196" t="s">
        <v>284</v>
      </c>
      <c r="H9" s="203"/>
      <c r="J9" t="str">
        <f>G9</f>
        <v>kwh</v>
      </c>
    </row>
    <row r="10" spans="1:15" x14ac:dyDescent="0.2">
      <c r="A10" s="183">
        <f t="shared" si="0"/>
        <v>4</v>
      </c>
      <c r="C10" s="203" t="s">
        <v>448</v>
      </c>
      <c r="D10" s="286">
        <f>G56+G76</f>
        <v>4488051663</v>
      </c>
      <c r="E10" s="467">
        <f>F10/D10</f>
        <v>8.1430155361827877E-2</v>
      </c>
      <c r="F10" s="248">
        <f>G27</f>
        <v>365462744.19</v>
      </c>
      <c r="G10" s="286">
        <f>D10</f>
        <v>4488051663</v>
      </c>
      <c r="H10" s="467">
        <f>E10</f>
        <v>8.1430155361827877E-2</v>
      </c>
      <c r="I10" s="248">
        <f>G10*H10</f>
        <v>365462744.19</v>
      </c>
      <c r="J10" s="270">
        <f>G10</f>
        <v>4488051663</v>
      </c>
      <c r="K10" s="289">
        <f>H10</f>
        <v>8.1430155361827877E-2</v>
      </c>
      <c r="L10" s="248">
        <f>J10*K10</f>
        <v>365462744.19</v>
      </c>
    </row>
    <row r="11" spans="1:15" x14ac:dyDescent="0.2">
      <c r="A11" s="183">
        <f t="shared" si="0"/>
        <v>5</v>
      </c>
      <c r="C11" s="203"/>
      <c r="D11" s="203"/>
      <c r="E11" s="203"/>
      <c r="F11" s="465"/>
      <c r="G11" s="203"/>
      <c r="H11" s="203"/>
      <c r="I11" s="465"/>
      <c r="J11" s="465"/>
      <c r="K11" s="465"/>
      <c r="L11" s="465"/>
    </row>
    <row r="12" spans="1:15" x14ac:dyDescent="0.2">
      <c r="A12" s="183">
        <f t="shared" si="0"/>
        <v>6</v>
      </c>
      <c r="C12" s="203" t="s">
        <v>449</v>
      </c>
      <c r="D12" s="203"/>
      <c r="E12" s="203"/>
      <c r="F12" s="203"/>
      <c r="G12" s="203"/>
      <c r="H12" s="203"/>
      <c r="I12" s="203"/>
      <c r="J12" s="203"/>
      <c r="K12" s="203"/>
      <c r="L12" s="203"/>
    </row>
    <row r="13" spans="1:15" x14ac:dyDescent="0.2">
      <c r="A13" s="183">
        <f t="shared" si="0"/>
        <v>7</v>
      </c>
      <c r="C13" s="440" t="s">
        <v>450</v>
      </c>
      <c r="D13" s="203">
        <v>4.5000000000000003E-5</v>
      </c>
      <c r="F13" s="468">
        <f>D10*D13</f>
        <v>201962.32483500001</v>
      </c>
      <c r="G13" s="203">
        <v>4.5000000000000003E-5</v>
      </c>
      <c r="I13" s="468">
        <f>G10*G13</f>
        <v>201962.32483500001</v>
      </c>
      <c r="J13">
        <f>G13</f>
        <v>4.5000000000000003E-5</v>
      </c>
      <c r="K13" s="248"/>
      <c r="L13" s="248">
        <f>I13</f>
        <v>201962.32483500001</v>
      </c>
    </row>
    <row r="14" spans="1:15" x14ac:dyDescent="0.2">
      <c r="A14" s="183">
        <f t="shared" si="0"/>
        <v>8</v>
      </c>
      <c r="C14" s="440" t="s">
        <v>451</v>
      </c>
      <c r="D14" s="469">
        <v>2614</v>
      </c>
      <c r="E14" s="468" t="s">
        <v>452</v>
      </c>
      <c r="F14" s="465">
        <f>D14*12*2</f>
        <v>62736</v>
      </c>
      <c r="G14" s="469">
        <v>2614</v>
      </c>
      <c r="H14" s="468" t="s">
        <v>452</v>
      </c>
      <c r="I14" s="465">
        <f>G14*12*2</f>
        <v>62736</v>
      </c>
      <c r="J14" s="468">
        <f>G14</f>
        <v>2614</v>
      </c>
      <c r="K14" s="468" t="s">
        <v>452</v>
      </c>
      <c r="L14" s="248">
        <f>I14</f>
        <v>62736</v>
      </c>
    </row>
    <row r="15" spans="1:15" x14ac:dyDescent="0.2">
      <c r="A15" s="183">
        <f t="shared" si="0"/>
        <v>9</v>
      </c>
      <c r="C15" s="440" t="s">
        <v>453</v>
      </c>
      <c r="D15" s="469"/>
      <c r="E15" s="468"/>
      <c r="F15" s="465">
        <f>S56+S76</f>
        <v>404937.83999999991</v>
      </c>
      <c r="G15" s="469"/>
      <c r="H15" s="468"/>
      <c r="I15" s="465">
        <f>F15</f>
        <v>404937.83999999991</v>
      </c>
      <c r="J15" s="468"/>
      <c r="K15" s="468"/>
      <c r="L15" s="465">
        <f>I15</f>
        <v>404937.83999999991</v>
      </c>
    </row>
    <row r="16" spans="1:15" x14ac:dyDescent="0.2">
      <c r="A16" s="183">
        <f t="shared" si="0"/>
        <v>10</v>
      </c>
      <c r="C16" s="203" t="s">
        <v>454</v>
      </c>
      <c r="D16" s="469"/>
      <c r="E16" s="468"/>
      <c r="F16" s="465">
        <f>Q56-W56+Q76-W76</f>
        <v>60867.730000002208</v>
      </c>
      <c r="G16" s="469"/>
      <c r="H16" s="468"/>
      <c r="I16" s="465">
        <f>F16</f>
        <v>60867.730000002208</v>
      </c>
      <c r="L16" s="248">
        <f>I16</f>
        <v>60867.730000002208</v>
      </c>
    </row>
    <row r="17" spans="1:12" ht="13.5" thickBot="1" x14ac:dyDescent="0.25">
      <c r="A17" s="183">
        <f t="shared" si="0"/>
        <v>11</v>
      </c>
      <c r="C17" s="203" t="s">
        <v>455</v>
      </c>
      <c r="D17" s="203"/>
      <c r="E17" s="203"/>
      <c r="F17" s="470">
        <f>SUM(F10:F16)</f>
        <v>366193248.08483499</v>
      </c>
      <c r="G17" s="203"/>
      <c r="H17" s="203"/>
      <c r="I17" s="470">
        <f>SUM(I10:I16)</f>
        <v>366193248.08483499</v>
      </c>
      <c r="L17" s="248">
        <f>I17</f>
        <v>366193248.08483499</v>
      </c>
    </row>
    <row r="18" spans="1:12" ht="13.5" thickTop="1" x14ac:dyDescent="0.2">
      <c r="A18" s="183">
        <f t="shared" si="0"/>
        <v>12</v>
      </c>
      <c r="C18" s="203"/>
      <c r="D18" s="203"/>
      <c r="E18" s="203"/>
      <c r="F18" s="198"/>
    </row>
    <row r="19" spans="1:12" x14ac:dyDescent="0.2">
      <c r="A19" s="183">
        <f t="shared" si="0"/>
        <v>13</v>
      </c>
      <c r="F19" s="198"/>
    </row>
    <row r="20" spans="1:12" x14ac:dyDescent="0.2">
      <c r="A20" s="183">
        <f t="shared" si="0"/>
        <v>14</v>
      </c>
      <c r="C20" s="327" t="s">
        <v>456</v>
      </c>
      <c r="D20" s="203"/>
      <c r="E20" s="203" t="s">
        <v>457</v>
      </c>
      <c r="F20" s="203"/>
      <c r="G20" s="203" t="s">
        <v>458</v>
      </c>
      <c r="H20" s="203"/>
      <c r="I20" s="203"/>
      <c r="J20" s="203"/>
      <c r="K20" s="203"/>
      <c r="L20" s="203"/>
    </row>
    <row r="21" spans="1:12" ht="15" x14ac:dyDescent="0.2">
      <c r="A21" s="183">
        <f t="shared" si="0"/>
        <v>15</v>
      </c>
      <c r="D21" s="471">
        <v>442.23</v>
      </c>
      <c r="E21" s="497">
        <v>1166.3699999999999</v>
      </c>
      <c r="F21" s="503" t="s">
        <v>459</v>
      </c>
      <c r="G21" s="497">
        <v>1166.3699999999999</v>
      </c>
      <c r="H21" s="496"/>
      <c r="I21" s="473"/>
      <c r="J21" s="614"/>
      <c r="K21" s="614"/>
      <c r="L21" s="614"/>
    </row>
    <row r="22" spans="1:12" ht="15" x14ac:dyDescent="0.2">
      <c r="A22" s="183">
        <f t="shared" si="0"/>
        <v>16</v>
      </c>
      <c r="D22" s="203">
        <v>442.23099999999999</v>
      </c>
      <c r="E22" s="497">
        <v>106116223.59999999</v>
      </c>
      <c r="F22" s="503" t="s">
        <v>460</v>
      </c>
      <c r="G22" s="497">
        <v>106127756.98</v>
      </c>
      <c r="H22" s="496"/>
      <c r="I22" s="475"/>
    </row>
    <row r="23" spans="1:12" ht="15" x14ac:dyDescent="0.2">
      <c r="A23" s="183">
        <f t="shared" si="0"/>
        <v>17</v>
      </c>
      <c r="D23" s="471">
        <v>442.23200000000003</v>
      </c>
      <c r="E23" s="497">
        <v>319564.74</v>
      </c>
      <c r="F23" s="504"/>
      <c r="G23" s="499"/>
      <c r="H23" s="496"/>
      <c r="I23" s="475"/>
    </row>
    <row r="24" spans="1:12" ht="15" x14ac:dyDescent="0.2">
      <c r="A24" s="183">
        <f t="shared" si="0"/>
        <v>18</v>
      </c>
      <c r="B24" s="196"/>
      <c r="D24" s="472" t="s">
        <v>461</v>
      </c>
      <c r="E24" s="497">
        <v>28353.88</v>
      </c>
      <c r="F24" s="503" t="s">
        <v>460</v>
      </c>
      <c r="G24" s="497">
        <v>28353.88</v>
      </c>
      <c r="H24" s="496"/>
      <c r="I24" s="475"/>
    </row>
    <row r="25" spans="1:12" ht="15" x14ac:dyDescent="0.2">
      <c r="A25" s="183">
        <f t="shared" si="0"/>
        <v>19</v>
      </c>
      <c r="B25" s="196"/>
      <c r="D25" s="472" t="s">
        <v>462</v>
      </c>
      <c r="E25" s="497">
        <v>275383618.86000001</v>
      </c>
      <c r="F25" s="503" t="s">
        <v>463</v>
      </c>
      <c r="G25" s="497">
        <v>259305466.96000001</v>
      </c>
      <c r="H25" s="496"/>
      <c r="I25" s="475"/>
    </row>
    <row r="26" spans="1:12" ht="15" x14ac:dyDescent="0.2">
      <c r="A26" s="183">
        <f t="shared" si="0"/>
        <v>20</v>
      </c>
      <c r="B26" s="196"/>
      <c r="D26" s="472" t="s">
        <v>464</v>
      </c>
      <c r="E26" s="497">
        <v>-15655679.35</v>
      </c>
      <c r="F26" s="503"/>
      <c r="G26" s="500"/>
      <c r="H26" s="496"/>
      <c r="I26" s="475"/>
    </row>
    <row r="27" spans="1:12" ht="13.5" thickBot="1" x14ac:dyDescent="0.25">
      <c r="A27" s="183">
        <f t="shared" si="0"/>
        <v>21</v>
      </c>
      <c r="B27" s="196"/>
      <c r="D27" s="203"/>
      <c r="E27" s="498">
        <f>SUM(E21:E26)</f>
        <v>366193248.09999996</v>
      </c>
      <c r="F27" s="496"/>
      <c r="G27" s="501">
        <f>SUM(G21:G26)</f>
        <v>365462744.19</v>
      </c>
      <c r="H27" s="502">
        <f>E27-G27</f>
        <v>730503.90999996662</v>
      </c>
      <c r="I27" s="475"/>
      <c r="J27" s="614"/>
      <c r="K27" s="614"/>
      <c r="L27" s="614"/>
    </row>
    <row r="28" spans="1:12" ht="15.75" thickTop="1" x14ac:dyDescent="0.25">
      <c r="B28" s="196"/>
      <c r="F28" s="471"/>
      <c r="G28" s="477"/>
      <c r="H28" s="246"/>
      <c r="I28" s="203"/>
      <c r="J28" s="614"/>
      <c r="K28" s="614"/>
      <c r="L28" s="614"/>
    </row>
    <row r="29" spans="1:12" x14ac:dyDescent="0.2">
      <c r="B29" s="196"/>
      <c r="C29" s="203"/>
      <c r="F29" s="203"/>
      <c r="I29" s="246"/>
      <c r="J29" s="203"/>
      <c r="K29" s="203"/>
      <c r="L29" s="203"/>
    </row>
    <row r="30" spans="1:12" x14ac:dyDescent="0.2">
      <c r="B30" s="196"/>
      <c r="C30" s="327"/>
      <c r="D30" s="203"/>
      <c r="E30" s="468"/>
      <c r="F30" s="203"/>
      <c r="G30" s="287"/>
      <c r="H30" s="203"/>
      <c r="I30" s="203"/>
      <c r="J30" s="203"/>
      <c r="K30" s="203"/>
      <c r="L30" s="203"/>
    </row>
    <row r="36" spans="2:25" ht="19.5" x14ac:dyDescent="0.35">
      <c r="B36" s="478" t="s">
        <v>465</v>
      </c>
      <c r="C36" s="479"/>
      <c r="D36" s="479"/>
      <c r="E36" s="479"/>
      <c r="O36" s="183"/>
      <c r="P36" s="183"/>
      <c r="Q36" s="183"/>
      <c r="R36" s="183"/>
      <c r="S36" s="183"/>
      <c r="T36" s="183"/>
      <c r="U36" s="183"/>
      <c r="V36" s="183"/>
      <c r="W36" s="183"/>
    </row>
    <row r="37" spans="2:25" x14ac:dyDescent="0.2">
      <c r="K37" s="183" t="s">
        <v>466</v>
      </c>
      <c r="P37" s="183"/>
      <c r="Q37" s="183"/>
      <c r="R37" s="183"/>
      <c r="S37" s="183"/>
      <c r="T37" s="183"/>
      <c r="U37" s="183" t="s">
        <v>467</v>
      </c>
      <c r="W37" s="183"/>
    </row>
    <row r="38" spans="2:25" x14ac:dyDescent="0.2">
      <c r="C38" s="183" t="s">
        <v>468</v>
      </c>
      <c r="D38" s="183" t="s">
        <v>469</v>
      </c>
      <c r="E38" s="183" t="s">
        <v>282</v>
      </c>
      <c r="F38" s="183" t="s">
        <v>470</v>
      </c>
      <c r="J38" s="183" t="s">
        <v>471</v>
      </c>
      <c r="K38" s="183" t="s">
        <v>470</v>
      </c>
      <c r="O38" s="183" t="s">
        <v>472</v>
      </c>
      <c r="P38" s="183"/>
      <c r="Q38" s="183" t="s">
        <v>472</v>
      </c>
      <c r="R38" s="183"/>
      <c r="S38" s="183"/>
      <c r="T38" s="183"/>
      <c r="U38" s="183" t="s">
        <v>473</v>
      </c>
      <c r="V38" s="183"/>
      <c r="W38" s="183"/>
    </row>
    <row r="39" spans="2:25" x14ac:dyDescent="0.2">
      <c r="C39" s="183" t="s">
        <v>474</v>
      </c>
      <c r="D39" s="183" t="s">
        <v>475</v>
      </c>
      <c r="E39" s="183" t="s">
        <v>475</v>
      </c>
      <c r="F39" s="183" t="s">
        <v>475</v>
      </c>
      <c r="G39" s="183" t="s">
        <v>476</v>
      </c>
      <c r="H39" s="183" t="s">
        <v>477</v>
      </c>
      <c r="I39" s="183" t="s">
        <v>478</v>
      </c>
      <c r="J39" s="183" t="s">
        <v>479</v>
      </c>
      <c r="K39" s="183" t="s">
        <v>480</v>
      </c>
      <c r="L39" s="183" t="s">
        <v>481</v>
      </c>
      <c r="M39" s="183" t="s">
        <v>482</v>
      </c>
      <c r="N39" s="183" t="s">
        <v>483</v>
      </c>
      <c r="O39" s="480" t="s">
        <v>484</v>
      </c>
      <c r="P39" s="183" t="s">
        <v>111</v>
      </c>
      <c r="Q39" s="480" t="s">
        <v>484</v>
      </c>
      <c r="R39" s="183" t="s">
        <v>185</v>
      </c>
      <c r="S39" s="183" t="s">
        <v>485</v>
      </c>
      <c r="T39" s="183" t="s">
        <v>185</v>
      </c>
      <c r="U39" s="183" t="s">
        <v>286</v>
      </c>
      <c r="V39" s="183" t="s">
        <v>84</v>
      </c>
      <c r="W39" s="183" t="s">
        <v>486</v>
      </c>
    </row>
    <row r="40" spans="2:25" x14ac:dyDescent="0.2">
      <c r="B40" s="481" t="s">
        <v>487</v>
      </c>
      <c r="C40" s="481"/>
      <c r="D40" s="481" t="s">
        <v>487</v>
      </c>
      <c r="E40" s="481"/>
      <c r="F40" s="481" t="s">
        <v>487</v>
      </c>
      <c r="G40" s="481" t="s">
        <v>487</v>
      </c>
      <c r="H40" s="481" t="s">
        <v>487</v>
      </c>
      <c r="I40" s="481" t="s">
        <v>487</v>
      </c>
      <c r="J40" s="481" t="s">
        <v>487</v>
      </c>
      <c r="K40" s="481" t="s">
        <v>487</v>
      </c>
      <c r="L40" s="481" t="s">
        <v>487</v>
      </c>
      <c r="M40" s="481" t="s">
        <v>487</v>
      </c>
      <c r="N40" s="481" t="s">
        <v>487</v>
      </c>
      <c r="O40" s="183">
        <v>4.5000000000000003E-5</v>
      </c>
      <c r="P40" s="183"/>
      <c r="Q40" s="183" t="s">
        <v>488</v>
      </c>
      <c r="R40" s="183"/>
      <c r="S40" s="183" t="s">
        <v>489</v>
      </c>
      <c r="T40" s="183"/>
      <c r="U40" s="183">
        <v>4.5000000000000003E-5</v>
      </c>
      <c r="V40" s="183"/>
      <c r="W40" s="183" t="s">
        <v>490</v>
      </c>
    </row>
    <row r="41" spans="2:25" x14ac:dyDescent="0.2">
      <c r="G41" s="482">
        <v>244322125</v>
      </c>
      <c r="H41" s="483"/>
      <c r="I41" s="483"/>
      <c r="J41" s="483"/>
      <c r="L41" s="483"/>
      <c r="Q41" s="183" t="s">
        <v>491</v>
      </c>
    </row>
    <row r="42" spans="2:25" x14ac:dyDescent="0.2">
      <c r="B42" s="484">
        <v>45007</v>
      </c>
      <c r="C42" s="290"/>
      <c r="D42" s="482">
        <v>391565</v>
      </c>
      <c r="E42" s="482">
        <v>391565</v>
      </c>
      <c r="F42" s="482"/>
      <c r="G42" s="482">
        <v>278203891</v>
      </c>
      <c r="H42" s="483"/>
      <c r="I42" s="483">
        <v>13848399.119999999</v>
      </c>
      <c r="J42" s="285"/>
      <c r="K42" s="483"/>
      <c r="L42" s="483">
        <f t="shared" ref="L42:L53" si="1">SUM(H42:K42)</f>
        <v>13848399.119999999</v>
      </c>
      <c r="M42" s="483">
        <v>13878592.74</v>
      </c>
      <c r="N42" s="485">
        <f t="shared" ref="N42:N53" si="2">M42-L42</f>
        <v>30193.620000001043</v>
      </c>
      <c r="O42" s="294">
        <f t="shared" ref="O42:O52" si="3">ROUND(G41*$O$40,2)</f>
        <v>10994.5</v>
      </c>
      <c r="P42" s="294">
        <v>2614</v>
      </c>
      <c r="Q42" s="294">
        <v>646.92999999999995</v>
      </c>
      <c r="R42" s="486">
        <f t="shared" ref="R42:R51" si="4">SUM(O42:Q42)</f>
        <v>14255.43</v>
      </c>
      <c r="S42" s="486">
        <v>14413.51</v>
      </c>
      <c r="T42" s="486">
        <f t="shared" ref="T42:T51" si="5">R42+S42</f>
        <v>28668.940000000002</v>
      </c>
      <c r="U42" s="486">
        <f t="shared" ref="U42:U52" si="6">ROUND((G42-G41)*$U$40,2)</f>
        <v>1524.68</v>
      </c>
      <c r="V42" s="285">
        <f t="shared" ref="V42:V51" si="7">T42+U42</f>
        <v>30193.620000000003</v>
      </c>
      <c r="W42" s="285">
        <f t="shared" ref="W42:W51" si="8">V42-N42</f>
        <v>-1.0404619388282299E-9</v>
      </c>
    </row>
    <row r="43" spans="2:25" x14ac:dyDescent="0.2">
      <c r="B43" t="s">
        <v>492</v>
      </c>
      <c r="C43" s="290"/>
      <c r="D43" s="482">
        <v>388800</v>
      </c>
      <c r="E43" s="482">
        <v>388800</v>
      </c>
      <c r="F43" s="482"/>
      <c r="G43" s="482">
        <v>272301313</v>
      </c>
      <c r="H43" s="483"/>
      <c r="I43" s="483">
        <v>20806761.77</v>
      </c>
      <c r="J43" s="285"/>
      <c r="K43" s="483"/>
      <c r="L43" s="483">
        <f t="shared" si="1"/>
        <v>20806761.77</v>
      </c>
      <c r="M43" s="483">
        <v>20836809.07</v>
      </c>
      <c r="N43" s="485">
        <f t="shared" si="2"/>
        <v>30047.300000000745</v>
      </c>
      <c r="O43" s="294">
        <f t="shared" si="3"/>
        <v>12519.18</v>
      </c>
      <c r="P43" s="294">
        <v>2614</v>
      </c>
      <c r="Q43" s="294">
        <v>766.22</v>
      </c>
      <c r="R43" s="486">
        <f>SUM(O43:Q43)</f>
        <v>15899.4</v>
      </c>
      <c r="S43" s="486">
        <v>14413.51</v>
      </c>
      <c r="T43" s="486">
        <f>R43+S43</f>
        <v>30312.91</v>
      </c>
      <c r="U43" s="486">
        <f t="shared" si="6"/>
        <v>-265.62</v>
      </c>
      <c r="V43" s="285">
        <f>T43+U43</f>
        <v>30047.29</v>
      </c>
      <c r="W43" s="285">
        <f>V43-N43</f>
        <v>-1.0000000744184945E-2</v>
      </c>
    </row>
    <row r="44" spans="2:25" x14ac:dyDescent="0.2">
      <c r="B44" t="s">
        <v>493</v>
      </c>
      <c r="C44" s="290"/>
      <c r="D44" s="482">
        <v>392947</v>
      </c>
      <c r="E44" s="482">
        <v>392947</v>
      </c>
      <c r="F44" s="482"/>
      <c r="G44" s="482">
        <v>281542656</v>
      </c>
      <c r="H44" s="483"/>
      <c r="I44" s="483">
        <v>24021646.199999999</v>
      </c>
      <c r="J44" s="285"/>
      <c r="K44" s="483"/>
      <c r="L44" s="483">
        <f t="shared" si="1"/>
        <v>24021646.199999999</v>
      </c>
      <c r="M44" s="483">
        <v>24052476.609999999</v>
      </c>
      <c r="N44" s="485">
        <f t="shared" si="2"/>
        <v>30830.410000000149</v>
      </c>
      <c r="O44" s="294">
        <f t="shared" si="3"/>
        <v>12253.56</v>
      </c>
      <c r="P44" s="294">
        <v>2614</v>
      </c>
      <c r="Q44" s="294">
        <v>1133.48</v>
      </c>
      <c r="R44" s="486">
        <f t="shared" si="4"/>
        <v>16001.039999999999</v>
      </c>
      <c r="S44" s="486">
        <v>14413.51</v>
      </c>
      <c r="T44" s="486">
        <f t="shared" si="5"/>
        <v>30414.55</v>
      </c>
      <c r="U44" s="486">
        <f t="shared" si="6"/>
        <v>415.86</v>
      </c>
      <c r="V44" s="285">
        <f t="shared" si="7"/>
        <v>30830.41</v>
      </c>
      <c r="W44" s="285">
        <f t="shared" si="8"/>
        <v>-1.4915713109076023E-10</v>
      </c>
    </row>
    <row r="45" spans="2:25" x14ac:dyDescent="0.2">
      <c r="B45" t="s">
        <v>494</v>
      </c>
      <c r="C45" s="290"/>
      <c r="D45" s="482">
        <v>395021</v>
      </c>
      <c r="E45" s="482">
        <v>395021</v>
      </c>
      <c r="F45" s="482"/>
      <c r="G45" s="482">
        <v>245424547</v>
      </c>
      <c r="H45" s="483"/>
      <c r="I45" s="483">
        <v>26429749.800000001</v>
      </c>
      <c r="J45" s="285"/>
      <c r="K45" s="483"/>
      <c r="L45" s="483">
        <f t="shared" si="1"/>
        <v>26429749.800000001</v>
      </c>
      <c r="M45" s="483">
        <v>26457734.550000001</v>
      </c>
      <c r="N45" s="485">
        <f t="shared" si="2"/>
        <v>27984.75</v>
      </c>
      <c r="O45" s="294">
        <f t="shared" si="3"/>
        <v>12669.42</v>
      </c>
      <c r="P45" s="294">
        <v>2614</v>
      </c>
      <c r="Q45" s="294">
        <v>513.11</v>
      </c>
      <c r="R45" s="486">
        <f t="shared" si="4"/>
        <v>15796.53</v>
      </c>
      <c r="S45" s="486">
        <v>14413.51</v>
      </c>
      <c r="T45" s="486">
        <f t="shared" si="5"/>
        <v>30210.04</v>
      </c>
      <c r="U45" s="486">
        <f t="shared" si="6"/>
        <v>-1625.31</v>
      </c>
      <c r="V45" s="285">
        <f t="shared" si="7"/>
        <v>28584.73</v>
      </c>
      <c r="W45" s="285">
        <f t="shared" si="8"/>
        <v>599.97999999999956</v>
      </c>
    </row>
    <row r="46" spans="2:25" x14ac:dyDescent="0.2">
      <c r="B46" t="s">
        <v>495</v>
      </c>
      <c r="C46" s="290"/>
      <c r="D46" s="482">
        <v>283738</v>
      </c>
      <c r="E46" s="482">
        <v>283738</v>
      </c>
      <c r="F46" s="482"/>
      <c r="G46" s="482">
        <v>71047937</v>
      </c>
      <c r="H46" s="483"/>
      <c r="I46" s="483">
        <v>8660644.4199999999</v>
      </c>
      <c r="J46" s="285"/>
      <c r="K46" s="483"/>
      <c r="L46" s="483">
        <f t="shared" si="1"/>
        <v>8660644.4199999999</v>
      </c>
      <c r="M46" s="483">
        <v>8684433.0299999993</v>
      </c>
      <c r="N46" s="485">
        <f t="shared" si="2"/>
        <v>23788.609999999404</v>
      </c>
      <c r="O46" s="294">
        <f t="shared" si="3"/>
        <v>11044.1</v>
      </c>
      <c r="P46" s="294">
        <v>2614</v>
      </c>
      <c r="Q46" s="486">
        <v>786.77</v>
      </c>
      <c r="R46" s="486">
        <f t="shared" si="4"/>
        <v>14444.87</v>
      </c>
      <c r="S46" s="486">
        <v>17190.68</v>
      </c>
      <c r="T46" s="486">
        <f t="shared" si="5"/>
        <v>31635.550000000003</v>
      </c>
      <c r="U46" s="486">
        <f t="shared" si="6"/>
        <v>-7846.95</v>
      </c>
      <c r="V46" s="285">
        <f t="shared" si="7"/>
        <v>23788.600000000002</v>
      </c>
      <c r="W46" s="285">
        <f t="shared" si="8"/>
        <v>-9.999999401770765E-3</v>
      </c>
    </row>
    <row r="47" spans="2:25" x14ac:dyDescent="0.2">
      <c r="B47" t="s">
        <v>496</v>
      </c>
      <c r="C47" s="290"/>
      <c r="D47" s="482">
        <v>4608</v>
      </c>
      <c r="E47" s="482">
        <v>4608</v>
      </c>
      <c r="F47" s="482"/>
      <c r="G47" s="482">
        <v>2083719</v>
      </c>
      <c r="H47" s="483"/>
      <c r="I47" s="483">
        <v>1919243.32</v>
      </c>
      <c r="J47" s="285"/>
      <c r="K47" s="483"/>
      <c r="L47" s="483">
        <f t="shared" si="1"/>
        <v>1919243.32</v>
      </c>
      <c r="M47" s="483">
        <v>1939771.72</v>
      </c>
      <c r="N47" s="485">
        <f>M47-L47</f>
        <v>20528.399999999907</v>
      </c>
      <c r="O47" s="294">
        <f t="shared" si="3"/>
        <v>3197.16</v>
      </c>
      <c r="P47" s="294">
        <v>2614</v>
      </c>
      <c r="Q47" s="294">
        <v>629.95000000000005</v>
      </c>
      <c r="R47" s="486">
        <f t="shared" si="4"/>
        <v>6441.11</v>
      </c>
      <c r="S47" s="486">
        <v>17190.68</v>
      </c>
      <c r="T47" s="486">
        <f t="shared" si="5"/>
        <v>23631.79</v>
      </c>
      <c r="U47" s="486">
        <f t="shared" si="6"/>
        <v>-3103.39</v>
      </c>
      <c r="V47" s="285">
        <f t="shared" si="7"/>
        <v>20528.400000000001</v>
      </c>
      <c r="W47" s="285">
        <f t="shared" si="8"/>
        <v>9.4587448984384537E-11</v>
      </c>
      <c r="X47" s="275"/>
      <c r="Y47" s="275"/>
    </row>
    <row r="48" spans="2:25" x14ac:dyDescent="0.2">
      <c r="B48" t="s">
        <v>497</v>
      </c>
      <c r="C48" s="290"/>
      <c r="D48" s="482">
        <v>2304</v>
      </c>
      <c r="E48" s="482">
        <v>2304</v>
      </c>
      <c r="F48" s="482"/>
      <c r="G48" s="482">
        <v>1299734</v>
      </c>
      <c r="H48" s="483"/>
      <c r="I48" s="483">
        <v>2068968.2</v>
      </c>
      <c r="J48" s="285"/>
      <c r="K48" s="483"/>
      <c r="L48" s="483">
        <f t="shared" si="1"/>
        <v>2068968.2</v>
      </c>
      <c r="M48" s="483">
        <v>2089382.86</v>
      </c>
      <c r="N48" s="485">
        <f t="shared" si="2"/>
        <v>20414.660000000149</v>
      </c>
      <c r="O48" s="294">
        <f t="shared" si="3"/>
        <v>93.77</v>
      </c>
      <c r="P48" s="294">
        <v>2614</v>
      </c>
      <c r="Q48" s="294">
        <v>551.49</v>
      </c>
      <c r="R48" s="486">
        <f t="shared" si="4"/>
        <v>3259.26</v>
      </c>
      <c r="S48" s="486">
        <v>17190.68</v>
      </c>
      <c r="T48" s="486">
        <f t="shared" si="5"/>
        <v>20449.940000000002</v>
      </c>
      <c r="U48" s="486">
        <f t="shared" si="6"/>
        <v>-35.28</v>
      </c>
      <c r="V48" s="285">
        <f t="shared" si="7"/>
        <v>20414.660000000003</v>
      </c>
      <c r="W48" s="285">
        <f t="shared" si="8"/>
        <v>-1.4551915228366852E-10</v>
      </c>
      <c r="X48" s="275"/>
      <c r="Y48" s="275"/>
    </row>
    <row r="49" spans="2:25" x14ac:dyDescent="0.2">
      <c r="B49" t="s">
        <v>498</v>
      </c>
      <c r="C49" s="290"/>
      <c r="D49" s="482">
        <v>2304</v>
      </c>
      <c r="E49" s="482">
        <v>2304</v>
      </c>
      <c r="F49" s="482"/>
      <c r="G49" s="482">
        <v>1295016</v>
      </c>
      <c r="H49" s="483"/>
      <c r="I49" s="483">
        <v>1822003.1</v>
      </c>
      <c r="J49" s="285"/>
      <c r="K49" s="483"/>
      <c r="L49" s="483">
        <f t="shared" si="1"/>
        <v>1822003.1</v>
      </c>
      <c r="M49" s="483">
        <v>1842315.26</v>
      </c>
      <c r="N49" s="485">
        <f t="shared" si="2"/>
        <v>20312.159999999916</v>
      </c>
      <c r="O49" s="294">
        <f t="shared" si="3"/>
        <v>58.49</v>
      </c>
      <c r="P49" s="294">
        <v>2614</v>
      </c>
      <c r="Q49" s="294">
        <v>449.2</v>
      </c>
      <c r="R49" s="486">
        <f t="shared" si="4"/>
        <v>3121.6899999999996</v>
      </c>
      <c r="S49" s="486">
        <v>17190.68</v>
      </c>
      <c r="T49" s="486">
        <f t="shared" si="5"/>
        <v>20312.37</v>
      </c>
      <c r="U49" s="486">
        <f t="shared" si="6"/>
        <v>-0.21</v>
      </c>
      <c r="V49" s="285">
        <f t="shared" si="7"/>
        <v>20312.16</v>
      </c>
      <c r="W49" s="285">
        <f t="shared" si="8"/>
        <v>8.3673512563109398E-11</v>
      </c>
      <c r="X49" s="275"/>
      <c r="Y49" s="275"/>
    </row>
    <row r="50" spans="2:25" x14ac:dyDescent="0.2">
      <c r="B50" t="s">
        <v>499</v>
      </c>
      <c r="C50" s="290"/>
      <c r="D50" s="482">
        <v>2419</v>
      </c>
      <c r="E50" s="482">
        <v>2419</v>
      </c>
      <c r="F50" s="482"/>
      <c r="G50" s="482">
        <v>1382656</v>
      </c>
      <c r="H50" s="483"/>
      <c r="I50" s="483">
        <v>1782028.14</v>
      </c>
      <c r="J50" s="285"/>
      <c r="K50" s="483"/>
      <c r="L50" s="483">
        <f t="shared" si="1"/>
        <v>1782028.14</v>
      </c>
      <c r="M50" s="483">
        <v>1808619.31</v>
      </c>
      <c r="N50" s="485">
        <f>M50-L50</f>
        <v>26591.170000000158</v>
      </c>
      <c r="O50" s="294">
        <f t="shared" si="3"/>
        <v>58.28</v>
      </c>
      <c r="P50" s="294">
        <v>2614</v>
      </c>
      <c r="Q50" s="294">
        <v>6724.27</v>
      </c>
      <c r="R50" s="486">
        <f t="shared" si="4"/>
        <v>9396.5500000000011</v>
      </c>
      <c r="S50" s="486">
        <v>17190.68</v>
      </c>
      <c r="T50" s="486">
        <f t="shared" si="5"/>
        <v>26587.230000000003</v>
      </c>
      <c r="U50" s="486">
        <f t="shared" si="6"/>
        <v>3.94</v>
      </c>
      <c r="V50" s="285">
        <f t="shared" si="7"/>
        <v>26591.170000000002</v>
      </c>
      <c r="W50" s="285">
        <f t="shared" si="8"/>
        <v>-1.5643308870494366E-10</v>
      </c>
      <c r="X50" s="275"/>
      <c r="Y50" s="275"/>
    </row>
    <row r="51" spans="2:25" x14ac:dyDescent="0.2">
      <c r="B51" t="s">
        <v>500</v>
      </c>
      <c r="C51" s="290"/>
      <c r="D51" s="482">
        <v>2650</v>
      </c>
      <c r="E51" s="482">
        <v>2650</v>
      </c>
      <c r="F51" s="482"/>
      <c r="G51" s="482">
        <v>1504359</v>
      </c>
      <c r="H51" s="483"/>
      <c r="I51" s="483">
        <v>1331506.23</v>
      </c>
      <c r="J51" s="285"/>
      <c r="K51" s="483"/>
      <c r="L51" s="483">
        <f t="shared" si="1"/>
        <v>1331506.23</v>
      </c>
      <c r="M51" s="483">
        <v>1363060.36</v>
      </c>
      <c r="N51" s="485">
        <f t="shared" si="2"/>
        <v>31554.130000000121</v>
      </c>
      <c r="O51" s="294">
        <f t="shared" si="3"/>
        <v>62.22</v>
      </c>
      <c r="P51" s="294">
        <v>2614</v>
      </c>
      <c r="Q51" s="294">
        <v>11681.76</v>
      </c>
      <c r="R51" s="486">
        <f t="shared" si="4"/>
        <v>14357.98</v>
      </c>
      <c r="S51" s="486">
        <v>17190.68</v>
      </c>
      <c r="T51" s="486">
        <f t="shared" si="5"/>
        <v>31548.66</v>
      </c>
      <c r="U51" s="486">
        <f t="shared" si="6"/>
        <v>5.48</v>
      </c>
      <c r="V51" s="285">
        <f t="shared" si="7"/>
        <v>31554.14</v>
      </c>
      <c r="W51" s="285">
        <f t="shared" si="8"/>
        <v>9.9999998783459887E-3</v>
      </c>
      <c r="X51" s="275"/>
      <c r="Y51" s="275"/>
    </row>
    <row r="52" spans="2:25" x14ac:dyDescent="0.2">
      <c r="B52" s="484">
        <v>44949</v>
      </c>
      <c r="C52" s="290"/>
      <c r="D52" s="482">
        <v>2534</v>
      </c>
      <c r="E52" s="482">
        <v>2534</v>
      </c>
      <c r="F52" s="482"/>
      <c r="G52" s="482">
        <v>1492188</v>
      </c>
      <c r="H52" s="483"/>
      <c r="I52" s="483">
        <v>1815158.04</v>
      </c>
      <c r="J52" s="285"/>
      <c r="K52" s="483"/>
      <c r="L52" s="483">
        <f t="shared" si="1"/>
        <v>1815158.04</v>
      </c>
      <c r="M52" s="483">
        <v>1838617.63</v>
      </c>
      <c r="N52" s="485">
        <f t="shared" si="2"/>
        <v>23459.589999999851</v>
      </c>
      <c r="O52" s="294">
        <f t="shared" si="3"/>
        <v>67.7</v>
      </c>
      <c r="P52" s="294">
        <v>2614</v>
      </c>
      <c r="Q52" s="294">
        <v>3587.75</v>
      </c>
      <c r="R52" s="486">
        <f>SUM(O52:Q52)</f>
        <v>6269.45</v>
      </c>
      <c r="S52" s="486">
        <v>17190.68</v>
      </c>
      <c r="T52" s="486">
        <f>R52+S52</f>
        <v>23460.13</v>
      </c>
      <c r="U52" s="486">
        <f t="shared" si="6"/>
        <v>-0.55000000000000004</v>
      </c>
      <c r="V52" s="285">
        <f>T52+U52</f>
        <v>23459.58</v>
      </c>
      <c r="W52" s="487">
        <f>V52-N52</f>
        <v>-9.9999998492421582E-3</v>
      </c>
      <c r="X52" s="294">
        <f>+[1]Aleris!W56+[1]Tyson!W56+[1]KC!W56+[1]Domtar!W56+[1]Alcoa!W56+'[1]spare 5'!W56+[1]Precoat!W56+[1]Accuride!W56+[1]AMG!W56+'[1]spare 3'!W56+[1]Hartshorne!W56+[1]Dotiki!W56+[1]Hopkins!W56+[1]Pennyrile!W56+[1]Southwire!W56+'[1]spare 4'!W56+[1]Azteca!W56+'[1]C''wealth Rolled'!W56+'[1]Rough Creek'!W56+'[1]Sebree KMMC'!W56+'[1]Sebree Steamport'!W56+'[1]KY Res - Dock'!W56+'[1]KY Res - Equality'!W56+'[1]KY Res - Lewis Crk'!W56+'[1]KY Res - Midway'!W56</f>
        <v>0</v>
      </c>
      <c r="Y52" s="275">
        <f>+[1]Aleris!X56+[1]Tyson!X56+[1]KC!X56+[1]Domtar!X56+[1]Alcoa!X56+'[1]spare 5'!X56+[1]Precoat!X56+[1]Accuride!X56+[1]AMG!X56+'[1]spare 3'!X56+[1]Hartshorne!X56+[1]Dotiki!X56+[1]Hopkins!X56+[1]Pennyrile!X56+[1]Southwire!X56+'[1]spare 4'!X56+[1]Azteca!X56+'[1]C''wealth Rolled'!X56+'[1]Rough Creek'!X56+'[1]Sebree KMMC'!X56+'[1]Sebree Steamport'!X56+'[1]KY Res - Dock'!X56+'[1]KY Res - Equality'!X56+'[1]KY Res - Lewis Crk'!X56+'[1]KY Res - Midway'!X56</f>
        <v>0</v>
      </c>
    </row>
    <row r="53" spans="2:25" x14ac:dyDescent="0.2">
      <c r="B53" s="484">
        <v>44980</v>
      </c>
      <c r="C53" s="290"/>
      <c r="D53" s="482">
        <v>2650</v>
      </c>
      <c r="E53" s="482">
        <v>2650</v>
      </c>
      <c r="F53" s="482"/>
      <c r="G53" s="482">
        <v>1358156</v>
      </c>
      <c r="H53" s="483"/>
      <c r="I53" s="483">
        <v>1622815.01</v>
      </c>
      <c r="J53" s="285"/>
      <c r="K53" s="483"/>
      <c r="L53" s="483">
        <f t="shared" si="1"/>
        <v>1622815.01</v>
      </c>
      <c r="M53" s="483">
        <v>1645141.57</v>
      </c>
      <c r="N53" s="485">
        <f t="shared" si="2"/>
        <v>22326.560000000056</v>
      </c>
      <c r="O53" s="294">
        <f>ROUND(G52*$O$40,2)</f>
        <v>67.150000000000006</v>
      </c>
      <c r="P53" s="294">
        <v>2614</v>
      </c>
      <c r="Q53" s="294">
        <v>2460.77</v>
      </c>
      <c r="R53" s="486">
        <f t="shared" ref="R53" si="9">SUM(O53:Q53)</f>
        <v>5141.92</v>
      </c>
      <c r="S53" s="486">
        <v>17190.68</v>
      </c>
      <c r="T53" s="486">
        <f t="shared" ref="T53" si="10">R53+S53</f>
        <v>22332.6</v>
      </c>
      <c r="U53" s="486">
        <f>ROUND((G53-G52)*$U$40,2)</f>
        <v>-6.03</v>
      </c>
      <c r="V53" s="285">
        <f>T53+U53</f>
        <v>22326.57</v>
      </c>
      <c r="W53" s="487">
        <f>V53-N53</f>
        <v>9.9999999438296072E-3</v>
      </c>
      <c r="X53" s="294">
        <f>+[1]Aleris!W57+[1]Tyson!W57+[1]KC!W57+[1]Domtar!W57+[1]Alcoa!W57+'[1]spare 5'!W57+[1]Precoat!W57+[1]Accuride!W57+[1]AMG!W57+'[1]spare 3'!W57+[1]Hartshorne!W57+[1]Dotiki!W57+[1]Hopkins!W57+[1]Pennyrile!W57+[1]Southwire!W57+'[1]spare 4'!W57+[1]Azteca!W57+'[1]C''wealth Rolled'!W57+'[1]Rough Creek'!W57+'[1]Sebree KMMC'!W57+'[1]Sebree Steamport'!W57+'[1]KY Res - Dock'!W57+'[1]KY Res - Equality'!W57+'[1]KY Res - Lewis Crk'!W57+'[1]KY Res - Midway'!W57</f>
        <v>0</v>
      </c>
      <c r="Y53" s="275">
        <f>+[1]Aleris!X57+[1]Tyson!X57+[1]KC!X57+[1]Domtar!X57+[1]Alcoa!X57+'[1]spare 5'!X57+[1]Precoat!X57+[1]Accuride!X57+[1]AMG!X57+'[1]spare 3'!X57+[1]Hartshorne!X57+[1]Dotiki!X57+[1]Hopkins!X57+[1]Pennyrile!X57+[1]Southwire!X57+'[1]spare 4'!X57+[1]Azteca!X57+'[1]C''wealth Rolled'!X57+'[1]Rough Creek'!X57+'[1]Sebree KMMC'!X57+'[1]Sebree Steamport'!X57+'[1]KY Res - Dock'!X57+'[1]KY Res - Equality'!X57+'[1]KY Res - Lewis Crk'!X57+'[1]KY Res - Midway'!X57</f>
        <v>0</v>
      </c>
    </row>
    <row r="54" spans="2:25" x14ac:dyDescent="0.2">
      <c r="D54" s="488" t="s">
        <v>487</v>
      </c>
      <c r="E54" s="488"/>
      <c r="F54" s="488" t="s">
        <v>487</v>
      </c>
      <c r="G54" s="488" t="s">
        <v>487</v>
      </c>
      <c r="H54" s="489" t="s">
        <v>487</v>
      </c>
      <c r="I54" s="489" t="s">
        <v>487</v>
      </c>
      <c r="J54" s="489" t="s">
        <v>487</v>
      </c>
      <c r="K54" s="481" t="s">
        <v>487</v>
      </c>
      <c r="L54" s="489" t="s">
        <v>487</v>
      </c>
      <c r="M54" s="489" t="s">
        <v>487</v>
      </c>
      <c r="N54" s="490" t="s">
        <v>487</v>
      </c>
      <c r="Q54" s="294"/>
      <c r="X54" s="250"/>
      <c r="Y54" s="250"/>
    </row>
    <row r="55" spans="2:25" x14ac:dyDescent="0.2">
      <c r="D55" s="482"/>
      <c r="E55" s="482"/>
      <c r="F55" s="482"/>
      <c r="G55" s="482"/>
      <c r="H55" s="483"/>
      <c r="I55" s="483"/>
      <c r="J55" s="483"/>
      <c r="L55" s="483"/>
      <c r="M55" s="483"/>
      <c r="N55" s="485"/>
      <c r="X55" s="250"/>
      <c r="Y55" s="250"/>
    </row>
    <row r="56" spans="2:25" x14ac:dyDescent="0.2">
      <c r="D56" s="482">
        <f>SUM(D42:D53)</f>
        <v>1871540</v>
      </c>
      <c r="E56" s="482">
        <f t="shared" ref="E56:K56" si="11">SUM(E42:E53)</f>
        <v>1871540</v>
      </c>
      <c r="F56" s="482">
        <f t="shared" si="11"/>
        <v>0</v>
      </c>
      <c r="G56" s="482">
        <f t="shared" si="11"/>
        <v>1158936172</v>
      </c>
      <c r="H56" s="482">
        <f t="shared" si="11"/>
        <v>0</v>
      </c>
      <c r="I56" s="482">
        <f t="shared" si="11"/>
        <v>106128923.35000001</v>
      </c>
      <c r="J56" s="482">
        <f t="shared" si="11"/>
        <v>0</v>
      </c>
      <c r="K56" s="482">
        <f t="shared" si="11"/>
        <v>0</v>
      </c>
      <c r="L56" s="483">
        <f>SUM(L42:L53)</f>
        <v>106128923.35000001</v>
      </c>
      <c r="M56" s="483">
        <f>SUM(M42:M53)</f>
        <v>106436954.70999999</v>
      </c>
      <c r="N56" s="483">
        <f>SUM(N42:N53)</f>
        <v>308031.3600000015</v>
      </c>
      <c r="O56" s="483">
        <f t="shared" ref="O56:W56" si="12">SUM(O42:O53)</f>
        <v>63085.529999999992</v>
      </c>
      <c r="P56" s="483">
        <f t="shared" si="12"/>
        <v>31368</v>
      </c>
      <c r="Q56" s="483">
        <f t="shared" si="12"/>
        <v>29931.7</v>
      </c>
      <c r="R56" s="483">
        <f t="shared" si="12"/>
        <v>124385.23</v>
      </c>
      <c r="S56" s="483">
        <f t="shared" si="12"/>
        <v>195179.47999999995</v>
      </c>
      <c r="T56" s="483">
        <f t="shared" si="12"/>
        <v>319564.70999999996</v>
      </c>
      <c r="U56" s="483">
        <f t="shared" si="12"/>
        <v>-10933.38</v>
      </c>
      <c r="V56" s="483">
        <f t="shared" si="12"/>
        <v>308631.33</v>
      </c>
      <c r="W56" s="483">
        <f t="shared" si="12"/>
        <v>599.96999999851323</v>
      </c>
      <c r="X56" s="250"/>
      <c r="Y56" s="250"/>
    </row>
    <row r="57" spans="2:25" x14ac:dyDescent="0.2">
      <c r="D57" s="488" t="s">
        <v>501</v>
      </c>
      <c r="E57" s="488"/>
      <c r="F57" s="488" t="s">
        <v>501</v>
      </c>
      <c r="G57" s="488" t="s">
        <v>501</v>
      </c>
      <c r="H57" s="489" t="s">
        <v>501</v>
      </c>
      <c r="I57" s="489" t="s">
        <v>501</v>
      </c>
      <c r="J57" s="489" t="s">
        <v>501</v>
      </c>
      <c r="K57" s="489" t="s">
        <v>501</v>
      </c>
      <c r="L57" s="489" t="s">
        <v>501</v>
      </c>
      <c r="M57" s="489" t="s">
        <v>501</v>
      </c>
      <c r="N57" s="490" t="s">
        <v>501</v>
      </c>
      <c r="O57" s="489" t="s">
        <v>501</v>
      </c>
      <c r="P57" s="489" t="s">
        <v>501</v>
      </c>
      <c r="Q57" s="489" t="s">
        <v>501</v>
      </c>
      <c r="R57" s="489" t="s">
        <v>501</v>
      </c>
      <c r="S57" s="489" t="s">
        <v>501</v>
      </c>
      <c r="T57" s="489" t="s">
        <v>501</v>
      </c>
      <c r="U57" s="489" t="s">
        <v>501</v>
      </c>
      <c r="V57" s="489" t="s">
        <v>501</v>
      </c>
      <c r="W57" s="489" t="s">
        <v>501</v>
      </c>
      <c r="X57" s="250"/>
      <c r="Y57" s="250"/>
    </row>
    <row r="58" spans="2:25" x14ac:dyDescent="0.2">
      <c r="K58" s="270"/>
      <c r="L58" s="248"/>
      <c r="M58" s="491"/>
      <c r="N58" s="250"/>
      <c r="Q58" s="270"/>
      <c r="R58" s="250"/>
      <c r="S58" s="250"/>
      <c r="T58" s="492"/>
      <c r="U58" s="250"/>
      <c r="V58" s="250"/>
      <c r="W58" s="250"/>
      <c r="X58" s="250"/>
      <c r="Y58" s="250"/>
    </row>
    <row r="59" spans="2:25" x14ac:dyDescent="0.2">
      <c r="L59" s="248"/>
      <c r="R59" s="250"/>
      <c r="S59" s="250"/>
      <c r="T59" s="250"/>
      <c r="U59" s="250"/>
      <c r="V59" s="250"/>
      <c r="W59" s="250"/>
      <c r="X59" s="250"/>
      <c r="Y59" s="250"/>
    </row>
    <row r="60" spans="2:25" ht="18" x14ac:dyDescent="0.25">
      <c r="B60" s="493" t="s">
        <v>502</v>
      </c>
      <c r="C60" s="292"/>
      <c r="L60" s="248"/>
      <c r="R60" s="250"/>
      <c r="S60" s="250"/>
      <c r="T60" s="250"/>
      <c r="U60" s="250"/>
      <c r="V60" s="250"/>
      <c r="W60" s="250"/>
      <c r="X60" s="250"/>
      <c r="Y60" s="250"/>
    </row>
    <row r="61" spans="2:25" x14ac:dyDescent="0.2">
      <c r="G61" s="275">
        <v>259932938</v>
      </c>
      <c r="L61" s="248"/>
      <c r="R61" s="250"/>
      <c r="S61" s="250"/>
      <c r="T61" s="250"/>
      <c r="U61" s="250"/>
      <c r="V61" s="250"/>
      <c r="W61" s="250"/>
      <c r="X61" s="250"/>
      <c r="Y61" s="250"/>
    </row>
    <row r="62" spans="2:25" x14ac:dyDescent="0.2">
      <c r="B62" s="484">
        <v>45007</v>
      </c>
      <c r="C62" s="290"/>
      <c r="D62" s="482">
        <v>393638</v>
      </c>
      <c r="E62" s="482">
        <v>393638</v>
      </c>
      <c r="F62" s="482"/>
      <c r="G62" s="482">
        <v>286948063</v>
      </c>
      <c r="H62" s="483"/>
      <c r="I62" s="483">
        <v>14558519.220000001</v>
      </c>
      <c r="J62" s="494">
        <f t="shared" ref="J62:J71" si="13">SUM(D86:I86)</f>
        <v>0</v>
      </c>
      <c r="K62" s="483"/>
      <c r="L62" s="483">
        <f t="shared" ref="L62:L71" si="14">SUM(H62:K62)</f>
        <v>14558519.220000001</v>
      </c>
      <c r="M62" s="483">
        <v>14590054.109999999</v>
      </c>
      <c r="N62" s="483">
        <f t="shared" ref="N62:N72" si="15">M62-L62</f>
        <v>31534.889999998733</v>
      </c>
      <c r="O62" s="294">
        <f>ROUND(G61*$O$40,2)</f>
        <v>11696.98</v>
      </c>
      <c r="P62" s="294">
        <v>2614</v>
      </c>
      <c r="Q62" s="294">
        <v>662.94</v>
      </c>
      <c r="R62" s="486">
        <f t="shared" ref="R62:R71" si="16">SUM(O62:Q62)</f>
        <v>14973.92</v>
      </c>
      <c r="S62" s="486">
        <v>15345.29</v>
      </c>
      <c r="T62" s="486">
        <f t="shared" ref="T62:T71" si="17">R62+S62</f>
        <v>30319.21</v>
      </c>
      <c r="U62" s="486">
        <f>ROUND((G62-G61)*$U$40,2)</f>
        <v>1215.68</v>
      </c>
      <c r="V62" s="285">
        <f t="shared" ref="V62:V71" si="18">T62+U62</f>
        <v>31534.89</v>
      </c>
      <c r="W62" s="285">
        <f t="shared" ref="W62:W71" si="19">V62-N62</f>
        <v>1.2660166248679161E-9</v>
      </c>
      <c r="X62" s="250"/>
      <c r="Y62" s="250"/>
    </row>
    <row r="63" spans="2:25" x14ac:dyDescent="0.2">
      <c r="B63" t="s">
        <v>492</v>
      </c>
      <c r="C63" s="290"/>
      <c r="D63" s="482">
        <v>398045</v>
      </c>
      <c r="E63" s="482">
        <v>398045</v>
      </c>
      <c r="F63" s="482"/>
      <c r="G63" s="482">
        <v>276847000</v>
      </c>
      <c r="H63" s="483"/>
      <c r="I63" s="483">
        <v>21688510.109999999</v>
      </c>
      <c r="J63" s="494">
        <f t="shared" si="13"/>
        <v>0</v>
      </c>
      <c r="K63" s="483"/>
      <c r="L63" s="483">
        <f t="shared" si="14"/>
        <v>21688510.109999999</v>
      </c>
      <c r="M63" s="483">
        <v>21719708.48</v>
      </c>
      <c r="N63" s="483">
        <f t="shared" si="15"/>
        <v>31198.370000001043</v>
      </c>
      <c r="O63" s="294">
        <f t="shared" ref="O63:O73" si="20">ROUND(G62*$O$40,2)</f>
        <v>12912.66</v>
      </c>
      <c r="P63" s="294">
        <v>2614</v>
      </c>
      <c r="Q63" s="294">
        <v>780.96</v>
      </c>
      <c r="R63" s="486">
        <f t="shared" si="16"/>
        <v>16307.619999999999</v>
      </c>
      <c r="S63" s="486">
        <v>15345.29</v>
      </c>
      <c r="T63" s="486">
        <f t="shared" si="17"/>
        <v>31652.91</v>
      </c>
      <c r="U63" s="486">
        <f t="shared" ref="U63:U73" si="21">ROUND((G63-G62)*$U$40,2)</f>
        <v>-454.55</v>
      </c>
      <c r="V63" s="285">
        <f t="shared" si="18"/>
        <v>31198.36</v>
      </c>
      <c r="W63" s="285">
        <f t="shared" si="19"/>
        <v>-1.0000001042499207E-2</v>
      </c>
      <c r="X63" s="250"/>
      <c r="Y63" s="250"/>
    </row>
    <row r="64" spans="2:25" x14ac:dyDescent="0.2">
      <c r="B64" t="s">
        <v>493</v>
      </c>
      <c r="C64" s="290"/>
      <c r="D64" s="482">
        <v>391997</v>
      </c>
      <c r="E64" s="482">
        <v>391997</v>
      </c>
      <c r="F64" s="482"/>
      <c r="G64" s="482">
        <v>285800688</v>
      </c>
      <c r="H64" s="483"/>
      <c r="I64" s="483">
        <v>26226985.489999998</v>
      </c>
      <c r="J64" s="494">
        <f t="shared" si="13"/>
        <v>0</v>
      </c>
      <c r="K64" s="483"/>
      <c r="L64" s="483">
        <f t="shared" si="14"/>
        <v>26226985.489999998</v>
      </c>
      <c r="M64" s="483">
        <v>26258956.91</v>
      </c>
      <c r="N64" s="483">
        <f t="shared" si="15"/>
        <v>31971.420000001788</v>
      </c>
      <c r="O64" s="294">
        <f t="shared" si="20"/>
        <v>12458.12</v>
      </c>
      <c r="P64" s="294">
        <v>2614</v>
      </c>
      <c r="Q64" s="294">
        <v>1151.0999999999999</v>
      </c>
      <c r="R64" s="486">
        <f t="shared" si="16"/>
        <v>16223.220000000001</v>
      </c>
      <c r="S64" s="486">
        <v>15345.29</v>
      </c>
      <c r="T64" s="486">
        <f t="shared" si="17"/>
        <v>31568.510000000002</v>
      </c>
      <c r="U64" s="486">
        <f t="shared" si="21"/>
        <v>402.92</v>
      </c>
      <c r="V64" s="285">
        <f t="shared" si="18"/>
        <v>31971.43</v>
      </c>
      <c r="W64" s="285">
        <f t="shared" si="19"/>
        <v>9.999998212151695E-3</v>
      </c>
      <c r="X64" s="250"/>
      <c r="Y64" s="250"/>
    </row>
    <row r="65" spans="2:25" x14ac:dyDescent="0.2">
      <c r="B65" t="s">
        <v>494</v>
      </c>
      <c r="C65" s="290"/>
      <c r="D65" s="482">
        <v>390442</v>
      </c>
      <c r="E65" s="482">
        <v>390442</v>
      </c>
      <c r="F65" s="482"/>
      <c r="G65" s="482">
        <v>272332250</v>
      </c>
      <c r="H65" s="483"/>
      <c r="I65" s="483">
        <v>30937534.079999998</v>
      </c>
      <c r="J65" s="494">
        <f t="shared" si="13"/>
        <v>0</v>
      </c>
      <c r="K65" s="483"/>
      <c r="L65" s="483">
        <f t="shared" si="14"/>
        <v>30937534.079999998</v>
      </c>
      <c r="M65" s="483">
        <v>30967656.670000002</v>
      </c>
      <c r="N65" s="483">
        <f t="shared" si="15"/>
        <v>30122.590000003576</v>
      </c>
      <c r="O65" s="294">
        <f t="shared" si="20"/>
        <v>12861.03</v>
      </c>
      <c r="P65" s="294">
        <v>2614</v>
      </c>
      <c r="Q65" s="294">
        <v>508.35</v>
      </c>
      <c r="R65" s="486">
        <f>SUM(O65:Q65)</f>
        <v>15983.380000000001</v>
      </c>
      <c r="S65" s="486">
        <v>15345.29</v>
      </c>
      <c r="T65" s="486">
        <f>R65+S65</f>
        <v>31328.670000000002</v>
      </c>
      <c r="U65" s="486">
        <f t="shared" si="21"/>
        <v>-606.08000000000004</v>
      </c>
      <c r="V65" s="285">
        <f>T65+U65</f>
        <v>30722.59</v>
      </c>
      <c r="W65" s="285">
        <f>V65-N65</f>
        <v>599.99999999642387</v>
      </c>
      <c r="X65" s="250"/>
      <c r="Y65" s="250"/>
    </row>
    <row r="66" spans="2:25" x14ac:dyDescent="0.2">
      <c r="B66" t="s">
        <v>495</v>
      </c>
      <c r="C66" s="290"/>
      <c r="D66" s="482">
        <v>387418</v>
      </c>
      <c r="E66" s="482">
        <v>387418</v>
      </c>
      <c r="F66" s="482"/>
      <c r="G66" s="482">
        <v>278343000</v>
      </c>
      <c r="H66" s="483"/>
      <c r="I66" s="483">
        <v>27375529.32</v>
      </c>
      <c r="J66" s="494">
        <f t="shared" si="13"/>
        <v>0</v>
      </c>
      <c r="K66" s="483"/>
      <c r="L66" s="483">
        <f>SUM(H66:K66)</f>
        <v>27375529.32</v>
      </c>
      <c r="M66" s="483">
        <v>27410005.129999999</v>
      </c>
      <c r="N66" s="483">
        <f t="shared" si="15"/>
        <v>34475.809999998659</v>
      </c>
      <c r="O66" s="294">
        <f t="shared" si="20"/>
        <v>12254.95</v>
      </c>
      <c r="P66" s="294">
        <v>2614</v>
      </c>
      <c r="Q66" s="486">
        <v>789.22</v>
      </c>
      <c r="R66" s="486">
        <f t="shared" si="16"/>
        <v>15658.17</v>
      </c>
      <c r="S66" s="486">
        <v>18547.150000000001</v>
      </c>
      <c r="T66" s="486">
        <f t="shared" si="17"/>
        <v>34205.32</v>
      </c>
      <c r="U66" s="486">
        <f t="shared" si="21"/>
        <v>270.48</v>
      </c>
      <c r="V66" s="285">
        <f t="shared" si="18"/>
        <v>34475.800000000003</v>
      </c>
      <c r="W66" s="285">
        <f t="shared" si="19"/>
        <v>-9.9999986559851095E-3</v>
      </c>
      <c r="X66" s="250"/>
      <c r="Y66" s="250"/>
    </row>
    <row r="67" spans="2:25" x14ac:dyDescent="0.2">
      <c r="B67" t="s">
        <v>496</v>
      </c>
      <c r="C67" s="290"/>
      <c r="D67" s="482">
        <v>385776</v>
      </c>
      <c r="E67" s="482">
        <v>385776</v>
      </c>
      <c r="F67" s="482"/>
      <c r="G67" s="482">
        <v>279440438</v>
      </c>
      <c r="H67" s="483"/>
      <c r="I67" s="483">
        <v>29168331.050000001</v>
      </c>
      <c r="J67" s="494">
        <f t="shared" si="13"/>
        <v>0</v>
      </c>
      <c r="K67" s="483"/>
      <c r="L67" s="483">
        <f t="shared" si="14"/>
        <v>29168331.050000001</v>
      </c>
      <c r="M67" s="483">
        <v>29202719.59</v>
      </c>
      <c r="N67" s="483">
        <f t="shared" si="15"/>
        <v>34388.539999999106</v>
      </c>
      <c r="O67" s="294">
        <f t="shared" si="20"/>
        <v>12525.44</v>
      </c>
      <c r="P67" s="294">
        <v>2614</v>
      </c>
      <c r="Q67" s="294">
        <v>652.57000000000005</v>
      </c>
      <c r="R67" s="486">
        <f t="shared" si="16"/>
        <v>15792.01</v>
      </c>
      <c r="S67" s="486">
        <v>18547.150000000001</v>
      </c>
      <c r="T67" s="486">
        <f t="shared" si="17"/>
        <v>34339.160000000003</v>
      </c>
      <c r="U67" s="486">
        <f t="shared" si="21"/>
        <v>49.38</v>
      </c>
      <c r="V67" s="285">
        <f t="shared" si="18"/>
        <v>34388.54</v>
      </c>
      <c r="W67" s="285">
        <f t="shared" si="19"/>
        <v>8.9494278654456139E-10</v>
      </c>
      <c r="X67" s="250"/>
      <c r="Y67" s="250"/>
    </row>
    <row r="68" spans="2:25" x14ac:dyDescent="0.2">
      <c r="B68" t="s">
        <v>497</v>
      </c>
      <c r="C68" s="290"/>
      <c r="D68" s="482">
        <v>387418</v>
      </c>
      <c r="E68" s="482">
        <v>387418</v>
      </c>
      <c r="F68" s="482"/>
      <c r="G68" s="482">
        <v>273160064</v>
      </c>
      <c r="H68" s="483"/>
      <c r="I68" s="483">
        <v>27719521.34</v>
      </c>
      <c r="J68" s="494">
        <f t="shared" si="13"/>
        <v>0</v>
      </c>
      <c r="K68" s="483"/>
      <c r="L68" s="483">
        <f t="shared" si="14"/>
        <v>27719521.34</v>
      </c>
      <c r="M68" s="483">
        <v>27753710.469999999</v>
      </c>
      <c r="N68" s="483">
        <f t="shared" si="15"/>
        <v>34189.129999998957</v>
      </c>
      <c r="O68" s="294">
        <f t="shared" si="20"/>
        <v>12574.82</v>
      </c>
      <c r="P68" s="294">
        <v>2614</v>
      </c>
      <c r="Q68" s="294">
        <v>735.78</v>
      </c>
      <c r="R68" s="486">
        <f t="shared" si="16"/>
        <v>15924.6</v>
      </c>
      <c r="S68" s="486">
        <v>18547.150000000001</v>
      </c>
      <c r="T68" s="486">
        <f t="shared" si="17"/>
        <v>34471.75</v>
      </c>
      <c r="U68" s="486">
        <f t="shared" si="21"/>
        <v>-282.62</v>
      </c>
      <c r="V68" s="285">
        <f t="shared" si="18"/>
        <v>34189.129999999997</v>
      </c>
      <c r="W68" s="285">
        <f t="shared" si="19"/>
        <v>1.0404619388282299E-9</v>
      </c>
      <c r="X68" s="250"/>
      <c r="Y68" s="250"/>
    </row>
    <row r="69" spans="2:25" x14ac:dyDescent="0.2">
      <c r="B69" t="s">
        <v>498</v>
      </c>
      <c r="C69" s="290"/>
      <c r="D69" s="482">
        <v>389059</v>
      </c>
      <c r="E69" s="482">
        <v>389059</v>
      </c>
      <c r="F69" s="482"/>
      <c r="G69" s="482">
        <v>282701535</v>
      </c>
      <c r="H69" s="483"/>
      <c r="I69" s="483">
        <v>18056858.539999999</v>
      </c>
      <c r="J69" s="494">
        <f t="shared" si="13"/>
        <v>0</v>
      </c>
      <c r="K69" s="483"/>
      <c r="L69" s="483">
        <f t="shared" si="14"/>
        <v>18056858.539999999</v>
      </c>
      <c r="M69" s="483">
        <v>18091537.039999999</v>
      </c>
      <c r="N69" s="483">
        <f t="shared" si="15"/>
        <v>34678.5</v>
      </c>
      <c r="O69" s="294">
        <f t="shared" si="20"/>
        <v>12292.2</v>
      </c>
      <c r="P69" s="294">
        <v>2614</v>
      </c>
      <c r="Q69" s="294">
        <v>795.78</v>
      </c>
      <c r="R69" s="486">
        <f t="shared" si="16"/>
        <v>15701.980000000001</v>
      </c>
      <c r="S69" s="486">
        <v>18547.150000000001</v>
      </c>
      <c r="T69" s="486">
        <f t="shared" si="17"/>
        <v>34249.130000000005</v>
      </c>
      <c r="U69" s="486">
        <f t="shared" si="21"/>
        <v>429.37</v>
      </c>
      <c r="V69" s="285">
        <f t="shared" si="18"/>
        <v>34678.500000000007</v>
      </c>
      <c r="W69" s="285">
        <f t="shared" si="19"/>
        <v>0</v>
      </c>
      <c r="X69" s="250"/>
      <c r="Y69" s="250"/>
    </row>
    <row r="70" spans="2:25" x14ac:dyDescent="0.2">
      <c r="B70" t="s">
        <v>499</v>
      </c>
      <c r="C70" s="290"/>
      <c r="D70" s="482">
        <v>389405</v>
      </c>
      <c r="E70" s="482">
        <v>389405</v>
      </c>
      <c r="F70" s="482"/>
      <c r="G70" s="482">
        <v>275239766</v>
      </c>
      <c r="H70" s="483"/>
      <c r="I70" s="483">
        <v>17539257.84</v>
      </c>
      <c r="J70" s="494">
        <f t="shared" si="13"/>
        <v>0</v>
      </c>
      <c r="K70" s="483"/>
      <c r="L70" s="483">
        <f t="shared" si="14"/>
        <v>17539257.84</v>
      </c>
      <c r="M70" s="483">
        <v>17580184.300000001</v>
      </c>
      <c r="N70" s="483">
        <f t="shared" si="15"/>
        <v>40926.460000000894</v>
      </c>
      <c r="O70" s="294">
        <f t="shared" si="20"/>
        <v>12721.57</v>
      </c>
      <c r="P70" s="294">
        <v>2614</v>
      </c>
      <c r="Q70" s="294">
        <v>7379.52</v>
      </c>
      <c r="R70" s="486">
        <f t="shared" si="16"/>
        <v>22715.09</v>
      </c>
      <c r="S70" s="486">
        <v>18547.150000000001</v>
      </c>
      <c r="T70" s="486">
        <f t="shared" si="17"/>
        <v>41262.240000000005</v>
      </c>
      <c r="U70" s="486">
        <f t="shared" si="21"/>
        <v>-335.78</v>
      </c>
      <c r="V70" s="285">
        <f t="shared" si="18"/>
        <v>40926.460000000006</v>
      </c>
      <c r="W70" s="285">
        <f t="shared" si="19"/>
        <v>-8.8766682893037796E-10</v>
      </c>
      <c r="X70" s="250"/>
      <c r="Y70" s="250"/>
    </row>
    <row r="71" spans="2:25" x14ac:dyDescent="0.2">
      <c r="B71" t="s">
        <v>500</v>
      </c>
      <c r="C71" s="290"/>
      <c r="D71" s="482">
        <v>389146</v>
      </c>
      <c r="E71" s="482">
        <v>389146</v>
      </c>
      <c r="F71" s="482"/>
      <c r="G71" s="482">
        <v>280885375</v>
      </c>
      <c r="H71" s="483"/>
      <c r="I71" s="483">
        <v>22865328.420000002</v>
      </c>
      <c r="J71" s="494">
        <f t="shared" si="13"/>
        <v>0</v>
      </c>
      <c r="K71" s="483"/>
      <c r="L71" s="483">
        <f t="shared" si="14"/>
        <v>22865328.420000002</v>
      </c>
      <c r="M71" s="483">
        <v>22911058.82</v>
      </c>
      <c r="N71" s="483">
        <f t="shared" si="15"/>
        <v>45730.39999999851</v>
      </c>
      <c r="O71" s="294">
        <f t="shared" si="20"/>
        <v>12385.79</v>
      </c>
      <c r="P71" s="294">
        <v>2614</v>
      </c>
      <c r="Q71" s="294">
        <v>11929.41</v>
      </c>
      <c r="R71" s="486">
        <f t="shared" si="16"/>
        <v>26929.200000000001</v>
      </c>
      <c r="S71" s="486">
        <v>18547.150000000001</v>
      </c>
      <c r="T71" s="486">
        <f t="shared" si="17"/>
        <v>45476.350000000006</v>
      </c>
      <c r="U71" s="486">
        <f t="shared" si="21"/>
        <v>254.05</v>
      </c>
      <c r="V71" s="285">
        <f t="shared" si="18"/>
        <v>45730.400000000009</v>
      </c>
      <c r="W71" s="285">
        <f t="shared" si="19"/>
        <v>1.4988472685217857E-9</v>
      </c>
      <c r="X71" s="250"/>
      <c r="Y71" s="250"/>
    </row>
    <row r="72" spans="2:25" x14ac:dyDescent="0.2">
      <c r="B72" s="484">
        <v>44949</v>
      </c>
      <c r="C72" s="290"/>
      <c r="D72" s="482">
        <v>388627</v>
      </c>
      <c r="E72" s="482">
        <v>388627</v>
      </c>
      <c r="F72" s="482"/>
      <c r="G72" s="482">
        <v>280323281</v>
      </c>
      <c r="H72" s="483"/>
      <c r="I72" s="483">
        <v>12657353.51</v>
      </c>
      <c r="J72" s="494">
        <f t="shared" ref="J72:J73" si="22">SUM(D94:I94)</f>
        <v>0</v>
      </c>
      <c r="K72" s="483"/>
      <c r="L72" s="483">
        <f>SUM(H72:K72)</f>
        <v>12657353.51</v>
      </c>
      <c r="M72" s="483">
        <v>12695177.34</v>
      </c>
      <c r="N72" s="483">
        <f t="shared" si="15"/>
        <v>37823.830000000075</v>
      </c>
      <c r="O72" s="294">
        <f t="shared" si="20"/>
        <v>12639.84</v>
      </c>
      <c r="P72" s="294">
        <v>2614</v>
      </c>
      <c r="Q72" s="294">
        <v>4048.13</v>
      </c>
      <c r="R72" s="486">
        <f>SUM(O72:Q72)</f>
        <v>19301.97</v>
      </c>
      <c r="S72" s="486">
        <v>18547.150000000001</v>
      </c>
      <c r="T72" s="486">
        <f>R72+S72</f>
        <v>37849.120000000003</v>
      </c>
      <c r="U72" s="486">
        <f t="shared" si="21"/>
        <v>-25.29</v>
      </c>
      <c r="V72" s="285">
        <f>T72+U72</f>
        <v>37823.83</v>
      </c>
      <c r="W72" s="487">
        <f>V72-N72</f>
        <v>-7.2759576141834259E-11</v>
      </c>
      <c r="X72" s="250"/>
      <c r="Y72" s="250"/>
    </row>
    <row r="73" spans="2:25" x14ac:dyDescent="0.2">
      <c r="B73" s="484">
        <v>44980</v>
      </c>
      <c r="C73" s="290"/>
      <c r="D73" s="482">
        <v>390010</v>
      </c>
      <c r="E73" s="482">
        <v>39010</v>
      </c>
      <c r="F73" s="482"/>
      <c r="G73" s="482">
        <v>257094031</v>
      </c>
      <c r="H73" s="483"/>
      <c r="I73" s="483">
        <v>10540091.92</v>
      </c>
      <c r="J73" s="494">
        <f t="shared" si="22"/>
        <v>0</v>
      </c>
      <c r="K73" s="483"/>
      <c r="L73" s="483">
        <f t="shared" ref="L73" si="23">SUM(H73:K73)</f>
        <v>10540091.92</v>
      </c>
      <c r="M73" s="483">
        <v>10575524.529999999</v>
      </c>
      <c r="N73" s="483">
        <f>M73-L73</f>
        <v>35432.609999999404</v>
      </c>
      <c r="O73" s="294">
        <f t="shared" si="20"/>
        <v>12614.55</v>
      </c>
      <c r="P73" s="294">
        <v>2614</v>
      </c>
      <c r="Q73" s="294">
        <v>2702.23</v>
      </c>
      <c r="R73" s="486">
        <f t="shared" ref="R73" si="24">SUM(O73:Q73)</f>
        <v>17930.78</v>
      </c>
      <c r="S73" s="486">
        <v>18547.150000000001</v>
      </c>
      <c r="T73" s="486">
        <f t="shared" ref="T73" si="25">R73+S73</f>
        <v>36477.93</v>
      </c>
      <c r="U73" s="486">
        <f t="shared" si="21"/>
        <v>-1045.32</v>
      </c>
      <c r="V73" s="285">
        <f t="shared" ref="V73" si="26">T73+U73</f>
        <v>35432.61</v>
      </c>
      <c r="W73" s="487">
        <f>V73-N73</f>
        <v>5.9662852436304092E-10</v>
      </c>
      <c r="X73" s="250"/>
      <c r="Y73" s="250"/>
    </row>
    <row r="74" spans="2:25" x14ac:dyDescent="0.2">
      <c r="D74" s="488" t="s">
        <v>487</v>
      </c>
      <c r="E74" s="488"/>
      <c r="F74" s="488" t="s">
        <v>487</v>
      </c>
      <c r="G74" s="488" t="s">
        <v>487</v>
      </c>
      <c r="H74" s="489" t="s">
        <v>487</v>
      </c>
      <c r="I74" s="489" t="s">
        <v>487</v>
      </c>
      <c r="J74" s="489" t="s">
        <v>487</v>
      </c>
      <c r="K74" s="481" t="s">
        <v>487</v>
      </c>
      <c r="L74" s="489" t="s">
        <v>487</v>
      </c>
      <c r="M74" s="489" t="s">
        <v>487</v>
      </c>
      <c r="N74" s="489" t="s">
        <v>487</v>
      </c>
      <c r="Q74" s="294"/>
      <c r="X74" s="250"/>
      <c r="Y74" s="250"/>
    </row>
    <row r="75" spans="2:25" x14ac:dyDescent="0.2">
      <c r="D75" s="482"/>
      <c r="E75" s="482"/>
      <c r="F75" s="482"/>
      <c r="G75" s="482"/>
      <c r="H75" s="483"/>
      <c r="I75" s="483"/>
      <c r="J75" s="483"/>
      <c r="L75" s="483"/>
      <c r="M75" s="483"/>
      <c r="N75" s="483"/>
    </row>
    <row r="76" spans="2:25" x14ac:dyDescent="0.2">
      <c r="D76" s="482">
        <f>SUM(D60:D73)</f>
        <v>4680981</v>
      </c>
      <c r="E76" s="482">
        <f t="shared" ref="E76:I76" si="27">SUM(E60:E73)</f>
        <v>4329981</v>
      </c>
      <c r="F76" s="482">
        <f t="shared" si="27"/>
        <v>0</v>
      </c>
      <c r="G76" s="294">
        <f>SUM(G62:G73)</f>
        <v>3329115491</v>
      </c>
      <c r="H76" s="482">
        <f t="shared" si="27"/>
        <v>0</v>
      </c>
      <c r="I76" s="495">
        <f t="shared" si="27"/>
        <v>259333820.84</v>
      </c>
      <c r="J76" s="483">
        <f t="shared" ref="J76:K76" si="28">SUM(J60:J71)</f>
        <v>0</v>
      </c>
      <c r="K76" s="483">
        <f t="shared" si="28"/>
        <v>0</v>
      </c>
      <c r="L76" s="252">
        <f>SUM(L60:L73)</f>
        <v>259333820.84</v>
      </c>
      <c r="M76" s="252">
        <f t="shared" ref="M76:W76" si="29">SUM(M60:M73)</f>
        <v>259756293.38999999</v>
      </c>
      <c r="N76" s="252">
        <f t="shared" si="29"/>
        <v>422472.55000000075</v>
      </c>
      <c r="O76" s="252">
        <f t="shared" si="29"/>
        <v>149937.94999999998</v>
      </c>
      <c r="P76" s="252">
        <f t="shared" si="29"/>
        <v>31368</v>
      </c>
      <c r="Q76" s="252">
        <f t="shared" si="29"/>
        <v>32135.989999999998</v>
      </c>
      <c r="R76" s="252">
        <f t="shared" si="29"/>
        <v>213441.94</v>
      </c>
      <c r="S76" s="252">
        <f t="shared" si="29"/>
        <v>209758.35999999996</v>
      </c>
      <c r="T76" s="252">
        <f t="shared" si="29"/>
        <v>423200.3</v>
      </c>
      <c r="U76" s="252">
        <f t="shared" si="29"/>
        <v>-127.75999999999976</v>
      </c>
      <c r="V76" s="252">
        <f t="shared" si="29"/>
        <v>423072.5400000001</v>
      </c>
      <c r="W76" s="252">
        <f t="shared" si="29"/>
        <v>599.989999999274</v>
      </c>
      <c r="X76" s="250"/>
      <c r="Y76" s="250"/>
    </row>
    <row r="77" spans="2:25" x14ac:dyDescent="0.2">
      <c r="D77" s="488" t="s">
        <v>501</v>
      </c>
      <c r="E77" s="488"/>
      <c r="F77" s="488" t="s">
        <v>501</v>
      </c>
      <c r="G77" s="488" t="s">
        <v>501</v>
      </c>
      <c r="H77" s="489" t="s">
        <v>501</v>
      </c>
      <c r="I77" s="489" t="s">
        <v>501</v>
      </c>
      <c r="J77" s="489" t="s">
        <v>501</v>
      </c>
      <c r="K77" s="489" t="s">
        <v>501</v>
      </c>
      <c r="L77" s="489" t="s">
        <v>501</v>
      </c>
      <c r="M77" s="489" t="s">
        <v>501</v>
      </c>
      <c r="N77" s="489" t="s">
        <v>501</v>
      </c>
      <c r="O77" s="489" t="s">
        <v>501</v>
      </c>
      <c r="P77" s="489" t="s">
        <v>501</v>
      </c>
      <c r="Q77" s="489" t="s">
        <v>501</v>
      </c>
      <c r="R77" s="489" t="s">
        <v>501</v>
      </c>
      <c r="S77" s="489" t="s">
        <v>501</v>
      </c>
      <c r="T77" s="489" t="s">
        <v>501</v>
      </c>
      <c r="U77" s="489" t="s">
        <v>501</v>
      </c>
      <c r="V77" s="489" t="s">
        <v>501</v>
      </c>
      <c r="W77" s="489" t="s">
        <v>501</v>
      </c>
      <c r="X77" s="250"/>
      <c r="Y77" s="250"/>
    </row>
    <row r="78" spans="2:25" x14ac:dyDescent="0.2">
      <c r="G78" s="275"/>
      <c r="L78" s="248"/>
      <c r="R78" s="250"/>
      <c r="T78" s="252"/>
      <c r="U78" s="250"/>
      <c r="V78" s="250"/>
      <c r="W78" s="250"/>
      <c r="X78" s="250"/>
      <c r="Y78" s="250"/>
    </row>
    <row r="79" spans="2:25" x14ac:dyDescent="0.2">
      <c r="L79" s="248">
        <f>L56+L76</f>
        <v>365462744.19</v>
      </c>
      <c r="M79" s="248">
        <f>M56+M76</f>
        <v>366193248.09999996</v>
      </c>
      <c r="N79" s="483">
        <f>N56+N76</f>
        <v>730503.91000000224</v>
      </c>
      <c r="O79" s="483">
        <f t="shared" ref="O79:W79" si="30">O56+O76</f>
        <v>213023.47999999998</v>
      </c>
      <c r="P79" s="483">
        <f t="shared" si="30"/>
        <v>62736</v>
      </c>
      <c r="Q79" s="483">
        <f t="shared" si="30"/>
        <v>62067.69</v>
      </c>
      <c r="R79" s="483">
        <f t="shared" si="30"/>
        <v>337827.17</v>
      </c>
      <c r="S79" s="483">
        <f t="shared" si="30"/>
        <v>404937.83999999991</v>
      </c>
      <c r="T79" s="483">
        <f t="shared" si="30"/>
        <v>742765.01</v>
      </c>
      <c r="U79" s="483">
        <f t="shared" si="30"/>
        <v>-11061.14</v>
      </c>
      <c r="V79" s="483">
        <f t="shared" si="30"/>
        <v>731703.87000000011</v>
      </c>
      <c r="W79" s="483">
        <f t="shared" si="30"/>
        <v>1199.9599999977872</v>
      </c>
      <c r="X79" s="250"/>
      <c r="Y79" s="250"/>
    </row>
    <row r="80" spans="2:25" x14ac:dyDescent="0.2">
      <c r="G80" s="285"/>
      <c r="L80" s="248"/>
      <c r="O80" s="483">
        <f>U79</f>
        <v>-11061.14</v>
      </c>
      <c r="Q80" s="483">
        <f>W79</f>
        <v>1199.9599999977872</v>
      </c>
      <c r="R80" s="250"/>
      <c r="T80" s="252"/>
      <c r="U80" s="250"/>
      <c r="V80" s="250"/>
      <c r="W80" s="250"/>
      <c r="X80" s="250"/>
      <c r="Y80" s="250"/>
    </row>
    <row r="81" spans="5:25" x14ac:dyDescent="0.2">
      <c r="E81" s="203"/>
      <c r="G81" s="270"/>
      <c r="K81" s="270"/>
      <c r="L81" s="270"/>
      <c r="M81" s="270"/>
      <c r="N81" s="270"/>
      <c r="O81" s="285">
        <f>O79+O80</f>
        <v>201962.33999999997</v>
      </c>
      <c r="P81" s="270"/>
      <c r="Q81" s="270">
        <f>Q79-Q80</f>
        <v>60867.730000002215</v>
      </c>
      <c r="R81" s="270"/>
      <c r="S81" s="270"/>
      <c r="T81" s="252"/>
      <c r="U81" s="250"/>
      <c r="V81" s="250"/>
      <c r="W81" s="250"/>
      <c r="X81" s="250"/>
      <c r="Y81" s="250"/>
    </row>
    <row r="82" spans="5:25" x14ac:dyDescent="0.2">
      <c r="L82" s="248"/>
      <c r="N82" s="252"/>
      <c r="O82" s="252">
        <f>F13</f>
        <v>201962.32483500001</v>
      </c>
      <c r="P82" s="248">
        <f>F14</f>
        <v>62736</v>
      </c>
      <c r="Q82" s="248">
        <f>F16</f>
        <v>60867.730000002208</v>
      </c>
      <c r="R82" s="250"/>
      <c r="S82" s="248">
        <f>F15</f>
        <v>404937.83999999991</v>
      </c>
      <c r="Y82" s="250"/>
    </row>
    <row r="83" spans="5:25" x14ac:dyDescent="0.2">
      <c r="G83" s="285"/>
      <c r="L83" s="250"/>
      <c r="N83" s="270"/>
      <c r="O83" s="252">
        <f>O81-O82</f>
        <v>1.5164999960688874E-2</v>
      </c>
      <c r="P83" s="270">
        <f>P82-P79</f>
        <v>0</v>
      </c>
      <c r="Q83" s="270">
        <f>Q82-Q81</f>
        <v>0</v>
      </c>
      <c r="R83" s="250"/>
      <c r="S83" s="270">
        <f>S82-S79</f>
        <v>0</v>
      </c>
      <c r="T83" s="248"/>
      <c r="U83" s="248"/>
      <c r="V83" s="248"/>
      <c r="W83" s="248"/>
      <c r="X83" s="248"/>
      <c r="Y83" s="248"/>
    </row>
  </sheetData>
  <mergeCells count="9">
    <mergeCell ref="J21:L21"/>
    <mergeCell ref="J27:L27"/>
    <mergeCell ref="J28:L28"/>
    <mergeCell ref="B1:L1"/>
    <mergeCell ref="B2:L2"/>
    <mergeCell ref="B3:L3"/>
    <mergeCell ref="D6:F6"/>
    <mergeCell ref="G6:I6"/>
    <mergeCell ref="J6:L6"/>
  </mergeCells>
  <pageMargins left="0.7" right="0.7" top="0.75" bottom="0.75" header="0.3" footer="0.3"/>
  <pageSetup scale="72" orientation="landscape" r:id="rId1"/>
  <headerFooter>
    <oddFooter>&amp;RExhibit JW-9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9D1E4-EB0E-4ED6-B91F-EC9730A4E96E}">
  <sheetPr>
    <pageSetUpPr fitToPage="1"/>
  </sheetPr>
  <dimension ref="A1:AI215"/>
  <sheetViews>
    <sheetView view="pageBreakPreview" zoomScale="60" zoomScaleNormal="100" workbookViewId="0">
      <selection activeCell="S18" sqref="S18"/>
    </sheetView>
  </sheetViews>
  <sheetFormatPr defaultRowHeight="12.75" x14ac:dyDescent="0.2"/>
  <cols>
    <col min="2" max="2" width="36.7109375" bestFit="1" customWidth="1"/>
    <col min="3" max="3" width="14" bestFit="1" customWidth="1"/>
    <col min="4" max="4" width="14.85546875" bestFit="1" customWidth="1"/>
    <col min="5" max="5" width="14.42578125" bestFit="1" customWidth="1"/>
    <col min="6" max="6" width="13.42578125" bestFit="1" customWidth="1"/>
    <col min="7" max="7" width="12.5703125" bestFit="1" customWidth="1"/>
    <col min="8" max="8" width="14.42578125" bestFit="1" customWidth="1"/>
    <col min="9" max="9" width="13.42578125" bestFit="1" customWidth="1"/>
    <col min="10" max="10" width="12.5703125" bestFit="1" customWidth="1"/>
    <col min="11" max="11" width="14" bestFit="1" customWidth="1"/>
    <col min="12" max="13" width="10.7109375" bestFit="1" customWidth="1"/>
    <col min="14" max="14" width="10.85546875" bestFit="1" customWidth="1"/>
    <col min="15" max="15" width="14.28515625" bestFit="1" customWidth="1"/>
    <col min="16" max="16" width="14.42578125" bestFit="1" customWidth="1"/>
    <col min="17" max="17" width="16.85546875" bestFit="1" customWidth="1"/>
    <col min="18" max="18" width="15.28515625" bestFit="1" customWidth="1"/>
    <col min="19" max="19" width="14.85546875" bestFit="1" customWidth="1"/>
    <col min="20" max="20" width="15" bestFit="1" customWidth="1"/>
    <col min="21" max="21" width="14" bestFit="1" customWidth="1"/>
    <col min="22" max="22" width="16.28515625" bestFit="1" customWidth="1"/>
    <col min="23" max="23" width="15" bestFit="1" customWidth="1"/>
    <col min="24" max="24" width="16.7109375" bestFit="1" customWidth="1"/>
    <col min="25" max="25" width="14" bestFit="1" customWidth="1"/>
    <col min="26" max="26" width="8" bestFit="1" customWidth="1"/>
    <col min="27" max="27" width="11.28515625" bestFit="1" customWidth="1"/>
    <col min="28" max="29" width="13.140625" bestFit="1" customWidth="1"/>
    <col min="30" max="30" width="13.7109375" bestFit="1" customWidth="1"/>
    <col min="31" max="32" width="20.85546875" bestFit="1" customWidth="1"/>
    <col min="33" max="33" width="9.28515625" bestFit="1" customWidth="1"/>
    <col min="34" max="34" width="12" bestFit="1" customWidth="1"/>
    <col min="35" max="35" width="4.85546875" bestFit="1" customWidth="1"/>
  </cols>
  <sheetData>
    <row r="1" spans="1:16" x14ac:dyDescent="0.2">
      <c r="A1" s="613" t="s">
        <v>139</v>
      </c>
      <c r="B1" s="613"/>
      <c r="C1" s="613"/>
      <c r="D1" s="613"/>
      <c r="E1" s="613"/>
      <c r="F1" s="613"/>
      <c r="G1" s="613"/>
      <c r="H1" s="613"/>
      <c r="I1" s="613"/>
      <c r="J1" s="613"/>
      <c r="K1" s="613"/>
    </row>
    <row r="2" spans="1:16" x14ac:dyDescent="0.2">
      <c r="A2" s="613" t="s">
        <v>503</v>
      </c>
      <c r="B2" s="613"/>
      <c r="C2" s="613"/>
      <c r="D2" s="613"/>
      <c r="E2" s="613"/>
      <c r="F2" s="613"/>
      <c r="G2" s="613"/>
      <c r="H2" s="613"/>
      <c r="I2" s="613"/>
      <c r="J2" s="613"/>
      <c r="K2" s="613"/>
      <c r="L2" s="203"/>
      <c r="M2" s="203"/>
      <c r="N2" s="203"/>
    </row>
    <row r="3" spans="1:16" x14ac:dyDescent="0.2">
      <c r="A3" s="613" t="s">
        <v>504</v>
      </c>
      <c r="B3" s="613"/>
      <c r="C3" s="613"/>
      <c r="D3" s="613"/>
      <c r="E3" s="613"/>
      <c r="F3" s="613"/>
      <c r="G3" s="613"/>
      <c r="H3" s="613"/>
      <c r="I3" s="613"/>
      <c r="J3" s="613"/>
      <c r="K3" s="613"/>
      <c r="L3" s="203"/>
      <c r="M3" s="203"/>
      <c r="N3" s="203"/>
    </row>
    <row r="4" spans="1:16" x14ac:dyDescent="0.2">
      <c r="A4" s="203"/>
      <c r="B4" s="203"/>
      <c r="C4" s="203"/>
      <c r="D4" s="203"/>
      <c r="E4" s="203"/>
      <c r="F4" s="203"/>
      <c r="G4" s="203"/>
      <c r="H4" s="203"/>
      <c r="I4" s="203"/>
      <c r="J4" s="203"/>
      <c r="K4" s="203"/>
    </row>
    <row r="5" spans="1:16" x14ac:dyDescent="0.2">
      <c r="A5" s="231" t="s">
        <v>268</v>
      </c>
      <c r="B5" s="231" t="s">
        <v>269</v>
      </c>
      <c r="C5" s="231" t="s">
        <v>270</v>
      </c>
      <c r="D5" s="231" t="s">
        <v>271</v>
      </c>
      <c r="E5" s="231" t="s">
        <v>272</v>
      </c>
      <c r="F5" s="231" t="s">
        <v>273</v>
      </c>
      <c r="G5" s="231"/>
      <c r="H5" s="231" t="s">
        <v>274</v>
      </c>
      <c r="I5" s="231" t="s">
        <v>276</v>
      </c>
      <c r="J5" s="231" t="s">
        <v>443</v>
      </c>
      <c r="K5" s="231" t="s">
        <v>444</v>
      </c>
    </row>
    <row r="6" spans="1:16" x14ac:dyDescent="0.2">
      <c r="A6" s="231" t="s">
        <v>277</v>
      </c>
      <c r="B6" s="198"/>
      <c r="C6" s="203"/>
      <c r="D6" s="203"/>
      <c r="E6" s="198"/>
      <c r="F6" s="203"/>
      <c r="G6" s="203"/>
      <c r="H6" s="203"/>
      <c r="I6" s="203"/>
      <c r="J6" s="203"/>
      <c r="K6" s="203"/>
    </row>
    <row r="7" spans="1:16" x14ac:dyDescent="0.2">
      <c r="A7" s="198"/>
      <c r="B7" s="198"/>
      <c r="C7" s="615" t="s">
        <v>505</v>
      </c>
      <c r="D7" s="616"/>
      <c r="E7" s="617"/>
      <c r="F7" s="615" t="s">
        <v>506</v>
      </c>
      <c r="G7" s="616"/>
      <c r="H7" s="617"/>
      <c r="I7" s="615" t="s">
        <v>507</v>
      </c>
      <c r="J7" s="616"/>
      <c r="K7" s="617"/>
    </row>
    <row r="8" spans="1:16" x14ac:dyDescent="0.2">
      <c r="A8" s="196">
        <v>1</v>
      </c>
      <c r="B8" s="203" t="s">
        <v>508</v>
      </c>
      <c r="C8" s="203"/>
      <c r="D8" s="203"/>
      <c r="E8" s="203"/>
      <c r="F8" s="203"/>
      <c r="G8" s="203"/>
      <c r="H8" s="203"/>
      <c r="I8" s="203"/>
      <c r="J8" s="203"/>
      <c r="K8" s="203"/>
    </row>
    <row r="9" spans="1:16" x14ac:dyDescent="0.2">
      <c r="A9" s="196">
        <f>A8+1</f>
        <v>2</v>
      </c>
      <c r="B9" s="203" t="s">
        <v>509</v>
      </c>
      <c r="C9" s="273">
        <f>N62</f>
        <v>1233164</v>
      </c>
      <c r="D9" s="505">
        <v>10.715</v>
      </c>
      <c r="E9" s="198">
        <f>C9*D9</f>
        <v>13213352.26</v>
      </c>
      <c r="F9" s="273">
        <f>C9</f>
        <v>1233164</v>
      </c>
      <c r="G9" s="505">
        <v>10.715</v>
      </c>
      <c r="H9" s="198">
        <f>F9*G9</f>
        <v>13213352.26</v>
      </c>
      <c r="I9" s="273">
        <f>F9</f>
        <v>1233164</v>
      </c>
      <c r="J9" s="505">
        <v>10.715</v>
      </c>
      <c r="K9" s="468">
        <f>J9*I9</f>
        <v>13213352.26</v>
      </c>
      <c r="M9" s="270"/>
      <c r="N9" s="483"/>
      <c r="O9" s="285"/>
      <c r="P9" s="252"/>
    </row>
    <row r="10" spans="1:16" x14ac:dyDescent="0.2">
      <c r="A10" s="196">
        <f>A9+1</f>
        <v>3</v>
      </c>
      <c r="B10" s="203" t="s">
        <v>510</v>
      </c>
      <c r="C10" s="273">
        <f>AA149</f>
        <v>-3253</v>
      </c>
      <c r="D10" s="506">
        <f>$AB133</f>
        <v>9.6434999999999995</v>
      </c>
      <c r="E10" s="198">
        <f>C10*D10</f>
        <v>-31370.305499999999</v>
      </c>
      <c r="F10" s="273">
        <f t="shared" ref="F10:F12" si="0">C10</f>
        <v>-3253</v>
      </c>
      <c r="G10" s="506">
        <f>$AB133</f>
        <v>9.6434999999999995</v>
      </c>
      <c r="H10" s="198">
        <f>F10*G10</f>
        <v>-31370.305499999999</v>
      </c>
      <c r="I10" s="273">
        <f t="shared" ref="I10:I12" si="1">F10</f>
        <v>-3253</v>
      </c>
      <c r="J10" s="506">
        <f>$AB133</f>
        <v>9.6434999999999995</v>
      </c>
      <c r="K10" s="468">
        <f>J10*I10</f>
        <v>-31370.305499999999</v>
      </c>
    </row>
    <row r="11" spans="1:16" x14ac:dyDescent="0.2">
      <c r="A11" s="196">
        <f t="shared" ref="A11:A47" si="2">A10+1</f>
        <v>4</v>
      </c>
      <c r="B11" s="203" t="s">
        <v>511</v>
      </c>
      <c r="C11" s="273">
        <f>AL193</f>
        <v>0</v>
      </c>
      <c r="D11" s="506">
        <f>N16</f>
        <v>0</v>
      </c>
      <c r="E11" s="198">
        <f>C11*D11</f>
        <v>0</v>
      </c>
      <c r="F11" s="273">
        <f t="shared" si="0"/>
        <v>0</v>
      </c>
      <c r="G11" s="506">
        <f>Q16</f>
        <v>0</v>
      </c>
      <c r="H11" s="198">
        <f>F11*G11</f>
        <v>0</v>
      </c>
      <c r="I11" s="273">
        <f t="shared" si="1"/>
        <v>0</v>
      </c>
      <c r="J11" s="506">
        <f>T16</f>
        <v>0</v>
      </c>
      <c r="K11" s="468"/>
    </row>
    <row r="12" spans="1:16" x14ac:dyDescent="0.2">
      <c r="A12" s="196">
        <f t="shared" si="2"/>
        <v>5</v>
      </c>
      <c r="B12" s="203" t="s">
        <v>512</v>
      </c>
      <c r="C12" s="286">
        <f>O64</f>
        <v>547815603</v>
      </c>
      <c r="D12" s="507">
        <v>3.805E-2</v>
      </c>
      <c r="E12" s="198">
        <f>C12*D12</f>
        <v>20844383.694150001</v>
      </c>
      <c r="F12" s="273">
        <f t="shared" si="0"/>
        <v>547815603</v>
      </c>
      <c r="G12" s="507">
        <v>3.805E-2</v>
      </c>
      <c r="H12" s="198">
        <f>F12*G12</f>
        <v>20844383.694150001</v>
      </c>
      <c r="I12" s="273">
        <f t="shared" si="1"/>
        <v>547815603</v>
      </c>
      <c r="J12" s="507">
        <v>3.805E-2</v>
      </c>
      <c r="K12" s="250">
        <f>H12</f>
        <v>20844383.694150001</v>
      </c>
    </row>
    <row r="13" spans="1:16" x14ac:dyDescent="0.2">
      <c r="A13" s="196">
        <f t="shared" si="2"/>
        <v>6</v>
      </c>
      <c r="B13" s="203"/>
      <c r="C13" s="203"/>
      <c r="D13" s="509"/>
      <c r="E13" s="203"/>
      <c r="F13" s="203"/>
      <c r="G13" s="509"/>
      <c r="H13" s="203"/>
      <c r="I13" s="203"/>
      <c r="J13" s="509"/>
      <c r="K13" s="510"/>
    </row>
    <row r="14" spans="1:16" x14ac:dyDescent="0.2">
      <c r="A14" s="196">
        <f t="shared" si="2"/>
        <v>7</v>
      </c>
      <c r="B14" s="203" t="s">
        <v>513</v>
      </c>
      <c r="C14" s="203"/>
      <c r="D14" s="509"/>
      <c r="E14" s="198"/>
      <c r="F14" s="203"/>
      <c r="G14" s="509"/>
      <c r="H14" s="198"/>
      <c r="I14" s="203"/>
      <c r="J14" s="509"/>
      <c r="K14" s="203"/>
    </row>
    <row r="15" spans="1:16" x14ac:dyDescent="0.2">
      <c r="A15" s="196">
        <f t="shared" si="2"/>
        <v>8</v>
      </c>
      <c r="B15" s="203" t="s">
        <v>514</v>
      </c>
      <c r="C15" s="273">
        <f>$AA105+$Z193</f>
        <v>73940500</v>
      </c>
      <c r="D15" s="507">
        <f>E15/C15</f>
        <v>9.3978840824717177E-2</v>
      </c>
      <c r="E15" s="273">
        <f>$AC105+$AB193</f>
        <v>6948842.4800000004</v>
      </c>
      <c r="F15" s="273">
        <f>$AA105+$Z193</f>
        <v>73940500</v>
      </c>
      <c r="G15" s="507">
        <f>H15/F15</f>
        <v>9.3978840824717177E-2</v>
      </c>
      <c r="H15" s="273">
        <f>$AC105+$AB193</f>
        <v>6948842.4800000004</v>
      </c>
      <c r="I15" s="273">
        <f>$AA105+$Z193</f>
        <v>73940500</v>
      </c>
      <c r="J15" s="273">
        <f>$AC105+$AB193</f>
        <v>6948842.4800000004</v>
      </c>
      <c r="K15" s="273">
        <f>$AC105+$AB193</f>
        <v>6948842.4800000004</v>
      </c>
      <c r="M15" s="203"/>
      <c r="N15" s="511"/>
      <c r="O15" s="512"/>
      <c r="P15" s="252"/>
    </row>
    <row r="16" spans="1:16" x14ac:dyDescent="0.2">
      <c r="A16" s="196">
        <f t="shared" si="2"/>
        <v>9</v>
      </c>
      <c r="B16" s="203"/>
      <c r="C16" s="273">
        <f>SUM(C12:C15)</f>
        <v>621756103</v>
      </c>
      <c r="D16" s="203"/>
      <c r="E16" s="468"/>
      <c r="F16" s="273">
        <f>SUM(F12:F15)</f>
        <v>621756103</v>
      </c>
      <c r="G16" s="203"/>
      <c r="H16" s="468"/>
      <c r="I16" s="286">
        <f>F16</f>
        <v>621756103</v>
      </c>
      <c r="J16" s="468"/>
      <c r="K16" s="198"/>
      <c r="N16" s="285"/>
    </row>
    <row r="17" spans="1:11" x14ac:dyDescent="0.2">
      <c r="A17" s="196">
        <f t="shared" si="2"/>
        <v>10</v>
      </c>
      <c r="B17" s="163" t="s">
        <v>515</v>
      </c>
      <c r="C17" s="273"/>
      <c r="D17" s="203"/>
      <c r="E17" s="468"/>
      <c r="F17" s="273"/>
      <c r="G17" s="203"/>
      <c r="H17" s="468"/>
      <c r="I17" s="198"/>
      <c r="J17" s="468"/>
      <c r="K17" s="198"/>
    </row>
    <row r="18" spans="1:11" x14ac:dyDescent="0.2">
      <c r="A18" s="196">
        <f t="shared" si="2"/>
        <v>11</v>
      </c>
      <c r="B18" s="440" t="s">
        <v>516</v>
      </c>
      <c r="C18" s="273"/>
      <c r="D18" s="513">
        <f>$E18/$C12</f>
        <v>1.9831036776803888E-2</v>
      </c>
      <c r="E18" s="468">
        <f>$O83</f>
        <v>10863751.369999999</v>
      </c>
      <c r="G18" s="513">
        <f>$E18/$C12</f>
        <v>1.9831036776803888E-2</v>
      </c>
      <c r="H18" s="468">
        <f>$O83</f>
        <v>10863751.369999999</v>
      </c>
      <c r="I18" s="273"/>
      <c r="J18" s="513">
        <f>$E18/$C12</f>
        <v>1.9831036776803888E-2</v>
      </c>
      <c r="K18" s="468">
        <f>$O83</f>
        <v>10863751.369999999</v>
      </c>
    </row>
    <row r="19" spans="1:11" x14ac:dyDescent="0.2">
      <c r="A19" s="196">
        <f t="shared" si="2"/>
        <v>12</v>
      </c>
      <c r="B19" s="440" t="s">
        <v>101</v>
      </c>
      <c r="C19" s="273"/>
      <c r="D19" s="513">
        <f>$E19/$C12</f>
        <v>4.3915143833535529E-3</v>
      </c>
      <c r="E19" s="468">
        <f>$Q83</f>
        <v>2405740.0999999996</v>
      </c>
      <c r="G19" s="513">
        <f>$E19/$C12</f>
        <v>4.3915143833535529E-3</v>
      </c>
      <c r="H19" s="468">
        <f>$Q83</f>
        <v>2405740.0999999996</v>
      </c>
      <c r="I19" s="203"/>
      <c r="J19" s="513">
        <f>$E19/$C12</f>
        <v>4.3915143833535529E-3</v>
      </c>
      <c r="K19" s="468">
        <f>$Q83</f>
        <v>2405740.0999999996</v>
      </c>
    </row>
    <row r="20" spans="1:11" x14ac:dyDescent="0.2">
      <c r="A20" s="196">
        <f t="shared" si="2"/>
        <v>13</v>
      </c>
      <c r="B20" s="440" t="s">
        <v>319</v>
      </c>
      <c r="C20" s="273"/>
      <c r="D20" s="513">
        <f>$E20/$C12</f>
        <v>-4.4657818189234744E-3</v>
      </c>
      <c r="E20" s="468">
        <f>$R83</f>
        <v>-2446424.96</v>
      </c>
      <c r="G20" s="513">
        <f>$E20/$C12</f>
        <v>-4.4657818189234744E-3</v>
      </c>
      <c r="H20" s="468">
        <f>$R83</f>
        <v>-2446424.96</v>
      </c>
      <c r="I20" s="203"/>
      <c r="J20" s="513">
        <f>$E20/$C12</f>
        <v>-4.4657818189234744E-3</v>
      </c>
      <c r="K20" s="468">
        <f>$R83</f>
        <v>-2446424.96</v>
      </c>
    </row>
    <row r="21" spans="1:11" x14ac:dyDescent="0.2">
      <c r="A21" s="196">
        <f t="shared" si="2"/>
        <v>14</v>
      </c>
      <c r="B21" s="440" t="s">
        <v>103</v>
      </c>
      <c r="C21" s="273"/>
      <c r="D21" s="513">
        <f>$E21/$C12</f>
        <v>4.3624092430240621E-3</v>
      </c>
      <c r="E21" s="514">
        <f>$P83</f>
        <v>2389795.85</v>
      </c>
      <c r="G21" s="513">
        <f>$E21/$C12</f>
        <v>4.3624092430240621E-3</v>
      </c>
      <c r="H21" s="514">
        <f>$P83</f>
        <v>2389795.85</v>
      </c>
      <c r="I21" s="203"/>
      <c r="J21" s="513">
        <f>$E21/$C12</f>
        <v>4.3624092430240621E-3</v>
      </c>
      <c r="K21" s="514">
        <f>$P83</f>
        <v>2389795.85</v>
      </c>
    </row>
    <row r="22" spans="1:11" x14ac:dyDescent="0.2">
      <c r="A22" s="196">
        <f t="shared" si="2"/>
        <v>15</v>
      </c>
      <c r="B22" s="203" t="s">
        <v>517</v>
      </c>
      <c r="C22" s="273"/>
      <c r="D22" s="513"/>
      <c r="E22" s="198">
        <f>SUM(E18:E21)</f>
        <v>13212862.359999998</v>
      </c>
      <c r="F22" s="273"/>
      <c r="G22" s="198"/>
      <c r="H22" s="198">
        <f>SUM(H18:H21)</f>
        <v>13212862.359999998</v>
      </c>
      <c r="I22" s="286"/>
      <c r="J22" s="198"/>
      <c r="K22" s="198">
        <f>SUM(K18:K21)</f>
        <v>13212862.359999998</v>
      </c>
    </row>
    <row r="23" spans="1:11" x14ac:dyDescent="0.2">
      <c r="A23" s="196">
        <f t="shared" si="2"/>
        <v>16</v>
      </c>
      <c r="B23" s="203"/>
      <c r="C23" s="273"/>
      <c r="D23" s="515"/>
      <c r="E23" s="198"/>
      <c r="F23" s="516"/>
      <c r="G23" s="516"/>
      <c r="H23" s="198"/>
      <c r="I23" s="286"/>
      <c r="J23" s="516"/>
      <c r="K23" s="468"/>
    </row>
    <row r="24" spans="1:11" x14ac:dyDescent="0.2">
      <c r="A24" s="196">
        <f t="shared" si="2"/>
        <v>17</v>
      </c>
      <c r="B24" s="203" t="s">
        <v>448</v>
      </c>
      <c r="C24" s="203"/>
      <c r="D24" s="203"/>
      <c r="E24" s="198">
        <f>SUM(E9:E15)+E22</f>
        <v>54188070.488649994</v>
      </c>
      <c r="F24" s="327" t="s">
        <v>518</v>
      </c>
      <c r="G24" s="327"/>
      <c r="H24" s="198">
        <f>E24</f>
        <v>54188070.488649994</v>
      </c>
      <c r="I24" s="198"/>
      <c r="J24" s="203"/>
      <c r="K24" s="198">
        <f>H24</f>
        <v>54188070.488649994</v>
      </c>
    </row>
    <row r="25" spans="1:11" x14ac:dyDescent="0.2">
      <c r="A25" s="196">
        <f t="shared" si="2"/>
        <v>18</v>
      </c>
      <c r="B25" s="203" t="s">
        <v>519</v>
      </c>
      <c r="C25" s="203"/>
      <c r="D25" s="203"/>
      <c r="E25" s="198"/>
      <c r="F25" s="203"/>
      <c r="G25" s="203"/>
      <c r="H25" s="198"/>
      <c r="I25" s="198"/>
      <c r="J25" s="203"/>
      <c r="K25" s="198"/>
    </row>
    <row r="26" spans="1:11" x14ac:dyDescent="0.2">
      <c r="A26" s="196">
        <f t="shared" si="2"/>
        <v>19</v>
      </c>
      <c r="B26" s="203" t="s">
        <v>520</v>
      </c>
      <c r="C26" s="273">
        <f>3*12</f>
        <v>36</v>
      </c>
      <c r="D26" s="198">
        <v>1028</v>
      </c>
      <c r="E26" s="198">
        <f>C26*D26</f>
        <v>37008</v>
      </c>
      <c r="F26" s="203"/>
      <c r="G26" s="203"/>
      <c r="H26" s="198">
        <f>E26</f>
        <v>37008</v>
      </c>
      <c r="I26" s="198"/>
      <c r="J26" s="198"/>
      <c r="K26" s="468">
        <f>H26</f>
        <v>37008</v>
      </c>
    </row>
    <row r="27" spans="1:11" x14ac:dyDescent="0.2">
      <c r="A27" s="196">
        <f t="shared" si="2"/>
        <v>20</v>
      </c>
      <c r="B27" s="203" t="s">
        <v>521</v>
      </c>
      <c r="C27" s="273">
        <f>C12+C15</f>
        <v>621756103</v>
      </c>
      <c r="D27" s="508">
        <v>1.66E-4</v>
      </c>
      <c r="E27" s="198">
        <f>C27*D27</f>
        <v>103211.513098</v>
      </c>
      <c r="F27" s="203"/>
      <c r="G27" s="203"/>
      <c r="H27" s="198">
        <f>E27</f>
        <v>103211.513098</v>
      </c>
      <c r="I27" s="273"/>
      <c r="J27" s="517"/>
      <c r="K27" s="468">
        <f>H27</f>
        <v>103211.513098</v>
      </c>
    </row>
    <row r="28" spans="1:11" x14ac:dyDescent="0.2">
      <c r="A28" s="196">
        <f t="shared" si="2"/>
        <v>21</v>
      </c>
      <c r="B28" s="203" t="s">
        <v>522</v>
      </c>
      <c r="C28" s="286">
        <f>AE108+AD196</f>
        <v>445313667</v>
      </c>
      <c r="D28" s="466">
        <v>1.66E-4</v>
      </c>
      <c r="E28" s="514">
        <f>C28*D28</f>
        <v>73922.068721999996</v>
      </c>
      <c r="F28" s="203"/>
      <c r="G28" s="203"/>
      <c r="H28" s="447">
        <f>E28</f>
        <v>73922.068721999996</v>
      </c>
      <c r="I28" s="198"/>
      <c r="J28" s="466"/>
      <c r="K28" s="468">
        <f>H28</f>
        <v>73922.068721999996</v>
      </c>
    </row>
    <row r="29" spans="1:11" x14ac:dyDescent="0.2">
      <c r="A29" s="196">
        <f t="shared" si="2"/>
        <v>22</v>
      </c>
      <c r="B29" s="203" t="s">
        <v>523</v>
      </c>
      <c r="C29" s="273">
        <f>SUM(C27:C28)</f>
        <v>1067069770</v>
      </c>
      <c r="D29" s="203"/>
      <c r="E29" s="198">
        <f>SUM(E26:E28)</f>
        <v>214141.58181999999</v>
      </c>
      <c r="F29" s="203"/>
      <c r="G29" s="203"/>
      <c r="H29" s="198">
        <f>E29</f>
        <v>214141.58181999999</v>
      </c>
      <c r="I29" s="198"/>
      <c r="J29" s="203"/>
      <c r="K29" s="198">
        <f>H29</f>
        <v>214141.58181999999</v>
      </c>
    </row>
    <row r="30" spans="1:11" ht="13.5" thickBot="1" x14ac:dyDescent="0.25">
      <c r="A30" s="196">
        <f t="shared" si="2"/>
        <v>23</v>
      </c>
      <c r="B30" s="203" t="s">
        <v>455</v>
      </c>
      <c r="C30" s="203"/>
      <c r="D30" s="203"/>
      <c r="E30" s="518">
        <f>E24+E26+E27+E28</f>
        <v>54402212.070469998</v>
      </c>
      <c r="F30" s="327" t="s">
        <v>518</v>
      </c>
      <c r="G30" s="327"/>
      <c r="H30" s="518">
        <f>H24+H26+H27+H28</f>
        <v>54402212.070469998</v>
      </c>
      <c r="I30" s="198"/>
      <c r="J30" s="203"/>
      <c r="K30" s="518">
        <f>K24+K26+K27+K28</f>
        <v>54402212.070469998</v>
      </c>
    </row>
    <row r="31" spans="1:11" ht="13.5" thickTop="1" x14ac:dyDescent="0.2">
      <c r="A31" s="196">
        <f t="shared" si="2"/>
        <v>24</v>
      </c>
      <c r="B31" s="203"/>
      <c r="C31" s="203"/>
      <c r="D31" s="203"/>
      <c r="E31" s="198"/>
      <c r="F31" s="203"/>
      <c r="G31" s="203"/>
      <c r="H31" s="198"/>
      <c r="I31" s="203"/>
      <c r="J31" s="203"/>
      <c r="K31" s="198"/>
    </row>
    <row r="32" spans="1:11" x14ac:dyDescent="0.2">
      <c r="A32" s="196">
        <f t="shared" si="2"/>
        <v>25</v>
      </c>
      <c r="B32" s="327"/>
      <c r="C32" s="203"/>
      <c r="D32" s="203"/>
      <c r="E32" s="198"/>
      <c r="F32" s="203"/>
      <c r="G32" s="203"/>
      <c r="H32" s="203"/>
      <c r="I32" s="203"/>
      <c r="J32" s="203"/>
      <c r="K32" s="203"/>
    </row>
    <row r="33" spans="1:35" x14ac:dyDescent="0.2">
      <c r="A33" s="196">
        <f t="shared" si="2"/>
        <v>26</v>
      </c>
      <c r="B33" s="203" t="s">
        <v>524</v>
      </c>
      <c r="C33" s="203"/>
      <c r="D33" s="203" t="s">
        <v>457</v>
      </c>
      <c r="E33" s="203"/>
      <c r="F33" s="203" t="s">
        <v>458</v>
      </c>
      <c r="G33" s="203"/>
      <c r="H33" s="203"/>
      <c r="I33" s="203"/>
      <c r="J33" s="203"/>
      <c r="K33" s="203"/>
    </row>
    <row r="34" spans="1:35" x14ac:dyDescent="0.2">
      <c r="A34" s="196">
        <f t="shared" si="2"/>
        <v>27</v>
      </c>
      <c r="B34" s="203"/>
      <c r="C34" s="471">
        <v>442.22</v>
      </c>
      <c r="D34" s="468">
        <f>[2]revpergl!U13</f>
        <v>21374681.5</v>
      </c>
      <c r="E34" s="471">
        <v>555.29999999999995</v>
      </c>
      <c r="F34" s="468">
        <f>[2]revpergl!U56</f>
        <v>21266547.800000001</v>
      </c>
      <c r="G34" s="468"/>
      <c r="H34" s="198">
        <f t="shared" ref="H34:H36" si="3">D34-F34</f>
        <v>108133.69999999925</v>
      </c>
      <c r="I34" s="203"/>
      <c r="J34" s="203"/>
      <c r="K34" s="203"/>
    </row>
    <row r="35" spans="1:35" x14ac:dyDescent="0.2">
      <c r="A35" s="196">
        <f t="shared" si="2"/>
        <v>28</v>
      </c>
      <c r="B35" s="203"/>
      <c r="C35" s="471">
        <v>442.21100000000001</v>
      </c>
      <c r="D35" s="468">
        <f>[2]revpergl!U9</f>
        <v>19302535.699999999</v>
      </c>
      <c r="E35" s="471">
        <v>555.12</v>
      </c>
      <c r="F35" s="468">
        <f>[2]revpergl!U55</f>
        <v>19252304.18</v>
      </c>
      <c r="G35" s="468"/>
      <c r="H35" s="198">
        <f t="shared" si="3"/>
        <v>50231.519999999553</v>
      </c>
      <c r="I35" s="203"/>
      <c r="J35" s="203"/>
      <c r="K35" s="203"/>
    </row>
    <row r="36" spans="1:35" x14ac:dyDescent="0.2">
      <c r="A36" s="196">
        <f t="shared" si="2"/>
        <v>29</v>
      </c>
      <c r="B36" s="203"/>
      <c r="C36" s="471">
        <v>442.29</v>
      </c>
      <c r="D36" s="514">
        <f>[2]revpergl!U18</f>
        <v>13088394.859999999</v>
      </c>
      <c r="E36" s="471">
        <v>555.95000000000005</v>
      </c>
      <c r="F36" s="514">
        <f>[2]revpergl!U66</f>
        <v>13032618.48</v>
      </c>
      <c r="G36" s="465"/>
      <c r="H36" s="198">
        <f t="shared" si="3"/>
        <v>55776.379999998957</v>
      </c>
      <c r="I36" s="203"/>
      <c r="J36" s="203"/>
      <c r="K36" s="203"/>
    </row>
    <row r="37" spans="1:35" ht="13.5" thickBot="1" x14ac:dyDescent="0.25">
      <c r="A37" s="196">
        <f t="shared" si="2"/>
        <v>30</v>
      </c>
      <c r="B37" s="203"/>
      <c r="C37" s="203"/>
      <c r="D37" s="476">
        <f>SUM(D34:D36)</f>
        <v>53765612.060000002</v>
      </c>
      <c r="E37" s="203"/>
      <c r="F37" s="476">
        <f>SUM(F34:F36)</f>
        <v>53551470.460000008</v>
      </c>
      <c r="G37" s="465"/>
      <c r="H37" s="198">
        <f>D37-F37</f>
        <v>214141.59999999404</v>
      </c>
      <c r="I37" s="203"/>
      <c r="J37" s="203"/>
      <c r="K37" s="203"/>
    </row>
    <row r="38" spans="1:35" ht="13.5" thickTop="1" x14ac:dyDescent="0.2">
      <c r="A38" s="196">
        <f t="shared" si="2"/>
        <v>31</v>
      </c>
      <c r="B38" s="203"/>
      <c r="C38" s="203"/>
      <c r="H38" s="203"/>
      <c r="I38" s="203"/>
      <c r="J38" s="203"/>
      <c r="K38" s="203"/>
      <c r="M38" s="519" t="s">
        <v>139</v>
      </c>
      <c r="N38" s="519"/>
      <c r="O38" s="519"/>
      <c r="P38" s="519"/>
      <c r="Q38" s="519"/>
      <c r="R38" s="519"/>
      <c r="S38" s="519"/>
    </row>
    <row r="39" spans="1:35" x14ac:dyDescent="0.2">
      <c r="A39" s="196">
        <f t="shared" si="2"/>
        <v>32</v>
      </c>
      <c r="D39" s="198"/>
      <c r="E39" s="203"/>
      <c r="F39" s="198"/>
      <c r="G39" s="198"/>
      <c r="M39" s="519" t="s">
        <v>525</v>
      </c>
      <c r="N39" s="519"/>
      <c r="O39" s="519"/>
      <c r="P39" s="519"/>
      <c r="Q39" s="519"/>
      <c r="R39" s="519"/>
      <c r="S39" s="519"/>
    </row>
    <row r="40" spans="1:35" x14ac:dyDescent="0.2">
      <c r="A40" s="196">
        <f t="shared" si="2"/>
        <v>33</v>
      </c>
      <c r="M40" s="519" t="s">
        <v>526</v>
      </c>
      <c r="N40" s="519"/>
      <c r="O40" s="519"/>
      <c r="P40" s="519"/>
      <c r="Q40" s="519"/>
      <c r="R40" s="519"/>
      <c r="S40" s="519"/>
    </row>
    <row r="41" spans="1:35" x14ac:dyDescent="0.2">
      <c r="A41" s="196">
        <f t="shared" si="2"/>
        <v>34</v>
      </c>
      <c r="E41" s="248"/>
      <c r="H41" s="248"/>
      <c r="M41" s="519" t="s">
        <v>527</v>
      </c>
      <c r="N41" s="519"/>
      <c r="O41" s="519"/>
      <c r="P41" s="519"/>
      <c r="Q41" s="519"/>
      <c r="R41" s="519"/>
      <c r="S41" s="519"/>
    </row>
    <row r="42" spans="1:35" x14ac:dyDescent="0.2">
      <c r="A42" s="196">
        <f t="shared" si="2"/>
        <v>35</v>
      </c>
      <c r="H42" s="248"/>
      <c r="M42" s="519"/>
      <c r="N42" s="519"/>
      <c r="O42" s="519"/>
      <c r="P42" s="519"/>
      <c r="Q42" s="519"/>
      <c r="R42" s="519"/>
      <c r="S42" s="519"/>
    </row>
    <row r="43" spans="1:35" ht="15.75" x14ac:dyDescent="0.25">
      <c r="A43" s="196">
        <f t="shared" si="2"/>
        <v>36</v>
      </c>
      <c r="C43" s="273" t="s">
        <v>528</v>
      </c>
      <c r="D43" s="203" t="s">
        <v>529</v>
      </c>
      <c r="F43" s="203" t="s">
        <v>530</v>
      </c>
      <c r="G43" s="203"/>
      <c r="M43" s="520" t="s">
        <v>269</v>
      </c>
      <c r="N43" s="520" t="s">
        <v>270</v>
      </c>
      <c r="O43" s="520" t="s">
        <v>271</v>
      </c>
      <c r="P43" s="520" t="s">
        <v>272</v>
      </c>
      <c r="Q43" s="520" t="s">
        <v>273</v>
      </c>
      <c r="R43" s="520" t="s">
        <v>274</v>
      </c>
      <c r="S43" s="520" t="s">
        <v>275</v>
      </c>
      <c r="Z43" s="183"/>
      <c r="AA43" s="183"/>
      <c r="AB43" s="183"/>
      <c r="AC43" s="183"/>
      <c r="AD43" s="183"/>
      <c r="AE43" s="183"/>
      <c r="AF43" s="183"/>
      <c r="AG43" s="183"/>
      <c r="AH43" s="183"/>
      <c r="AI43" s="183"/>
    </row>
    <row r="44" spans="1:35" x14ac:dyDescent="0.2">
      <c r="A44" s="196">
        <f t="shared" si="2"/>
        <v>37</v>
      </c>
      <c r="C44" s="482">
        <v>182758123</v>
      </c>
      <c r="D44">
        <v>137050273</v>
      </c>
      <c r="E44" s="482">
        <f>C44+D44</f>
        <v>319808396</v>
      </c>
      <c r="F44" s="482">
        <f>R149</f>
        <v>228286270</v>
      </c>
      <c r="G44" s="482"/>
      <c r="H44" s="482">
        <f>E44+F44</f>
        <v>548094666</v>
      </c>
      <c r="O44" s="196" t="s">
        <v>531</v>
      </c>
      <c r="P44" s="203" t="s">
        <v>532</v>
      </c>
      <c r="Q44" s="183" t="s">
        <v>532</v>
      </c>
      <c r="R44" s="183" t="s">
        <v>466</v>
      </c>
      <c r="Z44" s="183"/>
      <c r="AA44" s="183"/>
      <c r="AB44" s="183"/>
      <c r="AC44" s="183"/>
      <c r="AD44" s="183"/>
      <c r="AE44" s="183"/>
      <c r="AF44" s="183"/>
      <c r="AG44" s="183"/>
      <c r="AH44" s="183"/>
      <c r="AI44" s="183"/>
    </row>
    <row r="45" spans="1:35" x14ac:dyDescent="0.2">
      <c r="A45" s="196">
        <f t="shared" si="2"/>
        <v>38</v>
      </c>
      <c r="C45" s="482">
        <v>64544581</v>
      </c>
      <c r="D45">
        <v>10325576</v>
      </c>
      <c r="E45" s="482">
        <f t="shared" ref="E45:E47" si="4">C45+D45</f>
        <v>74870157</v>
      </c>
      <c r="N45" s="183" t="s">
        <v>286</v>
      </c>
      <c r="O45" s="183" t="s">
        <v>533</v>
      </c>
      <c r="P45" s="203" t="s">
        <v>534</v>
      </c>
      <c r="Q45" s="196" t="s">
        <v>535</v>
      </c>
      <c r="R45" s="183" t="s">
        <v>471</v>
      </c>
      <c r="Z45" s="183"/>
      <c r="AA45" s="183"/>
      <c r="AB45" s="183"/>
      <c r="AC45" s="183"/>
      <c r="AD45" s="183"/>
      <c r="AE45" s="183"/>
      <c r="AF45" s="183"/>
      <c r="AG45" s="183"/>
      <c r="AH45" s="183"/>
      <c r="AI45" s="183"/>
    </row>
    <row r="46" spans="1:35" x14ac:dyDescent="0.2">
      <c r="A46" s="196">
        <f t="shared" si="2"/>
        <v>39</v>
      </c>
      <c r="C46" s="270">
        <v>329791800</v>
      </c>
      <c r="D46">
        <v>115288882</v>
      </c>
      <c r="E46" s="482">
        <f t="shared" si="4"/>
        <v>445080682</v>
      </c>
      <c r="L46" s="196" t="s">
        <v>536</v>
      </c>
      <c r="M46" s="196" t="s">
        <v>537</v>
      </c>
      <c r="N46" s="183" t="s">
        <v>475</v>
      </c>
      <c r="O46" s="183" t="s">
        <v>476</v>
      </c>
      <c r="P46" s="183" t="s">
        <v>477</v>
      </c>
      <c r="Q46" s="183" t="s">
        <v>478</v>
      </c>
      <c r="R46" s="183" t="s">
        <v>479</v>
      </c>
      <c r="S46" s="183" t="s">
        <v>481</v>
      </c>
      <c r="W46" s="521" t="s">
        <v>482</v>
      </c>
      <c r="X46" s="521" t="s">
        <v>483</v>
      </c>
      <c r="Y46" s="183"/>
      <c r="Z46" s="183"/>
      <c r="AA46" s="183"/>
      <c r="AB46" s="183"/>
      <c r="AC46" s="183"/>
      <c r="AD46" s="183"/>
      <c r="AE46" s="183"/>
      <c r="AF46" s="183"/>
      <c r="AG46" s="183"/>
      <c r="AH46" s="183"/>
      <c r="AI46" s="183"/>
    </row>
    <row r="47" spans="1:35" x14ac:dyDescent="0.2">
      <c r="A47" s="196">
        <f t="shared" si="2"/>
        <v>40</v>
      </c>
      <c r="C47" s="270">
        <f>C44+C45+C46</f>
        <v>577094504</v>
      </c>
      <c r="D47" s="270">
        <f>D44+D45+D46</f>
        <v>262664731</v>
      </c>
      <c r="E47" s="482">
        <f t="shared" si="4"/>
        <v>839759235</v>
      </c>
      <c r="F47" s="482">
        <f>F44+F45+F46</f>
        <v>228286270</v>
      </c>
      <c r="G47" s="482"/>
      <c r="H47" s="482">
        <f>E47+F47</f>
        <v>1068045505</v>
      </c>
      <c r="L47" s="481" t="s">
        <v>487</v>
      </c>
      <c r="M47" s="481" t="s">
        <v>487</v>
      </c>
      <c r="N47" s="481" t="s">
        <v>487</v>
      </c>
      <c r="O47" s="481" t="s">
        <v>487</v>
      </c>
      <c r="P47" s="481" t="s">
        <v>487</v>
      </c>
      <c r="Q47" s="481" t="s">
        <v>487</v>
      </c>
      <c r="R47" s="481" t="s">
        <v>487</v>
      </c>
      <c r="S47" s="481" t="s">
        <v>487</v>
      </c>
      <c r="W47" s="481"/>
      <c r="X47" s="481"/>
      <c r="Y47" s="481"/>
      <c r="Z47" s="183"/>
      <c r="AA47" s="183"/>
      <c r="AB47" s="183"/>
      <c r="AC47" s="183"/>
      <c r="AD47" s="183"/>
      <c r="AE47" s="183"/>
      <c r="AF47" s="183"/>
      <c r="AG47" s="183"/>
      <c r="AH47" s="183"/>
      <c r="AI47" s="183"/>
    </row>
    <row r="49" spans="8:35" x14ac:dyDescent="0.2">
      <c r="I49" s="270"/>
      <c r="J49" s="248"/>
      <c r="L49" s="183">
        <v>1</v>
      </c>
      <c r="M49" s="327" t="s">
        <v>538</v>
      </c>
      <c r="N49" s="270">
        <f>P91+P135+P179</f>
        <v>89668</v>
      </c>
      <c r="O49" s="270">
        <f>R91+R135+R179</f>
        <v>47929518</v>
      </c>
      <c r="P49" s="270">
        <f>S135+S179+S91</f>
        <v>876372.31</v>
      </c>
      <c r="Q49" s="270">
        <f>T91+T135+T179</f>
        <v>2071073.0999999999</v>
      </c>
      <c r="R49" s="270">
        <f>U91+U135+U179</f>
        <v>853385.28999999992</v>
      </c>
      <c r="S49" s="270">
        <f>W91+W135+W179</f>
        <v>3800830.7</v>
      </c>
      <c r="W49" s="270">
        <f>X91+X135+X179</f>
        <v>3817368.5300000003</v>
      </c>
      <c r="X49" s="270">
        <f>Y91+Y135+Y179</f>
        <v>16537.830000000075</v>
      </c>
      <c r="Y49" s="270"/>
      <c r="Z49" s="270"/>
      <c r="AA49" s="270"/>
      <c r="AB49" s="270"/>
      <c r="AC49" s="270"/>
      <c r="AD49" s="270"/>
      <c r="AE49" s="270"/>
      <c r="AF49" s="270"/>
      <c r="AG49" s="270"/>
      <c r="AH49" s="270"/>
      <c r="AI49" s="270"/>
    </row>
    <row r="50" spans="8:35" x14ac:dyDescent="0.2">
      <c r="L50" s="183">
        <v>2</v>
      </c>
      <c r="M50" s="203" t="s">
        <v>539</v>
      </c>
      <c r="N50" s="270">
        <f t="shared" ref="N50:N60" si="5">P92+P136+P180</f>
        <v>89581</v>
      </c>
      <c r="O50" s="270">
        <f t="shared" ref="O50:O60" si="6">R92+R136+R180</f>
        <v>49325781</v>
      </c>
      <c r="P50" s="270">
        <f t="shared" ref="P50:P60" si="7">S136+S180+S92</f>
        <v>906810.40999999992</v>
      </c>
      <c r="Q50" s="270">
        <f t="shared" ref="Q50:R60" si="8">T92+T136+T180</f>
        <v>2195989.3199999998</v>
      </c>
      <c r="R50" s="270">
        <f t="shared" si="8"/>
        <v>748102.09</v>
      </c>
      <c r="S50" s="270">
        <f t="shared" ref="S50:S60" si="9">W92+W136+W180</f>
        <v>3850901.8199999994</v>
      </c>
      <c r="W50" s="270">
        <f t="shared" ref="W50:X60" si="10">X92+X136+X180</f>
        <v>3869000.94</v>
      </c>
      <c r="X50" s="270">
        <f t="shared" si="10"/>
        <v>18099.120000000112</v>
      </c>
      <c r="Y50" s="270"/>
      <c r="Z50" s="270"/>
      <c r="AA50" s="270"/>
      <c r="AB50" s="270"/>
      <c r="AC50" s="270"/>
      <c r="AD50" s="270"/>
      <c r="AE50" s="270"/>
      <c r="AF50" s="270"/>
      <c r="AG50" s="270"/>
      <c r="AH50" s="270"/>
      <c r="AI50" s="270"/>
    </row>
    <row r="51" spans="8:35" x14ac:dyDescent="0.2">
      <c r="L51" s="183">
        <v>3</v>
      </c>
      <c r="M51" s="203" t="s">
        <v>133</v>
      </c>
      <c r="N51" s="270">
        <f t="shared" si="5"/>
        <v>89604</v>
      </c>
      <c r="O51" s="270">
        <f t="shared" si="6"/>
        <v>52220614</v>
      </c>
      <c r="P51" s="270">
        <f t="shared" si="7"/>
        <v>907056.86</v>
      </c>
      <c r="Q51" s="270">
        <f t="shared" si="8"/>
        <v>2758708.05</v>
      </c>
      <c r="R51" s="270">
        <f t="shared" si="8"/>
        <v>801947.42999999993</v>
      </c>
      <c r="S51" s="270">
        <f t="shared" si="9"/>
        <v>4467712.34</v>
      </c>
      <c r="W51" s="270">
        <f t="shared" si="10"/>
        <v>4485545.3499999996</v>
      </c>
      <c r="X51" s="270">
        <f t="shared" si="10"/>
        <v>17833.009999999776</v>
      </c>
      <c r="Y51" s="270"/>
      <c r="Z51" s="270"/>
      <c r="AA51" s="270"/>
      <c r="AB51" s="270"/>
      <c r="AC51" s="270"/>
      <c r="AD51" s="270"/>
      <c r="AE51" s="270"/>
      <c r="AF51" s="270"/>
      <c r="AG51" s="270"/>
      <c r="AH51" s="270"/>
      <c r="AI51" s="270"/>
    </row>
    <row r="52" spans="8:35" x14ac:dyDescent="0.2">
      <c r="L52" s="183">
        <v>4</v>
      </c>
      <c r="M52" s="203" t="s">
        <v>540</v>
      </c>
      <c r="N52" s="270">
        <f t="shared" si="5"/>
        <v>82885</v>
      </c>
      <c r="O52" s="270">
        <f t="shared" si="6"/>
        <v>55156571</v>
      </c>
      <c r="P52" s="270">
        <f t="shared" si="7"/>
        <v>835062.78</v>
      </c>
      <c r="Q52" s="270">
        <f t="shared" si="8"/>
        <v>3005829.23</v>
      </c>
      <c r="R52" s="270">
        <f t="shared" si="8"/>
        <v>359434.55000000005</v>
      </c>
      <c r="S52" s="270">
        <f t="shared" si="9"/>
        <v>4200326.5600000005</v>
      </c>
      <c r="W52" s="270">
        <f t="shared" si="10"/>
        <v>4218419.6899999995</v>
      </c>
      <c r="X52" s="270">
        <f t="shared" si="10"/>
        <v>18093.130000000005</v>
      </c>
      <c r="Y52" s="270"/>
      <c r="Z52" s="270"/>
      <c r="AA52" s="270"/>
      <c r="AB52" s="270"/>
      <c r="AC52" s="270"/>
      <c r="AD52" s="270"/>
      <c r="AE52" s="270"/>
      <c r="AF52" s="270"/>
      <c r="AG52" s="270"/>
      <c r="AH52" s="270"/>
      <c r="AI52" s="270"/>
    </row>
    <row r="53" spans="8:35" x14ac:dyDescent="0.2">
      <c r="L53" s="183">
        <v>5</v>
      </c>
      <c r="M53" s="203" t="s">
        <v>309</v>
      </c>
      <c r="N53" s="270">
        <f t="shared" si="5"/>
        <v>116257</v>
      </c>
      <c r="O53" s="270">
        <f t="shared" si="6"/>
        <v>56668755</v>
      </c>
      <c r="P53" s="270">
        <f t="shared" si="7"/>
        <v>1192643.76</v>
      </c>
      <c r="Q53" s="270">
        <f t="shared" si="8"/>
        <v>2352228.4300000002</v>
      </c>
      <c r="R53" s="270">
        <f t="shared" si="8"/>
        <v>1250576.6599999999</v>
      </c>
      <c r="S53" s="270">
        <f t="shared" si="9"/>
        <v>4795448.8499999996</v>
      </c>
      <c r="W53" s="270">
        <f t="shared" si="10"/>
        <v>4814357.78</v>
      </c>
      <c r="X53" s="270">
        <f t="shared" si="10"/>
        <v>18908.929999999935</v>
      </c>
      <c r="Y53" s="270"/>
      <c r="Z53" s="270"/>
      <c r="AA53" s="270"/>
      <c r="AB53" s="270"/>
      <c r="AC53" s="270"/>
      <c r="AD53" s="270"/>
      <c r="AE53" s="270"/>
      <c r="AF53" s="270"/>
      <c r="AG53" s="270"/>
      <c r="AH53" s="270"/>
      <c r="AI53" s="270"/>
    </row>
    <row r="54" spans="8:35" x14ac:dyDescent="0.2">
      <c r="L54" s="183">
        <v>6</v>
      </c>
      <c r="M54" s="203" t="s">
        <v>311</v>
      </c>
      <c r="N54" s="270">
        <f t="shared" si="5"/>
        <v>109573</v>
      </c>
      <c r="O54" s="270">
        <f t="shared" si="6"/>
        <v>51622485</v>
      </c>
      <c r="P54" s="270">
        <f t="shared" si="7"/>
        <v>1121024.7</v>
      </c>
      <c r="Q54" s="270">
        <f t="shared" si="8"/>
        <v>2307687.62</v>
      </c>
      <c r="R54" s="270">
        <f t="shared" si="8"/>
        <v>1212022.76</v>
      </c>
      <c r="S54" s="270">
        <f t="shared" si="9"/>
        <v>4640735.08</v>
      </c>
      <c r="W54" s="270">
        <f t="shared" si="10"/>
        <v>4658948.68</v>
      </c>
      <c r="X54" s="270">
        <f t="shared" si="10"/>
        <v>18213.600000000326</v>
      </c>
      <c r="Y54" s="270"/>
      <c r="Z54" s="270"/>
      <c r="AA54" s="270"/>
      <c r="AB54" s="270"/>
      <c r="AC54" s="270"/>
      <c r="AD54" s="270"/>
      <c r="AE54" s="270"/>
      <c r="AF54" s="270"/>
      <c r="AG54" s="270"/>
      <c r="AH54" s="270"/>
      <c r="AI54" s="270"/>
    </row>
    <row r="55" spans="8:35" x14ac:dyDescent="0.2">
      <c r="L55" s="183">
        <v>7</v>
      </c>
      <c r="M55" s="203" t="s">
        <v>541</v>
      </c>
      <c r="N55" s="270">
        <f t="shared" si="5"/>
        <v>109230</v>
      </c>
      <c r="O55" s="270">
        <f t="shared" si="6"/>
        <v>47637158</v>
      </c>
      <c r="P55" s="270">
        <f t="shared" si="7"/>
        <v>1117349.45</v>
      </c>
      <c r="Q55" s="270">
        <f t="shared" si="8"/>
        <v>2066186.46</v>
      </c>
      <c r="R55" s="270">
        <f t="shared" si="8"/>
        <v>1827536.78</v>
      </c>
      <c r="S55" s="270">
        <f t="shared" si="9"/>
        <v>5011072.6900000004</v>
      </c>
      <c r="W55" s="270">
        <f t="shared" si="10"/>
        <v>5029017.82</v>
      </c>
      <c r="X55" s="270">
        <f t="shared" si="10"/>
        <v>17945.129999999655</v>
      </c>
      <c r="Y55" s="270"/>
      <c r="Z55" s="270"/>
      <c r="AA55" s="270"/>
      <c r="AB55" s="270"/>
      <c r="AC55" s="270"/>
      <c r="AD55" s="270"/>
      <c r="AE55" s="270"/>
      <c r="AF55" s="270"/>
      <c r="AG55" s="270"/>
      <c r="AH55" s="270"/>
      <c r="AI55" s="270"/>
    </row>
    <row r="56" spans="8:35" x14ac:dyDescent="0.2">
      <c r="L56" s="183">
        <v>8</v>
      </c>
      <c r="M56" s="203" t="s">
        <v>542</v>
      </c>
      <c r="N56" s="270">
        <f t="shared" si="5"/>
        <v>108974</v>
      </c>
      <c r="O56" s="270">
        <f t="shared" si="6"/>
        <v>57682200</v>
      </c>
      <c r="P56" s="270">
        <f t="shared" si="7"/>
        <v>1114606.4099999999</v>
      </c>
      <c r="Q56" s="270">
        <f t="shared" si="8"/>
        <v>2509324.96</v>
      </c>
      <c r="R56" s="270">
        <f t="shared" si="8"/>
        <v>1765380.0500000003</v>
      </c>
      <c r="S56" s="270">
        <f t="shared" si="9"/>
        <v>5389311.4199999999</v>
      </c>
      <c r="W56" s="270">
        <f t="shared" si="10"/>
        <v>5407837.3599999994</v>
      </c>
      <c r="X56" s="270">
        <f t="shared" si="10"/>
        <v>18525.939999999944</v>
      </c>
      <c r="Y56" s="270"/>
      <c r="Z56" s="270"/>
      <c r="AA56" s="270"/>
      <c r="AB56" s="270"/>
      <c r="AC56" s="270"/>
      <c r="AD56" s="270"/>
      <c r="AE56" s="270"/>
      <c r="AF56" s="270"/>
      <c r="AG56" s="270"/>
      <c r="AH56" s="270"/>
      <c r="AI56" s="270"/>
    </row>
    <row r="57" spans="8:35" x14ac:dyDescent="0.2">
      <c r="L57" s="183">
        <v>9</v>
      </c>
      <c r="M57" s="203" t="s">
        <v>543</v>
      </c>
      <c r="N57" s="270">
        <f t="shared" si="5"/>
        <v>108977</v>
      </c>
      <c r="O57" s="270">
        <f t="shared" si="6"/>
        <v>43617298</v>
      </c>
      <c r="P57" s="270">
        <f t="shared" si="7"/>
        <v>1114638.55</v>
      </c>
      <c r="Q57" s="270">
        <f t="shared" si="8"/>
        <v>1860983.65</v>
      </c>
      <c r="R57" s="270">
        <f t="shared" si="8"/>
        <v>1202806.6600000001</v>
      </c>
      <c r="S57" s="270">
        <f t="shared" si="9"/>
        <v>4178428.86</v>
      </c>
      <c r="W57" s="270">
        <f t="shared" si="10"/>
        <v>4195989.9400000004</v>
      </c>
      <c r="X57" s="270">
        <f t="shared" si="10"/>
        <v>17561.079999999842</v>
      </c>
      <c r="Y57" s="270"/>
      <c r="Z57" s="270"/>
      <c r="AA57" s="270"/>
      <c r="AB57" s="270"/>
      <c r="AC57" s="270"/>
      <c r="AD57" s="270"/>
      <c r="AE57" s="270"/>
      <c r="AF57" s="270"/>
      <c r="AG57" s="270"/>
      <c r="AH57" s="270"/>
      <c r="AI57" s="270"/>
    </row>
    <row r="58" spans="8:35" x14ac:dyDescent="0.2">
      <c r="L58" s="183">
        <v>10</v>
      </c>
      <c r="M58" s="203" t="s">
        <v>544</v>
      </c>
      <c r="N58" s="270">
        <f t="shared" si="5"/>
        <v>109574</v>
      </c>
      <c r="O58" s="270">
        <f t="shared" si="6"/>
        <v>55196334</v>
      </c>
      <c r="P58" s="270">
        <f t="shared" si="7"/>
        <v>1121035.4099999999</v>
      </c>
      <c r="Q58" s="270">
        <f t="shared" si="8"/>
        <v>2442553.71</v>
      </c>
      <c r="R58" s="270">
        <f t="shared" si="8"/>
        <v>1269721.5099999998</v>
      </c>
      <c r="S58" s="270">
        <f t="shared" si="9"/>
        <v>4833310.63</v>
      </c>
      <c r="W58" s="270">
        <f t="shared" si="10"/>
        <v>4850789.62</v>
      </c>
      <c r="X58" s="270">
        <f t="shared" si="10"/>
        <v>17478.990000000107</v>
      </c>
      <c r="Y58" s="270"/>
      <c r="Z58" s="270"/>
      <c r="AA58" s="270"/>
      <c r="AB58" s="270"/>
      <c r="AC58" s="270"/>
      <c r="AD58" s="270"/>
      <c r="AE58" s="270"/>
      <c r="AF58" s="270"/>
      <c r="AG58" s="270"/>
      <c r="AH58" s="270"/>
      <c r="AI58" s="270"/>
    </row>
    <row r="59" spans="8:35" x14ac:dyDescent="0.2">
      <c r="L59" s="183">
        <v>11</v>
      </c>
      <c r="M59" s="327" t="s">
        <v>545</v>
      </c>
      <c r="N59" s="270">
        <f t="shared" si="5"/>
        <v>109377</v>
      </c>
      <c r="O59" s="270">
        <f t="shared" si="6"/>
        <v>62798538</v>
      </c>
      <c r="P59" s="270">
        <f t="shared" si="7"/>
        <v>1118924.55</v>
      </c>
      <c r="Q59" s="270">
        <f t="shared" si="8"/>
        <v>2486116.2599999998</v>
      </c>
      <c r="R59" s="270">
        <f t="shared" si="8"/>
        <v>1337593.26</v>
      </c>
      <c r="S59" s="270">
        <f t="shared" si="9"/>
        <v>4942634.07</v>
      </c>
      <c r="W59" s="270">
        <f t="shared" si="10"/>
        <v>4960597.45</v>
      </c>
      <c r="X59" s="270">
        <f t="shared" si="10"/>
        <v>17963.380000000121</v>
      </c>
      <c r="Y59" s="270"/>
      <c r="Z59" s="270"/>
      <c r="AA59" s="270"/>
      <c r="AB59" s="270"/>
      <c r="AC59" s="270"/>
      <c r="AD59" s="270"/>
      <c r="AE59" s="270"/>
      <c r="AF59" s="270"/>
      <c r="AG59" s="270"/>
      <c r="AH59" s="270"/>
      <c r="AI59" s="270"/>
    </row>
    <row r="60" spans="8:35" x14ac:dyDescent="0.2">
      <c r="L60" s="183">
        <v>12</v>
      </c>
      <c r="M60" s="327" t="s">
        <v>546</v>
      </c>
      <c r="N60" s="270">
        <f t="shared" si="5"/>
        <v>109464</v>
      </c>
      <c r="O60" s="270">
        <f t="shared" si="6"/>
        <v>41900851</v>
      </c>
      <c r="P60" s="270">
        <f t="shared" si="7"/>
        <v>1119856.76</v>
      </c>
      <c r="Q60" s="270">
        <f t="shared" si="8"/>
        <v>1736545.3600000003</v>
      </c>
      <c r="R60" s="270">
        <f t="shared" si="8"/>
        <v>584355.32000000007</v>
      </c>
      <c r="S60" s="270">
        <f t="shared" si="9"/>
        <v>3440757.4400000004</v>
      </c>
      <c r="W60" s="270">
        <f t="shared" si="10"/>
        <v>3457738.9000000004</v>
      </c>
      <c r="X60" s="270">
        <f t="shared" si="10"/>
        <v>16981.459999999963</v>
      </c>
      <c r="Y60" s="270"/>
      <c r="Z60" s="270"/>
      <c r="AA60" s="270"/>
      <c r="AB60" s="270"/>
      <c r="AC60" s="270"/>
      <c r="AD60" s="270"/>
      <c r="AE60" s="270"/>
      <c r="AF60" s="270"/>
      <c r="AG60" s="270"/>
      <c r="AH60" s="270"/>
      <c r="AI60" s="270"/>
    </row>
    <row r="61" spans="8:35" x14ac:dyDescent="0.2">
      <c r="H61">
        <f>1233164</f>
        <v>1233164</v>
      </c>
      <c r="L61" s="183"/>
      <c r="M61" s="203"/>
      <c r="N61" s="270"/>
      <c r="O61" s="270"/>
      <c r="P61" s="270"/>
      <c r="Q61" s="270"/>
      <c r="R61" s="270"/>
      <c r="S61" s="270"/>
      <c r="W61" s="270"/>
      <c r="X61" s="270"/>
      <c r="Y61" s="270"/>
      <c r="Z61" s="270"/>
      <c r="AA61" s="270"/>
      <c r="AB61" s="270"/>
      <c r="AC61" s="270"/>
      <c r="AD61" s="270"/>
      <c r="AE61" s="270"/>
      <c r="AF61" s="270"/>
      <c r="AG61" s="270"/>
      <c r="AH61" s="270"/>
      <c r="AI61" s="270"/>
    </row>
    <row r="62" spans="8:35" ht="13.5" thickBot="1" x14ac:dyDescent="0.25">
      <c r="H62">
        <v>10.715</v>
      </c>
      <c r="L62" s="183">
        <v>13</v>
      </c>
      <c r="N62" s="522">
        <f t="shared" ref="N62:S62" si="11">SUM(N49:N60)</f>
        <v>1233164</v>
      </c>
      <c r="O62" s="522">
        <f t="shared" si="11"/>
        <v>621756103</v>
      </c>
      <c r="P62" s="522">
        <f t="shared" si="11"/>
        <v>12545381.950000001</v>
      </c>
      <c r="Q62" s="522">
        <f t="shared" si="11"/>
        <v>27793226.149999999</v>
      </c>
      <c r="R62" s="522">
        <f t="shared" si="11"/>
        <v>13212862.359999999</v>
      </c>
      <c r="S62" s="522">
        <f t="shared" si="11"/>
        <v>53551470.460000001</v>
      </c>
      <c r="W62" s="270">
        <f>SUM(W49:W60)</f>
        <v>53765612.059999995</v>
      </c>
      <c r="X62" s="285">
        <f>SUM(X49:X60)</f>
        <v>214141.59999999986</v>
      </c>
      <c r="Y62" s="270"/>
      <c r="Z62" s="270"/>
      <c r="AA62" s="270"/>
      <c r="AB62" s="270"/>
      <c r="AC62" s="270"/>
      <c r="AD62" s="270"/>
      <c r="AE62" s="270"/>
      <c r="AF62" s="270"/>
      <c r="AG62" s="270"/>
      <c r="AH62" s="270"/>
      <c r="AI62" s="270"/>
    </row>
    <row r="63" spans="8:35" ht="13.5" thickTop="1" x14ac:dyDescent="0.2">
      <c r="H63">
        <f>H61*H62</f>
        <v>13213352.26</v>
      </c>
      <c r="I63" s="248">
        <f>E10</f>
        <v>-31370.305499999999</v>
      </c>
      <c r="J63" s="248">
        <f>E11</f>
        <v>0</v>
      </c>
      <c r="K63" s="248">
        <f>H63+I63+J63</f>
        <v>13181981.954499999</v>
      </c>
      <c r="N63" t="s">
        <v>547</v>
      </c>
      <c r="O63" s="270">
        <f>AE107+AD195</f>
        <v>73940500</v>
      </c>
    </row>
    <row r="64" spans="8:35" x14ac:dyDescent="0.2">
      <c r="N64" t="s">
        <v>548</v>
      </c>
      <c r="O64" s="270">
        <f>O62-O63</f>
        <v>547815603</v>
      </c>
    </row>
    <row r="67" spans="12:25" x14ac:dyDescent="0.2">
      <c r="O67" s="183"/>
      <c r="P67" s="183" t="s">
        <v>549</v>
      </c>
      <c r="Q67" s="183"/>
      <c r="R67" s="183"/>
      <c r="S67" s="183"/>
      <c r="T67" s="183"/>
      <c r="U67" s="183"/>
      <c r="V67" s="183"/>
      <c r="W67" s="183"/>
      <c r="X67" s="183"/>
      <c r="Y67" s="183"/>
    </row>
    <row r="68" spans="12:25" x14ac:dyDescent="0.2">
      <c r="O68" s="183" t="s">
        <v>550</v>
      </c>
      <c r="P68" s="183" t="s">
        <v>551</v>
      </c>
      <c r="Q68" s="183" t="s">
        <v>552</v>
      </c>
      <c r="R68" s="183" t="s">
        <v>319</v>
      </c>
      <c r="S68" s="183" t="s">
        <v>553</v>
      </c>
      <c r="T68" s="183" t="s">
        <v>554</v>
      </c>
      <c r="U68" s="183" t="s">
        <v>555</v>
      </c>
      <c r="V68" s="183" t="s">
        <v>556</v>
      </c>
      <c r="W68" s="183" t="s">
        <v>557</v>
      </c>
      <c r="X68" s="183"/>
      <c r="Y68" s="183"/>
    </row>
    <row r="69" spans="12:25" x14ac:dyDescent="0.2">
      <c r="O69" s="521" t="s">
        <v>471</v>
      </c>
      <c r="P69" s="521" t="s">
        <v>558</v>
      </c>
      <c r="Q69" s="521" t="s">
        <v>559</v>
      </c>
      <c r="R69" s="521"/>
      <c r="S69" s="521" t="s">
        <v>560</v>
      </c>
      <c r="T69" s="521" t="s">
        <v>561</v>
      </c>
      <c r="U69" s="521" t="s">
        <v>562</v>
      </c>
      <c r="V69" s="521" t="s">
        <v>563</v>
      </c>
      <c r="W69" s="521" t="s">
        <v>564</v>
      </c>
      <c r="X69" s="521" t="s">
        <v>319</v>
      </c>
      <c r="Y69" s="523" t="s">
        <v>84</v>
      </c>
    </row>
    <row r="70" spans="12:25" x14ac:dyDescent="0.2">
      <c r="L70">
        <f>L49</f>
        <v>1</v>
      </c>
      <c r="M70" t="str">
        <f>M49</f>
        <v>March 2022</v>
      </c>
      <c r="O70" s="285">
        <f>O113+O157+O201</f>
        <v>783909.45</v>
      </c>
      <c r="P70" s="285">
        <f>P113+P157+P201</f>
        <v>101923.76000000001</v>
      </c>
      <c r="Q70" s="285">
        <f>Q113+Q157+Q201</f>
        <v>177923.21</v>
      </c>
      <c r="R70" s="285">
        <f t="shared" ref="R70:X81" si="12">R113+R157+R201</f>
        <v>-210371.13</v>
      </c>
      <c r="S70" s="285">
        <f t="shared" si="12"/>
        <v>0</v>
      </c>
      <c r="T70" s="285">
        <f t="shared" si="12"/>
        <v>0</v>
      </c>
      <c r="U70" s="285">
        <f t="shared" si="12"/>
        <v>0</v>
      </c>
      <c r="V70" s="285">
        <f t="shared" si="12"/>
        <v>0</v>
      </c>
      <c r="W70" s="285">
        <f t="shared" si="12"/>
        <v>0</v>
      </c>
      <c r="X70" s="285">
        <f t="shared" si="12"/>
        <v>0</v>
      </c>
      <c r="Y70" s="285">
        <f>SUM(O70:X70)</f>
        <v>853385.28999999992</v>
      </c>
    </row>
    <row r="71" spans="12:25" x14ac:dyDescent="0.2">
      <c r="M71" t="str">
        <f t="shared" ref="M71:M79" si="13">M50</f>
        <v>April</v>
      </c>
      <c r="O71" s="285">
        <f t="shared" ref="O71:Q81" si="14">O114+O158+O202</f>
        <v>645934.62</v>
      </c>
      <c r="P71" s="285">
        <f t="shared" si="14"/>
        <v>105753.93000000001</v>
      </c>
      <c r="Q71" s="285">
        <f t="shared" si="14"/>
        <v>213856.99</v>
      </c>
      <c r="R71" s="285">
        <f t="shared" si="12"/>
        <v>-217443.44999999998</v>
      </c>
      <c r="S71" s="285">
        <f t="shared" si="12"/>
        <v>0</v>
      </c>
      <c r="T71" s="285">
        <f t="shared" si="12"/>
        <v>0</v>
      </c>
      <c r="U71" s="285">
        <f t="shared" si="12"/>
        <v>0</v>
      </c>
      <c r="V71" s="285">
        <f t="shared" si="12"/>
        <v>0</v>
      </c>
      <c r="W71" s="285">
        <f t="shared" si="12"/>
        <v>0</v>
      </c>
      <c r="X71" s="285">
        <f t="shared" si="12"/>
        <v>0</v>
      </c>
      <c r="Y71" s="285">
        <f t="shared" ref="Y71:Y81" si="15">SUM(O71:X71)</f>
        <v>748102.09000000008</v>
      </c>
    </row>
    <row r="72" spans="12:25" x14ac:dyDescent="0.2">
      <c r="M72" t="str">
        <f t="shared" si="13"/>
        <v>May</v>
      </c>
      <c r="O72" s="285">
        <f t="shared" si="14"/>
        <v>757103.41999999993</v>
      </c>
      <c r="P72" s="285">
        <f t="shared" si="14"/>
        <v>104435.29000000001</v>
      </c>
      <c r="Q72" s="285">
        <f t="shared" si="14"/>
        <v>153197.90999999997</v>
      </c>
      <c r="R72" s="285">
        <f t="shared" si="12"/>
        <v>-212789.19</v>
      </c>
      <c r="S72" s="285">
        <f t="shared" si="12"/>
        <v>0</v>
      </c>
      <c r="T72" s="285">
        <f t="shared" si="12"/>
        <v>0</v>
      </c>
      <c r="U72" s="285">
        <f t="shared" si="12"/>
        <v>0</v>
      </c>
      <c r="V72" s="285">
        <f t="shared" si="12"/>
        <v>0</v>
      </c>
      <c r="W72" s="285">
        <f t="shared" si="12"/>
        <v>0</v>
      </c>
      <c r="X72" s="285">
        <f t="shared" si="12"/>
        <v>0</v>
      </c>
      <c r="Y72" s="285">
        <f t="shared" si="15"/>
        <v>801947.42999999993</v>
      </c>
    </row>
    <row r="73" spans="12:25" x14ac:dyDescent="0.2">
      <c r="M73" t="str">
        <f t="shared" si="13"/>
        <v>June</v>
      </c>
      <c r="O73" s="285">
        <f t="shared" si="14"/>
        <v>271139.37</v>
      </c>
      <c r="P73" s="285">
        <f t="shared" si="14"/>
        <v>109129.88</v>
      </c>
      <c r="Q73" s="285">
        <f t="shared" si="14"/>
        <v>188118.01</v>
      </c>
      <c r="R73" s="285">
        <f t="shared" si="12"/>
        <v>-208952.71</v>
      </c>
      <c r="S73" s="285">
        <f t="shared" si="12"/>
        <v>0</v>
      </c>
      <c r="T73" s="285">
        <f t="shared" si="12"/>
        <v>0</v>
      </c>
      <c r="U73" s="285">
        <f t="shared" si="12"/>
        <v>0</v>
      </c>
      <c r="V73" s="285">
        <f t="shared" si="12"/>
        <v>0</v>
      </c>
      <c r="W73" s="285">
        <f t="shared" si="12"/>
        <v>0</v>
      </c>
      <c r="X73" s="285">
        <f t="shared" si="12"/>
        <v>0</v>
      </c>
      <c r="Y73" s="285">
        <f t="shared" si="15"/>
        <v>359434.55000000005</v>
      </c>
    </row>
    <row r="74" spans="12:25" x14ac:dyDescent="0.2">
      <c r="M74" t="str">
        <f t="shared" si="13"/>
        <v>July</v>
      </c>
      <c r="O74" s="285">
        <f t="shared" si="14"/>
        <v>1119175.22</v>
      </c>
      <c r="P74" s="285">
        <f t="shared" si="14"/>
        <v>136328.72999999998</v>
      </c>
      <c r="Q74" s="285">
        <f t="shared" si="14"/>
        <v>204087.28999999998</v>
      </c>
      <c r="R74" s="285">
        <f t="shared" si="12"/>
        <v>-209014.58</v>
      </c>
      <c r="S74" s="285">
        <f t="shared" si="12"/>
        <v>0</v>
      </c>
      <c r="T74" s="285">
        <f t="shared" si="12"/>
        <v>0</v>
      </c>
      <c r="U74" s="285">
        <f t="shared" si="12"/>
        <v>0</v>
      </c>
      <c r="V74" s="285">
        <f t="shared" si="12"/>
        <v>0</v>
      </c>
      <c r="W74" s="285">
        <f t="shared" si="12"/>
        <v>0</v>
      </c>
      <c r="X74" s="285">
        <f t="shared" si="12"/>
        <v>0</v>
      </c>
      <c r="Y74" s="285">
        <f t="shared" si="15"/>
        <v>1250576.6599999999</v>
      </c>
    </row>
    <row r="75" spans="12:25" x14ac:dyDescent="0.2">
      <c r="M75" t="str">
        <f t="shared" si="13"/>
        <v>August</v>
      </c>
      <c r="O75" s="285">
        <f t="shared" si="14"/>
        <v>1105514.77</v>
      </c>
      <c r="P75" s="285">
        <f t="shared" si="14"/>
        <v>124051.32999999999</v>
      </c>
      <c r="Q75" s="285">
        <f t="shared" si="14"/>
        <v>204809.71</v>
      </c>
      <c r="R75" s="285">
        <f t="shared" si="12"/>
        <v>-222353.05</v>
      </c>
      <c r="S75" s="285">
        <f t="shared" si="12"/>
        <v>0</v>
      </c>
      <c r="T75" s="285">
        <f t="shared" si="12"/>
        <v>0</v>
      </c>
      <c r="U75" s="285">
        <f t="shared" si="12"/>
        <v>0</v>
      </c>
      <c r="V75" s="285">
        <f t="shared" si="12"/>
        <v>0</v>
      </c>
      <c r="W75" s="285">
        <f t="shared" si="12"/>
        <v>0</v>
      </c>
      <c r="X75" s="285">
        <f t="shared" si="12"/>
        <v>0</v>
      </c>
      <c r="Y75" s="285">
        <f t="shared" si="15"/>
        <v>1212022.76</v>
      </c>
    </row>
    <row r="76" spans="12:25" x14ac:dyDescent="0.2">
      <c r="M76" t="str">
        <f t="shared" si="13"/>
        <v>September</v>
      </c>
      <c r="O76" s="285">
        <f t="shared" si="14"/>
        <v>1611614.27</v>
      </c>
      <c r="P76" s="285">
        <f t="shared" si="14"/>
        <v>279870.34999999998</v>
      </c>
      <c r="Q76" s="285">
        <f t="shared" si="14"/>
        <v>147717.34</v>
      </c>
      <c r="R76" s="285">
        <f t="shared" si="12"/>
        <v>-211665.18</v>
      </c>
      <c r="S76" s="285">
        <f t="shared" si="12"/>
        <v>0</v>
      </c>
      <c r="T76" s="285">
        <f t="shared" si="12"/>
        <v>0</v>
      </c>
      <c r="U76" s="285">
        <f t="shared" si="12"/>
        <v>0</v>
      </c>
      <c r="V76" s="285">
        <f t="shared" si="12"/>
        <v>0</v>
      </c>
      <c r="W76" s="285">
        <f t="shared" si="12"/>
        <v>0</v>
      </c>
      <c r="X76" s="285">
        <f t="shared" si="12"/>
        <v>0</v>
      </c>
      <c r="Y76" s="285">
        <f t="shared" si="15"/>
        <v>1827536.7800000003</v>
      </c>
    </row>
    <row r="77" spans="12:25" x14ac:dyDescent="0.2">
      <c r="M77" t="str">
        <f t="shared" si="13"/>
        <v>October</v>
      </c>
      <c r="O77" s="285">
        <f t="shared" si="14"/>
        <v>1473599.69</v>
      </c>
      <c r="P77" s="285">
        <f t="shared" si="14"/>
        <v>307182.81</v>
      </c>
      <c r="Q77" s="285">
        <f t="shared" si="14"/>
        <v>201371.19</v>
      </c>
      <c r="R77" s="285">
        <f t="shared" si="12"/>
        <v>-216773.63999999998</v>
      </c>
      <c r="S77" s="285">
        <f t="shared" si="12"/>
        <v>0</v>
      </c>
      <c r="T77" s="285">
        <f t="shared" si="12"/>
        <v>0</v>
      </c>
      <c r="U77" s="285">
        <f t="shared" si="12"/>
        <v>0</v>
      </c>
      <c r="V77" s="285">
        <f t="shared" si="12"/>
        <v>0</v>
      </c>
      <c r="W77" s="285">
        <f t="shared" si="12"/>
        <v>0</v>
      </c>
      <c r="X77" s="285">
        <f t="shared" si="12"/>
        <v>0</v>
      </c>
      <c r="Y77" s="285">
        <f t="shared" si="15"/>
        <v>1765380.05</v>
      </c>
    </row>
    <row r="78" spans="12:25" x14ac:dyDescent="0.2">
      <c r="M78" t="str">
        <f t="shared" si="13"/>
        <v>November</v>
      </c>
      <c r="O78" s="285">
        <f t="shared" si="14"/>
        <v>1017946.38</v>
      </c>
      <c r="P78" s="285">
        <f t="shared" si="14"/>
        <v>260724.21999999997</v>
      </c>
      <c r="Q78" s="285">
        <f t="shared" si="14"/>
        <v>134519.52000000002</v>
      </c>
      <c r="R78" s="285">
        <f t="shared" si="12"/>
        <v>-210383.46</v>
      </c>
      <c r="S78" s="285">
        <f t="shared" si="12"/>
        <v>0</v>
      </c>
      <c r="T78" s="285">
        <f t="shared" si="12"/>
        <v>0</v>
      </c>
      <c r="U78" s="285">
        <f t="shared" si="12"/>
        <v>0</v>
      </c>
      <c r="V78" s="285">
        <f t="shared" si="12"/>
        <v>0</v>
      </c>
      <c r="W78" s="285">
        <f t="shared" si="12"/>
        <v>0</v>
      </c>
      <c r="X78" s="285">
        <f t="shared" si="12"/>
        <v>0</v>
      </c>
      <c r="Y78" s="285">
        <f t="shared" si="15"/>
        <v>1202806.6600000001</v>
      </c>
    </row>
    <row r="79" spans="12:25" x14ac:dyDescent="0.2">
      <c r="M79" t="str">
        <f t="shared" si="13"/>
        <v>December</v>
      </c>
      <c r="O79" s="285">
        <f t="shared" si="14"/>
        <v>1011711.1000000001</v>
      </c>
      <c r="P79" s="285">
        <f t="shared" si="14"/>
        <v>304003.25</v>
      </c>
      <c r="Q79" s="285">
        <f t="shared" si="14"/>
        <v>177820.5</v>
      </c>
      <c r="R79" s="285">
        <f t="shared" si="12"/>
        <v>-223813.34000000003</v>
      </c>
      <c r="S79" s="285">
        <f t="shared" si="12"/>
        <v>0</v>
      </c>
      <c r="T79" s="285">
        <f t="shared" si="12"/>
        <v>0</v>
      </c>
      <c r="U79" s="285">
        <f t="shared" si="12"/>
        <v>0</v>
      </c>
      <c r="V79" s="285">
        <f t="shared" si="12"/>
        <v>0</v>
      </c>
      <c r="W79" s="285">
        <f t="shared" si="12"/>
        <v>0</v>
      </c>
      <c r="X79" s="285">
        <f t="shared" si="12"/>
        <v>0</v>
      </c>
      <c r="Y79" s="285">
        <f t="shared" si="15"/>
        <v>1269721.51</v>
      </c>
    </row>
    <row r="80" spans="12:25" x14ac:dyDescent="0.2">
      <c r="M80" s="327" t="s">
        <v>545</v>
      </c>
      <c r="O80" s="285">
        <f t="shared" si="14"/>
        <v>744803.93</v>
      </c>
      <c r="P80" s="285">
        <f t="shared" si="14"/>
        <v>309469.47000000003</v>
      </c>
      <c r="Q80" s="285">
        <f t="shared" si="14"/>
        <v>439038.58999999997</v>
      </c>
      <c r="R80" s="285">
        <f t="shared" si="12"/>
        <v>-155718.73000000001</v>
      </c>
      <c r="S80" s="285">
        <f t="shared" si="12"/>
        <v>0</v>
      </c>
      <c r="T80" s="285">
        <f t="shared" si="12"/>
        <v>0</v>
      </c>
      <c r="U80" s="285">
        <f t="shared" si="12"/>
        <v>0</v>
      </c>
      <c r="V80" s="285">
        <f t="shared" si="12"/>
        <v>0</v>
      </c>
      <c r="W80" s="285">
        <f t="shared" si="12"/>
        <v>0</v>
      </c>
      <c r="X80" s="285">
        <f t="shared" si="12"/>
        <v>0</v>
      </c>
      <c r="Y80" s="285">
        <f t="shared" si="15"/>
        <v>1337593.2600000002</v>
      </c>
    </row>
    <row r="81" spans="11:35" x14ac:dyDescent="0.2">
      <c r="L81">
        <f>L60</f>
        <v>12</v>
      </c>
      <c r="M81" s="327" t="s">
        <v>565</v>
      </c>
      <c r="O81" s="285">
        <f t="shared" si="14"/>
        <v>321299.15000000002</v>
      </c>
      <c r="P81" s="285">
        <f t="shared" si="14"/>
        <v>246922.83</v>
      </c>
      <c r="Q81" s="285">
        <f t="shared" si="14"/>
        <v>163279.84</v>
      </c>
      <c r="R81" s="285">
        <f t="shared" si="12"/>
        <v>-147146.5</v>
      </c>
      <c r="S81" s="285">
        <f t="shared" si="12"/>
        <v>0</v>
      </c>
      <c r="T81" s="285">
        <f t="shared" si="12"/>
        <v>0</v>
      </c>
      <c r="U81" s="285">
        <f t="shared" si="12"/>
        <v>0</v>
      </c>
      <c r="V81" s="285">
        <f t="shared" si="12"/>
        <v>0</v>
      </c>
      <c r="W81" s="285">
        <f t="shared" si="12"/>
        <v>0</v>
      </c>
      <c r="X81" s="285">
        <f t="shared" si="12"/>
        <v>0</v>
      </c>
      <c r="Y81" s="285">
        <f t="shared" si="15"/>
        <v>584355.31999999995</v>
      </c>
    </row>
    <row r="83" spans="11:35" x14ac:dyDescent="0.2">
      <c r="M83" t="s">
        <v>65</v>
      </c>
      <c r="O83" s="285">
        <f t="shared" ref="O83:Y83" si="16">SUM(O70:O81)</f>
        <v>10863751.369999999</v>
      </c>
      <c r="P83" s="285">
        <f t="shared" si="16"/>
        <v>2389795.85</v>
      </c>
      <c r="Q83" s="285">
        <f t="shared" si="16"/>
        <v>2405740.0999999996</v>
      </c>
      <c r="R83" s="285">
        <f t="shared" si="16"/>
        <v>-2446424.96</v>
      </c>
      <c r="S83" s="285">
        <f t="shared" si="16"/>
        <v>0</v>
      </c>
      <c r="T83" s="285">
        <f t="shared" si="16"/>
        <v>0</v>
      </c>
      <c r="U83" s="285">
        <f t="shared" si="16"/>
        <v>0</v>
      </c>
      <c r="V83" s="285">
        <f t="shared" si="16"/>
        <v>0</v>
      </c>
      <c r="W83" s="285">
        <f t="shared" si="16"/>
        <v>0</v>
      </c>
      <c r="X83" s="285">
        <f t="shared" si="16"/>
        <v>0</v>
      </c>
      <c r="Y83" s="285">
        <f t="shared" si="16"/>
        <v>13212862.359999999</v>
      </c>
    </row>
    <row r="84" spans="11:35" x14ac:dyDescent="0.2">
      <c r="AE84" s="183" t="s">
        <v>566</v>
      </c>
    </row>
    <row r="85" spans="11:35" ht="15.75" x14ac:dyDescent="0.25">
      <c r="M85" s="524" t="s">
        <v>567</v>
      </c>
      <c r="N85" s="479"/>
      <c r="AA85" s="183"/>
      <c r="AB85" s="183"/>
      <c r="AC85" s="183"/>
      <c r="AD85" s="183"/>
      <c r="AE85" s="183" t="s">
        <v>568</v>
      </c>
      <c r="AF85" s="183"/>
      <c r="AG85" s="183"/>
      <c r="AH85" s="183"/>
      <c r="AI85" s="183"/>
    </row>
    <row r="86" spans="11:35" x14ac:dyDescent="0.2">
      <c r="N86" s="183" t="s">
        <v>569</v>
      </c>
      <c r="R86" s="525" t="s">
        <v>566</v>
      </c>
      <c r="S86" s="525" t="s">
        <v>570</v>
      </c>
      <c r="T86" s="525" t="s">
        <v>571</v>
      </c>
      <c r="U86" s="183" t="s">
        <v>466</v>
      </c>
      <c r="AA86" s="183"/>
      <c r="AB86" s="183">
        <v>3.805E-2</v>
      </c>
      <c r="AC86" s="183" t="s">
        <v>572</v>
      </c>
      <c r="AD86" s="183"/>
      <c r="AE86" s="183" t="s">
        <v>573</v>
      </c>
      <c r="AF86" s="183"/>
      <c r="AG86" s="183"/>
      <c r="AH86" s="183"/>
      <c r="AI86" s="183"/>
    </row>
    <row r="87" spans="11:35" x14ac:dyDescent="0.2">
      <c r="N87" s="183" t="s">
        <v>468</v>
      </c>
      <c r="O87" s="183" t="s">
        <v>469</v>
      </c>
      <c r="P87" s="183" t="s">
        <v>282</v>
      </c>
      <c r="Q87" s="183" t="s">
        <v>470</v>
      </c>
      <c r="R87" s="525" t="s">
        <v>533</v>
      </c>
      <c r="S87" s="525">
        <v>10.715</v>
      </c>
      <c r="T87" s="525" t="s">
        <v>574</v>
      </c>
      <c r="U87" s="183" t="s">
        <v>471</v>
      </c>
      <c r="V87" s="183" t="s">
        <v>470</v>
      </c>
      <c r="AA87" s="183"/>
      <c r="AB87" s="183"/>
      <c r="AC87" s="183" t="s">
        <v>575</v>
      </c>
      <c r="AD87" s="183" t="s">
        <v>576</v>
      </c>
      <c r="AE87" s="183" t="s">
        <v>284</v>
      </c>
      <c r="AF87" s="183" t="s">
        <v>577</v>
      </c>
      <c r="AG87" s="183" t="s">
        <v>578</v>
      </c>
      <c r="AH87" s="183"/>
      <c r="AI87" s="183"/>
    </row>
    <row r="88" spans="11:35" x14ac:dyDescent="0.2">
      <c r="N88" s="183" t="s">
        <v>474</v>
      </c>
      <c r="O88" s="183" t="s">
        <v>475</v>
      </c>
      <c r="P88" s="183" t="s">
        <v>475</v>
      </c>
      <c r="Q88" s="183" t="s">
        <v>475</v>
      </c>
      <c r="R88" s="183" t="s">
        <v>476</v>
      </c>
      <c r="S88" s="183" t="s">
        <v>477</v>
      </c>
      <c r="T88" s="183" t="s">
        <v>478</v>
      </c>
      <c r="U88" s="183" t="s">
        <v>479</v>
      </c>
      <c r="V88" s="183" t="s">
        <v>480</v>
      </c>
      <c r="W88" s="183" t="s">
        <v>481</v>
      </c>
      <c r="X88" s="183" t="s">
        <v>482</v>
      </c>
      <c r="Y88" s="183" t="s">
        <v>483</v>
      </c>
      <c r="Z88" s="183"/>
      <c r="AA88" s="183" t="s">
        <v>579</v>
      </c>
      <c r="AB88" s="183" t="s">
        <v>580</v>
      </c>
      <c r="AC88" s="480" t="s">
        <v>581</v>
      </c>
      <c r="AD88" s="183" t="s">
        <v>582</v>
      </c>
      <c r="AE88" t="s">
        <v>583</v>
      </c>
      <c r="AF88" t="s">
        <v>584</v>
      </c>
      <c r="AG88" t="s">
        <v>585</v>
      </c>
      <c r="AH88" s="183"/>
      <c r="AI88" s="183"/>
    </row>
    <row r="89" spans="11:35" x14ac:dyDescent="0.2">
      <c r="M89" s="481" t="s">
        <v>487</v>
      </c>
      <c r="N89" s="481"/>
      <c r="O89" s="481" t="s">
        <v>487</v>
      </c>
      <c r="P89" s="481"/>
      <c r="Q89" s="481" t="s">
        <v>487</v>
      </c>
      <c r="R89" s="481" t="s">
        <v>487</v>
      </c>
      <c r="S89" s="481" t="s">
        <v>487</v>
      </c>
      <c r="T89" s="481" t="s">
        <v>487</v>
      </c>
      <c r="U89" s="481" t="s">
        <v>487</v>
      </c>
      <c r="V89" s="481" t="s">
        <v>487</v>
      </c>
      <c r="W89" s="481" t="s">
        <v>487</v>
      </c>
      <c r="X89" s="481" t="s">
        <v>487</v>
      </c>
      <c r="Y89" s="481" t="s">
        <v>487</v>
      </c>
      <c r="Z89" s="481"/>
      <c r="AA89" t="s">
        <v>284</v>
      </c>
      <c r="AB89" t="s">
        <v>586</v>
      </c>
      <c r="AC89" t="s">
        <v>582</v>
      </c>
      <c r="AD89" t="s">
        <v>587</v>
      </c>
      <c r="AE89" t="s">
        <v>588</v>
      </c>
      <c r="AF89">
        <v>1.66E-4</v>
      </c>
      <c r="AG89" t="s">
        <v>589</v>
      </c>
    </row>
    <row r="90" spans="11:35" x14ac:dyDescent="0.2">
      <c r="S90" s="483"/>
      <c r="T90" s="483"/>
      <c r="U90" s="483"/>
      <c r="W90" s="483"/>
      <c r="AB90" s="254"/>
    </row>
    <row r="91" spans="11:35" x14ac:dyDescent="0.2">
      <c r="K91" s="526"/>
      <c r="L91">
        <f>L49</f>
        <v>1</v>
      </c>
      <c r="M91" s="327" t="s">
        <v>590</v>
      </c>
      <c r="N91" s="527">
        <v>15000</v>
      </c>
      <c r="O91" s="482">
        <v>15000</v>
      </c>
      <c r="P91" s="482">
        <v>15000</v>
      </c>
      <c r="Q91" s="482"/>
      <c r="R91" s="482">
        <v>17315581</v>
      </c>
      <c r="S91" s="483">
        <v>160725</v>
      </c>
      <c r="T91" s="483">
        <v>904464.57</v>
      </c>
      <c r="U91" s="285">
        <f t="shared" ref="U91:U102" si="17">SUM(O113:V113)</f>
        <v>209436.84</v>
      </c>
      <c r="V91" s="483"/>
      <c r="W91" s="483">
        <f t="shared" ref="W91:W102" si="18">SUM(S91:V91)</f>
        <v>1274626.4099999999</v>
      </c>
      <c r="X91" s="483">
        <v>1282332.8600000001</v>
      </c>
      <c r="Y91" s="483">
        <f t="shared" ref="Y91:Y100" si="19">X91-W91</f>
        <v>7706.4500000001863</v>
      </c>
      <c r="Z91" s="483"/>
      <c r="AA91" s="275">
        <v>7045537</v>
      </c>
      <c r="AB91" s="275">
        <f>R91-AA91</f>
        <v>10270044</v>
      </c>
      <c r="AC91" s="294">
        <f>359784.65+2226.07+7045.54+3976.37+552.07+140104.7</f>
        <v>513689.4</v>
      </c>
      <c r="AD91" s="487">
        <f t="shared" ref="AD91:AD101" si="20">(S91+AC91+V91+U91+(AB$86*AB91))-W91</f>
        <v>4.2000000830739737E-3</v>
      </c>
      <c r="AE91" s="275">
        <v>40231613</v>
      </c>
      <c r="AF91" s="294">
        <f>ROUND(AE91*$AF$89,2)</f>
        <v>6678.45</v>
      </c>
      <c r="AG91" s="294">
        <v>1028</v>
      </c>
      <c r="AH91" s="487">
        <f t="shared" ref="AH91:AH101" si="21">AF91+AG91-Y91</f>
        <v>-1.8644641386345029E-10</v>
      </c>
      <c r="AI91" s="528"/>
    </row>
    <row r="92" spans="11:35" x14ac:dyDescent="0.2">
      <c r="K92" s="526"/>
      <c r="M92" t="s">
        <v>492</v>
      </c>
      <c r="N92" s="527">
        <v>15000</v>
      </c>
      <c r="O92" s="482">
        <v>15000</v>
      </c>
      <c r="P92" s="482">
        <v>15000</v>
      </c>
      <c r="Q92" s="482"/>
      <c r="R92" s="482">
        <v>17705434</v>
      </c>
      <c r="S92" s="483">
        <v>160725</v>
      </c>
      <c r="T92" s="483">
        <v>982075.5</v>
      </c>
      <c r="U92" s="285">
        <f t="shared" si="17"/>
        <v>185333.45</v>
      </c>
      <c r="V92" s="483"/>
      <c r="W92" s="483">
        <f t="shared" si="18"/>
        <v>1328133.95</v>
      </c>
      <c r="X92" s="483">
        <v>1337276.73</v>
      </c>
      <c r="Y92" s="485">
        <f t="shared" si="19"/>
        <v>9142.7800000000279</v>
      </c>
      <c r="Z92" s="483"/>
      <c r="AA92" s="275">
        <v>6905434</v>
      </c>
      <c r="AB92" s="275">
        <f t="shared" ref="AB92:AB102" si="22">R92-AA92</f>
        <v>10800000</v>
      </c>
      <c r="AC92" s="294">
        <f>447309.71+2456.66+6905.43+3976.37+1378.47+109108.86</f>
        <v>571135.5</v>
      </c>
      <c r="AD92" s="487">
        <f t="shared" si="20"/>
        <v>0</v>
      </c>
      <c r="AE92" s="275">
        <v>48884203</v>
      </c>
      <c r="AF92" s="294">
        <f t="shared" ref="AF92:AF102" si="23">ROUND(AE92*$AF$89,2)</f>
        <v>8114.78</v>
      </c>
      <c r="AG92" s="294">
        <v>1028</v>
      </c>
      <c r="AH92" s="487">
        <f t="shared" si="21"/>
        <v>-2.9103830456733704E-11</v>
      </c>
      <c r="AI92" s="528"/>
    </row>
    <row r="93" spans="11:35" x14ac:dyDescent="0.2">
      <c r="K93" s="526"/>
      <c r="M93" t="s">
        <v>493</v>
      </c>
      <c r="N93" s="527">
        <v>15000</v>
      </c>
      <c r="O93" s="482">
        <v>15000</v>
      </c>
      <c r="P93" s="482">
        <v>15000</v>
      </c>
      <c r="Q93" s="482"/>
      <c r="R93" s="482">
        <v>21476545</v>
      </c>
      <c r="S93" s="483">
        <v>160725</v>
      </c>
      <c r="T93" s="483">
        <v>1402790.86</v>
      </c>
      <c r="U93" s="285">
        <f t="shared" si="17"/>
        <v>208166.56</v>
      </c>
      <c r="V93" s="483"/>
      <c r="W93" s="483">
        <f t="shared" si="18"/>
        <v>1771682.4200000002</v>
      </c>
      <c r="X93" s="483">
        <v>1781190.15</v>
      </c>
      <c r="Y93" s="483">
        <f t="shared" si="19"/>
        <v>9507.7299999997485</v>
      </c>
      <c r="Z93" s="483"/>
      <c r="AA93" s="275">
        <v>10329206</v>
      </c>
      <c r="AB93" s="275">
        <f t="shared" si="22"/>
        <v>11147339</v>
      </c>
      <c r="AC93" s="294">
        <f>821720.24+2800.24+10329.21+3976.37+69.63+139738.92</f>
        <v>978634.61</v>
      </c>
      <c r="AD93" s="487">
        <f t="shared" si="20"/>
        <v>-1.050000311806798E-3</v>
      </c>
      <c r="AE93" s="275">
        <v>51082704</v>
      </c>
      <c r="AF93" s="294">
        <f t="shared" si="23"/>
        <v>8479.73</v>
      </c>
      <c r="AG93" s="294">
        <v>1028</v>
      </c>
      <c r="AH93" s="487">
        <f t="shared" si="21"/>
        <v>2.5102053768932819E-10</v>
      </c>
      <c r="AI93" s="528"/>
    </row>
    <row r="94" spans="11:35" x14ac:dyDescent="0.2">
      <c r="K94" s="526"/>
      <c r="M94" t="s">
        <v>494</v>
      </c>
      <c r="N94" s="527">
        <v>15000</v>
      </c>
      <c r="O94" s="482">
        <v>15000</v>
      </c>
      <c r="P94" s="482">
        <v>15000</v>
      </c>
      <c r="Q94" s="482"/>
      <c r="R94" s="482">
        <v>22178297</v>
      </c>
      <c r="S94" s="483">
        <v>160725</v>
      </c>
      <c r="T94" s="483">
        <v>1686082.42</v>
      </c>
      <c r="U94" s="285">
        <f t="shared" si="17"/>
        <v>84737.71</v>
      </c>
      <c r="V94" s="483"/>
      <c r="W94" s="483">
        <f t="shared" si="18"/>
        <v>1931545.13</v>
      </c>
      <c r="X94" s="483">
        <v>1940575.36</v>
      </c>
      <c r="Y94" s="483">
        <f t="shared" si="19"/>
        <v>9030.2300000002142</v>
      </c>
      <c r="Z94" s="483"/>
      <c r="AA94" s="275">
        <v>11382053</v>
      </c>
      <c r="AB94" s="275">
        <f t="shared" si="22"/>
        <v>10796244</v>
      </c>
      <c r="AC94" s="294">
        <f>1119141.96+3216.55+11382.05+3976.37+436.76+137131.65</f>
        <v>1275285.3400000001</v>
      </c>
      <c r="AD94" s="487">
        <f t="shared" si="20"/>
        <v>4.2000000830739737E-3</v>
      </c>
      <c r="AE94" s="275">
        <v>48206223</v>
      </c>
      <c r="AF94" s="294">
        <f t="shared" si="23"/>
        <v>8002.23</v>
      </c>
      <c r="AG94" s="294">
        <v>1028</v>
      </c>
      <c r="AH94" s="487">
        <f t="shared" si="21"/>
        <v>-2.1464074961841106E-10</v>
      </c>
      <c r="AI94" s="528"/>
    </row>
    <row r="95" spans="11:35" x14ac:dyDescent="0.2">
      <c r="K95" s="526"/>
      <c r="M95" t="s">
        <v>495</v>
      </c>
      <c r="N95" s="527">
        <v>15000</v>
      </c>
      <c r="O95" s="482">
        <v>35000</v>
      </c>
      <c r="P95" s="482">
        <v>35000</v>
      </c>
      <c r="Q95" s="482"/>
      <c r="R95" s="482">
        <v>21313897</v>
      </c>
      <c r="S95" s="483">
        <v>375025</v>
      </c>
      <c r="T95" s="483">
        <v>1070599.6200000001</v>
      </c>
      <c r="U95" s="285">
        <f t="shared" si="17"/>
        <v>440931.39</v>
      </c>
      <c r="V95" s="483"/>
      <c r="W95" s="483">
        <f t="shared" si="18"/>
        <v>1886556.0100000002</v>
      </c>
      <c r="X95" s="483">
        <v>1896047.25</v>
      </c>
      <c r="Y95" s="483">
        <f t="shared" si="19"/>
        <v>9491.2399999997579</v>
      </c>
      <c r="Z95" s="483"/>
      <c r="AA95" s="275">
        <v>1984145</v>
      </c>
      <c r="AB95" s="275">
        <f t="shared" si="22"/>
        <v>19329752</v>
      </c>
      <c r="AC95" s="294">
        <f>246141.05+1214.14+1984.15+3976.37+861.5+80925.35</f>
        <v>335102.56</v>
      </c>
      <c r="AD95" s="487">
        <f t="shared" si="20"/>
        <v>3.599999938160181E-3</v>
      </c>
      <c r="AE95" s="275">
        <v>50983364</v>
      </c>
      <c r="AF95" s="294">
        <f t="shared" si="23"/>
        <v>8463.24</v>
      </c>
      <c r="AG95" s="294">
        <v>1028</v>
      </c>
      <c r="AH95" s="487">
        <f t="shared" si="21"/>
        <v>2.4192559067159891E-10</v>
      </c>
      <c r="AI95" s="528"/>
    </row>
    <row r="96" spans="11:35" x14ac:dyDescent="0.2">
      <c r="K96" s="526"/>
      <c r="M96" t="s">
        <v>496</v>
      </c>
      <c r="N96" s="527">
        <v>15000</v>
      </c>
      <c r="O96" s="482">
        <v>35000</v>
      </c>
      <c r="P96" s="482">
        <v>35000</v>
      </c>
      <c r="Q96" s="482"/>
      <c r="R96" s="482">
        <v>20059758</v>
      </c>
      <c r="S96" s="483">
        <v>375025</v>
      </c>
      <c r="T96" s="483">
        <v>1038340.21</v>
      </c>
      <c r="U96" s="285">
        <f t="shared" si="17"/>
        <v>440529.98</v>
      </c>
      <c r="V96" s="483"/>
      <c r="W96" s="483">
        <f t="shared" si="18"/>
        <v>1853895.19</v>
      </c>
      <c r="X96" s="483">
        <v>1863312.5</v>
      </c>
      <c r="Y96" s="483">
        <f t="shared" si="19"/>
        <v>9417.3100000000559</v>
      </c>
      <c r="Z96" s="483"/>
      <c r="AA96" s="275">
        <v>1862627</v>
      </c>
      <c r="AB96" s="275">
        <f t="shared" si="22"/>
        <v>18197131</v>
      </c>
      <c r="AC96" s="294">
        <f>254268.95+1614.98+1862.63+3976.37-273.24+84489.69</f>
        <v>345939.38</v>
      </c>
      <c r="AD96" s="487">
        <f t="shared" si="20"/>
        <v>4.5499999541789293E-3</v>
      </c>
      <c r="AE96" s="275">
        <v>50537988</v>
      </c>
      <c r="AF96" s="294">
        <f t="shared" si="23"/>
        <v>8389.31</v>
      </c>
      <c r="AG96" s="294">
        <v>1028</v>
      </c>
      <c r="AH96" s="487">
        <f t="shared" si="21"/>
        <v>-5.6388671509921551E-11</v>
      </c>
      <c r="AI96" s="528"/>
    </row>
    <row r="97" spans="9:35" x14ac:dyDescent="0.2">
      <c r="K97" s="526"/>
      <c r="M97" t="s">
        <v>497</v>
      </c>
      <c r="N97" s="527">
        <v>15000</v>
      </c>
      <c r="O97" s="482">
        <v>35000</v>
      </c>
      <c r="P97" s="482">
        <v>35000</v>
      </c>
      <c r="Q97" s="482"/>
      <c r="R97" s="482">
        <v>16865118</v>
      </c>
      <c r="S97" s="483">
        <v>375025</v>
      </c>
      <c r="T97" s="483">
        <v>852039.2</v>
      </c>
      <c r="U97" s="285">
        <f t="shared" si="17"/>
        <v>617545.11</v>
      </c>
      <c r="V97" s="483"/>
      <c r="W97" s="483">
        <f t="shared" si="18"/>
        <v>1844609.31</v>
      </c>
      <c r="X97" s="483">
        <v>1853824.45</v>
      </c>
      <c r="Y97" s="483">
        <f t="shared" si="19"/>
        <v>9215.1399999998976</v>
      </c>
      <c r="Z97" s="483"/>
      <c r="AA97" s="275">
        <v>1139343</v>
      </c>
      <c r="AB97" s="275">
        <f t="shared" si="22"/>
        <v>15725775</v>
      </c>
      <c r="AC97" s="294">
        <f>169524.72+1204.85+1139.34+3976.37+2938.83+74889.35</f>
        <v>253673.46</v>
      </c>
      <c r="AD97" s="487">
        <f t="shared" si="20"/>
        <v>-1.2500002048909664E-3</v>
      </c>
      <c r="AE97" s="275">
        <v>49320109</v>
      </c>
      <c r="AF97" s="294">
        <f t="shared" si="23"/>
        <v>8187.14</v>
      </c>
      <c r="AG97" s="294">
        <v>1028</v>
      </c>
      <c r="AH97" s="487">
        <f t="shared" si="21"/>
        <v>1.0186340659856796E-10</v>
      </c>
      <c r="AI97" s="528"/>
    </row>
    <row r="98" spans="9:35" x14ac:dyDescent="0.2">
      <c r="K98" s="526"/>
      <c r="M98" t="s">
        <v>498</v>
      </c>
      <c r="N98" s="527">
        <v>15000</v>
      </c>
      <c r="O98" s="482">
        <v>35000</v>
      </c>
      <c r="P98" s="482">
        <v>35000</v>
      </c>
      <c r="Q98" s="482"/>
      <c r="R98" s="482">
        <v>24909163</v>
      </c>
      <c r="S98" s="483">
        <v>375025</v>
      </c>
      <c r="T98" s="483">
        <v>1258857.1599999999</v>
      </c>
      <c r="U98" s="285">
        <f t="shared" si="17"/>
        <v>630473.65000000014</v>
      </c>
      <c r="V98" s="483"/>
      <c r="W98" s="483">
        <f t="shared" si="18"/>
        <v>2264355.81</v>
      </c>
      <c r="X98" s="483">
        <v>2273634.34</v>
      </c>
      <c r="Y98" s="483">
        <f t="shared" si="19"/>
        <v>9278.5299999997951</v>
      </c>
      <c r="Z98" s="483"/>
      <c r="AA98" s="275">
        <v>6646677</v>
      </c>
      <c r="AB98" s="275">
        <f t="shared" si="22"/>
        <v>18262486</v>
      </c>
      <c r="AC98" s="294">
        <f>456796.04+1926.05+6646.68+3976.37+9109.38+85515.05</f>
        <v>563969.56999999995</v>
      </c>
      <c r="AD98" s="487">
        <f t="shared" si="20"/>
        <v>2.3000002838671207E-3</v>
      </c>
      <c r="AE98" s="275">
        <v>49701996</v>
      </c>
      <c r="AF98" s="294">
        <f t="shared" si="23"/>
        <v>8250.5300000000007</v>
      </c>
      <c r="AG98" s="294">
        <v>1028</v>
      </c>
      <c r="AH98" s="487">
        <f t="shared" si="21"/>
        <v>2.0554580260068178E-10</v>
      </c>
      <c r="AI98" s="528"/>
    </row>
    <row r="99" spans="9:35" x14ac:dyDescent="0.2">
      <c r="K99" s="526"/>
      <c r="M99" t="s">
        <v>499</v>
      </c>
      <c r="N99" s="527">
        <v>15000</v>
      </c>
      <c r="O99" s="482">
        <v>35000</v>
      </c>
      <c r="P99" s="482">
        <v>35000</v>
      </c>
      <c r="Q99" s="482"/>
      <c r="R99" s="482">
        <v>15356563</v>
      </c>
      <c r="S99" s="483">
        <v>375025</v>
      </c>
      <c r="T99" s="294">
        <v>748686.45</v>
      </c>
      <c r="U99" s="285">
        <f t="shared" si="17"/>
        <v>417443.70999999996</v>
      </c>
      <c r="V99" s="483"/>
      <c r="W99" s="483">
        <f t="shared" si="18"/>
        <v>1541155.16</v>
      </c>
      <c r="X99" s="483">
        <v>1550388.81</v>
      </c>
      <c r="Y99" s="483">
        <f t="shared" si="19"/>
        <v>9233.6500000001397</v>
      </c>
      <c r="Z99" s="483"/>
      <c r="AA99" s="275">
        <v>300431</v>
      </c>
      <c r="AB99" s="275">
        <f t="shared" si="22"/>
        <v>15056132</v>
      </c>
      <c r="AC99" s="294">
        <f>95956.03+1005.21+300.43+3976.37-1968.18+76530.77</f>
        <v>175800.63</v>
      </c>
      <c r="AD99" s="487">
        <f t="shared" si="20"/>
        <v>2.6000000070780516E-3</v>
      </c>
      <c r="AE99" s="275">
        <v>49431646</v>
      </c>
      <c r="AF99" s="294">
        <f t="shared" si="23"/>
        <v>8205.65</v>
      </c>
      <c r="AG99" s="294">
        <v>1028</v>
      </c>
      <c r="AH99" s="487">
        <f t="shared" si="21"/>
        <v>-1.4006218407303095E-10</v>
      </c>
      <c r="AI99" s="528"/>
    </row>
    <row r="100" spans="9:35" x14ac:dyDescent="0.2">
      <c r="K100" s="526"/>
      <c r="M100" t="s">
        <v>500</v>
      </c>
      <c r="N100" s="527">
        <v>15000</v>
      </c>
      <c r="O100" s="482">
        <v>35000</v>
      </c>
      <c r="P100" s="482">
        <v>35000</v>
      </c>
      <c r="Q100" s="482"/>
      <c r="R100" s="482">
        <v>24008756</v>
      </c>
      <c r="S100" s="483">
        <v>375025</v>
      </c>
      <c r="T100" s="483">
        <v>1245238.1200000001</v>
      </c>
      <c r="U100" s="285">
        <f t="shared" si="17"/>
        <v>483330.60999999987</v>
      </c>
      <c r="V100" s="483"/>
      <c r="W100" s="483">
        <f t="shared" si="18"/>
        <v>2103593.73</v>
      </c>
      <c r="X100" s="483">
        <v>2112027.59</v>
      </c>
      <c r="Y100" s="483">
        <f t="shared" si="19"/>
        <v>8433.8599999998696</v>
      </c>
      <c r="Z100" s="483"/>
      <c r="AA100" s="275">
        <v>4689065</v>
      </c>
      <c r="AB100" s="275">
        <f t="shared" si="22"/>
        <v>19319691</v>
      </c>
      <c r="AC100" s="294">
        <f>443570.34+1656.76+4689.07+3976.37+-48.11+56279.45</f>
        <v>510123.88000000006</v>
      </c>
      <c r="AD100" s="487">
        <f t="shared" si="20"/>
        <v>2.5499998591840267E-3</v>
      </c>
      <c r="AE100" s="275">
        <v>44613585</v>
      </c>
      <c r="AF100" s="294">
        <f t="shared" si="23"/>
        <v>7405.86</v>
      </c>
      <c r="AG100" s="294">
        <v>1028</v>
      </c>
      <c r="AH100" s="487">
        <f t="shared" si="21"/>
        <v>1.3096723705530167E-10</v>
      </c>
      <c r="AI100" s="528"/>
    </row>
    <row r="101" spans="9:35" x14ac:dyDescent="0.2">
      <c r="J101" s="483"/>
      <c r="K101" s="526"/>
      <c r="M101" s="327" t="s">
        <v>591</v>
      </c>
      <c r="N101" s="527">
        <v>35000</v>
      </c>
      <c r="O101" s="482">
        <v>35000</v>
      </c>
      <c r="P101" s="482">
        <v>35000</v>
      </c>
      <c r="Q101" s="482"/>
      <c r="R101" s="482">
        <v>32479240</v>
      </c>
      <c r="S101" s="483">
        <v>375025</v>
      </c>
      <c r="T101" s="483">
        <v>1332404.1499999999</v>
      </c>
      <c r="U101" s="285">
        <f t="shared" si="17"/>
        <v>539882.97</v>
      </c>
      <c r="V101" s="483"/>
      <c r="W101" s="483">
        <f t="shared" si="18"/>
        <v>2247312.12</v>
      </c>
      <c r="X101" s="483">
        <v>2256364.6800000002</v>
      </c>
      <c r="Y101" s="483">
        <f>X101-W101</f>
        <v>9052.5600000000559</v>
      </c>
      <c r="Z101" s="483"/>
      <c r="AA101" s="275">
        <v>11383108</v>
      </c>
      <c r="AB101" s="275">
        <f t="shared" si="22"/>
        <v>21096132</v>
      </c>
      <c r="AC101" s="294">
        <f>477190.82+1734.14+11383.11+3976.37+798.72+34613.17</f>
        <v>529696.32999999996</v>
      </c>
      <c r="AD101" s="487">
        <f t="shared" si="20"/>
        <v>2.5999997742474079E-3</v>
      </c>
      <c r="AE101" s="275">
        <v>48340740</v>
      </c>
      <c r="AF101" s="294">
        <f t="shared" si="23"/>
        <v>8024.56</v>
      </c>
      <c r="AG101" s="294">
        <v>1028</v>
      </c>
      <c r="AH101" s="487">
        <f t="shared" si="21"/>
        <v>-5.4569682106375694E-11</v>
      </c>
      <c r="AI101" s="528"/>
    </row>
    <row r="102" spans="9:35" x14ac:dyDescent="0.2">
      <c r="I102">
        <f>340000</f>
        <v>340000</v>
      </c>
      <c r="L102">
        <f>L60</f>
        <v>12</v>
      </c>
      <c r="M102" s="327" t="s">
        <v>565</v>
      </c>
      <c r="N102" s="527">
        <v>35000</v>
      </c>
      <c r="O102" s="482">
        <v>35000</v>
      </c>
      <c r="P102" s="482">
        <v>35000</v>
      </c>
      <c r="Q102" s="482"/>
      <c r="R102" s="482">
        <v>13634352</v>
      </c>
      <c r="S102" s="483">
        <v>375025</v>
      </c>
      <c r="T102" s="483">
        <v>660992.29</v>
      </c>
      <c r="U102" s="285">
        <f t="shared" si="17"/>
        <v>183065.27</v>
      </c>
      <c r="V102" s="483"/>
      <c r="W102" s="483">
        <f t="shared" si="18"/>
        <v>1219082.56</v>
      </c>
      <c r="X102" s="483">
        <v>1227706.78</v>
      </c>
      <c r="Y102" s="483">
        <f t="shared" ref="Y102" si="24">X102-W102</f>
        <v>8624.2199999999721</v>
      </c>
      <c r="Z102" s="483"/>
      <c r="AA102" s="275">
        <v>876955</v>
      </c>
      <c r="AB102" s="275">
        <f t="shared" si="22"/>
        <v>12757397</v>
      </c>
      <c r="AC102" s="294">
        <f>98775.07+1215.69+876.96+3976.37+2780.92+67948.32</f>
        <v>175573.33000000002</v>
      </c>
      <c r="AD102" s="487">
        <f>(S102+AC102+V102+U102+(AB$86*AB102))-W102</f>
        <v>-4.1499999351799488E-3</v>
      </c>
      <c r="AE102" s="275">
        <v>45760333</v>
      </c>
      <c r="AF102" s="294">
        <f t="shared" si="23"/>
        <v>7596.22</v>
      </c>
      <c r="AG102" s="294">
        <v>1028</v>
      </c>
      <c r="AH102" s="487">
        <f>AF102+AG102-Y102</f>
        <v>2.9103830456733704E-11</v>
      </c>
      <c r="AI102" s="528"/>
    </row>
    <row r="103" spans="9:35" ht="15.75" x14ac:dyDescent="0.25">
      <c r="I103">
        <v>10.715</v>
      </c>
      <c r="N103" s="529"/>
      <c r="O103" s="488" t="s">
        <v>487</v>
      </c>
      <c r="Q103" s="488" t="s">
        <v>487</v>
      </c>
      <c r="R103" s="488" t="s">
        <v>487</v>
      </c>
      <c r="S103" s="489" t="s">
        <v>487</v>
      </c>
      <c r="T103" s="489" t="s">
        <v>487</v>
      </c>
      <c r="U103" s="489" t="s">
        <v>487</v>
      </c>
      <c r="V103" s="481" t="s">
        <v>487</v>
      </c>
      <c r="W103" s="489" t="s">
        <v>487</v>
      </c>
      <c r="X103" s="489" t="s">
        <v>487</v>
      </c>
      <c r="Y103" s="489" t="s">
        <v>487</v>
      </c>
      <c r="Z103" s="489"/>
      <c r="AD103" s="270">
        <f>SUM(AD91:AD102)</f>
        <v>2.0149999530985951E-2</v>
      </c>
      <c r="AI103" s="528"/>
    </row>
    <row r="104" spans="9:35" x14ac:dyDescent="0.2">
      <c r="I104">
        <f>I102*I103</f>
        <v>3643100</v>
      </c>
      <c r="O104" s="482"/>
      <c r="Q104" s="482"/>
      <c r="R104" s="482"/>
      <c r="S104" s="483"/>
      <c r="T104" s="483"/>
      <c r="U104" s="483"/>
      <c r="W104" s="483"/>
      <c r="X104" s="483"/>
      <c r="Y104" s="483"/>
      <c r="Z104" s="483"/>
      <c r="AC104" s="275"/>
    </row>
    <row r="105" spans="9:35" x14ac:dyDescent="0.2">
      <c r="O105" s="482">
        <f>SUM(O91:O102)</f>
        <v>340000</v>
      </c>
      <c r="P105" s="482">
        <f>SUM(P91:P102)</f>
        <v>340000</v>
      </c>
      <c r="Q105" s="482">
        <v>0</v>
      </c>
      <c r="R105" s="482">
        <f t="shared" ref="R105:Y105" si="25">SUM(R91:R102)</f>
        <v>247302704</v>
      </c>
      <c r="S105" s="254">
        <f t="shared" si="25"/>
        <v>3643100</v>
      </c>
      <c r="T105" s="254">
        <f t="shared" si="25"/>
        <v>13182570.550000001</v>
      </c>
      <c r="U105" s="254">
        <f t="shared" si="25"/>
        <v>4440877.25</v>
      </c>
      <c r="V105" s="254">
        <f t="shared" si="25"/>
        <v>0</v>
      </c>
      <c r="W105" s="254">
        <f t="shared" si="25"/>
        <v>21266547.800000001</v>
      </c>
      <c r="X105" s="254">
        <f t="shared" si="25"/>
        <v>21374681.5</v>
      </c>
      <c r="Y105" s="254">
        <f t="shared" si="25"/>
        <v>108133.69999999972</v>
      </c>
      <c r="Z105" s="483"/>
      <c r="AA105" s="270">
        <f>SUM(AA91:AA102)</f>
        <v>64544581</v>
      </c>
      <c r="AB105" s="270">
        <f>SUM(AB91:AB102)</f>
        <v>182758123</v>
      </c>
      <c r="AC105" s="270">
        <f>SUM(AC91:AC102)</f>
        <v>6228623.9900000002</v>
      </c>
      <c r="AD105" s="483"/>
      <c r="AE105" s="270">
        <f>SUM(AE91:AE102)</f>
        <v>577094504</v>
      </c>
      <c r="AF105" s="270">
        <f t="shared" ref="AF105:AG105" si="26">SUM(AF91:AF102)</f>
        <v>95797.7</v>
      </c>
      <c r="AG105" s="270">
        <f t="shared" si="26"/>
        <v>12336</v>
      </c>
      <c r="AH105" s="270">
        <f>AF105+AG105</f>
        <v>108133.7</v>
      </c>
      <c r="AI105" s="483"/>
    </row>
    <row r="106" spans="9:35" x14ac:dyDescent="0.2">
      <c r="K106">
        <v>340000</v>
      </c>
      <c r="O106" s="488" t="s">
        <v>501</v>
      </c>
      <c r="Q106" s="488" t="s">
        <v>501</v>
      </c>
      <c r="R106" s="488" t="s">
        <v>501</v>
      </c>
      <c r="S106" s="489" t="s">
        <v>501</v>
      </c>
      <c r="T106" s="489" t="s">
        <v>501</v>
      </c>
      <c r="U106" s="489" t="s">
        <v>501</v>
      </c>
      <c r="V106" s="489" t="s">
        <v>501</v>
      </c>
      <c r="W106" s="489" t="s">
        <v>501</v>
      </c>
      <c r="X106" s="489" t="s">
        <v>501</v>
      </c>
      <c r="Y106" s="489" t="s">
        <v>501</v>
      </c>
      <c r="Z106" s="489"/>
      <c r="AE106" s="270">
        <f>AB105</f>
        <v>182758123</v>
      </c>
      <c r="AF106" t="s">
        <v>592</v>
      </c>
    </row>
    <row r="107" spans="9:35" x14ac:dyDescent="0.2">
      <c r="K107">
        <v>10.715</v>
      </c>
      <c r="M107" t="s">
        <v>593</v>
      </c>
      <c r="O107" s="482"/>
      <c r="R107" s="482"/>
      <c r="S107" s="495"/>
      <c r="T107" s="495"/>
      <c r="U107" s="495"/>
      <c r="W107" s="495"/>
      <c r="X107" s="495"/>
      <c r="AE107" s="270">
        <f>AA105</f>
        <v>64544581</v>
      </c>
      <c r="AF107" s="483" t="s">
        <v>594</v>
      </c>
      <c r="AG107" s="483"/>
    </row>
    <row r="108" spans="9:35" x14ac:dyDescent="0.2">
      <c r="K108">
        <f>K106*K107</f>
        <v>3643100</v>
      </c>
      <c r="Q108" t="s">
        <v>593</v>
      </c>
      <c r="AE108" s="270">
        <f>AE105-AE106-AE107</f>
        <v>329791800</v>
      </c>
      <c r="AF108" t="s">
        <v>595</v>
      </c>
    </row>
    <row r="109" spans="9:35" x14ac:dyDescent="0.2">
      <c r="O109" s="183"/>
      <c r="P109" s="183" t="s">
        <v>549</v>
      </c>
      <c r="Q109" s="183"/>
      <c r="R109" s="183"/>
      <c r="S109" s="183"/>
      <c r="T109" s="183"/>
      <c r="U109" s="183"/>
      <c r="V109" s="183"/>
      <c r="W109" s="183"/>
      <c r="X109" s="183"/>
      <c r="Y109" s="183"/>
    </row>
    <row r="110" spans="9:35" x14ac:dyDescent="0.2">
      <c r="M110" s="183"/>
      <c r="N110" s="183"/>
      <c r="O110" s="183" t="s">
        <v>550</v>
      </c>
      <c r="P110" s="183" t="s">
        <v>551</v>
      </c>
      <c r="Q110" s="183" t="s">
        <v>552</v>
      </c>
      <c r="R110" s="183" t="s">
        <v>555</v>
      </c>
      <c r="S110" s="183" t="s">
        <v>596</v>
      </c>
      <c r="T110" s="183" t="s">
        <v>553</v>
      </c>
      <c r="U110" s="183" t="s">
        <v>554</v>
      </c>
      <c r="V110" s="183" t="s">
        <v>556</v>
      </c>
      <c r="W110" s="183"/>
      <c r="X110" s="183"/>
      <c r="Y110" s="183"/>
      <c r="Z110" s="183"/>
      <c r="AA110" s="183"/>
      <c r="AB110" s="183"/>
      <c r="AC110" s="183"/>
      <c r="AD110" s="183"/>
      <c r="AE110" s="530">
        <f>AE106+AE107+AE108</f>
        <v>577094504</v>
      </c>
      <c r="AF110" s="183"/>
      <c r="AG110" s="183"/>
      <c r="AH110" s="183"/>
      <c r="AI110" s="183"/>
    </row>
    <row r="111" spans="9:35" x14ac:dyDescent="0.2">
      <c r="M111" s="183"/>
      <c r="N111" s="183"/>
      <c r="O111" s="521" t="s">
        <v>471</v>
      </c>
      <c r="P111" s="521" t="s">
        <v>558</v>
      </c>
      <c r="Q111" s="521" t="s">
        <v>559</v>
      </c>
      <c r="R111" s="521" t="s">
        <v>562</v>
      </c>
      <c r="S111" s="521" t="s">
        <v>597</v>
      </c>
      <c r="T111" s="521" t="s">
        <v>560</v>
      </c>
      <c r="U111" s="521" t="s">
        <v>561</v>
      </c>
      <c r="V111" s="521" t="s">
        <v>563</v>
      </c>
      <c r="W111" s="521"/>
      <c r="X111" s="521"/>
      <c r="Y111" s="523" t="s">
        <v>84</v>
      </c>
      <c r="Z111" s="183"/>
      <c r="AA111" s="183"/>
      <c r="AB111" s="183"/>
      <c r="AC111" s="183"/>
      <c r="AD111" s="183"/>
      <c r="AE111" s="183"/>
      <c r="AF111" s="183"/>
      <c r="AG111" s="183"/>
      <c r="AH111" s="183"/>
      <c r="AI111" s="183"/>
    </row>
    <row r="112" spans="9:35" ht="15.75" x14ac:dyDescent="0.25">
      <c r="M112" s="183"/>
      <c r="N112" s="183"/>
      <c r="O112" s="529"/>
      <c r="P112" s="529"/>
      <c r="Q112" s="529"/>
      <c r="R112" s="531"/>
      <c r="S112" s="531"/>
      <c r="T112" s="531"/>
      <c r="U112" s="531"/>
      <c r="V112" s="531"/>
      <c r="W112" s="529"/>
      <c r="X112" s="531"/>
      <c r="Y112" s="183"/>
      <c r="Z112" s="183"/>
      <c r="AA112" s="183"/>
      <c r="AB112" s="183"/>
      <c r="AC112" s="183"/>
      <c r="AD112" s="183"/>
      <c r="AE112" s="183"/>
      <c r="AF112" s="183"/>
      <c r="AG112" s="183"/>
      <c r="AH112" s="183"/>
      <c r="AI112" s="183"/>
    </row>
    <row r="113" spans="12:25" x14ac:dyDescent="0.2">
      <c r="L113">
        <f>L91</f>
        <v>1</v>
      </c>
      <c r="M113" t="str">
        <f t="shared" ref="M113:M122" si="27">M91</f>
        <v>Mar 2022</v>
      </c>
      <c r="O113" s="485">
        <v>196917.82</v>
      </c>
      <c r="P113" s="485">
        <v>25603.22</v>
      </c>
      <c r="Q113" s="485">
        <v>41485.96</v>
      </c>
      <c r="R113" s="485">
        <v>-54570.16</v>
      </c>
      <c r="S113" s="482"/>
      <c r="T113" s="482"/>
      <c r="U113" s="482"/>
      <c r="V113" s="482"/>
      <c r="W113" s="482"/>
      <c r="X113" s="482"/>
      <c r="Y113" s="254">
        <f>SUM(O113:X113)</f>
        <v>209436.84</v>
      </c>
    </row>
    <row r="114" spans="12:25" x14ac:dyDescent="0.2">
      <c r="M114" t="str">
        <f t="shared" si="27"/>
        <v>APR</v>
      </c>
      <c r="O114" s="485">
        <v>164451.6</v>
      </c>
      <c r="P114" s="485">
        <v>26924.400000000001</v>
      </c>
      <c r="Q114" s="485">
        <v>49699.7</v>
      </c>
      <c r="R114" s="485">
        <v>-55742.25</v>
      </c>
      <c r="S114" s="482"/>
      <c r="T114" s="482"/>
      <c r="U114" s="482"/>
      <c r="V114" s="482"/>
      <c r="W114" s="482"/>
      <c r="X114" s="482"/>
      <c r="Y114" s="254">
        <f t="shared" ref="Y114:Y125" si="28">SUM(O114:X114)</f>
        <v>185333.45</v>
      </c>
    </row>
    <row r="115" spans="12:25" x14ac:dyDescent="0.2">
      <c r="M115" t="str">
        <f t="shared" si="27"/>
        <v>MAY</v>
      </c>
      <c r="O115" s="485">
        <v>201465.86</v>
      </c>
      <c r="P115" s="485">
        <v>27790.32</v>
      </c>
      <c r="Q115" s="485">
        <v>35146.74</v>
      </c>
      <c r="R115" s="485">
        <v>-56236.36</v>
      </c>
      <c r="S115" s="482"/>
      <c r="T115" s="482"/>
      <c r="U115" s="482"/>
      <c r="V115" s="482"/>
      <c r="W115" s="482"/>
      <c r="X115" s="482"/>
      <c r="Y115" s="254">
        <f t="shared" si="28"/>
        <v>208166.56</v>
      </c>
    </row>
    <row r="116" spans="12:25" x14ac:dyDescent="0.2">
      <c r="M116" t="str">
        <f t="shared" si="27"/>
        <v>JUN</v>
      </c>
      <c r="O116" s="532">
        <v>66871.94</v>
      </c>
      <c r="P116" s="532">
        <v>26915.040000000001</v>
      </c>
      <c r="Q116" s="532">
        <v>42485.37</v>
      </c>
      <c r="R116" s="532">
        <v>-51534.64</v>
      </c>
      <c r="S116" s="482"/>
      <c r="T116" s="482"/>
      <c r="U116" s="482"/>
      <c r="V116" s="482"/>
      <c r="W116" s="482"/>
      <c r="X116" s="482"/>
      <c r="Y116" s="254">
        <f t="shared" si="28"/>
        <v>84737.71</v>
      </c>
    </row>
    <row r="117" spans="12:25" x14ac:dyDescent="0.2">
      <c r="M117" t="str">
        <f t="shared" si="27"/>
        <v>JUL</v>
      </c>
      <c r="O117" s="486">
        <v>395602.7</v>
      </c>
      <c r="P117" s="486">
        <v>48189.07</v>
      </c>
      <c r="Q117" s="486">
        <v>71040.600000000006</v>
      </c>
      <c r="R117" s="486">
        <v>-73900.98</v>
      </c>
      <c r="S117" s="482"/>
      <c r="T117" s="482"/>
      <c r="U117" s="482"/>
      <c r="V117" s="482"/>
      <c r="W117" s="482"/>
      <c r="X117" s="482"/>
      <c r="Y117" s="254">
        <f t="shared" si="28"/>
        <v>440931.39</v>
      </c>
    </row>
    <row r="118" spans="12:25" x14ac:dyDescent="0.2">
      <c r="M118" t="str">
        <f t="shared" si="27"/>
        <v>AUG</v>
      </c>
      <c r="O118" s="486">
        <v>404285.66</v>
      </c>
      <c r="P118" s="486">
        <v>45365.45</v>
      </c>
      <c r="Q118" s="486">
        <v>72051.87</v>
      </c>
      <c r="R118" s="486">
        <v>-81173</v>
      </c>
      <c r="S118" s="482"/>
      <c r="T118" s="482"/>
      <c r="U118" s="482"/>
      <c r="V118" s="482"/>
      <c r="W118" s="482"/>
      <c r="X118" s="482"/>
      <c r="Y118" s="254">
        <f t="shared" si="28"/>
        <v>440529.98</v>
      </c>
    </row>
    <row r="119" spans="12:25" x14ac:dyDescent="0.2">
      <c r="M119" t="str">
        <f t="shared" si="27"/>
        <v>SEP</v>
      </c>
      <c r="O119" s="486">
        <v>545055.36</v>
      </c>
      <c r="P119" s="486">
        <v>94653.440000000002</v>
      </c>
      <c r="Q119" s="486">
        <v>49422.45</v>
      </c>
      <c r="R119" s="486">
        <v>-71586.14</v>
      </c>
      <c r="S119" s="482"/>
      <c r="T119" s="482"/>
      <c r="U119" s="482"/>
      <c r="V119" s="482"/>
      <c r="W119" s="482"/>
      <c r="X119" s="482"/>
      <c r="Y119" s="254">
        <f t="shared" si="28"/>
        <v>617545.11</v>
      </c>
    </row>
    <row r="120" spans="12:25" x14ac:dyDescent="0.2">
      <c r="M120" t="str">
        <f t="shared" si="27"/>
        <v>OCT</v>
      </c>
      <c r="O120" s="486">
        <v>527311.02</v>
      </c>
      <c r="P120" s="486">
        <v>109921.9</v>
      </c>
      <c r="Q120" s="486">
        <v>71015.92</v>
      </c>
      <c r="R120" s="486">
        <v>-77775.19</v>
      </c>
      <c r="S120" s="482"/>
      <c r="T120" s="482"/>
      <c r="U120" s="482"/>
      <c r="V120" s="482"/>
      <c r="W120" s="482"/>
      <c r="X120" s="482"/>
      <c r="Y120" s="254">
        <f t="shared" si="28"/>
        <v>630473.65000000014</v>
      </c>
    </row>
    <row r="121" spans="12:25" x14ac:dyDescent="0.2">
      <c r="M121" t="str">
        <f t="shared" si="27"/>
        <v>NOV</v>
      </c>
      <c r="O121" s="294">
        <v>353819.1</v>
      </c>
      <c r="P121" s="294">
        <v>90622.86</v>
      </c>
      <c r="Q121" s="294">
        <v>45923.5</v>
      </c>
      <c r="R121" s="294">
        <v>-72921.75</v>
      </c>
      <c r="S121" s="482"/>
      <c r="T121" s="482"/>
      <c r="U121" s="482"/>
      <c r="V121" s="482"/>
      <c r="W121" s="482"/>
      <c r="X121" s="482"/>
      <c r="Y121" s="254">
        <f t="shared" si="28"/>
        <v>417443.70999999996</v>
      </c>
    </row>
    <row r="122" spans="12:25" x14ac:dyDescent="0.2">
      <c r="M122" t="str">
        <f t="shared" si="27"/>
        <v>DEC</v>
      </c>
      <c r="O122" s="294">
        <v>386992.73</v>
      </c>
      <c r="P122" s="294">
        <v>116285.22</v>
      </c>
      <c r="Q122" s="294">
        <v>65664.19</v>
      </c>
      <c r="R122" s="294">
        <v>-85611.53</v>
      </c>
      <c r="S122" s="482"/>
      <c r="T122" s="482"/>
      <c r="U122" s="482"/>
      <c r="V122" s="482"/>
      <c r="W122" s="482"/>
      <c r="X122" s="482"/>
      <c r="Y122" s="254">
        <f t="shared" si="28"/>
        <v>483330.60999999987</v>
      </c>
    </row>
    <row r="123" spans="12:25" x14ac:dyDescent="0.2">
      <c r="M123" s="327" t="s">
        <v>591</v>
      </c>
      <c r="O123" s="485">
        <v>305598.57</v>
      </c>
      <c r="P123" s="485">
        <v>126977.62</v>
      </c>
      <c r="Q123" s="485">
        <v>171199.33</v>
      </c>
      <c r="R123" s="485">
        <v>-63892.55</v>
      </c>
      <c r="S123" s="482"/>
      <c r="T123" s="482"/>
      <c r="U123" s="482"/>
      <c r="V123" s="482"/>
      <c r="W123" s="482"/>
      <c r="X123" s="482"/>
      <c r="Y123" s="254">
        <f t="shared" si="28"/>
        <v>539882.97</v>
      </c>
    </row>
    <row r="124" spans="12:25" x14ac:dyDescent="0.2">
      <c r="L124">
        <f>L102</f>
        <v>12</v>
      </c>
      <c r="M124" s="327" t="s">
        <v>565</v>
      </c>
      <c r="O124" s="485">
        <v>99915.93</v>
      </c>
      <c r="P124" s="485">
        <v>76786.77</v>
      </c>
      <c r="Q124" s="485">
        <v>52121.42</v>
      </c>
      <c r="R124" s="485">
        <v>-45758.85</v>
      </c>
      <c r="S124" s="482"/>
      <c r="T124" s="482"/>
      <c r="U124" s="482"/>
      <c r="V124" s="482"/>
      <c r="W124" s="482"/>
      <c r="X124" s="482"/>
      <c r="Y124" s="254">
        <f t="shared" si="28"/>
        <v>183065.27</v>
      </c>
    </row>
    <row r="125" spans="12:25" ht="15.75" x14ac:dyDescent="0.25">
      <c r="O125" s="533"/>
      <c r="P125" s="533"/>
      <c r="Q125" s="533"/>
      <c r="R125" s="534"/>
      <c r="S125" s="534"/>
      <c r="T125" s="533"/>
      <c r="U125" s="533"/>
      <c r="V125" s="533"/>
      <c r="W125" s="533"/>
      <c r="X125" s="533"/>
      <c r="Y125" s="254">
        <f t="shared" si="28"/>
        <v>0</v>
      </c>
    </row>
    <row r="126" spans="12:25" ht="13.5" thickBot="1" x14ac:dyDescent="0.25">
      <c r="M126" t="s">
        <v>65</v>
      </c>
      <c r="O126" s="535">
        <f>SUM(O113:O124)</f>
        <v>3648288.29</v>
      </c>
      <c r="P126" s="535">
        <f>SUM(P113:P124)</f>
        <v>816035.30999999994</v>
      </c>
      <c r="Q126" s="535">
        <f t="shared" ref="Q126:Y126" si="29">SUM(Q113:Q124)</f>
        <v>767257.05</v>
      </c>
      <c r="R126" s="535">
        <f t="shared" si="29"/>
        <v>-790703.4</v>
      </c>
      <c r="S126" s="536">
        <f t="shared" si="29"/>
        <v>0</v>
      </c>
      <c r="T126" s="536">
        <f t="shared" si="29"/>
        <v>0</v>
      </c>
      <c r="U126" s="536">
        <f t="shared" si="29"/>
        <v>0</v>
      </c>
      <c r="V126" s="536">
        <f t="shared" si="29"/>
        <v>0</v>
      </c>
      <c r="W126" s="536">
        <f t="shared" si="29"/>
        <v>0</v>
      </c>
      <c r="X126" s="536">
        <f t="shared" si="29"/>
        <v>0</v>
      </c>
      <c r="Y126" s="535">
        <f t="shared" si="29"/>
        <v>4440877.25</v>
      </c>
    </row>
    <row r="127" spans="12:25" ht="16.5" thickTop="1" x14ac:dyDescent="0.25">
      <c r="O127" s="537"/>
      <c r="P127" s="537"/>
      <c r="Q127" s="537"/>
      <c r="R127" s="537"/>
      <c r="S127" s="537"/>
      <c r="T127" s="537"/>
      <c r="U127" s="537"/>
      <c r="V127" s="537"/>
      <c r="W127" s="537"/>
      <c r="X127" s="537"/>
    </row>
    <row r="129" spans="9:28" ht="15.75" x14ac:dyDescent="0.25">
      <c r="M129" s="524" t="s">
        <v>598</v>
      </c>
      <c r="N129" s="479"/>
      <c r="O129" s="479"/>
    </row>
    <row r="130" spans="9:28" ht="15" x14ac:dyDescent="0.2">
      <c r="N130" s="344" t="s">
        <v>569</v>
      </c>
      <c r="U130" s="183" t="s">
        <v>466</v>
      </c>
    </row>
    <row r="131" spans="9:28" x14ac:dyDescent="0.2">
      <c r="N131" s="183" t="s">
        <v>468</v>
      </c>
      <c r="O131" s="183" t="s">
        <v>469</v>
      </c>
      <c r="P131" s="183" t="s">
        <v>282</v>
      </c>
      <c r="Q131" s="183" t="s">
        <v>470</v>
      </c>
      <c r="U131" s="183" t="s">
        <v>471</v>
      </c>
      <c r="V131" s="183" t="s">
        <v>470</v>
      </c>
    </row>
    <row r="132" spans="9:28" x14ac:dyDescent="0.2">
      <c r="N132" s="183" t="s">
        <v>474</v>
      </c>
      <c r="O132" s="183" t="s">
        <v>475</v>
      </c>
      <c r="P132" s="183" t="s">
        <v>475</v>
      </c>
      <c r="Q132" s="183" t="s">
        <v>475</v>
      </c>
      <c r="R132" s="183" t="s">
        <v>476</v>
      </c>
      <c r="S132" s="183" t="s">
        <v>477</v>
      </c>
      <c r="T132" s="183" t="s">
        <v>478</v>
      </c>
      <c r="U132" s="183" t="s">
        <v>479</v>
      </c>
      <c r="V132" s="183" t="s">
        <v>480</v>
      </c>
      <c r="W132" s="183" t="s">
        <v>481</v>
      </c>
      <c r="X132" s="183" t="s">
        <v>482</v>
      </c>
      <c r="Y132" s="183" t="s">
        <v>483</v>
      </c>
      <c r="AA132" s="183" t="s">
        <v>599</v>
      </c>
      <c r="AB132" s="183" t="s">
        <v>510</v>
      </c>
    </row>
    <row r="133" spans="9:28" x14ac:dyDescent="0.2">
      <c r="M133" s="481" t="s">
        <v>487</v>
      </c>
      <c r="N133" s="481"/>
      <c r="O133" s="481" t="s">
        <v>487</v>
      </c>
      <c r="P133" s="481"/>
      <c r="Q133" s="481" t="s">
        <v>487</v>
      </c>
      <c r="R133" s="481" t="s">
        <v>487</v>
      </c>
      <c r="S133" s="481" t="s">
        <v>487</v>
      </c>
      <c r="T133" s="481" t="s">
        <v>487</v>
      </c>
      <c r="U133" s="481" t="s">
        <v>487</v>
      </c>
      <c r="V133" s="481" t="s">
        <v>487</v>
      </c>
      <c r="W133" s="481" t="s">
        <v>487</v>
      </c>
      <c r="X133" s="481" t="s">
        <v>487</v>
      </c>
      <c r="Y133" s="481" t="s">
        <v>487</v>
      </c>
      <c r="AB133" s="183">
        <f>10.715*0.9</f>
        <v>9.6434999999999995</v>
      </c>
    </row>
    <row r="134" spans="9:28" x14ac:dyDescent="0.2">
      <c r="S134" s="483"/>
      <c r="T134" s="483"/>
      <c r="U134" s="483"/>
      <c r="W134" s="483"/>
    </row>
    <row r="135" spans="9:28" x14ac:dyDescent="0.2">
      <c r="L135">
        <f>L91</f>
        <v>1</v>
      </c>
      <c r="M135" t="s">
        <v>600</v>
      </c>
      <c r="N135">
        <v>40800</v>
      </c>
      <c r="O135" s="482">
        <v>34277</v>
      </c>
      <c r="P135" s="482">
        <v>40800</v>
      </c>
      <c r="Q135" s="482"/>
      <c r="R135" s="482">
        <v>17447281</v>
      </c>
      <c r="S135" s="483">
        <v>405801.69</v>
      </c>
      <c r="T135" s="483">
        <v>663869.04</v>
      </c>
      <c r="U135" s="285">
        <f>Y157</f>
        <v>369784.48</v>
      </c>
      <c r="V135" s="483"/>
      <c r="W135" s="483">
        <f t="shared" ref="W135:W144" si="30">SUM(S135:V135)</f>
        <v>1439455.21</v>
      </c>
      <c r="X135" s="483">
        <v>1443379.46</v>
      </c>
      <c r="Y135" s="483">
        <f t="shared" ref="Y135:Y146" si="31">X135-W135</f>
        <v>3924.25</v>
      </c>
      <c r="AA135">
        <v>-3253</v>
      </c>
      <c r="AB135" s="538">
        <f>(ROUND(AA135*AB$133,2))</f>
        <v>-31370.31</v>
      </c>
    </row>
    <row r="136" spans="9:28" x14ac:dyDescent="0.2">
      <c r="M136" t="s">
        <v>492</v>
      </c>
      <c r="N136">
        <v>40800</v>
      </c>
      <c r="O136" s="482">
        <v>36496</v>
      </c>
      <c r="P136" s="482">
        <v>40800</v>
      </c>
      <c r="Q136" s="482"/>
      <c r="R136" s="482">
        <v>18615066</v>
      </c>
      <c r="S136" s="483">
        <v>437172</v>
      </c>
      <c r="T136" s="483">
        <v>708303.26</v>
      </c>
      <c r="U136" s="285">
        <f t="shared" ref="U136:U146" si="32">Y158</f>
        <v>329874.68</v>
      </c>
      <c r="V136" s="483"/>
      <c r="W136" s="483">
        <f t="shared" si="30"/>
        <v>1475349.94</v>
      </c>
      <c r="X136" s="483">
        <v>1479468.04</v>
      </c>
      <c r="Y136" s="483">
        <f t="shared" si="31"/>
        <v>4118.1000000000931</v>
      </c>
      <c r="AA136" s="275"/>
      <c r="AB136" s="483"/>
    </row>
    <row r="137" spans="9:28" x14ac:dyDescent="0.2">
      <c r="M137" t="s">
        <v>493</v>
      </c>
      <c r="N137">
        <v>40800</v>
      </c>
      <c r="O137" s="482">
        <v>35927</v>
      </c>
      <c r="P137" s="482">
        <v>40800</v>
      </c>
      <c r="Q137" s="482"/>
      <c r="R137" s="482">
        <v>20474242</v>
      </c>
      <c r="S137" s="483">
        <v>437172</v>
      </c>
      <c r="T137" s="483">
        <v>779044.91</v>
      </c>
      <c r="U137" s="285">
        <f t="shared" si="32"/>
        <v>388435.64999999997</v>
      </c>
      <c r="V137" s="483"/>
      <c r="W137" s="483">
        <f t="shared" si="30"/>
        <v>1604652.56</v>
      </c>
      <c r="X137" s="483">
        <v>1609079.28</v>
      </c>
      <c r="Y137" s="483">
        <f t="shared" si="31"/>
        <v>4426.7199999999721</v>
      </c>
      <c r="AA137" s="275"/>
      <c r="AB137" s="483"/>
    </row>
    <row r="138" spans="9:28" x14ac:dyDescent="0.2">
      <c r="M138" t="s">
        <v>494</v>
      </c>
      <c r="N138">
        <v>40800</v>
      </c>
      <c r="O138" s="482">
        <v>38061</v>
      </c>
      <c r="P138" s="482">
        <v>40800</v>
      </c>
      <c r="Q138" s="482"/>
      <c r="R138" s="482">
        <v>19350024</v>
      </c>
      <c r="S138" s="483">
        <v>437172</v>
      </c>
      <c r="T138" s="483">
        <v>736268.41</v>
      </c>
      <c r="U138" s="285">
        <f t="shared" si="32"/>
        <v>161396.29000000004</v>
      </c>
      <c r="V138" s="483"/>
      <c r="W138" s="483">
        <f t="shared" si="30"/>
        <v>1334836.7000000002</v>
      </c>
      <c r="X138" s="483">
        <v>1339076.81</v>
      </c>
      <c r="Y138" s="483">
        <f t="shared" si="31"/>
        <v>4240.1099999998696</v>
      </c>
      <c r="AA138" s="275"/>
      <c r="AB138" s="483"/>
    </row>
    <row r="139" spans="9:28" x14ac:dyDescent="0.2">
      <c r="M139" t="s">
        <v>495</v>
      </c>
      <c r="N139">
        <v>40800</v>
      </c>
      <c r="O139" s="482">
        <v>32268</v>
      </c>
      <c r="P139" s="482">
        <v>40800</v>
      </c>
      <c r="Q139" s="482"/>
      <c r="R139" s="482">
        <v>20085180</v>
      </c>
      <c r="S139" s="483">
        <v>437172</v>
      </c>
      <c r="T139" s="483">
        <v>764241.1</v>
      </c>
      <c r="U139" s="285">
        <f t="shared" si="32"/>
        <v>460367.29999999993</v>
      </c>
      <c r="V139" s="483"/>
      <c r="W139" s="483">
        <f t="shared" si="30"/>
        <v>1661780.4</v>
      </c>
      <c r="X139" s="483">
        <v>1666142.54</v>
      </c>
      <c r="Y139" s="483">
        <f t="shared" si="31"/>
        <v>4362.1400000001304</v>
      </c>
      <c r="AA139" s="275"/>
      <c r="AB139" s="483"/>
    </row>
    <row r="140" spans="9:28" x14ac:dyDescent="0.2">
      <c r="M140" t="s">
        <v>496</v>
      </c>
      <c r="N140">
        <v>40800</v>
      </c>
      <c r="O140" s="482">
        <v>35677</v>
      </c>
      <c r="P140" s="482">
        <v>40800</v>
      </c>
      <c r="Q140" s="482"/>
      <c r="R140" s="482">
        <v>19410477</v>
      </c>
      <c r="S140" s="483">
        <v>437172</v>
      </c>
      <c r="T140" s="483">
        <v>738568.65</v>
      </c>
      <c r="U140" s="285">
        <f t="shared" si="32"/>
        <v>471780.31</v>
      </c>
      <c r="V140" s="483"/>
      <c r="W140" s="483">
        <f t="shared" si="30"/>
        <v>1647520.96</v>
      </c>
      <c r="X140" s="483">
        <v>1651771.1</v>
      </c>
      <c r="Y140" s="483">
        <f t="shared" si="31"/>
        <v>4250.1400000001304</v>
      </c>
      <c r="AA140" s="275"/>
      <c r="AB140" s="483"/>
    </row>
    <row r="141" spans="9:28" x14ac:dyDescent="0.2">
      <c r="M141" t="s">
        <v>497</v>
      </c>
      <c r="N141">
        <v>40800</v>
      </c>
      <c r="O141" s="482">
        <v>36131</v>
      </c>
      <c r="P141" s="482">
        <v>40800</v>
      </c>
      <c r="Q141" s="482"/>
      <c r="R141" s="482">
        <v>19384040</v>
      </c>
      <c r="S141" s="483">
        <v>437172</v>
      </c>
      <c r="T141" s="483">
        <v>737562.72</v>
      </c>
      <c r="U141" s="285">
        <f t="shared" si="32"/>
        <v>760434.92</v>
      </c>
      <c r="V141" s="483"/>
      <c r="W141" s="483">
        <f t="shared" si="30"/>
        <v>1935169.6400000001</v>
      </c>
      <c r="X141" s="483">
        <v>1939415.39</v>
      </c>
      <c r="Y141" s="483">
        <f t="shared" si="31"/>
        <v>4245.7499999997672</v>
      </c>
      <c r="AA141" s="275"/>
      <c r="AB141" s="483"/>
    </row>
    <row r="142" spans="9:28" x14ac:dyDescent="0.2">
      <c r="M142" t="s">
        <v>498</v>
      </c>
      <c r="N142">
        <v>40800</v>
      </c>
      <c r="O142" s="482">
        <v>35698</v>
      </c>
      <c r="P142" s="482">
        <v>40800</v>
      </c>
      <c r="Q142" s="482"/>
      <c r="R142" s="482">
        <v>20044538</v>
      </c>
      <c r="S142" s="483">
        <v>437172</v>
      </c>
      <c r="T142" s="483">
        <v>762694.67</v>
      </c>
      <c r="U142" s="285">
        <f t="shared" si="32"/>
        <v>693058.17</v>
      </c>
      <c r="V142" s="483"/>
      <c r="W142" s="483">
        <f t="shared" si="30"/>
        <v>1892924.8399999999</v>
      </c>
      <c r="X142" s="483">
        <v>1897280.23</v>
      </c>
      <c r="Y142" s="483">
        <f t="shared" si="31"/>
        <v>4355.3900000001304</v>
      </c>
      <c r="AA142" s="275"/>
      <c r="AB142" s="483"/>
    </row>
    <row r="143" spans="9:28" x14ac:dyDescent="0.2">
      <c r="M143" t="s">
        <v>499</v>
      </c>
      <c r="N143">
        <v>40800</v>
      </c>
      <c r="O143" s="482">
        <v>34397</v>
      </c>
      <c r="P143" s="482">
        <v>40800</v>
      </c>
      <c r="Q143" s="482"/>
      <c r="R143" s="482">
        <v>16434219</v>
      </c>
      <c r="S143" s="483">
        <v>437172</v>
      </c>
      <c r="T143" s="483">
        <v>625322.03</v>
      </c>
      <c r="U143" s="285">
        <f t="shared" si="32"/>
        <v>456570.82000000007</v>
      </c>
      <c r="V143" s="483"/>
      <c r="W143" s="483">
        <f t="shared" si="30"/>
        <v>1519064.85</v>
      </c>
      <c r="X143" s="483">
        <v>1522820.93</v>
      </c>
      <c r="Y143" s="483">
        <f t="shared" si="31"/>
        <v>3756.0799999998417</v>
      </c>
      <c r="AA143" s="275"/>
      <c r="AB143" s="483"/>
    </row>
    <row r="144" spans="9:28" x14ac:dyDescent="0.2">
      <c r="I144">
        <f>489600</f>
        <v>489600</v>
      </c>
      <c r="M144" t="s">
        <v>500</v>
      </c>
      <c r="N144">
        <v>40800</v>
      </c>
      <c r="O144" s="482">
        <v>35837</v>
      </c>
      <c r="P144" s="482">
        <v>40800</v>
      </c>
      <c r="Q144" s="482"/>
      <c r="R144" s="482">
        <v>20130390</v>
      </c>
      <c r="S144" s="483">
        <v>437172</v>
      </c>
      <c r="T144" s="483">
        <v>765961.34</v>
      </c>
      <c r="U144" s="285">
        <f t="shared" si="32"/>
        <v>505501.12</v>
      </c>
      <c r="V144" s="483"/>
      <c r="W144" s="483">
        <f t="shared" si="30"/>
        <v>1708634.46</v>
      </c>
      <c r="X144" s="483">
        <v>1713004.1</v>
      </c>
      <c r="Y144" s="483">
        <f t="shared" si="31"/>
        <v>4369.6400000001304</v>
      </c>
      <c r="AA144" s="275"/>
      <c r="AB144" s="483"/>
    </row>
    <row r="145" spans="9:28" x14ac:dyDescent="0.2">
      <c r="I145">
        <v>10.715</v>
      </c>
      <c r="N145">
        <v>40800</v>
      </c>
      <c r="O145" s="482">
        <v>36230</v>
      </c>
      <c r="P145" s="482">
        <v>40800</v>
      </c>
      <c r="Q145" s="482"/>
      <c r="R145" s="482">
        <v>19441439</v>
      </c>
      <c r="S145" s="483">
        <v>437172</v>
      </c>
      <c r="T145" s="483">
        <v>739746.75</v>
      </c>
      <c r="U145" s="285">
        <f t="shared" si="32"/>
        <v>507271.21</v>
      </c>
      <c r="V145" s="483"/>
      <c r="W145" s="483">
        <f>SUM(S145:V145)</f>
        <v>1684189.96</v>
      </c>
      <c r="X145" s="483">
        <v>1688445.24</v>
      </c>
      <c r="Y145" s="483">
        <f t="shared" si="31"/>
        <v>4255.2800000000279</v>
      </c>
      <c r="AA145" s="275"/>
      <c r="AB145" s="483"/>
    </row>
    <row r="146" spans="9:28" x14ac:dyDescent="0.2">
      <c r="I146">
        <f>I144*I145</f>
        <v>5246064</v>
      </c>
      <c r="J146">
        <v>-31370.31</v>
      </c>
      <c r="K146">
        <f>I146+J146</f>
        <v>5214693.6900000004</v>
      </c>
      <c r="L146">
        <f>L102</f>
        <v>12</v>
      </c>
      <c r="N146">
        <v>40800</v>
      </c>
      <c r="O146" s="482">
        <v>35118</v>
      </c>
      <c r="P146" s="482">
        <v>40800</v>
      </c>
      <c r="Q146" s="482"/>
      <c r="R146" s="482">
        <v>17469374</v>
      </c>
      <c r="S146" s="483">
        <v>437172</v>
      </c>
      <c r="T146" s="483">
        <v>664709.68000000005</v>
      </c>
      <c r="U146" s="285">
        <f t="shared" si="32"/>
        <v>246842.97999999998</v>
      </c>
      <c r="V146" s="483"/>
      <c r="W146" s="483">
        <f t="shared" ref="W146" si="33">SUM(S146:V146)</f>
        <v>1348724.6600000001</v>
      </c>
      <c r="X146" s="483">
        <v>1352652.58</v>
      </c>
      <c r="Y146" s="483">
        <f t="shared" si="31"/>
        <v>3927.9199999999255</v>
      </c>
      <c r="AA146" s="275"/>
      <c r="AB146" s="483"/>
    </row>
    <row r="147" spans="9:28" x14ac:dyDescent="0.2">
      <c r="O147" s="488" t="s">
        <v>487</v>
      </c>
      <c r="Q147" s="488" t="s">
        <v>487</v>
      </c>
      <c r="R147" s="488" t="s">
        <v>487</v>
      </c>
      <c r="S147" s="488" t="s">
        <v>487</v>
      </c>
      <c r="T147" s="488" t="s">
        <v>487</v>
      </c>
      <c r="U147" s="488" t="s">
        <v>487</v>
      </c>
      <c r="V147" s="488" t="s">
        <v>487</v>
      </c>
      <c r="W147" s="489" t="s">
        <v>487</v>
      </c>
      <c r="X147" s="489" t="s">
        <v>487</v>
      </c>
      <c r="Y147" s="489" t="s">
        <v>487</v>
      </c>
    </row>
    <row r="148" spans="9:28" x14ac:dyDescent="0.2">
      <c r="I148" s="482">
        <f>R149</f>
        <v>228286270</v>
      </c>
      <c r="J148" s="539">
        <v>3.805E-2</v>
      </c>
      <c r="K148" s="252">
        <f>I148*J148</f>
        <v>8686292.5734999999</v>
      </c>
      <c r="S148" s="254"/>
      <c r="T148" s="254"/>
      <c r="U148" s="254"/>
      <c r="W148" s="483"/>
      <c r="X148" s="483"/>
      <c r="Y148" s="483"/>
    </row>
    <row r="149" spans="9:28" x14ac:dyDescent="0.2">
      <c r="L149" s="252"/>
      <c r="N149" s="482"/>
      <c r="O149" s="482">
        <f>SUM(O135:O146)</f>
        <v>426117</v>
      </c>
      <c r="P149" s="482">
        <f>SUM(P135:P146)</f>
        <v>489600</v>
      </c>
      <c r="Q149" s="482">
        <v>0</v>
      </c>
      <c r="R149" s="482">
        <f t="shared" ref="R149:Y149" si="34">SUM(R135:R146)</f>
        <v>228286270</v>
      </c>
      <c r="S149" s="254">
        <f t="shared" si="34"/>
        <v>5214693.6899999995</v>
      </c>
      <c r="T149" s="254">
        <f t="shared" si="34"/>
        <v>8686292.5600000005</v>
      </c>
      <c r="U149" s="254">
        <f t="shared" si="34"/>
        <v>5351317.93</v>
      </c>
      <c r="V149" s="482">
        <f t="shared" si="34"/>
        <v>0</v>
      </c>
      <c r="W149" s="254">
        <f t="shared" si="34"/>
        <v>19252304.18</v>
      </c>
      <c r="X149" s="254">
        <f t="shared" si="34"/>
        <v>19302535.700000003</v>
      </c>
      <c r="Y149" s="254">
        <f t="shared" si="34"/>
        <v>50231.520000000019</v>
      </c>
      <c r="AA149" s="275">
        <f>SUM(AA135:AA147)</f>
        <v>-3253</v>
      </c>
      <c r="AB149" s="483">
        <f>SUM(AB135:AB147)</f>
        <v>-31370.31</v>
      </c>
    </row>
    <row r="150" spans="9:28" x14ac:dyDescent="0.2">
      <c r="O150" s="488" t="s">
        <v>501</v>
      </c>
      <c r="Q150" s="488" t="s">
        <v>501</v>
      </c>
      <c r="R150" s="488" t="s">
        <v>501</v>
      </c>
      <c r="S150" s="489" t="s">
        <v>501</v>
      </c>
      <c r="T150" s="489" t="s">
        <v>501</v>
      </c>
      <c r="U150" s="489" t="s">
        <v>501</v>
      </c>
      <c r="V150" s="489" t="s">
        <v>501</v>
      </c>
      <c r="W150" s="489" t="s">
        <v>501</v>
      </c>
      <c r="X150" s="489" t="s">
        <v>501</v>
      </c>
      <c r="Y150" s="489" t="s">
        <v>501</v>
      </c>
    </row>
    <row r="151" spans="9:28" x14ac:dyDescent="0.2">
      <c r="O151" s="482"/>
      <c r="Q151" s="482"/>
      <c r="R151" s="495"/>
      <c r="S151" s="495"/>
      <c r="T151" s="495"/>
      <c r="V151" s="495"/>
      <c r="W151" s="495"/>
    </row>
    <row r="153" spans="9:28" x14ac:dyDescent="0.2">
      <c r="O153" s="183"/>
      <c r="P153" s="183" t="s">
        <v>549</v>
      </c>
      <c r="Q153" s="183"/>
      <c r="R153" s="183"/>
      <c r="S153" s="183"/>
      <c r="T153" s="183"/>
      <c r="U153" s="183"/>
      <c r="V153" s="183"/>
      <c r="W153" s="183"/>
      <c r="X153" s="183"/>
      <c r="Y153" s="183"/>
    </row>
    <row r="154" spans="9:28" x14ac:dyDescent="0.2">
      <c r="M154" s="183"/>
      <c r="N154" s="183"/>
      <c r="O154" s="183" t="s">
        <v>550</v>
      </c>
      <c r="P154" s="183" t="s">
        <v>551</v>
      </c>
      <c r="Q154" s="183" t="s">
        <v>552</v>
      </c>
      <c r="R154" s="183" t="s">
        <v>555</v>
      </c>
      <c r="S154" s="183" t="s">
        <v>596</v>
      </c>
      <c r="T154" s="183" t="s">
        <v>553</v>
      </c>
      <c r="U154" s="183" t="s">
        <v>554</v>
      </c>
      <c r="V154" s="183" t="s">
        <v>556</v>
      </c>
      <c r="W154" s="183"/>
      <c r="X154" s="183"/>
      <c r="Y154" s="183"/>
    </row>
    <row r="155" spans="9:28" x14ac:dyDescent="0.2">
      <c r="M155" s="183"/>
      <c r="N155" s="183"/>
      <c r="O155" s="521" t="s">
        <v>471</v>
      </c>
      <c r="P155" s="521" t="s">
        <v>558</v>
      </c>
      <c r="Q155" s="521" t="s">
        <v>559</v>
      </c>
      <c r="R155" s="521" t="s">
        <v>562</v>
      </c>
      <c r="S155" s="521" t="s">
        <v>597</v>
      </c>
      <c r="T155" s="521" t="s">
        <v>560</v>
      </c>
      <c r="U155" s="521" t="s">
        <v>561</v>
      </c>
      <c r="V155" s="521" t="s">
        <v>563</v>
      </c>
      <c r="W155" s="521"/>
      <c r="X155" s="521"/>
      <c r="Y155" s="523" t="s">
        <v>84</v>
      </c>
    </row>
    <row r="156" spans="9:28" x14ac:dyDescent="0.2">
      <c r="M156" s="183"/>
      <c r="N156" s="183"/>
      <c r="O156" s="183"/>
      <c r="P156" s="183"/>
      <c r="Q156" s="183"/>
      <c r="R156" s="183"/>
      <c r="S156" s="183"/>
      <c r="T156" s="183"/>
      <c r="U156" s="183"/>
      <c r="V156" s="183"/>
      <c r="W156" s="183"/>
      <c r="X156" s="183"/>
      <c r="Y156" s="183"/>
    </row>
    <row r="157" spans="9:28" ht="15.75" x14ac:dyDescent="0.25">
      <c r="L157">
        <f>L91</f>
        <v>1</v>
      </c>
      <c r="M157" s="327" t="s">
        <v>601</v>
      </c>
      <c r="O157" s="294">
        <v>334534.17</v>
      </c>
      <c r="P157" s="294">
        <v>43496.07</v>
      </c>
      <c r="Q157" s="294">
        <v>77593.820000000007</v>
      </c>
      <c r="R157" s="294">
        <v>-85839.58</v>
      </c>
      <c r="S157" s="534"/>
      <c r="T157" s="533"/>
      <c r="U157" s="540"/>
      <c r="V157" s="540"/>
      <c r="W157" s="533"/>
      <c r="X157" s="533"/>
      <c r="Y157" s="285">
        <f>SUM(O157:R157)</f>
        <v>369784.48</v>
      </c>
    </row>
    <row r="158" spans="9:28" ht="15.75" x14ac:dyDescent="0.25">
      <c r="M158" t="s">
        <v>492</v>
      </c>
      <c r="O158" s="294">
        <v>283451.61</v>
      </c>
      <c r="P158" s="294">
        <v>46407.360000000001</v>
      </c>
      <c r="Q158" s="294">
        <v>96094.01</v>
      </c>
      <c r="R158" s="294">
        <v>-96078.3</v>
      </c>
      <c r="S158" s="534"/>
      <c r="T158" s="540"/>
      <c r="U158" s="540"/>
      <c r="V158" s="540"/>
      <c r="W158" s="540"/>
      <c r="X158" s="540"/>
      <c r="Y158" s="285">
        <f t="shared" ref="Y158:Y168" si="35">SUM(O158:X158)</f>
        <v>329874.68</v>
      </c>
    </row>
    <row r="159" spans="9:28" ht="15.75" x14ac:dyDescent="0.25">
      <c r="M159" t="s">
        <v>493</v>
      </c>
      <c r="O159" s="294">
        <v>370030.98</v>
      </c>
      <c r="P159" s="294">
        <v>51042.29</v>
      </c>
      <c r="Q159" s="294">
        <v>70682.679999999993</v>
      </c>
      <c r="R159" s="294">
        <v>-103320.3</v>
      </c>
      <c r="S159" s="534"/>
      <c r="T159" s="540"/>
      <c r="U159" s="540"/>
      <c r="V159" s="540"/>
      <c r="W159" s="540"/>
      <c r="X159" s="540"/>
      <c r="Y159" s="285">
        <f t="shared" si="35"/>
        <v>388435.64999999997</v>
      </c>
    </row>
    <row r="160" spans="9:28" ht="15.75" x14ac:dyDescent="0.25">
      <c r="M160" t="s">
        <v>494</v>
      </c>
      <c r="O160" s="486">
        <v>119854.05</v>
      </c>
      <c r="P160" s="486">
        <v>48239.61</v>
      </c>
      <c r="Q160" s="486">
        <v>85667.8</v>
      </c>
      <c r="R160" s="486">
        <v>-92365.17</v>
      </c>
      <c r="S160" s="534"/>
      <c r="T160" s="540"/>
      <c r="U160" s="540"/>
      <c r="V160" s="540"/>
      <c r="W160" s="540"/>
      <c r="X160" s="540"/>
      <c r="Y160" s="285">
        <f t="shared" si="35"/>
        <v>161396.29000000004</v>
      </c>
    </row>
    <row r="161" spans="9:35" ht="15.75" x14ac:dyDescent="0.25">
      <c r="M161" t="s">
        <v>495</v>
      </c>
      <c r="O161" s="486">
        <v>411063.29</v>
      </c>
      <c r="P161" s="486">
        <v>50072.35</v>
      </c>
      <c r="Q161" s="486">
        <v>75987.520000000004</v>
      </c>
      <c r="R161" s="486">
        <v>-76755.86</v>
      </c>
      <c r="S161" s="534"/>
      <c r="T161" s="533"/>
      <c r="U161" s="533"/>
      <c r="V161" s="533"/>
      <c r="W161" s="533"/>
      <c r="X161" s="533"/>
      <c r="Y161" s="285">
        <f t="shared" si="35"/>
        <v>460367.29999999993</v>
      </c>
    </row>
    <row r="162" spans="9:35" ht="15.75" x14ac:dyDescent="0.25">
      <c r="M162" t="s">
        <v>496</v>
      </c>
      <c r="O162" s="486">
        <v>431242.57</v>
      </c>
      <c r="P162" s="486">
        <v>48390.32</v>
      </c>
      <c r="Q162" s="486">
        <v>78620.11</v>
      </c>
      <c r="R162" s="486">
        <v>-86472.69</v>
      </c>
      <c r="S162" s="534"/>
      <c r="T162" s="533"/>
      <c r="U162" s="533"/>
      <c r="V162" s="533"/>
      <c r="W162" s="533"/>
      <c r="X162" s="533"/>
      <c r="Y162" s="285">
        <f t="shared" si="35"/>
        <v>471780.31</v>
      </c>
    </row>
    <row r="163" spans="9:35" ht="15.75" x14ac:dyDescent="0.25">
      <c r="M163" t="s">
        <v>497</v>
      </c>
      <c r="O163" s="486">
        <v>671850.83</v>
      </c>
      <c r="P163" s="486">
        <v>116672.54</v>
      </c>
      <c r="Q163" s="486">
        <v>60150.67</v>
      </c>
      <c r="R163" s="486">
        <v>-88239.12</v>
      </c>
      <c r="S163" s="533"/>
      <c r="T163" s="533"/>
      <c r="U163" s="533"/>
      <c r="V163" s="533"/>
      <c r="W163" s="533"/>
      <c r="X163" s="533"/>
      <c r="Y163" s="285">
        <f t="shared" si="35"/>
        <v>760434.92</v>
      </c>
    </row>
    <row r="164" spans="9:35" ht="15.75" x14ac:dyDescent="0.25">
      <c r="M164" t="s">
        <v>498</v>
      </c>
      <c r="O164" s="486">
        <v>578765.99</v>
      </c>
      <c r="P164" s="486">
        <v>120648.07</v>
      </c>
      <c r="Q164" s="486">
        <v>79008.600000000006</v>
      </c>
      <c r="R164" s="486">
        <v>-85364.49</v>
      </c>
      <c r="S164" s="533"/>
      <c r="T164" s="533"/>
      <c r="U164" s="533"/>
      <c r="V164" s="533"/>
      <c r="W164" s="533"/>
      <c r="X164" s="533"/>
      <c r="Y164" s="285">
        <f t="shared" si="35"/>
        <v>693058.17</v>
      </c>
    </row>
    <row r="165" spans="9:35" ht="15.75" x14ac:dyDescent="0.25">
      <c r="M165" t="s">
        <v>499</v>
      </c>
      <c r="O165" s="294">
        <v>386204.15</v>
      </c>
      <c r="P165" s="294">
        <v>98917.56</v>
      </c>
      <c r="Q165" s="294">
        <v>51044.480000000003</v>
      </c>
      <c r="R165" s="294">
        <v>-79595.37</v>
      </c>
      <c r="S165" s="533"/>
      <c r="T165" s="533"/>
      <c r="U165" s="533"/>
      <c r="V165" s="533"/>
      <c r="W165" s="533"/>
      <c r="X165" s="533"/>
      <c r="Y165" s="285">
        <f t="shared" si="35"/>
        <v>456570.82000000007</v>
      </c>
    </row>
    <row r="166" spans="9:35" ht="15.75" x14ac:dyDescent="0.25">
      <c r="M166" t="s">
        <v>500</v>
      </c>
      <c r="O166" s="294">
        <v>403231.84</v>
      </c>
      <c r="P166" s="294">
        <v>121164.82</v>
      </c>
      <c r="Q166" s="294">
        <v>70308.45</v>
      </c>
      <c r="R166" s="294">
        <v>-89203.99</v>
      </c>
      <c r="S166" s="533"/>
      <c r="T166" s="533"/>
      <c r="U166" s="533"/>
      <c r="V166" s="533"/>
      <c r="W166" s="533"/>
      <c r="X166" s="533"/>
      <c r="Y166" s="285">
        <f t="shared" si="35"/>
        <v>505501.12</v>
      </c>
    </row>
    <row r="167" spans="9:35" ht="15.75" x14ac:dyDescent="0.25">
      <c r="M167" s="541" t="s">
        <v>591</v>
      </c>
      <c r="O167" s="294">
        <v>281628.69</v>
      </c>
      <c r="P167" s="294">
        <v>117018.02</v>
      </c>
      <c r="Q167" s="294">
        <v>167505.57999999999</v>
      </c>
      <c r="R167" s="294">
        <v>-58881.08</v>
      </c>
      <c r="S167" s="533"/>
      <c r="T167" s="533"/>
      <c r="U167" s="533"/>
      <c r="V167" s="533"/>
      <c r="W167" s="533"/>
      <c r="X167" s="533"/>
      <c r="Y167" s="285">
        <f t="shared" si="35"/>
        <v>507271.21</v>
      </c>
    </row>
    <row r="168" spans="9:35" ht="15.75" x14ac:dyDescent="0.25">
      <c r="L168">
        <f>L102</f>
        <v>12</v>
      </c>
      <c r="M168" s="327" t="s">
        <v>565</v>
      </c>
      <c r="O168" s="294">
        <v>136820.14000000001</v>
      </c>
      <c r="P168" s="294">
        <v>105148.16</v>
      </c>
      <c r="Q168" s="294">
        <v>67534.679999999993</v>
      </c>
      <c r="R168" s="294">
        <v>-62660</v>
      </c>
      <c r="S168" s="533"/>
      <c r="T168" s="540"/>
      <c r="U168" s="540"/>
      <c r="V168" s="540"/>
      <c r="W168" s="540"/>
      <c r="X168" s="540"/>
      <c r="Y168" s="285">
        <f t="shared" si="35"/>
        <v>246842.97999999998</v>
      </c>
    </row>
    <row r="169" spans="9:35" x14ac:dyDescent="0.2">
      <c r="O169" s="294"/>
      <c r="P169" s="294"/>
      <c r="Q169" s="294"/>
      <c r="R169" s="294"/>
      <c r="S169" s="294"/>
      <c r="T169" s="294"/>
      <c r="U169" s="294"/>
      <c r="V169" s="294"/>
      <c r="Y169" s="285"/>
    </row>
    <row r="170" spans="9:35" ht="13.5" thickBot="1" x14ac:dyDescent="0.25">
      <c r="M170" t="s">
        <v>65</v>
      </c>
      <c r="O170" s="542">
        <f>SUM(O157:O168)</f>
        <v>4408678.3099999996</v>
      </c>
      <c r="P170" s="542">
        <f t="shared" ref="P170:Y170" si="36">SUM(P157:P168)</f>
        <v>967217.17</v>
      </c>
      <c r="Q170" s="542">
        <f t="shared" si="36"/>
        <v>980198.39999999991</v>
      </c>
      <c r="R170" s="542">
        <f t="shared" si="36"/>
        <v>-1004775.9499999998</v>
      </c>
      <c r="S170" s="542">
        <f t="shared" si="36"/>
        <v>0</v>
      </c>
      <c r="T170" s="542">
        <f t="shared" si="36"/>
        <v>0</v>
      </c>
      <c r="U170" s="542">
        <f t="shared" si="36"/>
        <v>0</v>
      </c>
      <c r="V170" s="542">
        <f t="shared" si="36"/>
        <v>0</v>
      </c>
      <c r="W170" s="542">
        <f t="shared" si="36"/>
        <v>0</v>
      </c>
      <c r="X170" s="542">
        <f t="shared" si="36"/>
        <v>0</v>
      </c>
      <c r="Y170" s="542">
        <f t="shared" si="36"/>
        <v>5351317.93</v>
      </c>
    </row>
    <row r="171" spans="9:35" ht="13.5" thickTop="1" x14ac:dyDescent="0.2">
      <c r="AD171" s="183" t="s">
        <v>566</v>
      </c>
    </row>
    <row r="172" spans="9:35" x14ac:dyDescent="0.2">
      <c r="Z172" s="183"/>
      <c r="AA172" s="183"/>
      <c r="AB172" s="183"/>
      <c r="AC172" s="183"/>
      <c r="AD172" s="183" t="s">
        <v>568</v>
      </c>
      <c r="AE172" s="183"/>
      <c r="AF172" s="183"/>
      <c r="AG172" s="183"/>
    </row>
    <row r="173" spans="9:35" ht="15.75" x14ac:dyDescent="0.25">
      <c r="I173">
        <f>P179*10.715</f>
        <v>362895.62</v>
      </c>
      <c r="J173">
        <f>AM179</f>
        <v>0</v>
      </c>
      <c r="K173">
        <f>I173+J173</f>
        <v>362895.62</v>
      </c>
      <c r="L173" s="483">
        <f>K173-S179</f>
        <v>53050</v>
      </c>
      <c r="M173" s="524" t="s">
        <v>602</v>
      </c>
      <c r="N173" s="479"/>
      <c r="R173" t="s">
        <v>532</v>
      </c>
      <c r="T173" s="203" t="s">
        <v>532</v>
      </c>
      <c r="Z173" s="183"/>
      <c r="AA173" s="183">
        <v>3.805E-2</v>
      </c>
      <c r="AB173" s="183" t="s">
        <v>572</v>
      </c>
      <c r="AC173" s="183"/>
      <c r="AD173" s="183" t="s">
        <v>573</v>
      </c>
      <c r="AE173" s="183"/>
      <c r="AF173" s="183"/>
      <c r="AG173" s="183"/>
    </row>
    <row r="174" spans="9:35" ht="15" x14ac:dyDescent="0.2">
      <c r="N174" s="344" t="s">
        <v>569</v>
      </c>
      <c r="R174" t="s">
        <v>547</v>
      </c>
      <c r="S174" s="203" t="s">
        <v>603</v>
      </c>
      <c r="T174" s="203" t="s">
        <v>604</v>
      </c>
      <c r="Z174" s="183"/>
      <c r="AA174" s="183"/>
      <c r="AB174" s="183" t="s">
        <v>575</v>
      </c>
      <c r="AC174" s="183" t="s">
        <v>576</v>
      </c>
      <c r="AD174" s="183" t="s">
        <v>284</v>
      </c>
      <c r="AE174" s="183" t="s">
        <v>577</v>
      </c>
      <c r="AF174" s="183" t="s">
        <v>578</v>
      </c>
      <c r="AG174" s="183"/>
    </row>
    <row r="175" spans="9:35" x14ac:dyDescent="0.2">
      <c r="N175" s="183" t="s">
        <v>468</v>
      </c>
      <c r="O175" s="183" t="s">
        <v>469</v>
      </c>
      <c r="P175" s="183" t="s">
        <v>282</v>
      </c>
      <c r="Q175" s="183" t="s">
        <v>470</v>
      </c>
      <c r="S175" s="183" t="s">
        <v>605</v>
      </c>
      <c r="T175" s="183" t="s">
        <v>466</v>
      </c>
      <c r="U175" s="183" t="s">
        <v>471</v>
      </c>
      <c r="V175" s="183" t="s">
        <v>470</v>
      </c>
      <c r="Z175" s="183" t="s">
        <v>579</v>
      </c>
      <c r="AA175" s="183" t="s">
        <v>580</v>
      </c>
      <c r="AB175" s="480" t="s">
        <v>581</v>
      </c>
      <c r="AC175" s="183" t="s">
        <v>582</v>
      </c>
      <c r="AD175" t="s">
        <v>583</v>
      </c>
      <c r="AE175" t="s">
        <v>584</v>
      </c>
      <c r="AF175" t="s">
        <v>585</v>
      </c>
      <c r="AG175" s="183"/>
    </row>
    <row r="176" spans="9:35" x14ac:dyDescent="0.2">
      <c r="N176" s="183" t="s">
        <v>474</v>
      </c>
      <c r="O176" s="183" t="s">
        <v>475</v>
      </c>
      <c r="P176" s="183" t="s">
        <v>475</v>
      </c>
      <c r="Q176" s="183" t="s">
        <v>475</v>
      </c>
      <c r="R176" s="183" t="s">
        <v>476</v>
      </c>
      <c r="S176" s="183" t="s">
        <v>477</v>
      </c>
      <c r="T176" s="183" t="s">
        <v>478</v>
      </c>
      <c r="U176" s="183" t="s">
        <v>479</v>
      </c>
      <c r="V176" s="183" t="s">
        <v>480</v>
      </c>
      <c r="W176" s="183" t="s">
        <v>481</v>
      </c>
      <c r="X176" s="183" t="s">
        <v>482</v>
      </c>
      <c r="Y176" s="183" t="s">
        <v>483</v>
      </c>
      <c r="Z176" t="s">
        <v>284</v>
      </c>
      <c r="AA176" t="s">
        <v>586</v>
      </c>
      <c r="AB176" t="s">
        <v>582</v>
      </c>
      <c r="AC176" t="s">
        <v>587</v>
      </c>
      <c r="AD176" t="s">
        <v>588</v>
      </c>
      <c r="AE176">
        <v>1.66E-4</v>
      </c>
      <c r="AF176" t="s">
        <v>589</v>
      </c>
      <c r="AH176" t="s">
        <v>606</v>
      </c>
      <c r="AI176" t="s">
        <v>607</v>
      </c>
    </row>
    <row r="177" spans="4:35" x14ac:dyDescent="0.2">
      <c r="M177" s="481" t="s">
        <v>487</v>
      </c>
      <c r="N177" s="481"/>
      <c r="O177" s="481" t="s">
        <v>487</v>
      </c>
      <c r="P177" s="481"/>
      <c r="Q177" s="481" t="s">
        <v>487</v>
      </c>
      <c r="R177" s="481" t="s">
        <v>487</v>
      </c>
      <c r="S177" s="481" t="s">
        <v>487</v>
      </c>
      <c r="T177" s="481" t="s">
        <v>487</v>
      </c>
      <c r="U177" s="481" t="s">
        <v>487</v>
      </c>
      <c r="V177" s="481" t="s">
        <v>487</v>
      </c>
      <c r="W177" s="481" t="s">
        <v>487</v>
      </c>
      <c r="X177" s="481" t="s">
        <v>487</v>
      </c>
      <c r="Y177" s="481" t="s">
        <v>487</v>
      </c>
      <c r="AH177" t="s">
        <v>608</v>
      </c>
      <c r="AI177" t="s">
        <v>475</v>
      </c>
    </row>
    <row r="178" spans="4:35" x14ac:dyDescent="0.2">
      <c r="S178" s="483"/>
      <c r="T178" s="483"/>
      <c r="U178" s="483"/>
      <c r="W178" s="483"/>
    </row>
    <row r="179" spans="4:35" ht="15.75" x14ac:dyDescent="0.25">
      <c r="D179" s="482">
        <f>R179</f>
        <v>13166656</v>
      </c>
      <c r="E179">
        <f>Z179</f>
        <v>345867</v>
      </c>
      <c r="F179" s="482">
        <f>D179-E179</f>
        <v>12820789</v>
      </c>
      <c r="G179" s="482"/>
      <c r="H179">
        <v>3.805E-2</v>
      </c>
      <c r="I179">
        <f>F179*H179</f>
        <v>487831.02145</v>
      </c>
      <c r="J179">
        <f>AB179</f>
        <v>14908.47</v>
      </c>
      <c r="K179">
        <f>I179+J179</f>
        <v>502739.49144999997</v>
      </c>
      <c r="L179" s="483">
        <f>K179-T179</f>
        <v>1.449999981559813E-3</v>
      </c>
      <c r="M179" s="327" t="s">
        <v>601</v>
      </c>
      <c r="N179" s="543">
        <v>20000</v>
      </c>
      <c r="O179" s="543">
        <v>33868</v>
      </c>
      <c r="P179">
        <v>33868</v>
      </c>
      <c r="Q179" s="482"/>
      <c r="R179" s="543">
        <v>13166656</v>
      </c>
      <c r="S179" s="544">
        <v>309845.62</v>
      </c>
      <c r="T179" s="544">
        <v>502739.49</v>
      </c>
      <c r="U179" s="285">
        <v>274163.96999999997</v>
      </c>
      <c r="V179" s="483"/>
      <c r="W179" s="483">
        <v>1086749.08</v>
      </c>
      <c r="X179" s="544">
        <v>1091656.21</v>
      </c>
      <c r="Y179" s="483">
        <v>4907.1299999998882</v>
      </c>
      <c r="Z179">
        <v>345867</v>
      </c>
      <c r="AA179">
        <v>12820789</v>
      </c>
      <c r="AB179">
        <v>14908.47</v>
      </c>
      <c r="AC179">
        <v>1.4499998651444912E-3</v>
      </c>
      <c r="AD179">
        <v>23368241</v>
      </c>
      <c r="AE179">
        <v>3879.13</v>
      </c>
      <c r="AF179">
        <v>1028</v>
      </c>
      <c r="AG179" s="254">
        <v>1.1186784831807017E-10</v>
      </c>
    </row>
    <row r="180" spans="4:35" ht="15.75" x14ac:dyDescent="0.25">
      <c r="D180" s="482">
        <f t="shared" ref="D180:D190" si="37">R180</f>
        <v>13005281</v>
      </c>
      <c r="E180">
        <f t="shared" ref="E180:E190" si="38">Z180</f>
        <v>291350</v>
      </c>
      <c r="F180" s="482">
        <f t="shared" ref="F180:F190" si="39">D180-E180</f>
        <v>12713931</v>
      </c>
      <c r="G180" s="482"/>
      <c r="H180">
        <v>3.805E-2</v>
      </c>
      <c r="I180">
        <f t="shared" ref="I180:I190" si="40">F180*H180</f>
        <v>483765.07455000002</v>
      </c>
      <c r="J180">
        <f t="shared" ref="J180:J190" si="41">AB180</f>
        <v>21845.489999999998</v>
      </c>
      <c r="K180">
        <f t="shared" ref="K180:K190" si="42">I180+J180</f>
        <v>505610.56455000001</v>
      </c>
      <c r="L180" s="483">
        <f t="shared" ref="L180:L190" si="43">K180-T180</f>
        <v>4.5500000123865902E-3</v>
      </c>
      <c r="M180" t="s">
        <v>492</v>
      </c>
      <c r="N180" s="543">
        <v>20000</v>
      </c>
      <c r="O180" s="543">
        <v>33781</v>
      </c>
      <c r="P180">
        <v>33781</v>
      </c>
      <c r="Q180" s="482"/>
      <c r="R180" s="543">
        <v>13005281</v>
      </c>
      <c r="S180" s="544">
        <v>308913.40999999997</v>
      </c>
      <c r="T180" s="544">
        <v>505610.56</v>
      </c>
      <c r="U180" s="285">
        <v>232893.96</v>
      </c>
      <c r="V180" s="483"/>
      <c r="W180" s="483">
        <v>1047417.9299999999</v>
      </c>
      <c r="X180" s="544">
        <v>1052256.17</v>
      </c>
      <c r="Y180" s="483">
        <v>4838.2399999999907</v>
      </c>
      <c r="Z180">
        <v>291350</v>
      </c>
      <c r="AA180">
        <v>12713931</v>
      </c>
      <c r="AB180">
        <v>21845.489999999998</v>
      </c>
      <c r="AC180">
        <v>4.5500000705942512E-3</v>
      </c>
      <c r="AD180">
        <v>22953265</v>
      </c>
      <c r="AE180">
        <v>3810.24</v>
      </c>
      <c r="AF180">
        <v>1028</v>
      </c>
      <c r="AG180" s="254">
        <v>9.0949470177292824E-12</v>
      </c>
    </row>
    <row r="181" spans="4:35" ht="15.75" x14ac:dyDescent="0.25">
      <c r="D181" s="482">
        <f t="shared" si="37"/>
        <v>10269827</v>
      </c>
      <c r="E181">
        <f t="shared" si="38"/>
        <v>3402857</v>
      </c>
      <c r="F181" s="482">
        <f t="shared" si="39"/>
        <v>6866970</v>
      </c>
      <c r="G181" s="482"/>
      <c r="H181">
        <v>3.805E-2</v>
      </c>
      <c r="I181">
        <f t="shared" si="40"/>
        <v>261288.20850000001</v>
      </c>
      <c r="J181">
        <f t="shared" si="41"/>
        <v>315584.07</v>
      </c>
      <c r="K181">
        <f t="shared" si="42"/>
        <v>576872.27850000001</v>
      </c>
      <c r="L181" s="483">
        <f t="shared" si="43"/>
        <v>-1.500000013038516E-3</v>
      </c>
      <c r="M181" t="s">
        <v>493</v>
      </c>
      <c r="N181" s="543">
        <v>20000</v>
      </c>
      <c r="O181" s="543">
        <v>33305</v>
      </c>
      <c r="P181">
        <v>33804</v>
      </c>
      <c r="Q181" s="482"/>
      <c r="R181" s="543">
        <v>10269827</v>
      </c>
      <c r="S181" s="544">
        <v>309159.86</v>
      </c>
      <c r="T181" s="544">
        <v>576872.28</v>
      </c>
      <c r="U181" s="285">
        <v>205345.21999999997</v>
      </c>
      <c r="V181" s="483"/>
      <c r="W181" s="483">
        <v>1091377.3599999999</v>
      </c>
      <c r="X181" s="544">
        <v>1095275.92</v>
      </c>
      <c r="Y181" s="483">
        <v>3898.5600000000559</v>
      </c>
      <c r="Z181">
        <v>3402857</v>
      </c>
      <c r="AA181">
        <v>6866970</v>
      </c>
      <c r="AB181">
        <v>315584.07</v>
      </c>
      <c r="AC181">
        <v>-1.500000013038516E-3</v>
      </c>
      <c r="AD181">
        <v>17292554</v>
      </c>
      <c r="AE181">
        <v>2870.56</v>
      </c>
      <c r="AF181">
        <v>1028</v>
      </c>
      <c r="AG181" s="254">
        <v>-5.5933924159035087E-11</v>
      </c>
    </row>
    <row r="182" spans="4:35" ht="15.75" x14ac:dyDescent="0.25">
      <c r="D182" s="482">
        <f t="shared" si="37"/>
        <v>13628250</v>
      </c>
      <c r="E182">
        <f t="shared" si="38"/>
        <v>849350</v>
      </c>
      <c r="F182" s="482">
        <f t="shared" si="39"/>
        <v>12778900</v>
      </c>
      <c r="G182" s="482"/>
      <c r="H182">
        <v>3.805E-2</v>
      </c>
      <c r="I182">
        <f t="shared" si="40"/>
        <v>486237.14500000002</v>
      </c>
      <c r="J182">
        <f t="shared" si="41"/>
        <v>97241.25</v>
      </c>
      <c r="K182">
        <f t="shared" si="42"/>
        <v>583478.39500000002</v>
      </c>
      <c r="L182" s="483">
        <f t="shared" si="43"/>
        <v>-5.0000000046566129E-3</v>
      </c>
      <c r="M182" t="s">
        <v>494</v>
      </c>
      <c r="N182" s="543">
        <v>20000</v>
      </c>
      <c r="O182" s="543">
        <v>33846</v>
      </c>
      <c r="P182">
        <v>27085</v>
      </c>
      <c r="Q182" s="482"/>
      <c r="R182" s="543">
        <v>13628250</v>
      </c>
      <c r="S182" s="544">
        <v>237165.78</v>
      </c>
      <c r="T182" s="544">
        <v>583478.4</v>
      </c>
      <c r="U182" s="285">
        <v>113300.55000000002</v>
      </c>
      <c r="V182" s="483"/>
      <c r="W182" s="483">
        <v>933944.7300000001</v>
      </c>
      <c r="X182" s="544">
        <v>938767.52</v>
      </c>
      <c r="Y182" s="483">
        <v>4822.7899999999208</v>
      </c>
      <c r="Z182">
        <v>849350</v>
      </c>
      <c r="AA182">
        <v>12778900</v>
      </c>
      <c r="AB182">
        <v>97241.25</v>
      </c>
      <c r="AC182">
        <v>-5.0000000046566129E-3</v>
      </c>
      <c r="AD182">
        <v>22860164</v>
      </c>
      <c r="AE182">
        <v>3794.79</v>
      </c>
      <c r="AF182">
        <v>1028</v>
      </c>
      <c r="AG182" s="254">
        <v>7.9126039054244757E-11</v>
      </c>
    </row>
    <row r="183" spans="4:35" ht="15.75" x14ac:dyDescent="0.25">
      <c r="D183" s="482">
        <f t="shared" si="37"/>
        <v>15269678</v>
      </c>
      <c r="E183">
        <f t="shared" si="38"/>
        <v>1335365</v>
      </c>
      <c r="F183" s="482">
        <f t="shared" si="39"/>
        <v>13934313</v>
      </c>
      <c r="G183" s="482"/>
      <c r="H183">
        <v>3.805E-2</v>
      </c>
      <c r="I183">
        <f t="shared" si="40"/>
        <v>530200.60965</v>
      </c>
      <c r="J183">
        <f t="shared" si="41"/>
        <v>-12812.900000000052</v>
      </c>
      <c r="K183">
        <f t="shared" si="42"/>
        <v>517387.70964999998</v>
      </c>
      <c r="L183" s="483">
        <f t="shared" si="43"/>
        <v>-3.5000004572793841E-4</v>
      </c>
      <c r="M183" t="s">
        <v>495</v>
      </c>
      <c r="N183" s="543">
        <v>20000</v>
      </c>
      <c r="O183" s="543">
        <v>33696</v>
      </c>
      <c r="P183">
        <v>40457</v>
      </c>
      <c r="Q183" s="482"/>
      <c r="R183" s="543">
        <v>15269678</v>
      </c>
      <c r="S183" s="544">
        <v>380446.76</v>
      </c>
      <c r="T183" s="544">
        <v>517387.71</v>
      </c>
      <c r="U183" s="285">
        <v>349277.97</v>
      </c>
      <c r="V183" s="483"/>
      <c r="W183" s="483">
        <v>1247112.44</v>
      </c>
      <c r="X183" s="544">
        <v>1252167.99</v>
      </c>
      <c r="Y183" s="483">
        <v>5055.5500000000466</v>
      </c>
      <c r="Z183">
        <v>1335365</v>
      </c>
      <c r="AA183">
        <v>13934313</v>
      </c>
      <c r="AB183">
        <v>-12812.900000000052</v>
      </c>
      <c r="AC183">
        <v>-3.4999987110495567E-4</v>
      </c>
      <c r="AD183">
        <v>24262350</v>
      </c>
      <c r="AE183">
        <v>4027.55</v>
      </c>
      <c r="AF183">
        <v>1028</v>
      </c>
      <c r="AG183" s="254">
        <v>-4.638422979041934E-11</v>
      </c>
    </row>
    <row r="184" spans="4:35" ht="15.75" x14ac:dyDescent="0.25">
      <c r="D184" s="482">
        <f t="shared" si="37"/>
        <v>12152250</v>
      </c>
      <c r="E184">
        <f t="shared" si="38"/>
        <v>1117765</v>
      </c>
      <c r="F184" s="482">
        <f t="shared" si="39"/>
        <v>11034485</v>
      </c>
      <c r="G184" s="482"/>
      <c r="H184">
        <v>3.805E-2</v>
      </c>
      <c r="I184">
        <f t="shared" si="40"/>
        <v>419862.15425000002</v>
      </c>
      <c r="J184">
        <f t="shared" si="41"/>
        <v>110916.61</v>
      </c>
      <c r="K184">
        <f t="shared" si="42"/>
        <v>530778.76425000001</v>
      </c>
      <c r="L184" s="483">
        <f t="shared" si="43"/>
        <v>4.2499999981373549E-3</v>
      </c>
      <c r="M184" t="s">
        <v>496</v>
      </c>
      <c r="N184" s="543">
        <v>20000</v>
      </c>
      <c r="O184" s="543">
        <v>33773</v>
      </c>
      <c r="P184">
        <v>33773</v>
      </c>
      <c r="Q184" s="482"/>
      <c r="R184" s="543">
        <v>12152250</v>
      </c>
      <c r="S184" s="544">
        <v>308827.7</v>
      </c>
      <c r="T184" s="544">
        <v>530778.76</v>
      </c>
      <c r="U184" s="285">
        <v>299712.46999999997</v>
      </c>
      <c r="V184" s="483"/>
      <c r="W184" s="483">
        <v>1139318.93</v>
      </c>
      <c r="X184" s="544">
        <v>1143865.08</v>
      </c>
      <c r="Y184" s="483">
        <v>4546.1500000001397</v>
      </c>
      <c r="Z184">
        <v>1117765</v>
      </c>
      <c r="AA184">
        <v>11034485</v>
      </c>
      <c r="AB184">
        <v>110916.61</v>
      </c>
      <c r="AC184">
        <v>4.2499999981373549E-3</v>
      </c>
      <c r="AD184">
        <v>21193703</v>
      </c>
      <c r="AE184">
        <v>3518.15</v>
      </c>
      <c r="AF184">
        <v>1028</v>
      </c>
      <c r="AG184" s="254">
        <v>-1.4006218407303095E-10</v>
      </c>
    </row>
    <row r="185" spans="4:35" ht="15.75" x14ac:dyDescent="0.25">
      <c r="D185" s="482">
        <f t="shared" si="37"/>
        <v>11388000</v>
      </c>
      <c r="E185">
        <f t="shared" si="38"/>
        <v>697336</v>
      </c>
      <c r="F185" s="482">
        <f t="shared" si="39"/>
        <v>10690664</v>
      </c>
      <c r="G185" s="482"/>
      <c r="H185">
        <v>3.805E-2</v>
      </c>
      <c r="I185">
        <f t="shared" si="40"/>
        <v>406779.76520000002</v>
      </c>
      <c r="J185">
        <f t="shared" si="41"/>
        <v>69804.77</v>
      </c>
      <c r="K185">
        <f t="shared" si="42"/>
        <v>476584.53520000004</v>
      </c>
      <c r="L185" s="483">
        <f t="shared" si="43"/>
        <v>-4.7999999369494617E-3</v>
      </c>
      <c r="M185" t="s">
        <v>497</v>
      </c>
      <c r="N185" s="543">
        <v>20000</v>
      </c>
      <c r="O185" s="543">
        <v>33430</v>
      </c>
      <c r="P185">
        <v>33430</v>
      </c>
      <c r="Q185" s="482"/>
      <c r="R185" s="543">
        <v>11388000</v>
      </c>
      <c r="S185" s="544">
        <v>305152.45</v>
      </c>
      <c r="T185" s="544">
        <v>476584.54</v>
      </c>
      <c r="U185" s="285">
        <v>449556.75000000006</v>
      </c>
      <c r="V185" s="483"/>
      <c r="W185" s="483">
        <v>1231293.74</v>
      </c>
      <c r="X185" s="544">
        <v>1235777.98</v>
      </c>
      <c r="Y185" s="483">
        <v>4484.2399999999907</v>
      </c>
      <c r="Z185">
        <v>697336</v>
      </c>
      <c r="AA185">
        <v>10690664</v>
      </c>
      <c r="AB185">
        <v>69804.77</v>
      </c>
      <c r="AC185">
        <v>-4.7999999951571226E-3</v>
      </c>
      <c r="AD185">
        <v>20820703</v>
      </c>
      <c r="AE185">
        <v>3456.24</v>
      </c>
      <c r="AF185">
        <v>1028</v>
      </c>
      <c r="AG185" s="254">
        <v>9.0949470177292824E-12</v>
      </c>
    </row>
    <row r="186" spans="4:35" ht="15.75" x14ac:dyDescent="0.25">
      <c r="D186" s="482">
        <f t="shared" si="37"/>
        <v>12728499</v>
      </c>
      <c r="E186">
        <f t="shared" si="38"/>
        <v>134644</v>
      </c>
      <c r="F186" s="482">
        <f t="shared" si="39"/>
        <v>12593855</v>
      </c>
      <c r="G186" s="482"/>
      <c r="H186">
        <v>3.805E-2</v>
      </c>
      <c r="I186">
        <f t="shared" si="40"/>
        <v>479196.18274999998</v>
      </c>
      <c r="J186">
        <f t="shared" si="41"/>
        <v>8576.9500000000007</v>
      </c>
      <c r="K186">
        <f t="shared" si="42"/>
        <v>487773.13274999999</v>
      </c>
      <c r="L186" s="483">
        <f t="shared" si="43"/>
        <v>2.7499999850988388E-3</v>
      </c>
      <c r="M186" t="s">
        <v>498</v>
      </c>
      <c r="N186" s="543">
        <v>20000</v>
      </c>
      <c r="O186" s="543">
        <v>33174</v>
      </c>
      <c r="P186">
        <v>33174</v>
      </c>
      <c r="Q186" s="482"/>
      <c r="R186" s="543">
        <v>12728499</v>
      </c>
      <c r="S186" s="544">
        <v>302409.40999999997</v>
      </c>
      <c r="T186" s="544">
        <v>487773.13</v>
      </c>
      <c r="U186" s="285">
        <v>441848.23</v>
      </c>
      <c r="V186" s="483"/>
      <c r="W186" s="483">
        <v>1232030.77</v>
      </c>
      <c r="X186" s="544">
        <v>1236922.79</v>
      </c>
      <c r="Y186" s="483">
        <v>4892.0200000000186</v>
      </c>
      <c r="Z186">
        <v>134644</v>
      </c>
      <c r="AA186">
        <v>12593855</v>
      </c>
      <c r="AB186">
        <v>8576.9500000000007</v>
      </c>
      <c r="AC186">
        <v>2.7499999850988388E-3</v>
      </c>
      <c r="AD186">
        <v>23277219</v>
      </c>
      <c r="AE186">
        <v>3864.02</v>
      </c>
      <c r="AF186">
        <v>1028</v>
      </c>
      <c r="AG186" s="254">
        <v>-1.8189894035458565E-11</v>
      </c>
    </row>
    <row r="187" spans="4:35" ht="15.75" x14ac:dyDescent="0.25">
      <c r="D187" s="482">
        <f t="shared" si="37"/>
        <v>11826516</v>
      </c>
      <c r="E187">
        <f t="shared" si="38"/>
        <v>1009556</v>
      </c>
      <c r="F187" s="482">
        <f t="shared" si="39"/>
        <v>10816960</v>
      </c>
      <c r="G187" s="482"/>
      <c r="H187">
        <v>3.805E-2</v>
      </c>
      <c r="I187">
        <f t="shared" si="40"/>
        <v>411585.32799999998</v>
      </c>
      <c r="J187">
        <f t="shared" si="41"/>
        <v>75389.840000000011</v>
      </c>
      <c r="K187">
        <f t="shared" si="42"/>
        <v>486975.16800000001</v>
      </c>
      <c r="L187" s="483">
        <f t="shared" si="43"/>
        <v>-1.9999999785795808E-3</v>
      </c>
      <c r="M187" t="s">
        <v>499</v>
      </c>
      <c r="N187" s="543">
        <v>20000</v>
      </c>
      <c r="O187" s="543">
        <v>33177</v>
      </c>
      <c r="P187">
        <v>33177</v>
      </c>
      <c r="Q187" s="482"/>
      <c r="R187" s="543">
        <v>11826516</v>
      </c>
      <c r="S187" s="544">
        <v>302441.55</v>
      </c>
      <c r="T187" s="544">
        <v>486975.17</v>
      </c>
      <c r="U187" s="285">
        <v>328792.13</v>
      </c>
      <c r="V187" s="483"/>
      <c r="W187" s="483">
        <v>1118208.8500000001</v>
      </c>
      <c r="X187" s="544">
        <v>1122780.2</v>
      </c>
      <c r="Y187" s="483">
        <v>4571.3499999998603</v>
      </c>
      <c r="Z187">
        <v>1009556</v>
      </c>
      <c r="AA187">
        <v>10816960</v>
      </c>
      <c r="AB187">
        <v>75389.840000000011</v>
      </c>
      <c r="AC187">
        <v>-2.0000000949949026E-3</v>
      </c>
      <c r="AD187">
        <v>21345453</v>
      </c>
      <c r="AE187">
        <v>3543.35</v>
      </c>
      <c r="AF187">
        <v>1028</v>
      </c>
      <c r="AG187" s="254">
        <v>1.4006218407303095E-10</v>
      </c>
    </row>
    <row r="188" spans="4:35" ht="15.75" x14ac:dyDescent="0.25">
      <c r="D188" s="482">
        <f t="shared" si="37"/>
        <v>11057188</v>
      </c>
      <c r="E188">
        <f t="shared" si="38"/>
        <v>65965</v>
      </c>
      <c r="F188" s="482">
        <f t="shared" si="39"/>
        <v>10991223</v>
      </c>
      <c r="G188" s="482"/>
      <c r="H188">
        <v>3.805E-2</v>
      </c>
      <c r="I188">
        <f t="shared" si="40"/>
        <v>418216.03515000001</v>
      </c>
      <c r="J188">
        <f t="shared" si="41"/>
        <v>13138.210000000001</v>
      </c>
      <c r="K188">
        <f t="shared" si="42"/>
        <v>431354.24515000003</v>
      </c>
      <c r="L188" s="483">
        <f t="shared" si="43"/>
        <v>-4.8499999684281647E-3</v>
      </c>
      <c r="M188" t="s">
        <v>500</v>
      </c>
      <c r="N188" s="543">
        <v>20000</v>
      </c>
      <c r="O188" s="543">
        <v>33774</v>
      </c>
      <c r="P188">
        <v>33774</v>
      </c>
      <c r="Q188" s="482"/>
      <c r="R188" s="543">
        <v>11057188</v>
      </c>
      <c r="S188" s="544">
        <v>308838.40999999997</v>
      </c>
      <c r="T188" s="544">
        <v>431354.25</v>
      </c>
      <c r="U188" s="285">
        <v>280889.77999999997</v>
      </c>
      <c r="V188" s="483"/>
      <c r="W188" s="483">
        <v>1021082.44</v>
      </c>
      <c r="X188" s="544">
        <v>1025757.93</v>
      </c>
      <c r="Y188" s="483">
        <v>4675.4900000001071</v>
      </c>
      <c r="Z188">
        <v>65965</v>
      </c>
      <c r="AA188">
        <v>10991223</v>
      </c>
      <c r="AB188">
        <v>13138.210000000001</v>
      </c>
      <c r="AC188">
        <v>-4.8500000266358256E-3</v>
      </c>
      <c r="AD188">
        <v>21972813</v>
      </c>
      <c r="AE188">
        <v>3647.49</v>
      </c>
      <c r="AF188">
        <v>1028</v>
      </c>
      <c r="AG188" s="254">
        <v>-1.0732037480920553E-10</v>
      </c>
    </row>
    <row r="189" spans="4:35" ht="14.25" x14ac:dyDescent="0.2">
      <c r="D189" s="482">
        <f t="shared" si="37"/>
        <v>10877859</v>
      </c>
      <c r="E189">
        <f t="shared" si="38"/>
        <v>28708</v>
      </c>
      <c r="F189" s="482">
        <f t="shared" si="39"/>
        <v>10849151</v>
      </c>
      <c r="G189" s="482"/>
      <c r="H189">
        <v>3.805E-2</v>
      </c>
      <c r="I189">
        <f t="shared" si="40"/>
        <v>412810.19555</v>
      </c>
      <c r="J189">
        <f t="shared" si="41"/>
        <v>1155.1599999999999</v>
      </c>
      <c r="K189">
        <f t="shared" si="42"/>
        <v>413965.35554999998</v>
      </c>
      <c r="L189" s="483">
        <f t="shared" si="43"/>
        <v>-4.4500000076368451E-3</v>
      </c>
      <c r="M189" s="327" t="s">
        <v>591</v>
      </c>
      <c r="N189" s="545">
        <v>20000</v>
      </c>
      <c r="O189" s="546">
        <v>33577</v>
      </c>
      <c r="P189" s="546">
        <v>33577</v>
      </c>
      <c r="Q189" s="546"/>
      <c r="R189" s="546">
        <v>10877859</v>
      </c>
      <c r="S189" s="547">
        <v>306727.55</v>
      </c>
      <c r="T189" s="547">
        <v>413965.36</v>
      </c>
      <c r="U189" s="548">
        <f t="shared" ref="U189:U190" si="44">SUM(O211:V211)</f>
        <v>290439.08</v>
      </c>
      <c r="V189" s="547"/>
      <c r="W189" s="547">
        <f t="shared" ref="W189:W190" si="45">SUM(S189:V189)</f>
        <v>1011131.99</v>
      </c>
      <c r="X189" s="547">
        <v>1015787.53</v>
      </c>
      <c r="Y189" s="483">
        <f t="shared" ref="Y189:Y190" si="46">X189-W189</f>
        <v>4655.5400000000373</v>
      </c>
      <c r="Z189">
        <v>28708</v>
      </c>
      <c r="AA189">
        <v>10849151</v>
      </c>
      <c r="AB189">
        <v>1155.1599999999999</v>
      </c>
      <c r="AC189">
        <v>-4.4499998912215233E-3</v>
      </c>
      <c r="AD189">
        <v>21852625</v>
      </c>
      <c r="AE189">
        <v>3627.54</v>
      </c>
      <c r="AF189">
        <v>1028</v>
      </c>
      <c r="AG189" s="254">
        <v>-3.7289282772690058E-11</v>
      </c>
    </row>
    <row r="190" spans="4:35" ht="14.25" x14ac:dyDescent="0.2">
      <c r="D190" s="482">
        <f t="shared" si="37"/>
        <v>10797125</v>
      </c>
      <c r="E190">
        <f t="shared" si="38"/>
        <v>117156</v>
      </c>
      <c r="F190" s="482">
        <f t="shared" si="39"/>
        <v>10679969</v>
      </c>
      <c r="G190" s="482"/>
      <c r="H190">
        <v>3.805E-2</v>
      </c>
      <c r="I190">
        <f t="shared" si="40"/>
        <v>406372.82045</v>
      </c>
      <c r="J190">
        <f t="shared" si="41"/>
        <v>4470.57</v>
      </c>
      <c r="K190">
        <f t="shared" si="42"/>
        <v>410843.39045000001</v>
      </c>
      <c r="L190" s="483">
        <f t="shared" si="43"/>
        <v>4.4999999227002263E-4</v>
      </c>
      <c r="M190" s="327" t="s">
        <v>565</v>
      </c>
      <c r="N190" s="545">
        <v>20000</v>
      </c>
      <c r="O190" s="546">
        <v>33664</v>
      </c>
      <c r="P190" s="546">
        <v>33664</v>
      </c>
      <c r="Q190" s="546"/>
      <c r="R190" s="546">
        <v>10797125</v>
      </c>
      <c r="S190" s="547">
        <v>307659.76</v>
      </c>
      <c r="T190" s="547">
        <v>410843.39</v>
      </c>
      <c r="U190" s="548">
        <f t="shared" si="44"/>
        <v>154447.07</v>
      </c>
      <c r="V190" s="547"/>
      <c r="W190" s="547">
        <f t="shared" si="45"/>
        <v>872950.22</v>
      </c>
      <c r="X190" s="547">
        <v>877379.54</v>
      </c>
      <c r="Y190" s="483">
        <f t="shared" si="46"/>
        <v>4429.3200000000652</v>
      </c>
      <c r="Z190">
        <v>117156</v>
      </c>
      <c r="AA190">
        <v>10679969</v>
      </c>
      <c r="AB190">
        <v>4470.57</v>
      </c>
      <c r="AC190">
        <v>4.5000005047768354E-4</v>
      </c>
      <c r="AD190">
        <v>20489906</v>
      </c>
      <c r="AE190">
        <v>3401.32</v>
      </c>
      <c r="AF190">
        <v>1028</v>
      </c>
      <c r="AG190" s="254">
        <v>-6.5483618527650833E-11</v>
      </c>
    </row>
    <row r="191" spans="4:35" x14ac:dyDescent="0.2">
      <c r="O191" s="488"/>
      <c r="Q191" s="488"/>
      <c r="R191" s="488"/>
      <c r="S191" s="489"/>
      <c r="T191" s="489"/>
      <c r="U191" s="489"/>
      <c r="V191" s="481"/>
      <c r="W191" s="489"/>
      <c r="X191" s="489"/>
      <c r="Y191" s="489"/>
      <c r="AG191" s="254"/>
    </row>
    <row r="192" spans="4:35" x14ac:dyDescent="0.2">
      <c r="I192">
        <f>403564</f>
        <v>403564</v>
      </c>
      <c r="O192" s="482"/>
      <c r="Q192" s="482"/>
      <c r="R192" s="482"/>
      <c r="S192" s="483"/>
      <c r="T192" s="483"/>
      <c r="U192" s="483"/>
      <c r="W192" s="483"/>
      <c r="X192" s="483"/>
      <c r="Y192" s="483"/>
      <c r="AG192" s="254"/>
    </row>
    <row r="193" spans="6:35" x14ac:dyDescent="0.2">
      <c r="I193" s="203">
        <v>10.715</v>
      </c>
      <c r="N193" s="482">
        <f>SUM(N179:N190)</f>
        <v>240000</v>
      </c>
      <c r="O193" s="482">
        <f t="shared" ref="O193:Y193" si="47">SUM(O179:O190)</f>
        <v>403065</v>
      </c>
      <c r="P193" s="482">
        <f t="shared" si="47"/>
        <v>403564</v>
      </c>
      <c r="Q193" s="482">
        <f t="shared" si="47"/>
        <v>0</v>
      </c>
      <c r="R193" s="275">
        <f t="shared" si="47"/>
        <v>146167129</v>
      </c>
      <c r="S193" s="254">
        <f t="shared" si="47"/>
        <v>3687588.26</v>
      </c>
      <c r="T193" s="254">
        <f t="shared" si="47"/>
        <v>5924363.04</v>
      </c>
      <c r="U193" s="254">
        <f t="shared" si="47"/>
        <v>3420667.1799999997</v>
      </c>
      <c r="V193" s="254">
        <f t="shared" si="47"/>
        <v>0</v>
      </c>
      <c r="W193" s="254">
        <f t="shared" si="47"/>
        <v>13032618.479999999</v>
      </c>
      <c r="X193" s="254">
        <f t="shared" si="47"/>
        <v>13088394.859999999</v>
      </c>
      <c r="Y193" s="254">
        <f t="shared" si="47"/>
        <v>55776.380000000121</v>
      </c>
      <c r="Z193">
        <f>SUM(Z179:Z190)</f>
        <v>9395919</v>
      </c>
      <c r="AA193">
        <f t="shared" ref="AA193:AF193" si="48">SUM(AA179:AA190)</f>
        <v>136771210</v>
      </c>
      <c r="AB193">
        <f t="shared" si="48"/>
        <v>720218.48999999987</v>
      </c>
      <c r="AC193">
        <v>-4.2500001145526767E-3</v>
      </c>
      <c r="AD193">
        <f t="shared" si="48"/>
        <v>261688996</v>
      </c>
      <c r="AE193">
        <f t="shared" si="48"/>
        <v>43440.380000000005</v>
      </c>
      <c r="AF193">
        <f t="shared" si="48"/>
        <v>12336</v>
      </c>
      <c r="AG193" s="254">
        <v>5.0931703299283981E-11</v>
      </c>
      <c r="AH193">
        <f>SUM(AH179:AH190)</f>
        <v>0</v>
      </c>
      <c r="AI193">
        <f t="shared" ref="AI193" si="49">SUM(AI179:AI190)</f>
        <v>0</v>
      </c>
    </row>
    <row r="194" spans="6:35" x14ac:dyDescent="0.2">
      <c r="I194">
        <f>I192*I193</f>
        <v>4324188.26</v>
      </c>
      <c r="J194">
        <v>-638400</v>
      </c>
      <c r="K194">
        <f>I194+J194</f>
        <v>3685788.26</v>
      </c>
      <c r="O194" s="488" t="s">
        <v>501</v>
      </c>
      <c r="Q194" s="488" t="s">
        <v>501</v>
      </c>
      <c r="R194" s="488" t="s">
        <v>501</v>
      </c>
      <c r="S194" s="489" t="s">
        <v>501</v>
      </c>
      <c r="T194" s="489" t="s">
        <v>501</v>
      </c>
      <c r="U194" s="489" t="s">
        <v>501</v>
      </c>
      <c r="V194" s="489" t="s">
        <v>501</v>
      </c>
      <c r="W194" s="489" t="s">
        <v>501</v>
      </c>
      <c r="X194" s="489" t="s">
        <v>501</v>
      </c>
      <c r="Y194" s="489" t="s">
        <v>501</v>
      </c>
      <c r="AD194" s="270">
        <f>AA193</f>
        <v>136771210</v>
      </c>
      <c r="AE194" t="s">
        <v>592</v>
      </c>
    </row>
    <row r="195" spans="6:35" x14ac:dyDescent="0.2">
      <c r="O195" s="482"/>
      <c r="Q195" s="482"/>
      <c r="R195" s="495"/>
      <c r="S195" s="495"/>
      <c r="T195" s="495"/>
      <c r="V195" s="495"/>
      <c r="W195" s="495"/>
      <c r="AD195" s="270">
        <f>Z193</f>
        <v>9395919</v>
      </c>
      <c r="AE195" s="483" t="s">
        <v>594</v>
      </c>
      <c r="AF195" s="483"/>
    </row>
    <row r="196" spans="6:35" x14ac:dyDescent="0.2">
      <c r="F196" s="270">
        <f>R193</f>
        <v>146167129</v>
      </c>
      <c r="G196" s="270"/>
      <c r="H196">
        <f>Z193</f>
        <v>9395919</v>
      </c>
      <c r="I196" s="270">
        <f>F196-H196</f>
        <v>136771210</v>
      </c>
      <c r="J196">
        <v>3.805E-2</v>
      </c>
      <c r="K196" s="285">
        <f>I196*J196</f>
        <v>5204144.5405000001</v>
      </c>
      <c r="Q196" s="482"/>
      <c r="AD196" s="270">
        <f>AD193-AD194-AD195</f>
        <v>115521867</v>
      </c>
      <c r="AE196" t="s">
        <v>595</v>
      </c>
    </row>
    <row r="197" spans="6:35" x14ac:dyDescent="0.2">
      <c r="K197">
        <f>AB193</f>
        <v>720218.48999999987</v>
      </c>
      <c r="P197" t="s">
        <v>549</v>
      </c>
    </row>
    <row r="198" spans="6:35" x14ac:dyDescent="0.2">
      <c r="K198" s="285">
        <f>K196+K197</f>
        <v>5924363.0305000003</v>
      </c>
      <c r="M198" s="183"/>
      <c r="N198" s="183"/>
      <c r="O198" s="183" t="s">
        <v>550</v>
      </c>
      <c r="P198" s="183" t="s">
        <v>551</v>
      </c>
      <c r="Q198" s="183" t="s">
        <v>552</v>
      </c>
      <c r="R198" s="183" t="s">
        <v>555</v>
      </c>
      <c r="S198" s="183" t="s">
        <v>596</v>
      </c>
      <c r="T198" s="183" t="s">
        <v>553</v>
      </c>
      <c r="U198" s="183" t="s">
        <v>554</v>
      </c>
      <c r="V198" s="183" t="s">
        <v>556</v>
      </c>
      <c r="W198" s="183"/>
      <c r="X198" s="183"/>
      <c r="Y198" s="183"/>
    </row>
    <row r="199" spans="6:35" x14ac:dyDescent="0.2">
      <c r="K199" s="285">
        <f>K198-T193</f>
        <v>-9.4999996945261955E-3</v>
      </c>
      <c r="M199" s="183"/>
      <c r="N199" s="183"/>
      <c r="O199" s="183" t="s">
        <v>471</v>
      </c>
      <c r="P199" s="183" t="s">
        <v>558</v>
      </c>
      <c r="Q199" s="183" t="s">
        <v>559</v>
      </c>
      <c r="R199" s="183" t="s">
        <v>562</v>
      </c>
      <c r="S199" s="183" t="s">
        <v>597</v>
      </c>
      <c r="T199" s="183" t="s">
        <v>560</v>
      </c>
      <c r="U199" s="183" t="s">
        <v>561</v>
      </c>
      <c r="V199" s="183" t="s">
        <v>563</v>
      </c>
      <c r="W199" s="183"/>
      <c r="X199" s="183"/>
      <c r="Y199" s="183"/>
    </row>
    <row r="200" spans="6:35" x14ac:dyDescent="0.2">
      <c r="M200" s="183"/>
      <c r="N200" s="183"/>
      <c r="O200" s="521"/>
      <c r="P200" s="521"/>
      <c r="Q200" s="521"/>
      <c r="R200" s="521"/>
      <c r="S200" s="521"/>
      <c r="T200" s="521"/>
      <c r="U200" s="521"/>
      <c r="V200" s="521"/>
      <c r="W200" s="521"/>
      <c r="X200" s="521"/>
      <c r="Y200" s="523" t="s">
        <v>84</v>
      </c>
    </row>
    <row r="201" spans="6:35" ht="15.75" x14ac:dyDescent="0.25">
      <c r="L201">
        <f>L91</f>
        <v>1</v>
      </c>
      <c r="M201" t="s">
        <v>600</v>
      </c>
      <c r="O201" s="540">
        <v>252457.46</v>
      </c>
      <c r="P201" s="540">
        <v>32824.47</v>
      </c>
      <c r="Q201" s="540">
        <v>58843.43</v>
      </c>
      <c r="R201" s="534">
        <v>-69961.39</v>
      </c>
      <c r="S201" s="534"/>
      <c r="T201" s="540"/>
      <c r="U201" s="540"/>
      <c r="V201" s="540"/>
      <c r="W201" s="540"/>
      <c r="X201" s="540"/>
      <c r="Y201" s="285">
        <f>SUM(O201:X201)</f>
        <v>274163.96999999997</v>
      </c>
    </row>
    <row r="202" spans="6:35" ht="15.75" x14ac:dyDescent="0.25">
      <c r="M202" t="s">
        <v>492</v>
      </c>
      <c r="O202" s="540">
        <v>198031.41</v>
      </c>
      <c r="P202" s="540">
        <v>32422.17</v>
      </c>
      <c r="Q202" s="540">
        <v>68063.28</v>
      </c>
      <c r="R202" s="534">
        <v>-65622.899999999994</v>
      </c>
      <c r="S202" s="534"/>
      <c r="T202" s="540"/>
      <c r="U202" s="540"/>
      <c r="V202" s="540"/>
      <c r="W202" s="540"/>
      <c r="X202" s="540"/>
      <c r="Y202" s="285">
        <f t="shared" ref="Y202:Y211" si="50">SUM(O202:X202)</f>
        <v>232893.96</v>
      </c>
    </row>
    <row r="203" spans="6:35" ht="15.75" x14ac:dyDescent="0.25">
      <c r="M203" t="s">
        <v>493</v>
      </c>
      <c r="O203" s="540">
        <v>185606.58</v>
      </c>
      <c r="P203" s="540">
        <v>25602.68</v>
      </c>
      <c r="Q203" s="540">
        <v>47368.49</v>
      </c>
      <c r="R203" s="534">
        <v>-53232.53</v>
      </c>
      <c r="S203" s="534"/>
      <c r="T203" s="540"/>
      <c r="U203" s="540"/>
      <c r="V203" s="540"/>
      <c r="W203" s="540"/>
      <c r="X203" s="540"/>
      <c r="Y203" s="285">
        <f t="shared" si="50"/>
        <v>205345.21999999997</v>
      </c>
    </row>
    <row r="204" spans="6:35" ht="15.75" x14ac:dyDescent="0.25">
      <c r="M204" t="s">
        <v>494</v>
      </c>
      <c r="O204" s="540">
        <v>84413.38</v>
      </c>
      <c r="P204" s="540">
        <v>33975.230000000003</v>
      </c>
      <c r="Q204" s="540">
        <v>59964.84</v>
      </c>
      <c r="R204" s="534">
        <v>-65052.9</v>
      </c>
      <c r="S204" s="534"/>
      <c r="T204" s="540"/>
      <c r="U204" s="540"/>
      <c r="V204" s="540"/>
      <c r="W204" s="540"/>
      <c r="X204" s="540"/>
      <c r="Y204" s="285">
        <f t="shared" si="50"/>
        <v>113300.55000000002</v>
      </c>
    </row>
    <row r="205" spans="6:35" ht="15.75" x14ac:dyDescent="0.25">
      <c r="M205" t="s">
        <v>495</v>
      </c>
      <c r="O205" s="533">
        <v>312509.23</v>
      </c>
      <c r="P205" s="533">
        <v>38067.31</v>
      </c>
      <c r="Q205" s="533">
        <v>57059.17</v>
      </c>
      <c r="R205" s="534">
        <v>-58357.74</v>
      </c>
      <c r="S205" s="534"/>
      <c r="T205" s="533"/>
      <c r="U205" s="533"/>
      <c r="V205" s="533"/>
      <c r="W205" s="533"/>
      <c r="X205" s="533"/>
      <c r="Y205" s="285">
        <f t="shared" si="50"/>
        <v>349277.97</v>
      </c>
    </row>
    <row r="206" spans="6:35" ht="15.75" x14ac:dyDescent="0.25">
      <c r="M206" t="s">
        <v>496</v>
      </c>
      <c r="O206" s="533">
        <v>269986.53999999998</v>
      </c>
      <c r="P206" s="533">
        <v>30295.56</v>
      </c>
      <c r="Q206" s="533">
        <v>54137.73</v>
      </c>
      <c r="R206" s="534">
        <v>-54707.360000000001</v>
      </c>
      <c r="S206" s="534"/>
      <c r="T206" s="533"/>
      <c r="U206" s="533"/>
      <c r="V206" s="533"/>
      <c r="W206" s="533"/>
      <c r="X206" s="533"/>
      <c r="Y206" s="285">
        <f t="shared" si="50"/>
        <v>299712.46999999997</v>
      </c>
    </row>
    <row r="207" spans="6:35" ht="15.75" x14ac:dyDescent="0.25">
      <c r="M207" t="s">
        <v>497</v>
      </c>
      <c r="O207" s="533">
        <v>394708.08</v>
      </c>
      <c r="P207" s="533">
        <v>68544.37</v>
      </c>
      <c r="Q207" s="533">
        <v>38144.22</v>
      </c>
      <c r="R207" s="533">
        <v>-51839.92</v>
      </c>
      <c r="S207" s="533"/>
      <c r="T207" s="533"/>
      <c r="U207" s="533"/>
      <c r="V207" s="534"/>
      <c r="W207" s="533"/>
      <c r="X207" s="533"/>
      <c r="Y207" s="285">
        <f t="shared" si="50"/>
        <v>449556.75000000006</v>
      </c>
    </row>
    <row r="208" spans="6:35" ht="15.75" x14ac:dyDescent="0.25">
      <c r="M208" s="203" t="s">
        <v>498</v>
      </c>
      <c r="O208" s="533">
        <v>367522.68</v>
      </c>
      <c r="P208" s="533">
        <v>76612.84</v>
      </c>
      <c r="Q208" s="533">
        <v>51346.67</v>
      </c>
      <c r="R208" s="533">
        <v>-53633.96</v>
      </c>
      <c r="S208" s="533"/>
      <c r="T208" s="533"/>
      <c r="U208" s="533"/>
      <c r="V208" s="534"/>
      <c r="W208" s="533"/>
      <c r="X208" s="533"/>
      <c r="Y208" s="285">
        <f t="shared" si="50"/>
        <v>441848.23</v>
      </c>
    </row>
    <row r="209" spans="12:25" ht="15.75" x14ac:dyDescent="0.25">
      <c r="M209" t="s">
        <v>499</v>
      </c>
      <c r="O209" s="533">
        <v>277923.13</v>
      </c>
      <c r="P209" s="533">
        <v>71183.8</v>
      </c>
      <c r="Q209" s="533">
        <v>37551.54</v>
      </c>
      <c r="R209" s="533">
        <v>-57866.34</v>
      </c>
      <c r="S209" s="533"/>
      <c r="T209" s="533"/>
      <c r="U209" s="533"/>
      <c r="V209" s="534"/>
      <c r="W209" s="533"/>
      <c r="X209" s="533"/>
      <c r="Y209" s="285">
        <f t="shared" si="50"/>
        <v>328792.13</v>
      </c>
    </row>
    <row r="210" spans="12:25" ht="15.75" x14ac:dyDescent="0.25">
      <c r="M210" t="s">
        <v>500</v>
      </c>
      <c r="O210" s="533">
        <v>221486.53</v>
      </c>
      <c r="P210" s="533">
        <v>66553.210000000006</v>
      </c>
      <c r="Q210" s="533">
        <v>41847.86</v>
      </c>
      <c r="R210" s="533">
        <v>-48997.82</v>
      </c>
      <c r="S210" s="533"/>
      <c r="T210" s="533"/>
      <c r="U210" s="533"/>
      <c r="V210" s="534"/>
      <c r="W210" s="533"/>
      <c r="X210" s="533"/>
      <c r="Y210" s="285">
        <f t="shared" si="50"/>
        <v>280889.77999999997</v>
      </c>
    </row>
    <row r="211" spans="12:25" ht="15.75" x14ac:dyDescent="0.25">
      <c r="M211" t="str">
        <f t="shared" ref="M211:M212" si="51">M189</f>
        <v>JAN 2023</v>
      </c>
      <c r="O211" s="549">
        <v>157576.67000000001</v>
      </c>
      <c r="P211" s="549">
        <v>65473.83</v>
      </c>
      <c r="Q211" s="549">
        <v>100333.68</v>
      </c>
      <c r="R211" s="549">
        <v>-32945.1</v>
      </c>
      <c r="S211" s="533"/>
      <c r="T211" s="533"/>
      <c r="U211" s="533"/>
      <c r="V211" s="533"/>
      <c r="W211" s="533"/>
      <c r="X211" s="533"/>
      <c r="Y211" s="285">
        <f t="shared" si="50"/>
        <v>290439.08</v>
      </c>
    </row>
    <row r="212" spans="12:25" ht="15.75" x14ac:dyDescent="0.25">
      <c r="L212">
        <f>L102</f>
        <v>12</v>
      </c>
      <c r="M212" t="str">
        <f t="shared" si="51"/>
        <v>FEB 2023</v>
      </c>
      <c r="O212" s="549">
        <v>84563.08</v>
      </c>
      <c r="P212" s="549">
        <v>64987.9</v>
      </c>
      <c r="Q212" s="549">
        <v>43623.74</v>
      </c>
      <c r="R212" s="549">
        <v>-38727.65</v>
      </c>
      <c r="S212" s="533"/>
      <c r="T212" s="540"/>
      <c r="U212" s="540"/>
      <c r="V212" s="540"/>
      <c r="W212" s="540"/>
      <c r="X212" s="540"/>
      <c r="Y212" s="285">
        <f>SUM(O212:X212)</f>
        <v>154447.07</v>
      </c>
    </row>
    <row r="213" spans="12:25" ht="15" x14ac:dyDescent="0.35">
      <c r="O213" s="550"/>
      <c r="P213" s="550"/>
      <c r="Q213" s="550"/>
      <c r="R213" s="550"/>
      <c r="S213" s="294"/>
      <c r="T213" s="294"/>
      <c r="U213" s="294"/>
      <c r="V213" s="294"/>
      <c r="Y213" s="285"/>
    </row>
    <row r="214" spans="12:25" ht="15" thickBot="1" x14ac:dyDescent="0.25">
      <c r="M214" t="s">
        <v>65</v>
      </c>
      <c r="O214" s="551">
        <v>259597.19</v>
      </c>
      <c r="P214" s="551">
        <v>547643.75</v>
      </c>
      <c r="Q214" s="551">
        <v>1363256.3500000003</v>
      </c>
      <c r="R214" s="551">
        <v>-1149473.68</v>
      </c>
      <c r="S214" s="542">
        <v>0</v>
      </c>
      <c r="T214" s="542">
        <v>0</v>
      </c>
      <c r="U214" s="542">
        <v>0</v>
      </c>
      <c r="V214" s="542">
        <v>0</v>
      </c>
      <c r="W214" s="542"/>
      <c r="X214" s="542"/>
      <c r="Y214" s="542">
        <f>SUM(Y201:Y212)</f>
        <v>3420667.1799999997</v>
      </c>
    </row>
    <row r="215" spans="12:25" ht="13.5" thickTop="1" x14ac:dyDescent="0.2"/>
  </sheetData>
  <mergeCells count="6">
    <mergeCell ref="A1:K1"/>
    <mergeCell ref="A2:K2"/>
    <mergeCell ref="A3:K3"/>
    <mergeCell ref="C7:E7"/>
    <mergeCell ref="F7:H7"/>
    <mergeCell ref="I7:K7"/>
  </mergeCells>
  <pageMargins left="0.7" right="0.7" top="0.75" bottom="0.75" header="0.3" footer="0.3"/>
  <pageSetup scale="73" orientation="landscape" r:id="rId1"/>
  <headerFooter>
    <oddFooter>&amp;RExhibit JW-9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11B4F-CCBE-440C-8078-2089D10E253C}">
  <sheetPr>
    <pageSetUpPr fitToPage="1"/>
  </sheetPr>
  <dimension ref="A1:AP860"/>
  <sheetViews>
    <sheetView view="pageBreakPreview" zoomScale="60" zoomScaleNormal="100" workbookViewId="0">
      <selection activeCell="X13" sqref="X13"/>
    </sheetView>
  </sheetViews>
  <sheetFormatPr defaultRowHeight="12.75" x14ac:dyDescent="0.2"/>
  <cols>
    <col min="1" max="1" width="9" bestFit="1" customWidth="1"/>
    <col min="3" max="3" width="13.7109375" bestFit="1" customWidth="1"/>
    <col min="4" max="4" width="14.140625" bestFit="1" customWidth="1"/>
    <col min="5" max="5" width="16.140625" bestFit="1" customWidth="1"/>
    <col min="6" max="6" width="5.140625" bestFit="1" customWidth="1"/>
    <col min="7" max="7" width="6.140625" bestFit="1" customWidth="1"/>
    <col min="8" max="8" width="13.7109375" bestFit="1" customWidth="1"/>
    <col min="9" max="9" width="11.28515625" bestFit="1" customWidth="1"/>
    <col min="10" max="10" width="16.28515625" bestFit="1" customWidth="1"/>
    <col min="11" max="11" width="14.140625" bestFit="1" customWidth="1"/>
    <col min="12" max="12" width="11.28515625" bestFit="1" customWidth="1"/>
    <col min="13" max="13" width="13.28515625" bestFit="1" customWidth="1"/>
    <col min="14" max="14" width="13.7109375" bestFit="1" customWidth="1"/>
    <col min="15" max="15" width="3.85546875" bestFit="1" customWidth="1"/>
    <col min="16" max="16" width="11.28515625" bestFit="1" customWidth="1"/>
    <col min="17" max="17" width="11.42578125" bestFit="1" customWidth="1"/>
    <col min="18" max="18" width="13.28515625" bestFit="1" customWidth="1"/>
    <col min="19" max="19" width="14.42578125" bestFit="1" customWidth="1"/>
    <col min="20" max="21" width="16.85546875" bestFit="1" customWidth="1"/>
    <col min="22" max="23" width="14.140625" bestFit="1" customWidth="1"/>
    <col min="24" max="24" width="13.42578125" bestFit="1" customWidth="1"/>
    <col min="25" max="25" width="16.28515625" bestFit="1" customWidth="1"/>
    <col min="26" max="27" width="14.85546875" bestFit="1" customWidth="1"/>
    <col min="28" max="28" width="12.85546875" bestFit="1" customWidth="1"/>
    <col min="29" max="29" width="12" bestFit="1" customWidth="1"/>
    <col min="30" max="30" width="9.42578125" bestFit="1" customWidth="1"/>
    <col min="31" max="31" width="12.28515625" bestFit="1" customWidth="1"/>
    <col min="32" max="32" width="9.7109375" bestFit="1" customWidth="1"/>
    <col min="33" max="33" width="6.85546875" bestFit="1" customWidth="1"/>
    <col min="34" max="34" width="7.7109375" bestFit="1" customWidth="1"/>
    <col min="35" max="35" width="10.28515625" bestFit="1" customWidth="1"/>
    <col min="36" max="37" width="11.7109375" bestFit="1" customWidth="1"/>
    <col min="38" max="38" width="7.42578125" bestFit="1" customWidth="1"/>
    <col min="39" max="39" width="11.7109375" bestFit="1" customWidth="1"/>
    <col min="40" max="40" width="12.42578125" bestFit="1" customWidth="1"/>
  </cols>
  <sheetData>
    <row r="1" spans="1:19" x14ac:dyDescent="0.2">
      <c r="A1" s="613" t="s">
        <v>139</v>
      </c>
      <c r="B1" s="613"/>
      <c r="C1" s="613"/>
      <c r="D1" s="613"/>
      <c r="E1" s="613"/>
      <c r="F1" s="613"/>
      <c r="G1" s="613"/>
      <c r="H1" s="613"/>
      <c r="I1" s="613"/>
      <c r="J1" s="613"/>
      <c r="K1" s="613"/>
      <c r="L1" s="613"/>
      <c r="M1" s="613"/>
    </row>
    <row r="2" spans="1:19" x14ac:dyDescent="0.2">
      <c r="A2" s="613" t="s">
        <v>503</v>
      </c>
      <c r="B2" s="613"/>
      <c r="C2" s="613"/>
      <c r="D2" s="613"/>
      <c r="E2" s="613"/>
      <c r="F2" s="613"/>
      <c r="G2" s="613"/>
      <c r="H2" s="613"/>
      <c r="I2" s="613"/>
      <c r="J2" s="613"/>
      <c r="K2" s="613"/>
      <c r="L2" s="613"/>
      <c r="M2" s="613"/>
      <c r="N2" s="203"/>
      <c r="O2" s="203"/>
      <c r="P2" s="203"/>
    </row>
    <row r="3" spans="1:19" x14ac:dyDescent="0.2">
      <c r="A3" s="613" t="s">
        <v>609</v>
      </c>
      <c r="B3" s="613"/>
      <c r="C3" s="613"/>
      <c r="D3" s="613"/>
      <c r="E3" s="613"/>
      <c r="F3" s="613"/>
      <c r="G3" s="613"/>
      <c r="H3" s="613"/>
      <c r="I3" s="613"/>
      <c r="J3" s="613"/>
      <c r="K3" s="613"/>
      <c r="L3" s="613"/>
      <c r="M3" s="613"/>
      <c r="N3" s="203"/>
      <c r="O3" s="203"/>
      <c r="P3" s="203"/>
    </row>
    <row r="4" spans="1:19" x14ac:dyDescent="0.2">
      <c r="A4" s="196"/>
      <c r="B4" s="231" t="s">
        <v>269</v>
      </c>
      <c r="C4" s="231" t="s">
        <v>270</v>
      </c>
      <c r="D4" s="231" t="s">
        <v>271</v>
      </c>
      <c r="E4" s="231" t="s">
        <v>272</v>
      </c>
      <c r="F4" s="231"/>
      <c r="G4" s="231" t="s">
        <v>273</v>
      </c>
      <c r="H4" s="231" t="s">
        <v>274</v>
      </c>
      <c r="I4" s="231" t="s">
        <v>275</v>
      </c>
      <c r="J4" s="231" t="s">
        <v>276</v>
      </c>
      <c r="K4" s="231" t="s">
        <v>443</v>
      </c>
      <c r="L4" s="231" t="s">
        <v>444</v>
      </c>
      <c r="M4" s="231" t="s">
        <v>610</v>
      </c>
    </row>
    <row r="5" spans="1:19" x14ac:dyDescent="0.2">
      <c r="A5" s="203"/>
      <c r="B5" s="203"/>
      <c r="C5" s="203"/>
      <c r="D5" s="203"/>
      <c r="E5" s="203"/>
      <c r="F5" s="203"/>
      <c r="G5" s="203"/>
      <c r="H5" s="196"/>
      <c r="I5" s="203"/>
      <c r="J5" s="203"/>
      <c r="K5" s="203"/>
      <c r="L5" s="203"/>
      <c r="M5" s="203"/>
    </row>
    <row r="6" spans="1:19" x14ac:dyDescent="0.2">
      <c r="A6" s="231" t="s">
        <v>268</v>
      </c>
      <c r="B6" s="203"/>
      <c r="C6" s="203"/>
      <c r="D6" s="203"/>
      <c r="E6" s="203"/>
      <c r="F6" s="203"/>
      <c r="G6" s="203"/>
      <c r="H6" s="231"/>
      <c r="I6" s="203"/>
      <c r="J6" s="203"/>
      <c r="K6" s="203"/>
      <c r="L6" s="203"/>
      <c r="M6" s="203"/>
    </row>
    <row r="7" spans="1:19" x14ac:dyDescent="0.2">
      <c r="A7" s="231" t="s">
        <v>277</v>
      </c>
      <c r="B7" s="198"/>
      <c r="C7" s="203"/>
      <c r="D7" s="203"/>
      <c r="E7" s="198"/>
      <c r="F7" s="198"/>
      <c r="G7" s="196"/>
      <c r="H7" s="231"/>
      <c r="I7" s="203"/>
      <c r="J7" s="203"/>
      <c r="K7" s="203"/>
      <c r="L7" s="203"/>
      <c r="M7" s="203"/>
    </row>
    <row r="8" spans="1:19" x14ac:dyDescent="0.2">
      <c r="A8" s="198"/>
      <c r="B8" s="198"/>
      <c r="C8" s="615" t="s">
        <v>505</v>
      </c>
      <c r="D8" s="616"/>
      <c r="E8" s="617"/>
      <c r="F8" s="523"/>
      <c r="G8" s="615" t="s">
        <v>506</v>
      </c>
      <c r="H8" s="616"/>
      <c r="I8" s="616"/>
      <c r="J8" s="617"/>
      <c r="K8" s="615" t="s">
        <v>507</v>
      </c>
      <c r="L8" s="616"/>
      <c r="M8" s="617"/>
    </row>
    <row r="9" spans="1:19" x14ac:dyDescent="0.2">
      <c r="A9" s="196">
        <v>1</v>
      </c>
      <c r="B9" s="203" t="s">
        <v>508</v>
      </c>
      <c r="C9" s="203"/>
      <c r="D9" s="203"/>
      <c r="E9" s="203"/>
      <c r="F9" s="203"/>
      <c r="G9" s="552"/>
      <c r="H9" s="552"/>
      <c r="I9" s="203"/>
      <c r="J9" s="203"/>
      <c r="K9" s="203"/>
      <c r="L9" s="203"/>
      <c r="M9" s="203"/>
    </row>
    <row r="10" spans="1:19" x14ac:dyDescent="0.2">
      <c r="A10" s="196">
        <f>A9+1</f>
        <v>2</v>
      </c>
      <c r="B10" s="203" t="s">
        <v>611</v>
      </c>
      <c r="C10" s="273">
        <f>S82</f>
        <v>423762</v>
      </c>
      <c r="D10" s="505">
        <v>10.715</v>
      </c>
      <c r="E10" s="198">
        <f>C10*D10</f>
        <v>4540609.83</v>
      </c>
      <c r="F10" s="198"/>
      <c r="G10" s="464"/>
      <c r="H10" s="464">
        <f t="shared" ref="H10:J11" si="0">C10</f>
        <v>423762</v>
      </c>
      <c r="I10" s="510">
        <f t="shared" si="0"/>
        <v>10.715</v>
      </c>
      <c r="J10" s="198">
        <f t="shared" si="0"/>
        <v>4540609.83</v>
      </c>
      <c r="K10" s="286">
        <f t="shared" ref="K10:K12" si="1">H10</f>
        <v>423762</v>
      </c>
      <c r="L10" s="510">
        <f>I10</f>
        <v>10.715</v>
      </c>
      <c r="M10" s="468">
        <f>L10*K10</f>
        <v>4540609.83</v>
      </c>
      <c r="P10" s="248"/>
      <c r="R10" s="248"/>
      <c r="S10" s="252"/>
    </row>
    <row r="11" spans="1:19" x14ac:dyDescent="0.2">
      <c r="A11" s="196">
        <f t="shared" ref="A11:A59" si="2">A10+1</f>
        <v>3</v>
      </c>
      <c r="B11" s="203" t="s">
        <v>612</v>
      </c>
      <c r="C11" s="286">
        <f>T82</f>
        <v>583</v>
      </c>
      <c r="D11" s="505">
        <v>10.715</v>
      </c>
      <c r="E11" s="198">
        <f>C11*D11</f>
        <v>6246.8450000000003</v>
      </c>
      <c r="F11" s="198"/>
      <c r="G11" s="198"/>
      <c r="H11" s="464">
        <f t="shared" si="0"/>
        <v>583</v>
      </c>
      <c r="I11" s="510">
        <f t="shared" si="0"/>
        <v>10.715</v>
      </c>
      <c r="J11" s="198">
        <f t="shared" si="0"/>
        <v>6246.8450000000003</v>
      </c>
      <c r="K11" s="286">
        <f t="shared" si="1"/>
        <v>583</v>
      </c>
      <c r="L11" s="510">
        <f>I11</f>
        <v>10.715</v>
      </c>
      <c r="M11" s="468">
        <f>L11*K11</f>
        <v>6246.8450000000003</v>
      </c>
    </row>
    <row r="12" spans="1:19" x14ac:dyDescent="0.2">
      <c r="A12" s="196">
        <f t="shared" si="2"/>
        <v>4</v>
      </c>
      <c r="B12" s="203" t="s">
        <v>613</v>
      </c>
      <c r="C12" s="286">
        <f>U82</f>
        <v>197930590</v>
      </c>
      <c r="D12" s="507">
        <v>3.805E-2</v>
      </c>
      <c r="E12" s="198">
        <f>C12*D12</f>
        <v>7531258.9495000001</v>
      </c>
      <c r="F12" s="198"/>
      <c r="G12" s="464"/>
      <c r="H12" s="464">
        <f>C12</f>
        <v>197930590</v>
      </c>
      <c r="I12" s="467">
        <f>D12</f>
        <v>3.805E-2</v>
      </c>
      <c r="J12" s="198">
        <f>I12*H12</f>
        <v>7531258.9495000001</v>
      </c>
      <c r="K12" s="286">
        <f t="shared" si="1"/>
        <v>197930590</v>
      </c>
      <c r="L12" s="467">
        <f>I12</f>
        <v>3.805E-2</v>
      </c>
      <c r="M12" s="468">
        <f>L12*K12</f>
        <v>7531258.9495000001</v>
      </c>
    </row>
    <row r="13" spans="1:19" x14ac:dyDescent="0.2">
      <c r="A13" s="196">
        <f t="shared" si="2"/>
        <v>5</v>
      </c>
      <c r="B13" s="203" t="s">
        <v>614</v>
      </c>
      <c r="C13" s="203"/>
      <c r="D13" s="509"/>
      <c r="E13" s="465">
        <f>AC82</f>
        <v>7510.44</v>
      </c>
      <c r="F13" s="465"/>
      <c r="G13" s="465"/>
      <c r="H13" s="465"/>
      <c r="I13" s="198"/>
      <c r="J13" s="198">
        <f>E13</f>
        <v>7510.44</v>
      </c>
      <c r="K13" s="286"/>
      <c r="L13" s="509"/>
      <c r="M13" s="198">
        <f>J13</f>
        <v>7510.44</v>
      </c>
    </row>
    <row r="14" spans="1:19" x14ac:dyDescent="0.2">
      <c r="A14" s="196">
        <f t="shared" si="2"/>
        <v>6</v>
      </c>
      <c r="B14" s="203"/>
      <c r="C14" s="203"/>
      <c r="D14" s="509"/>
      <c r="E14" s="465"/>
      <c r="F14" s="465"/>
      <c r="G14" s="465"/>
      <c r="H14" s="465"/>
      <c r="I14" s="203"/>
      <c r="J14" s="198"/>
      <c r="K14" s="286"/>
      <c r="L14" s="509"/>
      <c r="M14" s="198"/>
    </row>
    <row r="15" spans="1:19" x14ac:dyDescent="0.2">
      <c r="A15" s="196">
        <f t="shared" si="2"/>
        <v>7</v>
      </c>
      <c r="B15" s="163" t="s">
        <v>515</v>
      </c>
      <c r="C15" s="203"/>
      <c r="D15" s="509"/>
      <c r="E15" s="465"/>
      <c r="F15" s="465"/>
      <c r="G15" s="465"/>
      <c r="H15" s="465"/>
      <c r="I15" s="203"/>
      <c r="J15" s="198"/>
      <c r="K15" s="286"/>
      <c r="L15" s="509"/>
      <c r="M15" s="198"/>
    </row>
    <row r="16" spans="1:19" x14ac:dyDescent="0.2">
      <c r="A16" s="196">
        <f t="shared" si="2"/>
        <v>8</v>
      </c>
      <c r="B16" s="440" t="s">
        <v>516</v>
      </c>
      <c r="C16" s="203"/>
      <c r="D16" s="553">
        <f>E16/C12</f>
        <v>1.9341049102112005E-2</v>
      </c>
      <c r="E16" s="465">
        <f>R100</f>
        <v>3828185.26</v>
      </c>
      <c r="F16" s="465"/>
      <c r="G16" s="465"/>
      <c r="H16" s="465"/>
      <c r="I16" s="508"/>
      <c r="J16" s="198">
        <f>E16</f>
        <v>3828185.26</v>
      </c>
      <c r="K16" s="286"/>
      <c r="L16" s="509"/>
      <c r="M16" s="198">
        <f>J16</f>
        <v>3828185.26</v>
      </c>
    </row>
    <row r="17" spans="1:14" x14ac:dyDescent="0.2">
      <c r="A17" s="196">
        <f t="shared" si="2"/>
        <v>9</v>
      </c>
      <c r="B17" s="440" t="s">
        <v>101</v>
      </c>
      <c r="C17" s="203"/>
      <c r="D17" s="553">
        <f>E17/C12</f>
        <v>4.2794924220657359E-3</v>
      </c>
      <c r="E17" s="465">
        <f>T100</f>
        <v>847042.46000000008</v>
      </c>
      <c r="F17" s="465"/>
      <c r="G17" s="465"/>
      <c r="H17" s="465"/>
      <c r="I17" s="508"/>
      <c r="J17" s="198">
        <f>E17</f>
        <v>847042.46000000008</v>
      </c>
      <c r="K17" s="286"/>
      <c r="L17" s="509"/>
      <c r="M17" s="198">
        <f>J17</f>
        <v>847042.46000000008</v>
      </c>
    </row>
    <row r="18" spans="1:14" x14ac:dyDescent="0.2">
      <c r="A18" s="196">
        <f t="shared" si="2"/>
        <v>10</v>
      </c>
      <c r="B18" s="440" t="s">
        <v>319</v>
      </c>
      <c r="C18" s="203"/>
      <c r="D18" s="553">
        <f>E18/C12</f>
        <v>-4.4311823149721322E-3</v>
      </c>
      <c r="E18" s="465">
        <f>U100</f>
        <v>-877066.52999999991</v>
      </c>
      <c r="F18" s="465"/>
      <c r="G18" s="465"/>
      <c r="H18" s="465"/>
      <c r="I18" s="508"/>
      <c r="J18" s="198">
        <f>E18</f>
        <v>-877066.52999999991</v>
      </c>
      <c r="K18" s="286"/>
      <c r="L18" s="509"/>
      <c r="M18" s="198">
        <f>J18</f>
        <v>-877066.52999999991</v>
      </c>
    </row>
    <row r="19" spans="1:14" x14ac:dyDescent="0.2">
      <c r="A19" s="196">
        <f t="shared" si="2"/>
        <v>11</v>
      </c>
      <c r="B19" s="440" t="s">
        <v>103</v>
      </c>
      <c r="C19" s="203"/>
      <c r="D19" s="553">
        <f>E19/C12</f>
        <v>4.2258828208413873E-3</v>
      </c>
      <c r="E19" s="514">
        <f>S100</f>
        <v>836431.4800000001</v>
      </c>
      <c r="F19" s="465"/>
      <c r="G19" s="465"/>
      <c r="H19" s="465"/>
      <c r="I19" s="508"/>
      <c r="J19" s="447">
        <f>E19</f>
        <v>836431.4800000001</v>
      </c>
      <c r="K19" s="286"/>
      <c r="L19" s="509"/>
      <c r="M19" s="447">
        <f>J19</f>
        <v>836431.4800000001</v>
      </c>
    </row>
    <row r="20" spans="1:14" x14ac:dyDescent="0.2">
      <c r="A20" s="196">
        <f t="shared" si="2"/>
        <v>12</v>
      </c>
      <c r="B20" s="203" t="s">
        <v>517</v>
      </c>
      <c r="C20" s="273"/>
      <c r="D20" s="515"/>
      <c r="E20" s="198">
        <f>SUM(E16:E19)</f>
        <v>4634592.67</v>
      </c>
      <c r="F20" s="198"/>
      <c r="G20" s="286">
        <f>G12</f>
        <v>0</v>
      </c>
      <c r="H20" s="286">
        <f>H12</f>
        <v>197930590</v>
      </c>
      <c r="I20" s="508"/>
      <c r="J20" s="198">
        <f>SUM(J16:J19)</f>
        <v>4634592.67</v>
      </c>
      <c r="K20" s="286">
        <f>K12</f>
        <v>197930590</v>
      </c>
      <c r="L20" s="466"/>
      <c r="M20" s="198">
        <f>SUM(M16:M19)</f>
        <v>4634592.67</v>
      </c>
      <c r="N20" s="270">
        <f>K20</f>
        <v>197930590</v>
      </c>
    </row>
    <row r="21" spans="1:14" x14ac:dyDescent="0.2">
      <c r="A21" s="196">
        <f t="shared" si="2"/>
        <v>13</v>
      </c>
      <c r="B21" s="203"/>
      <c r="C21" s="273"/>
      <c r="D21" s="515"/>
      <c r="E21" s="198"/>
      <c r="F21" s="198"/>
      <c r="G21" s="286"/>
      <c r="H21" s="286"/>
      <c r="I21" s="273"/>
      <c r="J21" s="198"/>
      <c r="K21" s="286"/>
      <c r="L21" s="466"/>
      <c r="M21" s="468"/>
    </row>
    <row r="22" spans="1:14" x14ac:dyDescent="0.2">
      <c r="A22" s="196">
        <f t="shared" si="2"/>
        <v>14</v>
      </c>
      <c r="B22" s="203" t="s">
        <v>615</v>
      </c>
      <c r="C22" s="273"/>
      <c r="D22" s="515"/>
      <c r="E22" s="447">
        <v>0</v>
      </c>
      <c r="F22" s="198"/>
      <c r="G22" s="286"/>
      <c r="H22" s="286"/>
      <c r="I22" s="273"/>
      <c r="J22" s="447">
        <f>E22</f>
        <v>0</v>
      </c>
      <c r="K22" s="286"/>
      <c r="L22" s="466"/>
      <c r="M22" s="514">
        <f>E22</f>
        <v>0</v>
      </c>
    </row>
    <row r="23" spans="1:14" x14ac:dyDescent="0.2">
      <c r="A23" s="196">
        <f t="shared" si="2"/>
        <v>15</v>
      </c>
      <c r="B23" s="203" t="s">
        <v>448</v>
      </c>
      <c r="C23" s="203"/>
      <c r="D23" s="203"/>
      <c r="E23" s="198">
        <f>SUM(E10:E13)+E20+E22</f>
        <v>16720218.734499998</v>
      </c>
      <c r="F23" s="554" t="s">
        <v>518</v>
      </c>
      <c r="G23" s="198"/>
      <c r="H23" s="198"/>
      <c r="I23" s="463"/>
      <c r="J23" s="198">
        <f>SUM(J10:J13)+J20+J22</f>
        <v>16720218.734499998</v>
      </c>
      <c r="K23" s="198"/>
      <c r="L23" s="203"/>
      <c r="M23" s="198">
        <f>SUM(M10:M13)+M20+M22</f>
        <v>16720218.734499998</v>
      </c>
    </row>
    <row r="24" spans="1:14" x14ac:dyDescent="0.2">
      <c r="A24" s="196">
        <f t="shared" si="2"/>
        <v>16</v>
      </c>
      <c r="B24" s="203" t="s">
        <v>519</v>
      </c>
      <c r="C24" s="203"/>
      <c r="D24" s="203"/>
      <c r="E24" s="198"/>
      <c r="F24" s="198"/>
      <c r="G24" s="198"/>
      <c r="H24" s="198"/>
      <c r="I24" s="203"/>
      <c r="J24" s="198"/>
      <c r="K24" s="198"/>
      <c r="L24" s="203"/>
      <c r="M24" s="198"/>
    </row>
    <row r="25" spans="1:14" x14ac:dyDescent="0.2">
      <c r="A25" s="196">
        <f t="shared" si="2"/>
        <v>17</v>
      </c>
      <c r="B25" s="203" t="s">
        <v>520</v>
      </c>
      <c r="C25" s="266">
        <f>AI85</f>
        <v>144</v>
      </c>
      <c r="D25" s="198">
        <v>100</v>
      </c>
      <c r="E25" s="198">
        <f>C25*D25</f>
        <v>14400</v>
      </c>
      <c r="F25" s="198"/>
      <c r="G25" s="464"/>
      <c r="H25" s="555">
        <f t="shared" ref="H25:J26" si="3">C25</f>
        <v>144</v>
      </c>
      <c r="I25" s="266">
        <f t="shared" si="3"/>
        <v>100</v>
      </c>
      <c r="J25" s="198">
        <f t="shared" si="3"/>
        <v>14400</v>
      </c>
      <c r="K25" s="286">
        <f>C25</f>
        <v>144</v>
      </c>
      <c r="L25" s="198">
        <f>D25</f>
        <v>100</v>
      </c>
      <c r="M25" s="468">
        <f>L25*K25</f>
        <v>14400</v>
      </c>
    </row>
    <row r="26" spans="1:14" x14ac:dyDescent="0.2">
      <c r="A26" s="196">
        <f t="shared" si="2"/>
        <v>18</v>
      </c>
      <c r="B26" s="203" t="s">
        <v>616</v>
      </c>
      <c r="C26" s="273">
        <f>C12</f>
        <v>197930590</v>
      </c>
      <c r="D26" s="505">
        <v>3.0000000000000001E-3</v>
      </c>
      <c r="E26" s="198">
        <f>C26*D26</f>
        <v>593791.77</v>
      </c>
      <c r="F26" s="198"/>
      <c r="G26" s="464"/>
      <c r="H26" s="464">
        <f t="shared" si="3"/>
        <v>197930590</v>
      </c>
      <c r="I26" s="516">
        <f t="shared" si="3"/>
        <v>3.0000000000000001E-3</v>
      </c>
      <c r="J26" s="198">
        <f t="shared" si="3"/>
        <v>593791.77</v>
      </c>
      <c r="K26" s="286">
        <f>C26</f>
        <v>197930590</v>
      </c>
      <c r="L26" s="556">
        <f>D26</f>
        <v>3.0000000000000001E-3</v>
      </c>
      <c r="M26" s="468">
        <f>L26*K26</f>
        <v>593791.77</v>
      </c>
    </row>
    <row r="27" spans="1:14" x14ac:dyDescent="0.2">
      <c r="A27" s="196">
        <f t="shared" si="2"/>
        <v>19</v>
      </c>
      <c r="B27" s="203" t="s">
        <v>617</v>
      </c>
      <c r="C27" s="273"/>
      <c r="D27" s="505"/>
      <c r="E27" s="198">
        <f>AL82</f>
        <v>0</v>
      </c>
      <c r="F27" s="198"/>
      <c r="G27" s="464"/>
      <c r="H27" s="464"/>
      <c r="I27" s="273"/>
      <c r="J27" s="198"/>
      <c r="K27" s="464"/>
      <c r="L27" s="287">
        <f>D27</f>
        <v>0</v>
      </c>
      <c r="M27" s="465">
        <f>L27*K27</f>
        <v>0</v>
      </c>
    </row>
    <row r="28" spans="1:14" x14ac:dyDescent="0.2">
      <c r="A28" s="196">
        <f t="shared" si="2"/>
        <v>20</v>
      </c>
      <c r="B28" s="203" t="s">
        <v>618</v>
      </c>
      <c r="C28" s="286"/>
      <c r="D28" s="557">
        <v>1.15E-2</v>
      </c>
      <c r="E28" s="465">
        <f>AJ82</f>
        <v>222048.72</v>
      </c>
      <c r="F28" s="465"/>
      <c r="G28" s="465"/>
      <c r="H28" s="465"/>
      <c r="I28" s="557">
        <f>D28</f>
        <v>1.15E-2</v>
      </c>
      <c r="J28" s="198">
        <f>E28</f>
        <v>222048.72</v>
      </c>
      <c r="K28" s="286"/>
      <c r="L28" s="557">
        <f>D28</f>
        <v>1.15E-2</v>
      </c>
      <c r="M28" s="465">
        <f>E28</f>
        <v>222048.72</v>
      </c>
    </row>
    <row r="29" spans="1:14" x14ac:dyDescent="0.2">
      <c r="A29" s="196">
        <f t="shared" si="2"/>
        <v>21</v>
      </c>
      <c r="B29" s="203" t="s">
        <v>619</v>
      </c>
      <c r="C29" s="203"/>
      <c r="D29" s="203"/>
      <c r="E29" s="465"/>
      <c r="F29" s="465"/>
      <c r="G29" s="465"/>
      <c r="H29" s="465"/>
      <c r="I29" s="287"/>
      <c r="J29" s="558"/>
      <c r="K29" s="558"/>
      <c r="L29" s="287"/>
      <c r="M29" s="558"/>
    </row>
    <row r="30" spans="1:14" x14ac:dyDescent="0.2">
      <c r="A30" s="196">
        <f t="shared" si="2"/>
        <v>22</v>
      </c>
      <c r="B30" s="203" t="s">
        <v>615</v>
      </c>
      <c r="C30" s="203"/>
      <c r="D30" s="203"/>
      <c r="E30" s="514">
        <v>0</v>
      </c>
      <c r="F30" s="465"/>
      <c r="G30" s="465"/>
      <c r="H30" s="465"/>
      <c r="I30" s="287"/>
      <c r="J30" s="514">
        <f>E30</f>
        <v>0</v>
      </c>
      <c r="K30" s="558"/>
      <c r="L30" s="287"/>
      <c r="M30" s="514">
        <f>J30</f>
        <v>0</v>
      </c>
    </row>
    <row r="31" spans="1:14" ht="13.5" thickBot="1" x14ac:dyDescent="0.25">
      <c r="A31" s="196">
        <f t="shared" si="2"/>
        <v>23</v>
      </c>
      <c r="B31" s="203" t="s">
        <v>455</v>
      </c>
      <c r="C31" s="203"/>
      <c r="D31" s="203"/>
      <c r="E31" s="518">
        <f>SUM(E23:E30)</f>
        <v>17550459.224499997</v>
      </c>
      <c r="F31" s="554" t="s">
        <v>518</v>
      </c>
      <c r="G31" s="198"/>
      <c r="H31" s="198"/>
      <c r="I31" s="203"/>
      <c r="J31" s="518">
        <f>SUM(J23:J30)</f>
        <v>17550459.224499997</v>
      </c>
      <c r="K31" s="198"/>
      <c r="L31" s="203"/>
      <c r="M31" s="518">
        <f>SUM(M23:M30)</f>
        <v>17550459.224499997</v>
      </c>
    </row>
    <row r="32" spans="1:14" ht="13.5" thickTop="1" x14ac:dyDescent="0.2">
      <c r="A32" s="196">
        <f t="shared" si="2"/>
        <v>24</v>
      </c>
      <c r="B32" s="203"/>
      <c r="C32" s="203"/>
      <c r="D32" s="203"/>
      <c r="E32" s="198"/>
      <c r="F32" s="198"/>
      <c r="G32" s="198"/>
      <c r="H32" s="198"/>
      <c r="I32" s="203"/>
      <c r="J32" s="198"/>
      <c r="K32" s="203"/>
      <c r="L32" s="203"/>
      <c r="M32" s="198">
        <f>M31-J31</f>
        <v>0</v>
      </c>
    </row>
    <row r="33" spans="1:20" x14ac:dyDescent="0.2">
      <c r="A33" s="196">
        <f t="shared" si="2"/>
        <v>25</v>
      </c>
      <c r="B33" s="327" t="s">
        <v>524</v>
      </c>
      <c r="C33" s="203"/>
      <c r="D33" s="203"/>
      <c r="E33" s="198"/>
      <c r="F33" s="198"/>
      <c r="G33" s="198"/>
      <c r="H33" s="198"/>
      <c r="I33" s="203"/>
      <c r="J33" s="198"/>
      <c r="K33" s="203"/>
      <c r="L33" s="203"/>
      <c r="M33" s="198"/>
      <c r="P33" s="248"/>
    </row>
    <row r="34" spans="1:20" x14ac:dyDescent="0.2">
      <c r="A34" s="196">
        <f t="shared" si="2"/>
        <v>26</v>
      </c>
      <c r="B34" s="327"/>
      <c r="C34" s="203"/>
      <c r="D34" s="203"/>
      <c r="E34" s="203" t="s">
        <v>620</v>
      </c>
      <c r="F34" s="203"/>
      <c r="G34" s="203"/>
      <c r="H34" s="203"/>
      <c r="I34" s="203"/>
      <c r="J34" s="203" t="s">
        <v>458</v>
      </c>
      <c r="K34" s="203"/>
      <c r="L34" s="203"/>
      <c r="M34" s="203"/>
    </row>
    <row r="35" spans="1:20" x14ac:dyDescent="0.2">
      <c r="A35" s="196">
        <f t="shared" si="2"/>
        <v>27</v>
      </c>
      <c r="B35" s="474" t="s">
        <v>621</v>
      </c>
      <c r="C35" s="559"/>
      <c r="D35" s="474" t="s">
        <v>622</v>
      </c>
      <c r="E35" s="254">
        <f>[2]revpergl!U17</f>
        <v>1814498.39</v>
      </c>
      <c r="I35" s="474" t="s">
        <v>623</v>
      </c>
      <c r="J35" s="254">
        <f>[2]revpergl!U65</f>
        <v>1749625.89</v>
      </c>
      <c r="K35" s="203"/>
      <c r="O35" s="474"/>
      <c r="P35" s="474"/>
      <c r="Q35" s="474"/>
      <c r="R35" s="474"/>
      <c r="S35" s="474"/>
      <c r="T35" s="474"/>
    </row>
    <row r="36" spans="1:20" x14ac:dyDescent="0.2">
      <c r="A36" s="196">
        <f t="shared" si="2"/>
        <v>28</v>
      </c>
      <c r="B36" s="474" t="s">
        <v>624</v>
      </c>
      <c r="C36" s="559"/>
      <c r="D36" s="474" t="s">
        <v>625</v>
      </c>
      <c r="E36" s="254">
        <f>[2]revpergl!U19</f>
        <v>438390.88</v>
      </c>
      <c r="I36" s="474" t="s">
        <v>626</v>
      </c>
      <c r="J36" s="287">
        <f>[2]revpergl!U57</f>
        <v>432869.39</v>
      </c>
      <c r="K36" s="246"/>
      <c r="O36" s="474"/>
      <c r="P36" s="474"/>
      <c r="Q36" s="474"/>
      <c r="R36" s="474"/>
      <c r="S36" s="474"/>
      <c r="T36" s="474"/>
    </row>
    <row r="37" spans="1:20" x14ac:dyDescent="0.2">
      <c r="A37" s="196">
        <f t="shared" si="2"/>
        <v>29</v>
      </c>
      <c r="B37" s="474" t="s">
        <v>627</v>
      </c>
      <c r="C37" s="559"/>
      <c r="D37" s="474" t="s">
        <v>628</v>
      </c>
      <c r="E37" s="254">
        <f>[2]revpergl!U20</f>
        <v>32525.73</v>
      </c>
      <c r="I37" s="474" t="s">
        <v>629</v>
      </c>
      <c r="J37" s="287">
        <f>[2]revpergl!U58</f>
        <v>30828.54</v>
      </c>
      <c r="K37" s="246"/>
      <c r="O37" s="474"/>
      <c r="P37" s="474"/>
      <c r="Q37" s="474"/>
      <c r="R37" s="474"/>
      <c r="S37" s="474"/>
      <c r="T37" s="474"/>
    </row>
    <row r="38" spans="1:20" x14ac:dyDescent="0.2">
      <c r="A38" s="196">
        <f t="shared" si="2"/>
        <v>30</v>
      </c>
      <c r="B38" s="474" t="s">
        <v>630</v>
      </c>
      <c r="C38" s="559"/>
      <c r="D38" s="474" t="s">
        <v>631</v>
      </c>
      <c r="E38" s="254">
        <f>[2]revpergl!U21</f>
        <v>40594.080000000002</v>
      </c>
      <c r="I38" s="474" t="s">
        <v>632</v>
      </c>
      <c r="J38" s="287">
        <f>[2]revpergl!U59</f>
        <v>38716.74</v>
      </c>
      <c r="K38" s="246"/>
      <c r="O38" s="474"/>
      <c r="P38" s="474"/>
      <c r="Q38" s="474"/>
      <c r="R38" s="474"/>
      <c r="S38" s="474"/>
      <c r="T38" s="474"/>
    </row>
    <row r="39" spans="1:20" x14ac:dyDescent="0.2">
      <c r="A39" s="196">
        <f t="shared" si="2"/>
        <v>31</v>
      </c>
      <c r="B39" s="474" t="s">
        <v>633</v>
      </c>
      <c r="C39" s="559"/>
      <c r="D39" s="474" t="s">
        <v>634</v>
      </c>
      <c r="E39" s="254">
        <f>[2]revpergl!U22</f>
        <v>249493.94</v>
      </c>
      <c r="I39" s="474" t="s">
        <v>635</v>
      </c>
      <c r="J39" s="287">
        <f>[2]revpergl!U60</f>
        <v>241945.46</v>
      </c>
      <c r="K39" s="246"/>
      <c r="O39" s="474"/>
      <c r="P39" s="474"/>
      <c r="Q39" s="474"/>
      <c r="R39" s="474"/>
      <c r="S39" s="474"/>
      <c r="T39" s="474"/>
    </row>
    <row r="40" spans="1:20" x14ac:dyDescent="0.2">
      <c r="A40" s="196">
        <f t="shared" si="2"/>
        <v>32</v>
      </c>
      <c r="B40" s="474" t="s">
        <v>636</v>
      </c>
      <c r="C40" s="559"/>
      <c r="D40" s="474" t="s">
        <v>637</v>
      </c>
      <c r="E40" s="254">
        <f>[2]revpergl!U23</f>
        <v>2297060.86</v>
      </c>
      <c r="I40" s="474" t="s">
        <v>638</v>
      </c>
      <c r="J40" s="287">
        <f>[2]revpergl!U48</f>
        <v>2192338.81</v>
      </c>
      <c r="K40" s="246"/>
      <c r="O40" s="474"/>
      <c r="P40" s="474"/>
      <c r="Q40" s="474"/>
      <c r="R40" s="474"/>
      <c r="S40" s="474"/>
      <c r="T40" s="474"/>
    </row>
    <row r="41" spans="1:20" x14ac:dyDescent="0.2">
      <c r="A41" s="196">
        <f t="shared" si="2"/>
        <v>33</v>
      </c>
      <c r="B41" s="474" t="s">
        <v>639</v>
      </c>
      <c r="C41" s="559"/>
      <c r="D41" s="474" t="s">
        <v>640</v>
      </c>
      <c r="E41" s="254">
        <f>[2]revpergl!U24</f>
        <v>29726.81</v>
      </c>
      <c r="I41" s="474" t="s">
        <v>641</v>
      </c>
      <c r="J41" s="287">
        <f>[2]revpergl!U49</f>
        <v>27809.360000000001</v>
      </c>
      <c r="K41" s="246"/>
      <c r="O41" s="474"/>
      <c r="P41" s="474"/>
      <c r="Q41" s="474"/>
      <c r="R41" s="474"/>
      <c r="S41" s="474"/>
      <c r="T41" s="474"/>
    </row>
    <row r="42" spans="1:20" x14ac:dyDescent="0.2">
      <c r="A42" s="196">
        <f t="shared" si="2"/>
        <v>34</v>
      </c>
      <c r="B42" s="474" t="s">
        <v>642</v>
      </c>
      <c r="C42" s="559"/>
      <c r="D42" s="474" t="s">
        <v>643</v>
      </c>
      <c r="E42" s="254">
        <f>[2]revpergl!U25</f>
        <v>43835.61</v>
      </c>
      <c r="I42" s="474" t="s">
        <v>644</v>
      </c>
      <c r="J42" s="287">
        <f>[2]revpergl!U50</f>
        <v>41289.22</v>
      </c>
      <c r="K42" s="246"/>
      <c r="N42" s="474"/>
      <c r="O42" s="474"/>
      <c r="P42" s="474"/>
      <c r="Q42" s="474"/>
      <c r="R42" s="474"/>
      <c r="S42" s="474"/>
      <c r="T42" s="474"/>
    </row>
    <row r="43" spans="1:20" x14ac:dyDescent="0.2">
      <c r="A43" s="196">
        <f t="shared" si="2"/>
        <v>35</v>
      </c>
      <c r="B43" s="474" t="s">
        <v>645</v>
      </c>
      <c r="C43" s="559"/>
      <c r="D43" s="474" t="s">
        <v>646</v>
      </c>
      <c r="E43" s="254">
        <f>[2]revpergl!U26</f>
        <v>6420126.9199999999</v>
      </c>
      <c r="I43" s="474" t="s">
        <v>647</v>
      </c>
      <c r="J43" s="287">
        <f>[2]revpergl!U51</f>
        <v>6033034.0599999996</v>
      </c>
      <c r="K43" s="246"/>
      <c r="N43" s="474"/>
      <c r="O43" s="474"/>
      <c r="P43" s="474"/>
      <c r="Q43" s="474"/>
      <c r="R43" s="474"/>
      <c r="S43" s="474"/>
      <c r="T43" s="474"/>
    </row>
    <row r="44" spans="1:20" x14ac:dyDescent="0.2">
      <c r="A44" s="196">
        <f t="shared" si="2"/>
        <v>36</v>
      </c>
      <c r="B44" s="474" t="s">
        <v>648</v>
      </c>
      <c r="C44" s="559"/>
      <c r="D44" s="474" t="s">
        <v>649</v>
      </c>
      <c r="E44" s="254">
        <f>[2]revpergl!U27</f>
        <v>624212.36</v>
      </c>
      <c r="I44" s="474" t="s">
        <v>650</v>
      </c>
      <c r="J44" s="287">
        <f>[2]revpergl!U52</f>
        <v>604251.05000000005</v>
      </c>
      <c r="K44" s="246"/>
      <c r="O44" s="474"/>
      <c r="P44" s="474"/>
      <c r="Q44" s="474"/>
      <c r="R44" s="474"/>
      <c r="S44" s="474"/>
      <c r="T44" s="474"/>
    </row>
    <row r="45" spans="1:20" x14ac:dyDescent="0.2">
      <c r="A45" s="196">
        <f t="shared" si="2"/>
        <v>37</v>
      </c>
      <c r="B45" s="474" t="s">
        <v>651</v>
      </c>
      <c r="C45" s="559"/>
      <c r="D45" s="474" t="s">
        <v>652</v>
      </c>
      <c r="E45" s="254">
        <f>[2]revpergl!U28</f>
        <v>4494053.82</v>
      </c>
      <c r="I45" s="474" t="s">
        <v>653</v>
      </c>
      <c r="J45" s="287">
        <f>[2]revpergl!U53</f>
        <v>4320471.09</v>
      </c>
      <c r="K45" s="246"/>
      <c r="O45" s="474"/>
      <c r="P45" s="474"/>
      <c r="Q45" s="474"/>
      <c r="R45" s="474"/>
      <c r="S45" s="474"/>
      <c r="T45" s="474"/>
    </row>
    <row r="46" spans="1:20" x14ac:dyDescent="0.2">
      <c r="A46" s="196">
        <f t="shared" si="2"/>
        <v>38</v>
      </c>
      <c r="B46" s="474" t="s">
        <v>654</v>
      </c>
      <c r="C46" s="560"/>
      <c r="D46" s="474" t="s">
        <v>655</v>
      </c>
      <c r="E46" s="254">
        <f>[2]revpergl!U29</f>
        <v>1065939.83</v>
      </c>
      <c r="I46" s="474" t="s">
        <v>656</v>
      </c>
      <c r="J46" s="287">
        <f>[2]revpergl!U54</f>
        <v>1007038.9</v>
      </c>
      <c r="K46" s="246"/>
      <c r="O46" s="474"/>
      <c r="P46" s="474"/>
      <c r="Q46" s="474"/>
      <c r="R46" s="474"/>
      <c r="S46" s="474"/>
      <c r="T46" s="474"/>
    </row>
    <row r="47" spans="1:20" x14ac:dyDescent="0.2">
      <c r="A47" s="196">
        <f t="shared" si="2"/>
        <v>39</v>
      </c>
      <c r="C47" s="560"/>
      <c r="E47" s="254">
        <f>SUM(E35:E46)</f>
        <v>17550459.229999997</v>
      </c>
      <c r="I47" s="468"/>
      <c r="J47" s="254">
        <f>SUM(J35:J46)</f>
        <v>16720218.51</v>
      </c>
      <c r="K47" s="246">
        <f>E47-J47</f>
        <v>830240.71999999695</v>
      </c>
      <c r="O47" s="474"/>
      <c r="P47" s="474"/>
      <c r="Q47" s="474"/>
      <c r="R47" s="474"/>
      <c r="S47" s="474"/>
      <c r="T47" s="474"/>
    </row>
    <row r="48" spans="1:20" ht="15" x14ac:dyDescent="0.25">
      <c r="A48" s="196">
        <f t="shared" si="2"/>
        <v>40</v>
      </c>
      <c r="C48" s="561"/>
      <c r="D48" s="203"/>
      <c r="E48" s="246">
        <f>E31-E47</f>
        <v>-5.4999999701976776E-3</v>
      </c>
      <c r="F48" s="562"/>
      <c r="G48" s="563"/>
      <c r="H48" s="468"/>
      <c r="I48" s="468"/>
      <c r="J48" s="468">
        <f>E23-J47</f>
        <v>0.22449999861419201</v>
      </c>
      <c r="K48" s="246"/>
      <c r="N48" s="474"/>
      <c r="O48" s="474"/>
      <c r="P48" s="474"/>
      <c r="Q48" s="474"/>
      <c r="R48" s="474"/>
      <c r="S48" s="474"/>
      <c r="T48" s="474"/>
    </row>
    <row r="49" spans="1:38" ht="15" x14ac:dyDescent="0.25">
      <c r="A49" s="196">
        <f t="shared" si="2"/>
        <v>41</v>
      </c>
      <c r="B49" s="564"/>
      <c r="C49" s="561"/>
      <c r="D49" s="203"/>
      <c r="E49" s="203"/>
      <c r="F49" s="562"/>
      <c r="G49" s="563"/>
      <c r="H49" s="468"/>
      <c r="I49" s="468"/>
      <c r="J49" s="468"/>
      <c r="K49" s="246"/>
      <c r="N49" s="474"/>
      <c r="O49" s="474"/>
      <c r="P49" s="474"/>
      <c r="Q49" s="474"/>
      <c r="R49" s="474"/>
      <c r="S49" s="474"/>
      <c r="T49" s="474"/>
    </row>
    <row r="50" spans="1:38" ht="15" x14ac:dyDescent="0.25">
      <c r="A50" s="196">
        <f t="shared" si="2"/>
        <v>42</v>
      </c>
      <c r="B50" s="564"/>
      <c r="C50" s="561"/>
      <c r="D50" s="203"/>
      <c r="E50" s="203"/>
      <c r="F50" s="562"/>
      <c r="G50" s="563"/>
      <c r="H50" s="468"/>
      <c r="I50" s="468"/>
      <c r="J50" s="468"/>
      <c r="K50" s="246"/>
      <c r="N50" s="474"/>
      <c r="O50" s="474"/>
      <c r="P50" s="474"/>
      <c r="Q50" s="474"/>
      <c r="R50" s="474"/>
      <c r="S50" s="474"/>
      <c r="T50" s="474"/>
    </row>
    <row r="51" spans="1:38" ht="15" x14ac:dyDescent="0.25">
      <c r="A51" s="196">
        <f t="shared" si="2"/>
        <v>43</v>
      </c>
      <c r="B51" s="564"/>
      <c r="C51" s="561"/>
      <c r="D51" s="203"/>
      <c r="E51" s="203"/>
      <c r="F51" s="562"/>
      <c r="G51" s="563"/>
      <c r="H51" s="468"/>
      <c r="I51" s="468"/>
      <c r="J51" s="468"/>
      <c r="K51" s="246"/>
      <c r="N51" s="474"/>
      <c r="O51" s="474"/>
      <c r="P51" s="474"/>
      <c r="Q51" s="474"/>
      <c r="R51" s="474"/>
      <c r="S51" s="474"/>
      <c r="T51" s="474"/>
    </row>
    <row r="52" spans="1:38" ht="15" x14ac:dyDescent="0.25">
      <c r="A52" s="196">
        <f t="shared" si="2"/>
        <v>44</v>
      </c>
      <c r="B52" s="564"/>
      <c r="C52" s="561"/>
      <c r="D52" s="203"/>
      <c r="E52" s="203"/>
      <c r="F52" s="562"/>
      <c r="G52" s="563"/>
      <c r="H52" s="468"/>
      <c r="I52" s="468"/>
      <c r="J52" s="468"/>
      <c r="K52" s="246"/>
      <c r="O52" s="474"/>
      <c r="P52" s="474"/>
      <c r="Q52" s="474"/>
      <c r="R52" s="474"/>
      <c r="S52" s="474"/>
      <c r="T52" s="474"/>
    </row>
    <row r="53" spans="1:38" ht="15" x14ac:dyDescent="0.25">
      <c r="A53" s="196">
        <f t="shared" si="2"/>
        <v>45</v>
      </c>
      <c r="B53" s="564"/>
      <c r="C53" s="561"/>
      <c r="D53" s="203"/>
      <c r="E53" s="203"/>
      <c r="F53" s="562"/>
      <c r="G53" s="563"/>
      <c r="H53" s="468"/>
      <c r="I53" s="468"/>
      <c r="J53" s="468"/>
      <c r="K53" s="246"/>
      <c r="N53" s="474"/>
      <c r="O53" s="474"/>
      <c r="P53" s="474"/>
      <c r="Q53" s="474"/>
      <c r="R53" s="474"/>
      <c r="S53" s="474"/>
      <c r="T53" s="474"/>
    </row>
    <row r="54" spans="1:38" ht="15" x14ac:dyDescent="0.25">
      <c r="A54" s="196">
        <f t="shared" si="2"/>
        <v>46</v>
      </c>
      <c r="B54" s="203"/>
      <c r="C54" s="561"/>
      <c r="D54" s="203"/>
      <c r="E54" s="203"/>
      <c r="F54" s="562"/>
      <c r="G54" s="563"/>
      <c r="H54" s="468"/>
      <c r="I54" s="468"/>
      <c r="J54" s="468"/>
      <c r="K54" s="246"/>
    </row>
    <row r="55" spans="1:38" ht="15" x14ac:dyDescent="0.25">
      <c r="A55" s="196">
        <f t="shared" si="2"/>
        <v>47</v>
      </c>
      <c r="B55" s="203"/>
      <c r="C55" s="561"/>
      <c r="D55" s="203"/>
      <c r="E55" s="203"/>
      <c r="F55" s="562"/>
      <c r="G55" s="563"/>
      <c r="H55" s="468"/>
      <c r="I55" s="468"/>
      <c r="J55" s="468"/>
      <c r="K55" s="246"/>
    </row>
    <row r="56" spans="1:38" ht="15" x14ac:dyDescent="0.25">
      <c r="A56" s="196">
        <f t="shared" si="2"/>
        <v>48</v>
      </c>
      <c r="B56" s="203"/>
      <c r="C56" s="561"/>
      <c r="D56" s="203"/>
      <c r="E56" s="203"/>
      <c r="F56" s="562"/>
      <c r="G56" s="563"/>
      <c r="H56" s="468"/>
      <c r="I56" s="468"/>
      <c r="J56" s="468"/>
      <c r="K56" s="246"/>
    </row>
    <row r="57" spans="1:38" ht="15" x14ac:dyDescent="0.25">
      <c r="A57" s="196">
        <f t="shared" si="2"/>
        <v>49</v>
      </c>
      <c r="B57" s="203"/>
      <c r="C57" s="561"/>
      <c r="D57" s="203"/>
      <c r="E57" s="203"/>
      <c r="F57" s="562"/>
      <c r="G57" s="563"/>
      <c r="H57" s="468"/>
      <c r="I57" s="468"/>
      <c r="J57" s="468"/>
      <c r="K57" s="246"/>
    </row>
    <row r="58" spans="1:38" ht="15" x14ac:dyDescent="0.25">
      <c r="A58" s="196">
        <f t="shared" si="2"/>
        <v>50</v>
      </c>
      <c r="B58" s="203"/>
      <c r="C58" s="561"/>
      <c r="D58" s="203"/>
      <c r="E58" s="203"/>
      <c r="F58" s="562"/>
      <c r="G58" s="563"/>
      <c r="H58" s="468"/>
      <c r="I58" s="468"/>
      <c r="J58" s="468"/>
      <c r="K58" s="246"/>
    </row>
    <row r="59" spans="1:38" ht="13.5" thickBot="1" x14ac:dyDescent="0.25">
      <c r="A59" s="196">
        <f t="shared" si="2"/>
        <v>51</v>
      </c>
      <c r="B59" s="203"/>
      <c r="C59" s="565"/>
      <c r="D59" s="203"/>
      <c r="E59" s="203"/>
      <c r="F59" s="203"/>
      <c r="G59" s="476">
        <f>SUM(G36:G58)</f>
        <v>0</v>
      </c>
      <c r="H59" s="468"/>
      <c r="I59" s="468"/>
      <c r="J59" s="476">
        <f>SUM(J36:J58)</f>
        <v>31690811.354500003</v>
      </c>
      <c r="K59" s="198">
        <f>G59-J59</f>
        <v>-31690811.354500003</v>
      </c>
      <c r="Q59" s="479"/>
      <c r="R59" s="479"/>
      <c r="S59" s="479"/>
      <c r="T59" s="479"/>
      <c r="U59" s="479"/>
      <c r="V59" s="479"/>
      <c r="W59" s="479"/>
      <c r="X59" s="479"/>
      <c r="Y59" s="479"/>
      <c r="Z59" s="479"/>
    </row>
    <row r="60" spans="1:38" ht="13.5" thickTop="1" x14ac:dyDescent="0.2">
      <c r="A60" s="203"/>
      <c r="B60" s="203"/>
      <c r="C60" s="565"/>
      <c r="D60" s="203"/>
      <c r="E60" s="203"/>
      <c r="F60" s="203"/>
      <c r="G60" s="468">
        <f>G59-E31</f>
        <v>-17550459.224499997</v>
      </c>
      <c r="H60" s="468"/>
      <c r="I60" s="468"/>
      <c r="J60" s="468">
        <f>J59-E23</f>
        <v>14970592.620000005</v>
      </c>
      <c r="K60" s="203"/>
      <c r="Q60" s="479"/>
      <c r="R60" s="479"/>
      <c r="S60" s="479"/>
      <c r="T60" s="479"/>
      <c r="U60" s="479"/>
      <c r="V60" s="479"/>
      <c r="W60" s="479"/>
      <c r="X60" s="479"/>
      <c r="Y60" s="479"/>
      <c r="Z60" s="479"/>
    </row>
    <row r="61" spans="1:38" x14ac:dyDescent="0.2">
      <c r="C61" s="560"/>
      <c r="O61" s="519" t="s">
        <v>657</v>
      </c>
      <c r="P61" s="479"/>
      <c r="Q61" s="479"/>
      <c r="R61" s="479"/>
      <c r="S61" s="479"/>
      <c r="T61" s="479"/>
      <c r="U61" s="479"/>
      <c r="V61" s="479"/>
      <c r="W61" s="479"/>
      <c r="X61" s="479"/>
      <c r="Y61" s="479"/>
      <c r="Z61" s="479"/>
    </row>
    <row r="62" spans="1:38" x14ac:dyDescent="0.2">
      <c r="C62" s="560"/>
      <c r="O62" s="519" t="s">
        <v>658</v>
      </c>
      <c r="P62" s="479"/>
      <c r="Q62" s="479"/>
      <c r="R62" s="479"/>
      <c r="S62" s="479"/>
      <c r="T62" s="479"/>
      <c r="U62" s="479"/>
      <c r="V62" s="479"/>
      <c r="W62" s="479"/>
      <c r="X62" s="479"/>
      <c r="Y62" s="479"/>
      <c r="Z62" s="479"/>
    </row>
    <row r="63" spans="1:38" x14ac:dyDescent="0.2">
      <c r="C63" s="560"/>
      <c r="O63" s="463" t="s">
        <v>269</v>
      </c>
      <c r="P63" s="463" t="s">
        <v>270</v>
      </c>
      <c r="Q63" s="463" t="s">
        <v>271</v>
      </c>
      <c r="R63" s="463" t="s">
        <v>272</v>
      </c>
      <c r="S63" s="463"/>
      <c r="T63" s="463" t="s">
        <v>273</v>
      </c>
      <c r="U63" s="463" t="s">
        <v>274</v>
      </c>
      <c r="V63" s="463" t="s">
        <v>275</v>
      </c>
      <c r="W63" s="463" t="s">
        <v>276</v>
      </c>
      <c r="X63" s="463" t="s">
        <v>443</v>
      </c>
      <c r="Y63" s="463" t="s">
        <v>444</v>
      </c>
      <c r="Z63" s="463" t="s">
        <v>610</v>
      </c>
      <c r="AC63" s="183"/>
      <c r="AD63" s="183"/>
      <c r="AE63" s="196" t="s">
        <v>659</v>
      </c>
      <c r="AF63" s="183"/>
      <c r="AG63" s="183"/>
      <c r="AH63" s="183"/>
      <c r="AI63" s="183"/>
      <c r="AJ63" s="183"/>
      <c r="AK63" s="183"/>
      <c r="AL63" s="183"/>
    </row>
    <row r="64" spans="1:38" x14ac:dyDescent="0.2">
      <c r="C64" s="560"/>
      <c r="H64">
        <v>160230.37037037039</v>
      </c>
      <c r="I64">
        <f>+H64*$D$32</f>
        <v>0</v>
      </c>
      <c r="T64" s="183" t="s">
        <v>660</v>
      </c>
      <c r="V64" s="183" t="s">
        <v>532</v>
      </c>
      <c r="W64" s="183" t="s">
        <v>532</v>
      </c>
      <c r="X64" s="183" t="s">
        <v>661</v>
      </c>
      <c r="Y64" s="183" t="s">
        <v>660</v>
      </c>
      <c r="AD64" s="183"/>
      <c r="AE64" s="196" t="s">
        <v>662</v>
      </c>
      <c r="AF64" s="183"/>
      <c r="AG64" s="183"/>
      <c r="AI64" s="183"/>
      <c r="AJ64" s="183"/>
      <c r="AK64" s="183"/>
      <c r="AL64" s="196" t="s">
        <v>663</v>
      </c>
    </row>
    <row r="65" spans="3:40" x14ac:dyDescent="0.2">
      <c r="C65" s="560"/>
      <c r="Q65" s="183" t="s">
        <v>664</v>
      </c>
      <c r="R65" s="183" t="s">
        <v>469</v>
      </c>
      <c r="S65" s="183" t="s">
        <v>286</v>
      </c>
      <c r="T65" s="183" t="s">
        <v>665</v>
      </c>
      <c r="V65" s="183" t="s">
        <v>666</v>
      </c>
      <c r="W65" s="183" t="s">
        <v>666</v>
      </c>
      <c r="X65" s="183" t="s">
        <v>667</v>
      </c>
      <c r="Y65" s="183" t="s">
        <v>665</v>
      </c>
      <c r="AC65" s="196" t="s">
        <v>668</v>
      </c>
      <c r="AD65" s="183" t="s">
        <v>117</v>
      </c>
      <c r="AE65" s="196" t="s">
        <v>669</v>
      </c>
      <c r="AF65" s="196" t="s">
        <v>670</v>
      </c>
      <c r="AG65" s="196" t="s">
        <v>671</v>
      </c>
      <c r="AH65" s="196" t="s">
        <v>672</v>
      </c>
      <c r="AI65" s="196" t="s">
        <v>118</v>
      </c>
      <c r="AJ65" s="196" t="s">
        <v>673</v>
      </c>
      <c r="AK65" s="183" t="s">
        <v>284</v>
      </c>
      <c r="AL65" s="196" t="s">
        <v>674</v>
      </c>
    </row>
    <row r="66" spans="3:40" x14ac:dyDescent="0.2">
      <c r="H66">
        <v>208216.80900401811</v>
      </c>
      <c r="I66">
        <f>+H66*$D$32</f>
        <v>0</v>
      </c>
      <c r="O66" s="196" t="s">
        <v>536</v>
      </c>
      <c r="P66" s="196" t="s">
        <v>675</v>
      </c>
      <c r="Q66" s="183" t="s">
        <v>474</v>
      </c>
      <c r="R66" s="183" t="s">
        <v>475</v>
      </c>
      <c r="S66" s="183" t="s">
        <v>475</v>
      </c>
      <c r="T66" s="183" t="s">
        <v>475</v>
      </c>
      <c r="U66" s="183" t="s">
        <v>476</v>
      </c>
      <c r="V66" s="183" t="s">
        <v>477</v>
      </c>
      <c r="W66" s="183" t="s">
        <v>478</v>
      </c>
      <c r="X66" s="196" t="s">
        <v>293</v>
      </c>
      <c r="Y66" s="183" t="s">
        <v>480</v>
      </c>
      <c r="Z66" s="183" t="s">
        <v>481</v>
      </c>
      <c r="AA66" s="566" t="s">
        <v>482</v>
      </c>
      <c r="AB66" s="183" t="s">
        <v>483</v>
      </c>
      <c r="AC66" s="196" t="s">
        <v>606</v>
      </c>
      <c r="AD66" s="196" t="s">
        <v>676</v>
      </c>
      <c r="AE66" s="196" t="s">
        <v>668</v>
      </c>
      <c r="AF66" s="196" t="s">
        <v>117</v>
      </c>
      <c r="AG66" s="196" t="s">
        <v>117</v>
      </c>
      <c r="AH66" s="183" t="s">
        <v>677</v>
      </c>
      <c r="AI66" s="196" t="s">
        <v>669</v>
      </c>
      <c r="AJ66" s="196" t="s">
        <v>678</v>
      </c>
      <c r="AK66" s="183" t="s">
        <v>679</v>
      </c>
      <c r="AL66" s="196" t="s">
        <v>680</v>
      </c>
      <c r="AM66" s="183" t="s">
        <v>84</v>
      </c>
    </row>
    <row r="67" spans="3:40" x14ac:dyDescent="0.2">
      <c r="H67">
        <v>812181.40073532262</v>
      </c>
      <c r="I67">
        <f>+H67*$D$32</f>
        <v>0</v>
      </c>
      <c r="O67" s="481" t="s">
        <v>487</v>
      </c>
      <c r="P67" s="481" t="s">
        <v>487</v>
      </c>
      <c r="Q67" s="481"/>
      <c r="S67" s="481" t="s">
        <v>487</v>
      </c>
      <c r="T67" s="481" t="s">
        <v>487</v>
      </c>
      <c r="U67" s="481" t="s">
        <v>487</v>
      </c>
      <c r="V67" s="481" t="s">
        <v>487</v>
      </c>
      <c r="W67" s="481" t="s">
        <v>487</v>
      </c>
      <c r="X67" s="481" t="s">
        <v>487</v>
      </c>
      <c r="Y67" s="481" t="s">
        <v>487</v>
      </c>
      <c r="Z67" s="481" t="s">
        <v>487</v>
      </c>
      <c r="AA67" s="481" t="s">
        <v>487</v>
      </c>
      <c r="AB67" s="481" t="s">
        <v>487</v>
      </c>
    </row>
    <row r="69" spans="3:40" x14ac:dyDescent="0.2">
      <c r="K69" s="270">
        <f>S69</f>
        <v>33924</v>
      </c>
      <c r="L69">
        <v>10.715</v>
      </c>
      <c r="M69" s="285">
        <f>K69*L69</f>
        <v>363495.66</v>
      </c>
      <c r="N69" s="285">
        <f>V69-M69</f>
        <v>325.5800000000163</v>
      </c>
      <c r="O69" s="183">
        <v>1</v>
      </c>
      <c r="P69" s="327" t="s">
        <v>681</v>
      </c>
      <c r="Q69" s="275">
        <f>Q110+Q152+Q194+Q236+Q278+Q320+Q362+Q404+Q446+Q488+Q530+Q572+Q614+Q656+Q698+Q740+Q782+Q824</f>
        <v>24161</v>
      </c>
      <c r="R69" s="275">
        <f>R110+R152+R194+R236+R278+R320+R362+R404+R446+R488+R530+R572+R614+R656+R698+R740+R782+R824</f>
        <v>31416</v>
      </c>
      <c r="S69" s="275">
        <f>S110+S194+S236+S278+S320+S362+S446+S488+S614+S740+S782+S824</f>
        <v>33924</v>
      </c>
      <c r="T69" s="275">
        <f t="shared" ref="T69:AN80" si="4">T110+T152+T194+T236+T278+T320+T362+T404+T446+T488+T530+T572+T614+T656+T698+T740+T782+T824</f>
        <v>20</v>
      </c>
      <c r="U69" s="275">
        <f t="shared" si="4"/>
        <v>15887456</v>
      </c>
      <c r="V69" s="275">
        <f t="shared" si="4"/>
        <v>363821.24</v>
      </c>
      <c r="W69" s="275">
        <f t="shared" si="4"/>
        <v>604517.70000000007</v>
      </c>
      <c r="X69" s="275">
        <f t="shared" si="4"/>
        <v>330148.80000000005</v>
      </c>
      <c r="Y69" s="275">
        <f t="shared" si="4"/>
        <v>214.3</v>
      </c>
      <c r="Z69" s="275">
        <f t="shared" si="4"/>
        <v>1298702.04</v>
      </c>
      <c r="AA69" s="294">
        <f t="shared" si="4"/>
        <v>1366068.47</v>
      </c>
      <c r="AB69" s="294">
        <f t="shared" si="4"/>
        <v>67366.42999999992</v>
      </c>
      <c r="AC69" s="294">
        <f t="shared" si="4"/>
        <v>325.59000000000003</v>
      </c>
      <c r="AD69" s="294">
        <f t="shared" si="4"/>
        <v>0</v>
      </c>
      <c r="AE69" s="294">
        <f t="shared" si="4"/>
        <v>0</v>
      </c>
      <c r="AF69" s="294">
        <f t="shared" si="4"/>
        <v>0</v>
      </c>
      <c r="AG69" s="294">
        <f t="shared" si="4"/>
        <v>0</v>
      </c>
      <c r="AH69" s="294">
        <f t="shared" si="4"/>
        <v>0</v>
      </c>
      <c r="AI69" s="294">
        <f t="shared" si="4"/>
        <v>1200</v>
      </c>
      <c r="AJ69" s="294">
        <f t="shared" si="4"/>
        <v>18504.060000000001</v>
      </c>
      <c r="AK69" s="294">
        <f t="shared" si="4"/>
        <v>47662.363999999994</v>
      </c>
      <c r="AL69" s="294">
        <f>AL110+AL152+AL194+AL236+AL278+AL320+AL362+AL404+AL446+AL488+AL530+AL572+AL614+AL656+AL698+AL740+AL824</f>
        <v>0</v>
      </c>
      <c r="AM69" s="294">
        <f t="shared" si="4"/>
        <v>67366.423999999999</v>
      </c>
      <c r="AN69">
        <f t="shared" si="4"/>
        <v>-5.9999999209878752E-3</v>
      </c>
    </row>
    <row r="70" spans="3:40" x14ac:dyDescent="0.2">
      <c r="M70" s="285">
        <f>AC69</f>
        <v>325.59000000000003</v>
      </c>
      <c r="O70" s="183">
        <v>2</v>
      </c>
      <c r="P70" s="203" t="s">
        <v>539</v>
      </c>
      <c r="Q70" s="275">
        <f t="shared" ref="Q70:AB80" si="5">Q111+Q153+Q195+Q237+Q279+Q321+Q363+Q405+Q447+Q489+Q531+Q573+Q615+Q657+Q699+Q741+Q783+Q825</f>
        <v>24161</v>
      </c>
      <c r="R70" s="275">
        <f t="shared" si="5"/>
        <v>31157</v>
      </c>
      <c r="S70" s="275">
        <f t="shared" ref="S70:S80" si="6">S111+S195+S237+S279+S321+S363+S447+S489+S615+S741+S783+S825</f>
        <v>33809</v>
      </c>
      <c r="T70" s="275">
        <f t="shared" si="5"/>
        <v>26</v>
      </c>
      <c r="U70" s="275">
        <f t="shared" si="5"/>
        <v>15031083</v>
      </c>
      <c r="V70" s="275">
        <f t="shared" si="5"/>
        <v>362653.86</v>
      </c>
      <c r="W70" s="275">
        <f t="shared" si="5"/>
        <v>571932.71000000008</v>
      </c>
      <c r="X70" s="275">
        <f t="shared" si="5"/>
        <v>266966.65999999997</v>
      </c>
      <c r="Y70" s="275">
        <f t="shared" si="5"/>
        <v>278.58999999999997</v>
      </c>
      <c r="Z70" s="275">
        <f t="shared" si="5"/>
        <v>1201831.82</v>
      </c>
      <c r="AA70" s="294">
        <f t="shared" si="5"/>
        <v>1266629.1200000001</v>
      </c>
      <c r="AB70" s="294">
        <f t="shared" si="5"/>
        <v>64797.300000000017</v>
      </c>
      <c r="AC70" s="294">
        <f t="shared" si="4"/>
        <v>390.42</v>
      </c>
      <c r="AD70" s="294">
        <f t="shared" si="4"/>
        <v>0</v>
      </c>
      <c r="AE70" s="294">
        <f t="shared" si="4"/>
        <v>0</v>
      </c>
      <c r="AF70" s="294">
        <f t="shared" si="4"/>
        <v>0</v>
      </c>
      <c r="AG70" s="294">
        <f t="shared" si="4"/>
        <v>0</v>
      </c>
      <c r="AH70" s="294">
        <f t="shared" si="4"/>
        <v>0</v>
      </c>
      <c r="AI70" s="294">
        <f t="shared" si="4"/>
        <v>1200</v>
      </c>
      <c r="AJ70" s="294">
        <f t="shared" si="4"/>
        <v>18504.060000000001</v>
      </c>
      <c r="AK70" s="294">
        <f t="shared" si="4"/>
        <v>45093.249000000003</v>
      </c>
      <c r="AL70" s="294">
        <f t="shared" ref="AL70:AL80" si="7">AL111+AL153+AL195+AL237+AL279+AL321+AL363+AL405+AL447+AL489+AL531+AL573+AL615+AL657+AL699+AL741+AL825</f>
        <v>0</v>
      </c>
      <c r="AM70" s="294">
        <f t="shared" si="4"/>
        <v>64797.309000000001</v>
      </c>
      <c r="AN70">
        <f t="shared" si="4"/>
        <v>8.9999999938186193E-3</v>
      </c>
    </row>
    <row r="71" spans="3:40" x14ac:dyDescent="0.2">
      <c r="M71" s="285">
        <f>M69+M70</f>
        <v>363821.25</v>
      </c>
      <c r="N71" s="285">
        <f>V69-M71</f>
        <v>-1.0000000009313226E-2</v>
      </c>
      <c r="O71" s="183">
        <v>3</v>
      </c>
      <c r="P71" s="203" t="s">
        <v>133</v>
      </c>
      <c r="Q71" s="275">
        <f t="shared" si="5"/>
        <v>24161</v>
      </c>
      <c r="R71" s="275">
        <f t="shared" si="5"/>
        <v>32709</v>
      </c>
      <c r="S71" s="275">
        <f t="shared" si="6"/>
        <v>35204</v>
      </c>
      <c r="T71" s="275">
        <f t="shared" si="5"/>
        <v>32</v>
      </c>
      <c r="U71" s="275">
        <f t="shared" si="5"/>
        <v>16290674</v>
      </c>
      <c r="V71" s="275">
        <f t="shared" si="5"/>
        <v>377616.29</v>
      </c>
      <c r="W71" s="275">
        <f t="shared" si="5"/>
        <v>619860.14</v>
      </c>
      <c r="X71" s="275">
        <f t="shared" si="5"/>
        <v>310338.79000000004</v>
      </c>
      <c r="Y71" s="275">
        <f t="shared" si="5"/>
        <v>342.88</v>
      </c>
      <c r="Z71" s="275">
        <f t="shared" si="5"/>
        <v>1308158.0999999999</v>
      </c>
      <c r="AA71" s="294">
        <f t="shared" si="5"/>
        <v>1376734.18</v>
      </c>
      <c r="AB71" s="294">
        <f t="shared" si="5"/>
        <v>68576.079999999958</v>
      </c>
      <c r="AC71" s="294">
        <f t="shared" si="4"/>
        <v>405.44000000000005</v>
      </c>
      <c r="AD71" s="294">
        <f t="shared" si="4"/>
        <v>0</v>
      </c>
      <c r="AE71" s="294">
        <f t="shared" si="4"/>
        <v>0</v>
      </c>
      <c r="AF71" s="294">
        <f t="shared" si="4"/>
        <v>0</v>
      </c>
      <c r="AG71" s="294">
        <f t="shared" si="4"/>
        <v>0</v>
      </c>
      <c r="AH71" s="294">
        <f t="shared" si="4"/>
        <v>0</v>
      </c>
      <c r="AI71" s="294">
        <f t="shared" si="4"/>
        <v>1200</v>
      </c>
      <c r="AJ71" s="294">
        <f t="shared" si="4"/>
        <v>18504.060000000001</v>
      </c>
      <c r="AK71" s="294">
        <f t="shared" si="4"/>
        <v>48872.025000000009</v>
      </c>
      <c r="AL71" s="294">
        <f t="shared" si="7"/>
        <v>0</v>
      </c>
      <c r="AM71" s="294">
        <f t="shared" si="4"/>
        <v>68576.085000000006</v>
      </c>
      <c r="AN71">
        <f t="shared" si="4"/>
        <v>5.0000000402405931E-3</v>
      </c>
    </row>
    <row r="72" spans="3:40" x14ac:dyDescent="0.2">
      <c r="O72" s="183">
        <v>4</v>
      </c>
      <c r="P72" s="203" t="s">
        <v>540</v>
      </c>
      <c r="Q72" s="275">
        <f t="shared" si="5"/>
        <v>24161</v>
      </c>
      <c r="R72" s="275">
        <f t="shared" si="5"/>
        <v>33673</v>
      </c>
      <c r="S72" s="275">
        <f t="shared" si="6"/>
        <v>36281</v>
      </c>
      <c r="T72" s="275">
        <f t="shared" si="5"/>
        <v>26</v>
      </c>
      <c r="U72" s="275">
        <f t="shared" si="5"/>
        <v>17369466</v>
      </c>
      <c r="V72" s="275">
        <f t="shared" si="5"/>
        <v>389111.3</v>
      </c>
      <c r="W72" s="275">
        <f t="shared" si="5"/>
        <v>660908.19000000006</v>
      </c>
      <c r="X72" s="275">
        <f t="shared" si="5"/>
        <v>144642.09</v>
      </c>
      <c r="Y72" s="275">
        <f t="shared" si="5"/>
        <v>278.58999999999997</v>
      </c>
      <c r="Z72" s="275">
        <f t="shared" si="5"/>
        <v>1194940.1700000002</v>
      </c>
      <c r="AA72" s="294">
        <f t="shared" si="5"/>
        <v>1266752.6300000001</v>
      </c>
      <c r="AB72" s="294">
        <f t="shared" si="5"/>
        <v>71812.459999999963</v>
      </c>
      <c r="AC72" s="294">
        <f t="shared" si="4"/>
        <v>360.38</v>
      </c>
      <c r="AD72" s="294">
        <f t="shared" si="4"/>
        <v>0</v>
      </c>
      <c r="AE72" s="294">
        <f t="shared" si="4"/>
        <v>0</v>
      </c>
      <c r="AF72" s="294">
        <f t="shared" si="4"/>
        <v>0</v>
      </c>
      <c r="AG72" s="294">
        <f t="shared" si="4"/>
        <v>0</v>
      </c>
      <c r="AH72" s="294">
        <f t="shared" si="4"/>
        <v>0</v>
      </c>
      <c r="AI72" s="294">
        <f t="shared" si="4"/>
        <v>1200</v>
      </c>
      <c r="AJ72" s="294">
        <f t="shared" si="4"/>
        <v>18504.060000000001</v>
      </c>
      <c r="AK72" s="294">
        <f t="shared" si="4"/>
        <v>52108.4</v>
      </c>
      <c r="AL72" s="294">
        <f t="shared" si="7"/>
        <v>0</v>
      </c>
      <c r="AM72" s="294">
        <f t="shared" si="4"/>
        <v>71812.460000000006</v>
      </c>
      <c r="AN72">
        <f t="shared" si="4"/>
        <v>3.2656544135534205E-11</v>
      </c>
    </row>
    <row r="73" spans="3:40" x14ac:dyDescent="0.2">
      <c r="O73" s="183">
        <v>5</v>
      </c>
      <c r="P73" s="203" t="s">
        <v>309</v>
      </c>
      <c r="Q73" s="275">
        <f t="shared" si="5"/>
        <v>24161</v>
      </c>
      <c r="R73" s="275">
        <f t="shared" si="5"/>
        <v>34236</v>
      </c>
      <c r="S73" s="275">
        <f t="shared" si="6"/>
        <v>36912</v>
      </c>
      <c r="T73" s="275">
        <f t="shared" si="5"/>
        <v>93</v>
      </c>
      <c r="U73" s="275">
        <f t="shared" si="5"/>
        <v>17627160</v>
      </c>
      <c r="V73" s="275">
        <f t="shared" si="5"/>
        <v>395899.04</v>
      </c>
      <c r="W73" s="275">
        <f t="shared" si="5"/>
        <v>670713.45000000007</v>
      </c>
      <c r="X73" s="275">
        <f t="shared" si="5"/>
        <v>404570.45</v>
      </c>
      <c r="Y73" s="275">
        <f t="shared" si="5"/>
        <v>996.5</v>
      </c>
      <c r="Z73" s="275">
        <f t="shared" si="5"/>
        <v>1472179.44</v>
      </c>
      <c r="AA73" s="294">
        <f t="shared" si="5"/>
        <v>1544764.96</v>
      </c>
      <c r="AB73" s="294">
        <f t="shared" si="5"/>
        <v>72585.520000000048</v>
      </c>
      <c r="AC73" s="294">
        <f t="shared" si="4"/>
        <v>386.97999999999996</v>
      </c>
      <c r="AD73" s="294">
        <f t="shared" si="4"/>
        <v>0</v>
      </c>
      <c r="AE73" s="294">
        <f t="shared" si="4"/>
        <v>0</v>
      </c>
      <c r="AF73" s="294">
        <f t="shared" si="4"/>
        <v>0</v>
      </c>
      <c r="AG73" s="294">
        <f t="shared" si="4"/>
        <v>0</v>
      </c>
      <c r="AH73" s="294">
        <f t="shared" si="4"/>
        <v>0</v>
      </c>
      <c r="AI73" s="294">
        <f t="shared" si="4"/>
        <v>1200</v>
      </c>
      <c r="AJ73" s="294">
        <f t="shared" si="4"/>
        <v>18504.060000000001</v>
      </c>
      <c r="AK73" s="294">
        <f t="shared" si="4"/>
        <v>52881.481</v>
      </c>
      <c r="AL73" s="294">
        <f t="shared" si="7"/>
        <v>0</v>
      </c>
      <c r="AM73" s="294">
        <f t="shared" si="4"/>
        <v>72585.541000000012</v>
      </c>
      <c r="AN73">
        <f t="shared" si="4"/>
        <v>2.0999999967031613E-2</v>
      </c>
    </row>
    <row r="74" spans="3:40" x14ac:dyDescent="0.2">
      <c r="O74" s="183">
        <v>6</v>
      </c>
      <c r="P74" s="203" t="s">
        <v>311</v>
      </c>
      <c r="Q74" s="275">
        <f t="shared" si="5"/>
        <v>24161</v>
      </c>
      <c r="R74" s="275">
        <f t="shared" si="5"/>
        <v>34003</v>
      </c>
      <c r="S74" s="275">
        <f t="shared" si="6"/>
        <v>36571</v>
      </c>
      <c r="T74" s="275">
        <f t="shared" si="5"/>
        <v>95</v>
      </c>
      <c r="U74" s="275">
        <f t="shared" si="5"/>
        <v>18450082</v>
      </c>
      <c r="V74" s="275">
        <f t="shared" si="5"/>
        <v>392212.27999999997</v>
      </c>
      <c r="W74" s="275">
        <f t="shared" si="5"/>
        <v>702025.62</v>
      </c>
      <c r="X74" s="275">
        <f t="shared" si="5"/>
        <v>447622.16000000003</v>
      </c>
      <c r="Y74" s="275">
        <f t="shared" si="5"/>
        <v>1017.92</v>
      </c>
      <c r="Z74" s="275">
        <f t="shared" si="5"/>
        <v>1542877.98</v>
      </c>
      <c r="AA74" s="294">
        <f t="shared" si="5"/>
        <v>1617932.29</v>
      </c>
      <c r="AB74" s="294">
        <f t="shared" si="5"/>
        <v>75054.309999999983</v>
      </c>
      <c r="AC74" s="294">
        <f t="shared" si="4"/>
        <v>354.01</v>
      </c>
      <c r="AD74" s="294">
        <f t="shared" si="4"/>
        <v>0</v>
      </c>
      <c r="AE74" s="294">
        <f t="shared" si="4"/>
        <v>0</v>
      </c>
      <c r="AF74" s="294">
        <f t="shared" si="4"/>
        <v>0</v>
      </c>
      <c r="AG74" s="294">
        <f t="shared" si="4"/>
        <v>0</v>
      </c>
      <c r="AH74" s="294">
        <f t="shared" si="4"/>
        <v>0</v>
      </c>
      <c r="AI74" s="294">
        <f t="shared" si="4"/>
        <v>1200</v>
      </c>
      <c r="AJ74" s="294">
        <f t="shared" si="4"/>
        <v>18504.060000000001</v>
      </c>
      <c r="AK74" s="294">
        <f t="shared" si="4"/>
        <v>55350.25</v>
      </c>
      <c r="AL74" s="294">
        <f t="shared" si="7"/>
        <v>0</v>
      </c>
      <c r="AM74" s="294">
        <f t="shared" si="4"/>
        <v>75054.31</v>
      </c>
      <c r="AN74">
        <f t="shared" si="4"/>
        <v>4.8942183639155701E-11</v>
      </c>
    </row>
    <row r="75" spans="3:40" x14ac:dyDescent="0.2">
      <c r="O75" s="183">
        <v>7</v>
      </c>
      <c r="P75" s="203" t="s">
        <v>541</v>
      </c>
      <c r="Q75" s="275">
        <f t="shared" si="5"/>
        <v>24161</v>
      </c>
      <c r="R75" s="275">
        <f t="shared" si="5"/>
        <v>34267</v>
      </c>
      <c r="S75" s="275">
        <f t="shared" si="6"/>
        <v>37013</v>
      </c>
      <c r="T75" s="275">
        <f t="shared" si="5"/>
        <v>0</v>
      </c>
      <c r="U75" s="275">
        <f t="shared" si="5"/>
        <v>17273962</v>
      </c>
      <c r="V75" s="275">
        <f t="shared" si="5"/>
        <v>397533.06</v>
      </c>
      <c r="W75" s="275">
        <f t="shared" si="5"/>
        <v>657274.24</v>
      </c>
      <c r="X75" s="275">
        <f t="shared" si="5"/>
        <v>677871.47999999986</v>
      </c>
      <c r="Y75" s="275">
        <f t="shared" si="5"/>
        <v>0</v>
      </c>
      <c r="Z75" s="275">
        <f t="shared" si="5"/>
        <v>1732678.7799999998</v>
      </c>
      <c r="AA75" s="294">
        <f t="shared" si="5"/>
        <v>1804204.7500000002</v>
      </c>
      <c r="AB75" s="294">
        <f t="shared" si="5"/>
        <v>71525.970000000103</v>
      </c>
      <c r="AC75" s="294">
        <f t="shared" si="4"/>
        <v>938.76</v>
      </c>
      <c r="AD75" s="294">
        <f t="shared" si="4"/>
        <v>0</v>
      </c>
      <c r="AE75" s="294">
        <f t="shared" si="4"/>
        <v>0</v>
      </c>
      <c r="AF75" s="294">
        <f t="shared" si="4"/>
        <v>0</v>
      </c>
      <c r="AG75" s="294">
        <f t="shared" si="4"/>
        <v>0</v>
      </c>
      <c r="AH75" s="294">
        <f t="shared" si="4"/>
        <v>0</v>
      </c>
      <c r="AI75" s="294">
        <f t="shared" si="4"/>
        <v>1200</v>
      </c>
      <c r="AJ75" s="294">
        <f t="shared" si="4"/>
        <v>18504.060000000001</v>
      </c>
      <c r="AK75" s="294">
        <f t="shared" si="4"/>
        <v>51821.885000000002</v>
      </c>
      <c r="AL75" s="294">
        <f t="shared" si="7"/>
        <v>0</v>
      </c>
      <c r="AM75" s="294">
        <f t="shared" si="4"/>
        <v>71525.944999999992</v>
      </c>
      <c r="AN75">
        <f t="shared" si="4"/>
        <v>-2.5000000092177288E-2</v>
      </c>
    </row>
    <row r="76" spans="3:40" x14ac:dyDescent="0.2">
      <c r="O76" s="183">
        <v>8</v>
      </c>
      <c r="P76" s="203" t="s">
        <v>542</v>
      </c>
      <c r="Q76" s="275">
        <f t="shared" si="5"/>
        <v>24161</v>
      </c>
      <c r="R76" s="275">
        <f t="shared" si="5"/>
        <v>32651</v>
      </c>
      <c r="S76" s="275">
        <f t="shared" si="6"/>
        <v>35167</v>
      </c>
      <c r="T76" s="275">
        <f t="shared" si="5"/>
        <v>83</v>
      </c>
      <c r="U76" s="275">
        <f t="shared" si="5"/>
        <v>16810737</v>
      </c>
      <c r="V76" s="275">
        <f t="shared" si="5"/>
        <v>377607.76</v>
      </c>
      <c r="W76" s="275">
        <f t="shared" si="5"/>
        <v>639648.53</v>
      </c>
      <c r="X76" s="275">
        <f t="shared" si="5"/>
        <v>581669.67999999993</v>
      </c>
      <c r="Y76" s="275">
        <f t="shared" si="5"/>
        <v>889.34</v>
      </c>
      <c r="Z76" s="275">
        <f t="shared" si="5"/>
        <v>1599815.3099999998</v>
      </c>
      <c r="AA76" s="294">
        <f t="shared" si="5"/>
        <v>1669951.5999999999</v>
      </c>
      <c r="AB76" s="294">
        <f t="shared" si="5"/>
        <v>70136.290000000154</v>
      </c>
      <c r="AC76" s="294">
        <f t="shared" si="4"/>
        <v>793.37</v>
      </c>
      <c r="AD76" s="294">
        <f t="shared" si="4"/>
        <v>0</v>
      </c>
      <c r="AE76" s="294">
        <f t="shared" si="4"/>
        <v>0</v>
      </c>
      <c r="AF76" s="294">
        <f t="shared" si="4"/>
        <v>0</v>
      </c>
      <c r="AG76" s="294">
        <f t="shared" si="4"/>
        <v>0</v>
      </c>
      <c r="AH76" s="294">
        <f t="shared" si="4"/>
        <v>0</v>
      </c>
      <c r="AI76" s="294">
        <f t="shared" si="4"/>
        <v>1200</v>
      </c>
      <c r="AJ76" s="294">
        <f t="shared" si="4"/>
        <v>18504.060000000001</v>
      </c>
      <c r="AK76" s="294">
        <f t="shared" si="4"/>
        <v>50432.207000000002</v>
      </c>
      <c r="AL76" s="294">
        <f t="shared" si="7"/>
        <v>0</v>
      </c>
      <c r="AM76" s="294">
        <f t="shared" si="4"/>
        <v>70136.267000000007</v>
      </c>
      <c r="AN76">
        <f t="shared" si="4"/>
        <v>-2.3000000149409061E-2</v>
      </c>
    </row>
    <row r="77" spans="3:40" x14ac:dyDescent="0.2">
      <c r="O77" s="183">
        <v>9</v>
      </c>
      <c r="P77" s="203" t="s">
        <v>682</v>
      </c>
      <c r="Q77" s="275">
        <f t="shared" si="5"/>
        <v>24161</v>
      </c>
      <c r="R77" s="275">
        <f t="shared" si="5"/>
        <v>32104</v>
      </c>
      <c r="S77" s="275">
        <f t="shared" si="6"/>
        <v>34579</v>
      </c>
      <c r="T77" s="275">
        <f t="shared" si="5"/>
        <v>105</v>
      </c>
      <c r="U77" s="275">
        <f t="shared" si="5"/>
        <v>15776962</v>
      </c>
      <c r="V77" s="275">
        <f t="shared" si="5"/>
        <v>371440.52999999997</v>
      </c>
      <c r="W77" s="275">
        <f t="shared" si="5"/>
        <v>600313.40999999992</v>
      </c>
      <c r="X77" s="275">
        <f t="shared" si="5"/>
        <v>436669.43999999994</v>
      </c>
      <c r="Y77" s="275">
        <f t="shared" si="5"/>
        <v>1125.08</v>
      </c>
      <c r="Z77" s="275">
        <f t="shared" si="5"/>
        <v>1409548.4599999997</v>
      </c>
      <c r="AA77" s="294">
        <f t="shared" si="5"/>
        <v>1476583.4</v>
      </c>
      <c r="AB77" s="294">
        <f t="shared" si="5"/>
        <v>67034.940000000046</v>
      </c>
      <c r="AC77" s="294">
        <f t="shared" si="4"/>
        <v>926.54000000000008</v>
      </c>
      <c r="AD77" s="294">
        <f t="shared" si="4"/>
        <v>0</v>
      </c>
      <c r="AE77" s="294">
        <f t="shared" si="4"/>
        <v>0</v>
      </c>
      <c r="AF77" s="294">
        <f t="shared" si="4"/>
        <v>0</v>
      </c>
      <c r="AG77" s="294">
        <f t="shared" si="4"/>
        <v>0</v>
      </c>
      <c r="AH77" s="294">
        <f t="shared" si="4"/>
        <v>0</v>
      </c>
      <c r="AI77" s="294">
        <f t="shared" si="4"/>
        <v>1200</v>
      </c>
      <c r="AJ77" s="294">
        <f t="shared" si="4"/>
        <v>18504.060000000001</v>
      </c>
      <c r="AK77" s="294">
        <f t="shared" si="4"/>
        <v>47330.886000000006</v>
      </c>
      <c r="AL77" s="294">
        <f t="shared" si="7"/>
        <v>0</v>
      </c>
      <c r="AM77" s="294">
        <f t="shared" si="4"/>
        <v>67034.945999999996</v>
      </c>
      <c r="AN77">
        <f t="shared" si="4"/>
        <v>5.9999999635067525E-3</v>
      </c>
    </row>
    <row r="78" spans="3:40" x14ac:dyDescent="0.2">
      <c r="O78" s="183">
        <v>10</v>
      </c>
      <c r="P78" s="203" t="s">
        <v>544</v>
      </c>
      <c r="Q78" s="275">
        <f t="shared" si="5"/>
        <v>24161</v>
      </c>
      <c r="R78" s="275">
        <f t="shared" si="5"/>
        <v>31785</v>
      </c>
      <c r="S78" s="275">
        <f t="shared" si="6"/>
        <v>34154</v>
      </c>
      <c r="T78" s="275">
        <f t="shared" si="5"/>
        <v>74</v>
      </c>
      <c r="U78" s="275">
        <f t="shared" si="5"/>
        <v>15419909</v>
      </c>
      <c r="V78" s="275">
        <f t="shared" si="5"/>
        <v>367100.22</v>
      </c>
      <c r="W78" s="275">
        <f t="shared" si="5"/>
        <v>586727.53</v>
      </c>
      <c r="X78" s="275">
        <f t="shared" si="5"/>
        <v>388479.74</v>
      </c>
      <c r="Y78" s="275">
        <f t="shared" si="5"/>
        <v>792.91</v>
      </c>
      <c r="Z78" s="275">
        <f t="shared" si="5"/>
        <v>1343100.4</v>
      </c>
      <c r="AA78" s="294">
        <f t="shared" si="5"/>
        <v>1409064.42</v>
      </c>
      <c r="AB78" s="294">
        <f t="shared" si="5"/>
        <v>65964.020000000033</v>
      </c>
      <c r="AC78" s="294">
        <f t="shared" si="4"/>
        <v>1140.32</v>
      </c>
      <c r="AD78" s="294">
        <f t="shared" si="4"/>
        <v>0</v>
      </c>
      <c r="AE78" s="294">
        <f t="shared" si="4"/>
        <v>0</v>
      </c>
      <c r="AF78" s="294">
        <f t="shared" si="4"/>
        <v>0</v>
      </c>
      <c r="AG78" s="294">
        <f t="shared" si="4"/>
        <v>0</v>
      </c>
      <c r="AH78" s="294">
        <f t="shared" si="4"/>
        <v>0</v>
      </c>
      <c r="AI78" s="294">
        <f t="shared" si="4"/>
        <v>1200</v>
      </c>
      <c r="AJ78" s="294">
        <f t="shared" si="4"/>
        <v>18504.060000000001</v>
      </c>
      <c r="AK78" s="294">
        <f t="shared" si="4"/>
        <v>46259.724999999999</v>
      </c>
      <c r="AL78" s="294">
        <f t="shared" si="7"/>
        <v>0</v>
      </c>
      <c r="AM78" s="294">
        <f t="shared" si="4"/>
        <v>65963.785000000003</v>
      </c>
      <c r="AN78">
        <f t="shared" si="4"/>
        <v>-0.23500000003446075</v>
      </c>
    </row>
    <row r="79" spans="3:40" x14ac:dyDescent="0.2">
      <c r="O79" s="183">
        <v>11</v>
      </c>
      <c r="P79" s="327" t="s">
        <v>683</v>
      </c>
      <c r="Q79" s="275">
        <f t="shared" si="5"/>
        <v>24161</v>
      </c>
      <c r="R79" s="275">
        <f t="shared" si="5"/>
        <v>32238</v>
      </c>
      <c r="S79" s="275">
        <f t="shared" si="6"/>
        <v>34525</v>
      </c>
      <c r="T79" s="275">
        <f t="shared" si="5"/>
        <v>5</v>
      </c>
      <c r="U79" s="275">
        <f t="shared" si="5"/>
        <v>16185239</v>
      </c>
      <c r="V79" s="275">
        <f t="shared" si="5"/>
        <v>370670.2</v>
      </c>
      <c r="W79" s="275">
        <f t="shared" si="5"/>
        <v>615848.35</v>
      </c>
      <c r="X79" s="275">
        <f t="shared" si="5"/>
        <v>422945.78</v>
      </c>
      <c r="Y79" s="275">
        <f t="shared" si="5"/>
        <v>53.58</v>
      </c>
      <c r="Z79" s="275">
        <f t="shared" si="5"/>
        <v>1409517.91</v>
      </c>
      <c r="AA79" s="294">
        <f t="shared" si="5"/>
        <v>1477777.68</v>
      </c>
      <c r="AB79" s="294">
        <f t="shared" si="5"/>
        <v>68259.769999999931</v>
      </c>
      <c r="AC79" s="294">
        <f t="shared" si="4"/>
        <v>734.83</v>
      </c>
      <c r="AD79" s="294">
        <f t="shared" si="4"/>
        <v>0</v>
      </c>
      <c r="AE79" s="294">
        <f t="shared" si="4"/>
        <v>0</v>
      </c>
      <c r="AF79" s="294">
        <f t="shared" si="4"/>
        <v>0</v>
      </c>
      <c r="AG79" s="294">
        <f t="shared" si="4"/>
        <v>0</v>
      </c>
      <c r="AH79" s="294">
        <f t="shared" si="4"/>
        <v>0</v>
      </c>
      <c r="AI79" s="294">
        <f t="shared" si="4"/>
        <v>1200</v>
      </c>
      <c r="AJ79" s="294">
        <f t="shared" si="4"/>
        <v>18504.060000000001</v>
      </c>
      <c r="AK79" s="294">
        <f t="shared" si="4"/>
        <v>48555.718000000001</v>
      </c>
      <c r="AL79" s="294">
        <f t="shared" si="7"/>
        <v>0</v>
      </c>
      <c r="AM79" s="294">
        <f t="shared" si="4"/>
        <v>68259.777999999991</v>
      </c>
      <c r="AN79">
        <f t="shared" si="4"/>
        <v>8.0000000736220045E-3</v>
      </c>
    </row>
    <row r="80" spans="3:40" x14ac:dyDescent="0.2">
      <c r="O80" s="183">
        <v>12</v>
      </c>
      <c r="P80" s="567" t="s">
        <v>684</v>
      </c>
      <c r="Q80" s="568">
        <f t="shared" si="5"/>
        <v>24161</v>
      </c>
      <c r="R80" s="568">
        <f t="shared" si="5"/>
        <v>33311</v>
      </c>
      <c r="S80" s="275">
        <f t="shared" si="6"/>
        <v>35623</v>
      </c>
      <c r="T80" s="568">
        <f t="shared" si="5"/>
        <v>24</v>
      </c>
      <c r="U80" s="568">
        <f t="shared" si="5"/>
        <v>15807860</v>
      </c>
      <c r="V80" s="568">
        <f t="shared" si="5"/>
        <v>382454.25</v>
      </c>
      <c r="W80" s="568">
        <f t="shared" si="5"/>
        <v>601489.07999999996</v>
      </c>
      <c r="X80" s="568">
        <f t="shared" si="5"/>
        <v>222667.59999999998</v>
      </c>
      <c r="Y80" s="568">
        <f t="shared" si="5"/>
        <v>257.17</v>
      </c>
      <c r="Z80" s="568">
        <f t="shared" si="5"/>
        <v>1206868.1000000001</v>
      </c>
      <c r="AA80" s="569">
        <f t="shared" si="5"/>
        <v>1273995.73</v>
      </c>
      <c r="AB80" s="569">
        <f t="shared" si="5"/>
        <v>67127.629999999976</v>
      </c>
      <c r="AC80" s="569">
        <f t="shared" si="4"/>
        <v>753.80000000000007</v>
      </c>
      <c r="AD80" s="569">
        <f t="shared" si="4"/>
        <v>0</v>
      </c>
      <c r="AE80" s="294">
        <f t="shared" si="4"/>
        <v>0</v>
      </c>
      <c r="AF80" s="294">
        <f t="shared" si="4"/>
        <v>0</v>
      </c>
      <c r="AG80" s="294">
        <f t="shared" si="4"/>
        <v>0</v>
      </c>
      <c r="AH80" s="294">
        <f t="shared" si="4"/>
        <v>0</v>
      </c>
      <c r="AI80" s="294">
        <f t="shared" si="4"/>
        <v>1200</v>
      </c>
      <c r="AJ80" s="294">
        <f t="shared" si="4"/>
        <v>18504.060000000001</v>
      </c>
      <c r="AK80" s="294">
        <f t="shared" si="4"/>
        <v>47423.584999999999</v>
      </c>
      <c r="AL80" s="294">
        <f t="shared" si="7"/>
        <v>0</v>
      </c>
      <c r="AM80" s="294">
        <f t="shared" si="4"/>
        <v>67127.645000000004</v>
      </c>
      <c r="AN80">
        <f>AN121+AN163+AN205+AN247+AN289+AN331+AN373+AN415+AN457+AN499+AN541+AN583+AN625+AN667+AN709+AN751+AN793+AN835</f>
        <v>1.5000000014481429E-2</v>
      </c>
    </row>
    <row r="81" spans="15:40" x14ac:dyDescent="0.2">
      <c r="O81" s="183"/>
      <c r="Q81" s="275"/>
      <c r="S81" s="275"/>
      <c r="T81" s="275"/>
      <c r="U81" s="275"/>
      <c r="V81" s="275"/>
      <c r="W81" s="275"/>
      <c r="X81" s="275"/>
      <c r="Y81" s="275"/>
      <c r="Z81" s="275"/>
      <c r="AA81" s="294"/>
      <c r="AB81" s="294"/>
      <c r="AC81" s="294"/>
      <c r="AD81" s="294"/>
      <c r="AE81" s="294"/>
      <c r="AF81" s="294"/>
      <c r="AG81" s="294"/>
      <c r="AH81" s="294"/>
      <c r="AI81" s="294"/>
      <c r="AJ81" s="294"/>
      <c r="AK81" s="294"/>
      <c r="AL81" s="294"/>
      <c r="AM81" s="294"/>
    </row>
    <row r="82" spans="15:40" ht="13.5" thickBot="1" x14ac:dyDescent="0.25">
      <c r="O82" s="183">
        <v>13</v>
      </c>
      <c r="Q82" s="570">
        <f t="shared" ref="Q82:AN82" si="8">SUM(Q69:Q80)</f>
        <v>289932</v>
      </c>
      <c r="R82" s="570">
        <f>SUM(R69:R80)</f>
        <v>393550</v>
      </c>
      <c r="S82" s="570">
        <f>SUM(S69:S80)</f>
        <v>423762</v>
      </c>
      <c r="T82" s="570">
        <f t="shared" si="8"/>
        <v>583</v>
      </c>
      <c r="U82" s="570">
        <f t="shared" si="8"/>
        <v>197930590</v>
      </c>
      <c r="V82" s="570">
        <f t="shared" si="8"/>
        <v>4548120.03</v>
      </c>
      <c r="W82" s="570">
        <f t="shared" si="8"/>
        <v>7531258.9500000011</v>
      </c>
      <c r="X82" s="570">
        <f t="shared" si="8"/>
        <v>4634592.67</v>
      </c>
      <c r="Y82" s="570">
        <f t="shared" si="8"/>
        <v>6246.86</v>
      </c>
      <c r="Z82" s="570">
        <f t="shared" si="8"/>
        <v>16720218.51</v>
      </c>
      <c r="AA82" s="571">
        <f t="shared" si="8"/>
        <v>17550459.229999997</v>
      </c>
      <c r="AB82" s="571">
        <f t="shared" si="8"/>
        <v>830240.72000000009</v>
      </c>
      <c r="AC82" s="571">
        <f t="shared" si="8"/>
        <v>7510.44</v>
      </c>
      <c r="AD82" s="294">
        <f t="shared" si="8"/>
        <v>0</v>
      </c>
      <c r="AE82" s="294">
        <f t="shared" si="8"/>
        <v>0</v>
      </c>
      <c r="AF82" s="294">
        <f t="shared" si="8"/>
        <v>0</v>
      </c>
      <c r="AG82" s="294">
        <f t="shared" si="8"/>
        <v>0</v>
      </c>
      <c r="AH82" s="294">
        <f t="shared" si="8"/>
        <v>0</v>
      </c>
      <c r="AI82" s="294">
        <f t="shared" si="8"/>
        <v>14400</v>
      </c>
      <c r="AJ82" s="294">
        <f t="shared" si="8"/>
        <v>222048.72</v>
      </c>
      <c r="AK82" s="294">
        <f t="shared" si="8"/>
        <v>593791.77499999991</v>
      </c>
      <c r="AL82" s="294">
        <f t="shared" si="8"/>
        <v>0</v>
      </c>
      <c r="AM82" s="294">
        <f t="shared" si="8"/>
        <v>830240.49500000011</v>
      </c>
      <c r="AN82">
        <f t="shared" si="8"/>
        <v>-0.22500000006273524</v>
      </c>
    </row>
    <row r="83" spans="15:40" ht="13.5" thickTop="1" x14ac:dyDescent="0.2">
      <c r="R83" s="270">
        <f>S82</f>
        <v>423762</v>
      </c>
      <c r="S83" s="270"/>
      <c r="T83">
        <v>10.715</v>
      </c>
      <c r="U83" s="285">
        <f>R83*T83</f>
        <v>4540609.83</v>
      </c>
      <c r="V83" s="285">
        <f>AC82</f>
        <v>7510.44</v>
      </c>
      <c r="W83" s="285">
        <f>U83+V83</f>
        <v>4548120.2700000005</v>
      </c>
      <c r="X83" s="285">
        <f>V82-W83</f>
        <v>-0.24000000022351742</v>
      </c>
      <c r="AI83" t="s">
        <v>685</v>
      </c>
    </row>
    <row r="84" spans="15:40" x14ac:dyDescent="0.2">
      <c r="R84" s="183"/>
      <c r="S84" s="183" t="s">
        <v>549</v>
      </c>
      <c r="T84" s="183"/>
      <c r="U84" s="183"/>
      <c r="V84" s="183"/>
      <c r="W84" s="183"/>
      <c r="X84" s="183"/>
      <c r="Y84" s="183"/>
      <c r="Z84" s="183"/>
      <c r="AA84" s="183"/>
      <c r="AB84" s="183"/>
      <c r="AI84" t="s">
        <v>686</v>
      </c>
    </row>
    <row r="85" spans="15:40" x14ac:dyDescent="0.2">
      <c r="R85" s="183" t="s">
        <v>550</v>
      </c>
      <c r="S85" s="183" t="s">
        <v>551</v>
      </c>
      <c r="T85" s="183" t="s">
        <v>552</v>
      </c>
      <c r="U85" s="183" t="s">
        <v>596</v>
      </c>
      <c r="V85" s="183" t="s">
        <v>553</v>
      </c>
      <c r="W85" s="183" t="s">
        <v>554</v>
      </c>
      <c r="X85" s="183" t="s">
        <v>555</v>
      </c>
      <c r="Y85" s="183" t="s">
        <v>556</v>
      </c>
      <c r="Z85" s="183" t="s">
        <v>557</v>
      </c>
      <c r="AA85" s="183"/>
      <c r="AB85" s="183"/>
      <c r="AI85" s="267">
        <f>AI82/100</f>
        <v>144</v>
      </c>
    </row>
    <row r="86" spans="15:40" x14ac:dyDescent="0.2">
      <c r="R86" s="521" t="s">
        <v>471</v>
      </c>
      <c r="S86" s="521" t="s">
        <v>558</v>
      </c>
      <c r="T86" s="521" t="s">
        <v>559</v>
      </c>
      <c r="U86" s="521" t="s">
        <v>597</v>
      </c>
      <c r="V86" s="521" t="s">
        <v>560</v>
      </c>
      <c r="W86" s="521" t="s">
        <v>561</v>
      </c>
      <c r="X86" s="521" t="s">
        <v>562</v>
      </c>
      <c r="Y86" s="521" t="s">
        <v>563</v>
      </c>
      <c r="Z86" s="521" t="s">
        <v>564</v>
      </c>
      <c r="AA86" s="521" t="s">
        <v>319</v>
      </c>
      <c r="AB86" s="523" t="s">
        <v>84</v>
      </c>
    </row>
    <row r="87" spans="15:40" x14ac:dyDescent="0.2">
      <c r="O87">
        <f>$O$69</f>
        <v>1</v>
      </c>
      <c r="P87" s="203" t="str">
        <f>$P$69</f>
        <v>March 22</v>
      </c>
      <c r="R87" s="285">
        <f t="shared" ref="R87:R96" si="9">R132+R174+R216+R258+R300+R342+R384+R426+R468+R510+R552+R594+R636+R678+R720+R762+R804+R846</f>
        <v>304626.07</v>
      </c>
      <c r="S87" s="285">
        <f t="shared" ref="S87:AA98" si="10">S132+S174+S216+S258+S300+S342+S384+S426+S468+S510+T552+S594+S636+S678+S720+S762+S804+S846</f>
        <v>39607.429999999993</v>
      </c>
      <c r="T87" s="285">
        <f t="shared" si="10"/>
        <v>70333.750000000015</v>
      </c>
      <c r="U87" s="285">
        <f t="shared" si="10"/>
        <v>-84418.45</v>
      </c>
      <c r="V87" s="285">
        <f t="shared" si="10"/>
        <v>0</v>
      </c>
      <c r="W87" s="285">
        <f t="shared" si="10"/>
        <v>0</v>
      </c>
      <c r="X87" s="285">
        <f t="shared" si="10"/>
        <v>0</v>
      </c>
      <c r="Y87" s="285">
        <f t="shared" si="10"/>
        <v>0</v>
      </c>
      <c r="Z87" s="285">
        <f t="shared" si="10"/>
        <v>0</v>
      </c>
      <c r="AA87" s="285">
        <f t="shared" si="10"/>
        <v>0</v>
      </c>
      <c r="AB87" s="285">
        <f t="shared" ref="AB87:AB98" si="11">SUM(R87:AA87)</f>
        <v>330148.8</v>
      </c>
      <c r="AD87" s="285">
        <f>X69-AB87</f>
        <v>0</v>
      </c>
    </row>
    <row r="88" spans="15:40" x14ac:dyDescent="0.2">
      <c r="P88" s="203" t="str">
        <f>$P$70</f>
        <v>April</v>
      </c>
      <c r="R88" s="285">
        <f t="shared" si="9"/>
        <v>228878.31</v>
      </c>
      <c r="S88" s="285">
        <f t="shared" si="10"/>
        <v>37472.479999999996</v>
      </c>
      <c r="T88" s="285">
        <f t="shared" si="10"/>
        <v>78196.08</v>
      </c>
      <c r="U88" s="285">
        <f t="shared" si="10"/>
        <v>-77580.210000000006</v>
      </c>
      <c r="V88" s="285">
        <f t="shared" si="10"/>
        <v>0</v>
      </c>
      <c r="W88" s="285">
        <f t="shared" si="10"/>
        <v>0</v>
      </c>
      <c r="X88" s="285">
        <f t="shared" si="10"/>
        <v>0</v>
      </c>
      <c r="Y88" s="285">
        <f t="shared" si="10"/>
        <v>0</v>
      </c>
      <c r="Z88" s="285">
        <f t="shared" si="10"/>
        <v>0</v>
      </c>
      <c r="AA88" s="285">
        <f t="shared" si="10"/>
        <v>0</v>
      </c>
      <c r="AB88" s="285">
        <f t="shared" si="11"/>
        <v>266966.65999999997</v>
      </c>
      <c r="AD88" s="285">
        <f t="shared" ref="AD88:AD98" si="12">X70-AB88</f>
        <v>0</v>
      </c>
    </row>
    <row r="89" spans="15:40" x14ac:dyDescent="0.2">
      <c r="P89" s="203" t="str">
        <f>$P$71</f>
        <v>May</v>
      </c>
      <c r="R89" s="285">
        <f t="shared" si="9"/>
        <v>294421.36000000004</v>
      </c>
      <c r="S89" s="285">
        <f t="shared" si="10"/>
        <v>40612.65</v>
      </c>
      <c r="T89" s="285">
        <f t="shared" si="10"/>
        <v>57507.669999999991</v>
      </c>
      <c r="U89" s="285">
        <f t="shared" si="10"/>
        <v>-82202.89</v>
      </c>
      <c r="V89" s="285">
        <f t="shared" si="10"/>
        <v>0</v>
      </c>
      <c r="W89" s="285">
        <f t="shared" si="10"/>
        <v>0</v>
      </c>
      <c r="X89" s="285">
        <f t="shared" si="10"/>
        <v>0</v>
      </c>
      <c r="Y89" s="285">
        <f t="shared" si="10"/>
        <v>0</v>
      </c>
      <c r="Z89" s="285">
        <f t="shared" si="10"/>
        <v>0</v>
      </c>
      <c r="AA89" s="285">
        <f t="shared" si="10"/>
        <v>0</v>
      </c>
      <c r="AB89" s="285">
        <f t="shared" si="11"/>
        <v>310338.79000000004</v>
      </c>
      <c r="AD89" s="285">
        <f t="shared" si="12"/>
        <v>0</v>
      </c>
    </row>
    <row r="90" spans="15:40" x14ac:dyDescent="0.2">
      <c r="P90" s="203" t="str">
        <f>$P$72</f>
        <v>June</v>
      </c>
      <c r="R90" s="285">
        <f t="shared" si="9"/>
        <v>107586.47</v>
      </c>
      <c r="S90" s="285">
        <f t="shared" si="10"/>
        <v>43302.080000000002</v>
      </c>
      <c r="T90" s="285">
        <f t="shared" si="10"/>
        <v>76664.680000000008</v>
      </c>
      <c r="U90" s="285">
        <f t="shared" si="10"/>
        <v>-82911.139999999985</v>
      </c>
      <c r="V90" s="285">
        <f t="shared" si="10"/>
        <v>0</v>
      </c>
      <c r="W90" s="285">
        <f t="shared" si="10"/>
        <v>0</v>
      </c>
      <c r="X90" s="285">
        <f t="shared" si="10"/>
        <v>0</v>
      </c>
      <c r="Y90" s="285">
        <f t="shared" si="10"/>
        <v>0</v>
      </c>
      <c r="Z90" s="285">
        <f t="shared" si="10"/>
        <v>0</v>
      </c>
      <c r="AA90" s="285">
        <f t="shared" si="10"/>
        <v>0</v>
      </c>
      <c r="AB90" s="285">
        <f t="shared" si="11"/>
        <v>144642.09</v>
      </c>
      <c r="AD90" s="285">
        <f t="shared" si="12"/>
        <v>0</v>
      </c>
    </row>
    <row r="91" spans="15:40" x14ac:dyDescent="0.2">
      <c r="P91" s="203" t="str">
        <f>$P$73</f>
        <v>July</v>
      </c>
      <c r="R91" s="285">
        <f t="shared" si="9"/>
        <v>360757.48</v>
      </c>
      <c r="S91" s="285">
        <f t="shared" si="10"/>
        <v>43944.530000000006</v>
      </c>
      <c r="T91" s="285">
        <f t="shared" si="10"/>
        <v>67229.39</v>
      </c>
      <c r="U91" s="285">
        <f t="shared" si="10"/>
        <v>-67360.95</v>
      </c>
      <c r="V91" s="285">
        <f t="shared" si="10"/>
        <v>0</v>
      </c>
      <c r="W91" s="285">
        <f t="shared" si="10"/>
        <v>0</v>
      </c>
      <c r="X91" s="285">
        <f t="shared" si="10"/>
        <v>0</v>
      </c>
      <c r="Y91" s="285">
        <f t="shared" si="10"/>
        <v>0</v>
      </c>
      <c r="Z91" s="285">
        <f t="shared" si="10"/>
        <v>0</v>
      </c>
      <c r="AA91" s="285">
        <f t="shared" si="10"/>
        <v>0</v>
      </c>
      <c r="AB91" s="285">
        <f t="shared" si="11"/>
        <v>404570.45</v>
      </c>
      <c r="AD91" s="285">
        <f t="shared" si="12"/>
        <v>0</v>
      </c>
    </row>
    <row r="92" spans="15:40" x14ac:dyDescent="0.2">
      <c r="P92" s="203" t="str">
        <f>$P$74</f>
        <v>August</v>
      </c>
      <c r="R92" s="285">
        <f t="shared" si="9"/>
        <v>409905.47000000003</v>
      </c>
      <c r="S92" s="285">
        <f t="shared" si="10"/>
        <v>45996.070000000007</v>
      </c>
      <c r="T92" s="285">
        <f t="shared" si="10"/>
        <v>73605.319999999992</v>
      </c>
      <c r="U92" s="285">
        <f t="shared" si="10"/>
        <v>-81884.700000000012</v>
      </c>
      <c r="V92" s="285">
        <f t="shared" si="10"/>
        <v>0</v>
      </c>
      <c r="W92" s="285">
        <f t="shared" si="10"/>
        <v>0</v>
      </c>
      <c r="X92" s="285">
        <f t="shared" si="10"/>
        <v>0</v>
      </c>
      <c r="Y92" s="285">
        <f t="shared" si="10"/>
        <v>0</v>
      </c>
      <c r="Z92" s="285">
        <f t="shared" si="10"/>
        <v>0</v>
      </c>
      <c r="AA92" s="285">
        <f t="shared" si="10"/>
        <v>0</v>
      </c>
      <c r="AB92" s="285">
        <f t="shared" si="11"/>
        <v>447622.16</v>
      </c>
      <c r="AD92" s="285">
        <f t="shared" si="12"/>
        <v>0</v>
      </c>
    </row>
    <row r="93" spans="15:40" x14ac:dyDescent="0.2">
      <c r="P93" s="203" t="str">
        <f>$P$75</f>
        <v>September</v>
      </c>
      <c r="R93" s="285">
        <f t="shared" si="9"/>
        <v>598715.5199999999</v>
      </c>
      <c r="S93" s="285">
        <f t="shared" si="10"/>
        <v>103971.97</v>
      </c>
      <c r="T93" s="285">
        <f t="shared" si="10"/>
        <v>53817.7</v>
      </c>
      <c r="U93" s="285">
        <f t="shared" si="10"/>
        <v>-78633.709999999992</v>
      </c>
      <c r="V93" s="285">
        <f t="shared" si="10"/>
        <v>0</v>
      </c>
      <c r="W93" s="285">
        <f t="shared" si="10"/>
        <v>0</v>
      </c>
      <c r="X93" s="285">
        <f t="shared" si="10"/>
        <v>0</v>
      </c>
      <c r="Y93" s="285">
        <f t="shared" si="10"/>
        <v>0</v>
      </c>
      <c r="Z93" s="285">
        <f t="shared" si="10"/>
        <v>0</v>
      </c>
      <c r="AA93" s="285">
        <f t="shared" si="10"/>
        <v>0</v>
      </c>
      <c r="AB93" s="285">
        <f t="shared" si="11"/>
        <v>677871.47999999986</v>
      </c>
      <c r="AD93" s="285">
        <f t="shared" si="12"/>
        <v>0</v>
      </c>
    </row>
    <row r="94" spans="15:40" x14ac:dyDescent="0.2">
      <c r="P94" s="203" t="str">
        <f>$P$76</f>
        <v>October</v>
      </c>
      <c r="R94" s="285">
        <f t="shared" si="9"/>
        <v>485393.22</v>
      </c>
      <c r="S94" s="285">
        <f t="shared" si="10"/>
        <v>101183.83</v>
      </c>
      <c r="T94" s="285">
        <f t="shared" si="10"/>
        <v>66685.209999999992</v>
      </c>
      <c r="U94" s="285">
        <f t="shared" si="10"/>
        <v>-71592.579999999987</v>
      </c>
      <c r="V94" s="285">
        <f t="shared" si="10"/>
        <v>0</v>
      </c>
      <c r="W94" s="285">
        <f t="shared" si="10"/>
        <v>0</v>
      </c>
      <c r="X94" s="285">
        <f t="shared" si="10"/>
        <v>0</v>
      </c>
      <c r="Y94" s="285">
        <f t="shared" si="10"/>
        <v>0</v>
      </c>
      <c r="Z94" s="285">
        <f t="shared" si="10"/>
        <v>0</v>
      </c>
      <c r="AA94" s="285">
        <f t="shared" si="10"/>
        <v>0</v>
      </c>
      <c r="AB94" s="285">
        <f t="shared" si="11"/>
        <v>581669.67999999993</v>
      </c>
      <c r="AD94" s="285">
        <f t="shared" si="12"/>
        <v>0</v>
      </c>
    </row>
    <row r="95" spans="15:40" x14ac:dyDescent="0.2">
      <c r="P95" s="203" t="str">
        <f>$P$77</f>
        <v>Novermber</v>
      </c>
      <c r="R95" s="285">
        <f t="shared" si="9"/>
        <v>370758.61000000004</v>
      </c>
      <c r="S95" s="285">
        <f t="shared" si="10"/>
        <v>94961.53</v>
      </c>
      <c r="T95" s="285">
        <f t="shared" si="10"/>
        <v>47381.159999999996</v>
      </c>
      <c r="U95" s="285">
        <f t="shared" si="10"/>
        <v>-76431.86</v>
      </c>
      <c r="V95" s="285">
        <f t="shared" si="10"/>
        <v>0</v>
      </c>
      <c r="W95" s="285">
        <f t="shared" si="10"/>
        <v>0</v>
      </c>
      <c r="X95" s="285">
        <f t="shared" si="10"/>
        <v>0</v>
      </c>
      <c r="Y95" s="285">
        <f t="shared" si="10"/>
        <v>0</v>
      </c>
      <c r="Z95" s="285">
        <f t="shared" si="10"/>
        <v>0</v>
      </c>
      <c r="AA95" s="285">
        <f t="shared" si="10"/>
        <v>0</v>
      </c>
      <c r="AB95" s="285">
        <f t="shared" si="11"/>
        <v>436669.44</v>
      </c>
      <c r="AD95" s="285">
        <f t="shared" si="12"/>
        <v>0</v>
      </c>
    </row>
    <row r="96" spans="15:40" x14ac:dyDescent="0.2">
      <c r="P96" s="203" t="str">
        <f>$P$78</f>
        <v>December</v>
      </c>
      <c r="R96" s="285">
        <f t="shared" si="9"/>
        <v>308876.21999999997</v>
      </c>
      <c r="S96" s="285">
        <f t="shared" si="10"/>
        <v>92812.42</v>
      </c>
      <c r="T96" s="285">
        <f t="shared" si="10"/>
        <v>55121.51</v>
      </c>
      <c r="U96" s="285">
        <f t="shared" si="10"/>
        <v>-68330.409999999989</v>
      </c>
      <c r="V96" s="285">
        <f t="shared" si="10"/>
        <v>0</v>
      </c>
      <c r="W96" s="285">
        <f t="shared" si="10"/>
        <v>0</v>
      </c>
      <c r="X96" s="285">
        <f t="shared" si="10"/>
        <v>0</v>
      </c>
      <c r="Y96" s="285">
        <f t="shared" si="10"/>
        <v>0</v>
      </c>
      <c r="Z96" s="285">
        <f t="shared" si="10"/>
        <v>0</v>
      </c>
      <c r="AA96" s="285">
        <f t="shared" si="10"/>
        <v>0</v>
      </c>
      <c r="AB96" s="285">
        <f t="shared" si="11"/>
        <v>388479.74</v>
      </c>
      <c r="AD96" s="285">
        <f t="shared" si="12"/>
        <v>0</v>
      </c>
    </row>
    <row r="97" spans="12:40" x14ac:dyDescent="0.2">
      <c r="P97" s="327" t="s">
        <v>683</v>
      </c>
      <c r="R97" s="285">
        <f>R142+R184+R226+R268+R310+R352+R394+R436+R478+R520+R562+R604+R646+R688+R730+R772+R814+R856</f>
        <v>234459.37</v>
      </c>
      <c r="S97" s="285">
        <f t="shared" si="10"/>
        <v>97418.97</v>
      </c>
      <c r="T97" s="285">
        <f t="shared" si="10"/>
        <v>140086.66999999998</v>
      </c>
      <c r="U97" s="285">
        <f t="shared" si="10"/>
        <v>-49019.23</v>
      </c>
      <c r="V97" s="285">
        <f t="shared" si="10"/>
        <v>0</v>
      </c>
      <c r="W97" s="285">
        <f t="shared" si="10"/>
        <v>0</v>
      </c>
      <c r="X97" s="285">
        <f t="shared" si="10"/>
        <v>0</v>
      </c>
      <c r="Y97" s="285">
        <f t="shared" si="10"/>
        <v>0</v>
      </c>
      <c r="Z97" s="285">
        <f t="shared" si="10"/>
        <v>0</v>
      </c>
      <c r="AA97" s="285">
        <f t="shared" si="10"/>
        <v>0</v>
      </c>
      <c r="AB97" s="285">
        <f t="shared" si="11"/>
        <v>422945.77999999997</v>
      </c>
      <c r="AD97" s="285">
        <f t="shared" si="12"/>
        <v>0</v>
      </c>
    </row>
    <row r="98" spans="12:40" x14ac:dyDescent="0.2">
      <c r="O98">
        <f>$O$80</f>
        <v>12</v>
      </c>
      <c r="P98" s="567" t="s">
        <v>684</v>
      </c>
      <c r="R98" s="285">
        <f t="shared" ref="R98" si="13">R143+R185+R227+R269+R311+R353+R395+R437+R479+R521+R563+R605+R647+R689+R731+R773+R815+R857</f>
        <v>123807.16</v>
      </c>
      <c r="S98" s="285">
        <f t="shared" si="10"/>
        <v>95147.51999999999</v>
      </c>
      <c r="T98" s="285">
        <f t="shared" si="10"/>
        <v>60413.32</v>
      </c>
      <c r="U98" s="285">
        <f t="shared" si="10"/>
        <v>-56700.4</v>
      </c>
      <c r="V98" s="285">
        <f t="shared" si="10"/>
        <v>0</v>
      </c>
      <c r="W98" s="285">
        <f t="shared" si="10"/>
        <v>0</v>
      </c>
      <c r="X98" s="285">
        <f t="shared" si="10"/>
        <v>0</v>
      </c>
      <c r="Y98" s="285">
        <f t="shared" si="10"/>
        <v>0</v>
      </c>
      <c r="Z98" s="285">
        <f t="shared" si="10"/>
        <v>0</v>
      </c>
      <c r="AA98" s="285">
        <f t="shared" si="10"/>
        <v>0</v>
      </c>
      <c r="AB98" s="285">
        <f t="shared" si="11"/>
        <v>222667.6</v>
      </c>
      <c r="AD98" s="285">
        <f t="shared" si="12"/>
        <v>0</v>
      </c>
    </row>
    <row r="100" spans="12:40" ht="13.5" thickBot="1" x14ac:dyDescent="0.25">
      <c r="R100" s="572">
        <f>SUM(R87:R98)</f>
        <v>3828185.26</v>
      </c>
      <c r="S100" s="572">
        <f t="shared" ref="S100:AB100" si="14">SUM(S87:S98)</f>
        <v>836431.4800000001</v>
      </c>
      <c r="T100" s="572">
        <f t="shared" si="14"/>
        <v>847042.46000000008</v>
      </c>
      <c r="U100" s="572">
        <f t="shared" si="14"/>
        <v>-877066.52999999991</v>
      </c>
      <c r="V100" s="572">
        <f t="shared" si="14"/>
        <v>0</v>
      </c>
      <c r="W100" s="572">
        <f t="shared" si="14"/>
        <v>0</v>
      </c>
      <c r="X100" s="572">
        <f t="shared" si="14"/>
        <v>0</v>
      </c>
      <c r="Y100" s="572">
        <f t="shared" si="14"/>
        <v>0</v>
      </c>
      <c r="Z100" s="572">
        <f t="shared" si="14"/>
        <v>0</v>
      </c>
      <c r="AA100" s="572">
        <f t="shared" si="14"/>
        <v>0</v>
      </c>
      <c r="AB100" s="572">
        <f t="shared" si="14"/>
        <v>4634592.669999999</v>
      </c>
    </row>
    <row r="101" spans="12:40" ht="13.5" thickTop="1" x14ac:dyDescent="0.2"/>
    <row r="103" spans="12:40" x14ac:dyDescent="0.2">
      <c r="AC103" s="183"/>
      <c r="AD103" s="183"/>
      <c r="AE103" s="196"/>
      <c r="AF103" s="183"/>
      <c r="AG103" s="183"/>
      <c r="AH103" s="183"/>
      <c r="AI103" s="183"/>
      <c r="AJ103" s="183"/>
      <c r="AK103" s="183"/>
      <c r="AL103" s="183"/>
    </row>
    <row r="104" spans="12:40" ht="15.75" x14ac:dyDescent="0.25">
      <c r="P104" s="524" t="s">
        <v>687</v>
      </c>
      <c r="Q104" s="479"/>
      <c r="AC104" s="573"/>
      <c r="AD104" s="573"/>
      <c r="AE104" s="574" t="s">
        <v>659</v>
      </c>
      <c r="AF104" s="573"/>
      <c r="AG104" s="573"/>
      <c r="AH104" s="573"/>
      <c r="AI104" s="573"/>
      <c r="AJ104" s="573"/>
      <c r="AK104" s="573"/>
      <c r="AL104" s="573"/>
      <c r="AM104" s="575"/>
    </row>
    <row r="105" spans="12:40" x14ac:dyDescent="0.2">
      <c r="X105" s="183" t="s">
        <v>466</v>
      </c>
      <c r="AC105" s="575"/>
      <c r="AD105" s="573"/>
      <c r="AE105" s="574" t="s">
        <v>662</v>
      </c>
      <c r="AF105" s="573"/>
      <c r="AG105" s="573"/>
      <c r="AH105" s="575"/>
      <c r="AI105" s="573"/>
      <c r="AJ105" s="573"/>
      <c r="AK105" s="573"/>
      <c r="AL105" s="574" t="s">
        <v>663</v>
      </c>
      <c r="AM105" s="575"/>
    </row>
    <row r="106" spans="12:40" x14ac:dyDescent="0.2">
      <c r="Q106" s="183" t="s">
        <v>664</v>
      </c>
      <c r="R106" s="183" t="s">
        <v>469</v>
      </c>
      <c r="S106" s="183" t="s">
        <v>282</v>
      </c>
      <c r="T106" s="183" t="s">
        <v>470</v>
      </c>
      <c r="X106" s="183" t="s">
        <v>471</v>
      </c>
      <c r="Y106" s="183" t="s">
        <v>470</v>
      </c>
      <c r="AC106" s="574" t="s">
        <v>668</v>
      </c>
      <c r="AD106" s="573" t="s">
        <v>117</v>
      </c>
      <c r="AE106" s="574" t="s">
        <v>669</v>
      </c>
      <c r="AF106" s="574" t="s">
        <v>670</v>
      </c>
      <c r="AG106" s="574" t="s">
        <v>671</v>
      </c>
      <c r="AH106" s="574" t="s">
        <v>672</v>
      </c>
      <c r="AI106" s="574" t="s">
        <v>118</v>
      </c>
      <c r="AJ106" s="574" t="s">
        <v>673</v>
      </c>
      <c r="AK106" s="573" t="s">
        <v>284</v>
      </c>
      <c r="AL106" s="574" t="s">
        <v>674</v>
      </c>
      <c r="AM106" s="575"/>
    </row>
    <row r="107" spans="12:40" x14ac:dyDescent="0.2">
      <c r="Q107" s="183" t="s">
        <v>474</v>
      </c>
      <c r="R107" s="183" t="s">
        <v>475</v>
      </c>
      <c r="S107" s="183" t="s">
        <v>475</v>
      </c>
      <c r="T107" s="183" t="s">
        <v>475</v>
      </c>
      <c r="U107" s="183" t="s">
        <v>476</v>
      </c>
      <c r="V107" s="183" t="s">
        <v>477</v>
      </c>
      <c r="W107" s="183" t="s">
        <v>478</v>
      </c>
      <c r="X107" s="183" t="s">
        <v>479</v>
      </c>
      <c r="Y107" s="183" t="s">
        <v>480</v>
      </c>
      <c r="Z107" s="183" t="s">
        <v>481</v>
      </c>
      <c r="AA107" s="566" t="s">
        <v>482</v>
      </c>
      <c r="AB107" s="183" t="s">
        <v>483</v>
      </c>
      <c r="AC107" s="574" t="s">
        <v>606</v>
      </c>
      <c r="AD107" s="574" t="s">
        <v>676</v>
      </c>
      <c r="AE107" s="574" t="s">
        <v>668</v>
      </c>
      <c r="AF107" s="574" t="s">
        <v>117</v>
      </c>
      <c r="AG107" s="574" t="s">
        <v>117</v>
      </c>
      <c r="AH107" s="573" t="s">
        <v>677</v>
      </c>
      <c r="AI107" s="574" t="s">
        <v>669</v>
      </c>
      <c r="AJ107" s="574" t="s">
        <v>678</v>
      </c>
      <c r="AK107" s="573" t="s">
        <v>679</v>
      </c>
      <c r="AL107" s="574" t="s">
        <v>680</v>
      </c>
      <c r="AM107" s="573" t="s">
        <v>84</v>
      </c>
    </row>
    <row r="108" spans="12:40" x14ac:dyDescent="0.2">
      <c r="P108" s="481" t="s">
        <v>487</v>
      </c>
      <c r="Q108" s="481"/>
      <c r="R108" s="481" t="s">
        <v>487</v>
      </c>
      <c r="S108" s="481"/>
      <c r="T108" s="481" t="s">
        <v>487</v>
      </c>
      <c r="U108" s="481" t="s">
        <v>487</v>
      </c>
      <c r="V108" s="481" t="s">
        <v>487</v>
      </c>
      <c r="W108" s="481" t="s">
        <v>487</v>
      </c>
      <c r="X108" s="481" t="s">
        <v>487</v>
      </c>
      <c r="Y108" s="481" t="s">
        <v>487</v>
      </c>
      <c r="Z108" s="481" t="s">
        <v>487</v>
      </c>
      <c r="AA108" s="481" t="s">
        <v>487</v>
      </c>
      <c r="AB108" s="481" t="s">
        <v>487</v>
      </c>
      <c r="AC108" s="576" t="s">
        <v>487</v>
      </c>
      <c r="AD108" s="576" t="s">
        <v>487</v>
      </c>
      <c r="AE108" s="576" t="s">
        <v>487</v>
      </c>
      <c r="AF108" s="576" t="s">
        <v>487</v>
      </c>
      <c r="AG108" s="576" t="s">
        <v>487</v>
      </c>
      <c r="AH108" s="576" t="s">
        <v>487</v>
      </c>
      <c r="AI108" s="576" t="s">
        <v>487</v>
      </c>
      <c r="AJ108" s="576" t="s">
        <v>487</v>
      </c>
      <c r="AK108" s="576" t="s">
        <v>487</v>
      </c>
      <c r="AL108" s="576" t="s">
        <v>487</v>
      </c>
      <c r="AM108" s="576" t="s">
        <v>487</v>
      </c>
    </row>
    <row r="109" spans="12:40" x14ac:dyDescent="0.2">
      <c r="V109" s="483"/>
      <c r="W109" s="483"/>
      <c r="X109" s="483"/>
      <c r="Z109" s="483"/>
      <c r="AC109" s="575"/>
      <c r="AD109" s="575"/>
      <c r="AE109" s="575"/>
      <c r="AF109" s="575"/>
      <c r="AG109" s="575"/>
      <c r="AH109" s="575"/>
      <c r="AI109" s="575"/>
      <c r="AJ109" s="575"/>
      <c r="AK109" s="575">
        <v>3.0000000000000001E-3</v>
      </c>
      <c r="AL109" s="575"/>
      <c r="AM109" s="575"/>
    </row>
    <row r="110" spans="12:40" ht="15.75" x14ac:dyDescent="0.25">
      <c r="L110" s="577">
        <f>W110/U110</f>
        <v>3.8050002176870171E-2</v>
      </c>
      <c r="M110" s="578">
        <f>N110/R110</f>
        <v>10.715</v>
      </c>
      <c r="N110" s="483">
        <f>V110-AC110</f>
        <v>49246.14</v>
      </c>
      <c r="O110">
        <f>$O$69</f>
        <v>1</v>
      </c>
      <c r="P110" t="s">
        <v>600</v>
      </c>
      <c r="Q110">
        <v>2001</v>
      </c>
      <c r="R110" s="482">
        <v>4596</v>
      </c>
      <c r="S110" s="482">
        <v>4596</v>
      </c>
      <c r="T110" s="482"/>
      <c r="U110" s="482">
        <v>1883438</v>
      </c>
      <c r="V110" s="483">
        <v>49246.14</v>
      </c>
      <c r="W110" s="483">
        <v>71664.820000000007</v>
      </c>
      <c r="X110" s="285">
        <v>39468.58</v>
      </c>
      <c r="Y110" s="483"/>
      <c r="Z110" s="483">
        <v>160379.54</v>
      </c>
      <c r="AA110" s="579">
        <v>168275.27</v>
      </c>
      <c r="AB110" s="483">
        <v>7895.7299999999814</v>
      </c>
      <c r="AC110" s="575"/>
      <c r="AD110" s="575"/>
      <c r="AE110" s="575"/>
      <c r="AF110" s="575"/>
      <c r="AG110" s="575"/>
      <c r="AH110" s="580"/>
      <c r="AI110" s="575">
        <v>100</v>
      </c>
      <c r="AJ110" s="495">
        <v>2145.42</v>
      </c>
      <c r="AK110" s="581">
        <f>ROUND(U110*AK$109,2)</f>
        <v>5650.31</v>
      </c>
      <c r="AL110" s="575"/>
      <c r="AM110" s="581">
        <f>SUM(AI110:AL110)</f>
        <v>7895.7300000000005</v>
      </c>
      <c r="AN110" s="285">
        <f>AM110-AB110</f>
        <v>1.9099388737231493E-11</v>
      </c>
    </row>
    <row r="111" spans="12:40" ht="15.75" x14ac:dyDescent="0.25">
      <c r="L111" s="577">
        <f t="shared" ref="L111:L121" si="15">W111/U111</f>
        <v>3.8049998766193707E-2</v>
      </c>
      <c r="M111" s="578">
        <f t="shared" ref="M111:M121" si="16">N111/R111</f>
        <v>10.715001080613789</v>
      </c>
      <c r="N111" s="483">
        <f t="shared" ref="N111:N121" si="17">V111-AC111</f>
        <v>49578.31</v>
      </c>
      <c r="P111" t="s">
        <v>492</v>
      </c>
      <c r="Q111">
        <v>2001</v>
      </c>
      <c r="R111" s="482">
        <v>4627</v>
      </c>
      <c r="S111" s="482">
        <v>4627</v>
      </c>
      <c r="T111" s="482"/>
      <c r="U111" s="482">
        <v>2026250</v>
      </c>
      <c r="V111" s="483">
        <v>49578.31</v>
      </c>
      <c r="W111" s="483">
        <v>77098.81</v>
      </c>
      <c r="X111" s="285">
        <v>36036.620000000003</v>
      </c>
      <c r="Y111" s="483"/>
      <c r="Z111" s="483">
        <v>162713.74</v>
      </c>
      <c r="AA111" s="579">
        <v>171037.91</v>
      </c>
      <c r="AB111" s="483">
        <v>8324.1700000000128</v>
      </c>
      <c r="AC111" s="575"/>
      <c r="AD111" s="575"/>
      <c r="AE111" s="575"/>
      <c r="AF111" s="575"/>
      <c r="AG111" s="575"/>
      <c r="AH111" s="580"/>
      <c r="AI111" s="575">
        <v>100</v>
      </c>
      <c r="AJ111" s="495">
        <v>2145.42</v>
      </c>
      <c r="AK111" s="581">
        <f t="shared" ref="AK111:AK121" si="18">ROUND(U111*AK$109,2)</f>
        <v>6078.75</v>
      </c>
      <c r="AL111" s="575"/>
      <c r="AM111" s="581">
        <f t="shared" ref="AM111:AM121" si="19">SUM(AI111:AL111)</f>
        <v>8324.17</v>
      </c>
      <c r="AN111" s="285">
        <f t="shared" ref="AN111:AN121" si="20">AM111-AB111</f>
        <v>0</v>
      </c>
    </row>
    <row r="112" spans="12:40" ht="15.75" x14ac:dyDescent="0.25">
      <c r="L112" s="577">
        <f t="shared" si="15"/>
        <v>3.8049999798744974E-2</v>
      </c>
      <c r="M112" s="578">
        <f t="shared" si="16"/>
        <v>10.715001044932078</v>
      </c>
      <c r="N112" s="483">
        <f t="shared" si="17"/>
        <v>51271.28</v>
      </c>
      <c r="P112" t="s">
        <v>493</v>
      </c>
      <c r="Q112">
        <v>2001</v>
      </c>
      <c r="R112" s="482">
        <v>4785</v>
      </c>
      <c r="S112" s="482">
        <v>4785</v>
      </c>
      <c r="T112" s="482"/>
      <c r="U112" s="482">
        <v>2235969</v>
      </c>
      <c r="V112" s="483">
        <v>51271.28</v>
      </c>
      <c r="W112" s="483">
        <v>85078.62</v>
      </c>
      <c r="X112" s="285">
        <v>42572.76</v>
      </c>
      <c r="Y112" s="483"/>
      <c r="Z112" s="483">
        <v>178922.66</v>
      </c>
      <c r="AA112" s="579">
        <v>187875.99</v>
      </c>
      <c r="AB112" s="483">
        <v>8953.3299999999872</v>
      </c>
      <c r="AC112" s="575"/>
      <c r="AD112" s="575"/>
      <c r="AE112" s="575"/>
      <c r="AF112" s="575"/>
      <c r="AG112" s="575"/>
      <c r="AH112" s="580"/>
      <c r="AI112" s="575">
        <v>100</v>
      </c>
      <c r="AJ112" s="495">
        <v>2145.42</v>
      </c>
      <c r="AK112" s="581">
        <f t="shared" si="18"/>
        <v>6707.91</v>
      </c>
      <c r="AL112" s="575"/>
      <c r="AM112" s="581">
        <f t="shared" si="19"/>
        <v>8953.33</v>
      </c>
      <c r="AN112" s="285">
        <f t="shared" si="20"/>
        <v>0</v>
      </c>
    </row>
    <row r="113" spans="12:40" ht="15.75" x14ac:dyDescent="0.25">
      <c r="L113" s="577">
        <f t="shared" si="15"/>
        <v>3.8049998706848921E-2</v>
      </c>
      <c r="M113" s="578">
        <f t="shared" si="16"/>
        <v>10.714998991732203</v>
      </c>
      <c r="N113" s="483">
        <f t="shared" si="17"/>
        <v>53135.68</v>
      </c>
      <c r="P113" t="s">
        <v>494</v>
      </c>
      <c r="Q113">
        <v>2001</v>
      </c>
      <c r="R113" s="482">
        <v>4959</v>
      </c>
      <c r="S113" s="482">
        <v>4959</v>
      </c>
      <c r="T113" s="482"/>
      <c r="U113" s="482">
        <v>2551906</v>
      </c>
      <c r="V113" s="483">
        <v>53135.68</v>
      </c>
      <c r="W113" s="483">
        <v>97100.02</v>
      </c>
      <c r="X113" s="285">
        <v>20996.579999999998</v>
      </c>
      <c r="Y113" s="483"/>
      <c r="Z113" s="483">
        <v>171232.28</v>
      </c>
      <c r="AA113" s="579">
        <v>181133.42</v>
      </c>
      <c r="AB113" s="483">
        <v>9901.140000000014</v>
      </c>
      <c r="AC113" s="575"/>
      <c r="AD113" s="575"/>
      <c r="AE113" s="575"/>
      <c r="AF113" s="575"/>
      <c r="AG113" s="575"/>
      <c r="AH113" s="580"/>
      <c r="AI113" s="575">
        <v>100</v>
      </c>
      <c r="AJ113" s="495">
        <v>2145.42</v>
      </c>
      <c r="AK113" s="581">
        <f t="shared" si="18"/>
        <v>7655.72</v>
      </c>
      <c r="AL113" s="575"/>
      <c r="AM113" s="581">
        <f t="shared" si="19"/>
        <v>9901.14</v>
      </c>
      <c r="AN113" s="285">
        <f t="shared" si="20"/>
        <v>-1.4551915228366852E-11</v>
      </c>
    </row>
    <row r="114" spans="12:40" ht="15.75" x14ac:dyDescent="0.25">
      <c r="L114" s="577">
        <f t="shared" si="15"/>
        <v>3.8050001825645621E-2</v>
      </c>
      <c r="M114" s="578">
        <f t="shared" si="16"/>
        <v>10.715</v>
      </c>
      <c r="N114" s="483">
        <f t="shared" si="17"/>
        <v>53467.85</v>
      </c>
      <c r="P114" t="s">
        <v>495</v>
      </c>
      <c r="Q114">
        <v>2001</v>
      </c>
      <c r="R114" s="482">
        <v>4990</v>
      </c>
      <c r="S114" s="482">
        <v>4990</v>
      </c>
      <c r="T114" s="482"/>
      <c r="U114" s="482">
        <v>2108843</v>
      </c>
      <c r="V114" s="483">
        <v>53467.85</v>
      </c>
      <c r="W114" s="483">
        <v>80241.48</v>
      </c>
      <c r="X114" s="285">
        <v>48684.229999999996</v>
      </c>
      <c r="Y114" s="483"/>
      <c r="Z114" s="483">
        <v>182393.56</v>
      </c>
      <c r="AA114" s="579">
        <v>190965.51</v>
      </c>
      <c r="AB114" s="483">
        <v>8571.9500000000116</v>
      </c>
      <c r="AC114" s="575"/>
      <c r="AD114" s="575"/>
      <c r="AE114" s="575"/>
      <c r="AF114" s="575"/>
      <c r="AG114" s="575"/>
      <c r="AH114" s="580"/>
      <c r="AI114" s="575">
        <v>100</v>
      </c>
      <c r="AJ114" s="495">
        <v>2145.42</v>
      </c>
      <c r="AK114" s="581">
        <f t="shared" si="18"/>
        <v>6326.53</v>
      </c>
      <c r="AL114" s="575"/>
      <c r="AM114" s="581">
        <f t="shared" si="19"/>
        <v>8571.9500000000007</v>
      </c>
      <c r="AN114" s="285">
        <f t="shared" si="20"/>
        <v>0</v>
      </c>
    </row>
    <row r="115" spans="12:40" ht="15.75" x14ac:dyDescent="0.25">
      <c r="L115" s="577">
        <f t="shared" si="15"/>
        <v>3.8050001910493757E-2</v>
      </c>
      <c r="M115" s="578">
        <f t="shared" si="16"/>
        <v>10.715</v>
      </c>
      <c r="N115" s="483">
        <f t="shared" si="17"/>
        <v>52567.79</v>
      </c>
      <c r="P115" t="s">
        <v>496</v>
      </c>
      <c r="Q115">
        <v>2001</v>
      </c>
      <c r="R115" s="482">
        <v>4906</v>
      </c>
      <c r="S115" s="482">
        <v>4906</v>
      </c>
      <c r="T115" s="482"/>
      <c r="U115" s="482">
        <v>2564782</v>
      </c>
      <c r="V115" s="483">
        <v>52567.79</v>
      </c>
      <c r="W115" s="483">
        <v>97589.96</v>
      </c>
      <c r="X115" s="285">
        <v>62206.520000000004</v>
      </c>
      <c r="Y115" s="483"/>
      <c r="Z115" s="483">
        <v>212364.27000000002</v>
      </c>
      <c r="AA115" s="579">
        <v>222304.03</v>
      </c>
      <c r="AB115" s="483">
        <v>9939.7599999999802</v>
      </c>
      <c r="AC115" s="575"/>
      <c r="AD115" s="575"/>
      <c r="AE115" s="575"/>
      <c r="AF115" s="575"/>
      <c r="AG115" s="575"/>
      <c r="AH115" s="580"/>
      <c r="AI115" s="575">
        <v>100</v>
      </c>
      <c r="AJ115" s="495">
        <v>2145.42</v>
      </c>
      <c r="AK115" s="581">
        <f t="shared" si="18"/>
        <v>7694.35</v>
      </c>
      <c r="AL115" s="575"/>
      <c r="AM115" s="581">
        <f t="shared" si="19"/>
        <v>9939.77</v>
      </c>
      <c r="AN115" s="285">
        <f t="shared" si="20"/>
        <v>1.0000000020227162E-2</v>
      </c>
    </row>
    <row r="116" spans="12:40" ht="15.75" x14ac:dyDescent="0.25">
      <c r="L116" s="577">
        <f t="shared" si="15"/>
        <v>3.8049999861806849E-2</v>
      </c>
      <c r="M116" s="578">
        <f t="shared" si="16"/>
        <v>10.715</v>
      </c>
      <c r="N116" s="483">
        <f t="shared" si="17"/>
        <v>52653.51</v>
      </c>
      <c r="P116" t="s">
        <v>497</v>
      </c>
      <c r="Q116">
        <v>2001</v>
      </c>
      <c r="R116" s="482">
        <v>4914</v>
      </c>
      <c r="S116" s="482">
        <v>4914</v>
      </c>
      <c r="T116" s="482"/>
      <c r="U116" s="482">
        <v>2532687</v>
      </c>
      <c r="V116" s="483">
        <v>52653.51</v>
      </c>
      <c r="W116" s="483">
        <v>96368.74</v>
      </c>
      <c r="X116" s="285">
        <v>99220.329999999987</v>
      </c>
      <c r="Y116" s="483"/>
      <c r="Z116" s="483">
        <v>248242.58</v>
      </c>
      <c r="AA116" s="579">
        <v>258086.06</v>
      </c>
      <c r="AB116" s="483">
        <v>9843.4800000000105</v>
      </c>
      <c r="AC116" s="575"/>
      <c r="AD116" s="575"/>
      <c r="AE116" s="575"/>
      <c r="AF116" s="575"/>
      <c r="AG116" s="575"/>
      <c r="AH116" s="580"/>
      <c r="AI116" s="575">
        <v>100</v>
      </c>
      <c r="AJ116" s="495">
        <v>2145.42</v>
      </c>
      <c r="AK116" s="581">
        <f t="shared" si="18"/>
        <v>7598.06</v>
      </c>
      <c r="AL116" s="575"/>
      <c r="AM116" s="581">
        <f t="shared" si="19"/>
        <v>9843.48</v>
      </c>
      <c r="AN116" s="285">
        <f t="shared" si="20"/>
        <v>0</v>
      </c>
    </row>
    <row r="117" spans="12:40" ht="15.75" x14ac:dyDescent="0.25">
      <c r="L117" s="577">
        <f t="shared" si="15"/>
        <v>3.8049997701159036E-2</v>
      </c>
      <c r="M117" s="578">
        <f t="shared" si="16"/>
        <v>10.714998901340364</v>
      </c>
      <c r="N117" s="483">
        <f t="shared" si="17"/>
        <v>48763.96</v>
      </c>
      <c r="P117" t="s">
        <v>498</v>
      </c>
      <c r="Q117">
        <v>2001</v>
      </c>
      <c r="R117" s="482">
        <v>4551</v>
      </c>
      <c r="S117" s="482">
        <v>4551</v>
      </c>
      <c r="T117" s="482"/>
      <c r="U117" s="482">
        <v>1914008</v>
      </c>
      <c r="V117" s="483">
        <v>48763.96</v>
      </c>
      <c r="W117" s="483">
        <v>72828</v>
      </c>
      <c r="X117" s="285">
        <v>66470.559999999998</v>
      </c>
      <c r="Y117" s="483"/>
      <c r="Z117" s="483">
        <v>188062.52</v>
      </c>
      <c r="AA117" s="579">
        <v>196049.97</v>
      </c>
      <c r="AB117" s="483">
        <v>7987.4500000000116</v>
      </c>
      <c r="AC117" s="575"/>
      <c r="AD117" s="575"/>
      <c r="AE117" s="575"/>
      <c r="AF117" s="575"/>
      <c r="AG117" s="575"/>
      <c r="AH117" s="580"/>
      <c r="AI117" s="575">
        <v>100</v>
      </c>
      <c r="AJ117" s="495">
        <v>2145.42</v>
      </c>
      <c r="AK117" s="581">
        <f t="shared" si="18"/>
        <v>5742.02</v>
      </c>
      <c r="AL117" s="575"/>
      <c r="AM117" s="581">
        <f t="shared" si="19"/>
        <v>7987.4400000000005</v>
      </c>
      <c r="AN117" s="285">
        <f t="shared" si="20"/>
        <v>-1.0000000011132215E-2</v>
      </c>
    </row>
    <row r="118" spans="12:40" ht="15.75" x14ac:dyDescent="0.25">
      <c r="L118" s="577">
        <f t="shared" si="15"/>
        <v>3.805E-2</v>
      </c>
      <c r="M118" s="578">
        <f t="shared" si="16"/>
        <v>10.714998894049989</v>
      </c>
      <c r="N118" s="483">
        <f t="shared" si="17"/>
        <v>48442.51</v>
      </c>
      <c r="P118" t="s">
        <v>499</v>
      </c>
      <c r="Q118">
        <v>2001</v>
      </c>
      <c r="R118" s="482">
        <v>4521</v>
      </c>
      <c r="S118" s="482">
        <v>4521</v>
      </c>
      <c r="T118" s="482"/>
      <c r="U118" s="482">
        <v>2035000</v>
      </c>
      <c r="V118" s="483">
        <v>48442.51</v>
      </c>
      <c r="W118" s="483">
        <v>77431.75</v>
      </c>
      <c r="X118" s="285">
        <v>56343.519999999997</v>
      </c>
      <c r="Y118" s="483"/>
      <c r="Z118" s="483">
        <v>182217.78</v>
      </c>
      <c r="AA118" s="579">
        <v>190568.2</v>
      </c>
      <c r="AB118" s="483">
        <v>8350.4200000000128</v>
      </c>
      <c r="AC118" s="575"/>
      <c r="AD118" s="575"/>
      <c r="AE118" s="575"/>
      <c r="AF118" s="575"/>
      <c r="AG118" s="575"/>
      <c r="AH118" s="580"/>
      <c r="AI118" s="575">
        <v>100</v>
      </c>
      <c r="AJ118" s="495">
        <v>2145.42</v>
      </c>
      <c r="AK118" s="581">
        <f t="shared" si="18"/>
        <v>6105</v>
      </c>
      <c r="AL118" s="575"/>
      <c r="AM118" s="581">
        <f t="shared" si="19"/>
        <v>8350.42</v>
      </c>
      <c r="AN118" s="285">
        <f t="shared" si="20"/>
        <v>0</v>
      </c>
    </row>
    <row r="119" spans="12:40" ht="15.75" x14ac:dyDescent="0.25">
      <c r="L119" s="577">
        <f t="shared" si="15"/>
        <v>3.804999792063149E-2</v>
      </c>
      <c r="M119" s="578">
        <f t="shared" si="16"/>
        <v>10.715</v>
      </c>
      <c r="N119" s="483">
        <f t="shared" si="17"/>
        <v>47146</v>
      </c>
      <c r="P119" t="s">
        <v>500</v>
      </c>
      <c r="Q119">
        <v>2001</v>
      </c>
      <c r="R119" s="482">
        <v>4400</v>
      </c>
      <c r="S119" s="482">
        <v>4400</v>
      </c>
      <c r="T119" s="482"/>
      <c r="U119" s="482">
        <v>2019844</v>
      </c>
      <c r="V119" s="483">
        <v>47146</v>
      </c>
      <c r="W119" s="483">
        <v>76855.06</v>
      </c>
      <c r="X119" s="285">
        <v>50854.540000000008</v>
      </c>
      <c r="Y119" s="483"/>
      <c r="Z119" s="483">
        <v>174855.6</v>
      </c>
      <c r="AA119" s="579">
        <v>183160.56</v>
      </c>
      <c r="AB119" s="483">
        <v>8304.9599999999919</v>
      </c>
      <c r="AC119" s="575"/>
      <c r="AD119" s="575"/>
      <c r="AE119" s="575"/>
      <c r="AF119" s="580"/>
      <c r="AG119" s="580"/>
      <c r="AH119" s="580"/>
      <c r="AI119" s="575">
        <v>100</v>
      </c>
      <c r="AJ119" s="495">
        <v>2145.42</v>
      </c>
      <c r="AK119" s="581">
        <f t="shared" si="18"/>
        <v>6059.53</v>
      </c>
      <c r="AL119" s="575"/>
      <c r="AM119" s="581">
        <f t="shared" si="19"/>
        <v>8304.9500000000007</v>
      </c>
      <c r="AN119" s="285">
        <f t="shared" si="20"/>
        <v>-9.9999999911233317E-3</v>
      </c>
    </row>
    <row r="120" spans="12:40" ht="15.75" x14ac:dyDescent="0.25">
      <c r="L120" s="577">
        <f t="shared" si="15"/>
        <v>3.8050001422110985E-2</v>
      </c>
      <c r="M120" s="578">
        <f t="shared" si="16"/>
        <v>10.715</v>
      </c>
      <c r="N120" s="483">
        <f t="shared" si="17"/>
        <v>47146</v>
      </c>
      <c r="P120" s="582" t="s">
        <v>591</v>
      </c>
      <c r="Q120">
        <v>2001</v>
      </c>
      <c r="R120" s="482">
        <v>4400</v>
      </c>
      <c r="S120" s="482">
        <v>4400</v>
      </c>
      <c r="T120" s="482"/>
      <c r="U120" s="482">
        <v>2004063</v>
      </c>
      <c r="V120" s="483">
        <v>47146</v>
      </c>
      <c r="W120" s="483">
        <v>76254.600000000006</v>
      </c>
      <c r="X120" s="285">
        <f t="shared" ref="X120:X121" si="21">SUM(R142:Y142)</f>
        <v>52511.839999999997</v>
      </c>
      <c r="Y120" s="483"/>
      <c r="Z120" s="483">
        <f>SUM(V120:Y120)</f>
        <v>175912.44</v>
      </c>
      <c r="AA120" s="579">
        <v>184170.05</v>
      </c>
      <c r="AB120" s="483">
        <f t="shared" ref="AB120:AB121" si="22">AA120-Z120</f>
        <v>8257.609999999986</v>
      </c>
      <c r="AC120" s="575"/>
      <c r="AD120" s="575"/>
      <c r="AE120" s="575"/>
      <c r="AF120" s="580"/>
      <c r="AG120" s="580"/>
      <c r="AH120" s="580"/>
      <c r="AI120" s="575">
        <v>100</v>
      </c>
      <c r="AJ120" s="495">
        <v>2145.42</v>
      </c>
      <c r="AK120" s="581">
        <f t="shared" si="18"/>
        <v>6012.19</v>
      </c>
      <c r="AL120" s="575"/>
      <c r="AM120" s="581">
        <f>SUM(AI120:AL120)</f>
        <v>8257.61</v>
      </c>
      <c r="AN120" s="285">
        <f t="shared" si="20"/>
        <v>1.4551915228366852E-11</v>
      </c>
    </row>
    <row r="121" spans="12:40" ht="15.75" x14ac:dyDescent="0.25">
      <c r="L121" s="577">
        <f t="shared" si="15"/>
        <v>3.8049998169727289E-2</v>
      </c>
      <c r="M121" s="578">
        <f t="shared" si="16"/>
        <v>10.715</v>
      </c>
      <c r="N121" s="483">
        <f t="shared" si="17"/>
        <v>48281.79</v>
      </c>
      <c r="O121">
        <f>$O$80</f>
        <v>12</v>
      </c>
      <c r="P121" t="s">
        <v>688</v>
      </c>
      <c r="Q121">
        <v>2001</v>
      </c>
      <c r="R121" s="482">
        <v>4506</v>
      </c>
      <c r="S121" s="482">
        <v>4506</v>
      </c>
      <c r="T121" s="482"/>
      <c r="U121" s="482">
        <v>2048875</v>
      </c>
      <c r="V121" s="483">
        <v>48281.79</v>
      </c>
      <c r="W121" s="483">
        <v>77959.69</v>
      </c>
      <c r="X121" s="285">
        <f t="shared" si="21"/>
        <v>28800.36</v>
      </c>
      <c r="Y121" s="483"/>
      <c r="Z121" s="483">
        <f t="shared" ref="Z121" si="23">SUM(V121:Y121)</f>
        <v>155041.84000000003</v>
      </c>
      <c r="AA121" s="579">
        <v>163433.89000000001</v>
      </c>
      <c r="AB121" s="483">
        <f t="shared" si="22"/>
        <v>8392.0499999999884</v>
      </c>
      <c r="AC121" s="575"/>
      <c r="AD121" s="575"/>
      <c r="AE121" s="575"/>
      <c r="AF121" s="580"/>
      <c r="AG121" s="580"/>
      <c r="AH121" s="580"/>
      <c r="AI121" s="575">
        <v>100</v>
      </c>
      <c r="AJ121" s="495">
        <v>2145.42</v>
      </c>
      <c r="AK121" s="581">
        <f t="shared" si="18"/>
        <v>6146.63</v>
      </c>
      <c r="AL121" s="575"/>
      <c r="AM121" s="581">
        <f t="shared" si="19"/>
        <v>8392.0499999999993</v>
      </c>
      <c r="AN121" s="285">
        <f t="shared" si="20"/>
        <v>0</v>
      </c>
    </row>
    <row r="122" spans="12:40" x14ac:dyDescent="0.2">
      <c r="R122" s="488" t="s">
        <v>487</v>
      </c>
      <c r="S122" s="488"/>
      <c r="T122" s="488" t="s">
        <v>487</v>
      </c>
      <c r="U122" s="488" t="s">
        <v>487</v>
      </c>
      <c r="V122" s="489" t="s">
        <v>487</v>
      </c>
      <c r="W122" s="489" t="s">
        <v>487</v>
      </c>
      <c r="X122" s="489" t="s">
        <v>487</v>
      </c>
      <c r="Y122" s="481" t="s">
        <v>487</v>
      </c>
      <c r="Z122" s="489" t="s">
        <v>487</v>
      </c>
      <c r="AA122" s="489" t="s">
        <v>487</v>
      </c>
      <c r="AB122" s="489" t="s">
        <v>487</v>
      </c>
      <c r="AC122" s="583"/>
      <c r="AD122" s="575"/>
      <c r="AE122" s="575"/>
      <c r="AF122" s="580"/>
      <c r="AG122" s="580"/>
      <c r="AH122" s="583"/>
      <c r="AI122" s="575"/>
      <c r="AJ122" s="495"/>
      <c r="AK122" s="575"/>
      <c r="AL122" s="575"/>
      <c r="AM122" s="575"/>
    </row>
    <row r="123" spans="12:40" x14ac:dyDescent="0.2">
      <c r="R123" s="482"/>
      <c r="S123" s="482"/>
      <c r="T123" s="482"/>
      <c r="U123" s="482"/>
      <c r="V123" s="483"/>
      <c r="W123" s="483"/>
      <c r="X123" s="483"/>
      <c r="Z123" s="483"/>
      <c r="AA123" s="483"/>
      <c r="AB123" s="483"/>
      <c r="AC123" s="583"/>
      <c r="AD123" s="575"/>
      <c r="AE123" s="575"/>
      <c r="AF123" s="580"/>
      <c r="AG123" s="580"/>
      <c r="AH123" s="583"/>
      <c r="AI123" s="575"/>
      <c r="AJ123" s="575"/>
      <c r="AK123" s="575"/>
      <c r="AL123" s="575"/>
      <c r="AM123" s="575"/>
    </row>
    <row r="124" spans="12:40" x14ac:dyDescent="0.2">
      <c r="R124" s="482">
        <f t="shared" ref="R124:AL124" si="24">SUM(R110:R121)</f>
        <v>56155</v>
      </c>
      <c r="S124" s="482"/>
      <c r="T124" s="482">
        <f t="shared" si="24"/>
        <v>0</v>
      </c>
      <c r="U124" s="482">
        <f t="shared" si="24"/>
        <v>25925665</v>
      </c>
      <c r="V124" s="483">
        <f t="shared" si="24"/>
        <v>601700.82000000007</v>
      </c>
      <c r="W124" s="483">
        <f t="shared" si="24"/>
        <v>986471.55</v>
      </c>
      <c r="X124" s="483">
        <f t="shared" si="24"/>
        <v>604166.43999999994</v>
      </c>
      <c r="Y124" s="483">
        <f t="shared" si="24"/>
        <v>0</v>
      </c>
      <c r="Z124" s="483">
        <f t="shared" si="24"/>
        <v>2192338.81</v>
      </c>
      <c r="AA124" s="483">
        <f t="shared" si="24"/>
        <v>2297060.86</v>
      </c>
      <c r="AB124" s="483">
        <f t="shared" si="24"/>
        <v>104722.04999999999</v>
      </c>
      <c r="AC124" s="584">
        <f t="shared" si="24"/>
        <v>0</v>
      </c>
      <c r="AD124" s="584">
        <f t="shared" si="24"/>
        <v>0</v>
      </c>
      <c r="AE124" s="584">
        <f t="shared" si="24"/>
        <v>0</v>
      </c>
      <c r="AF124" s="584">
        <f t="shared" si="24"/>
        <v>0</v>
      </c>
      <c r="AG124" s="584">
        <f t="shared" si="24"/>
        <v>0</v>
      </c>
      <c r="AH124" s="584">
        <f t="shared" si="24"/>
        <v>0</v>
      </c>
      <c r="AI124" s="584">
        <f>SUM(AI110:AI121)</f>
        <v>1200</v>
      </c>
      <c r="AJ124" s="584">
        <f t="shared" si="24"/>
        <v>25745.039999999994</v>
      </c>
      <c r="AK124" s="584">
        <f t="shared" si="24"/>
        <v>77777</v>
      </c>
      <c r="AL124" s="584">
        <f t="shared" si="24"/>
        <v>0</v>
      </c>
      <c r="AM124" s="584">
        <f>SUM(AM110:AM121)</f>
        <v>104722.04000000001</v>
      </c>
    </row>
    <row r="125" spans="12:40" x14ac:dyDescent="0.2">
      <c r="R125" s="488" t="s">
        <v>501</v>
      </c>
      <c r="S125" s="488"/>
      <c r="T125" s="488" t="s">
        <v>501</v>
      </c>
      <c r="U125" s="488" t="s">
        <v>501</v>
      </c>
      <c r="V125" s="489" t="s">
        <v>501</v>
      </c>
      <c r="W125" s="489" t="s">
        <v>501</v>
      </c>
      <c r="X125" s="489" t="s">
        <v>501</v>
      </c>
      <c r="Y125" s="489" t="s">
        <v>501</v>
      </c>
      <c r="Z125" s="489" t="s">
        <v>501</v>
      </c>
      <c r="AA125" s="489" t="s">
        <v>501</v>
      </c>
      <c r="AB125" s="489" t="s">
        <v>501</v>
      </c>
      <c r="AC125" s="585" t="s">
        <v>501</v>
      </c>
      <c r="AD125" s="585" t="s">
        <v>501</v>
      </c>
      <c r="AE125" s="585" t="s">
        <v>501</v>
      </c>
      <c r="AF125" s="585" t="s">
        <v>501</v>
      </c>
      <c r="AG125" s="585" t="s">
        <v>501</v>
      </c>
      <c r="AH125" s="585" t="s">
        <v>501</v>
      </c>
      <c r="AI125" s="585" t="s">
        <v>501</v>
      </c>
      <c r="AJ125" s="585" t="s">
        <v>501</v>
      </c>
      <c r="AK125" s="585" t="s">
        <v>501</v>
      </c>
      <c r="AL125" s="585" t="s">
        <v>501</v>
      </c>
      <c r="AM125" s="585" t="s">
        <v>501</v>
      </c>
    </row>
    <row r="126" spans="12:40" x14ac:dyDescent="0.2">
      <c r="R126" s="270">
        <f>R124</f>
        <v>56155</v>
      </c>
      <c r="S126" s="270"/>
      <c r="T126">
        <v>10.715</v>
      </c>
      <c r="U126" s="285">
        <f>R126*T126</f>
        <v>601700.82499999995</v>
      </c>
      <c r="V126" s="483">
        <f>AC124</f>
        <v>0</v>
      </c>
      <c r="W126" s="285">
        <f>U126+V126</f>
        <v>601700.82499999995</v>
      </c>
      <c r="X126" s="483">
        <f>V124-W126</f>
        <v>-4.999999888241291E-3</v>
      </c>
      <c r="Z126" s="495"/>
      <c r="AA126" s="483"/>
      <c r="AB126" s="495"/>
      <c r="AC126" s="495"/>
      <c r="AF126" s="482"/>
      <c r="AG126" s="482"/>
      <c r="AH126" s="495"/>
    </row>
    <row r="127" spans="12:40" x14ac:dyDescent="0.2">
      <c r="R127" s="482"/>
      <c r="S127" s="482"/>
      <c r="U127" s="482"/>
      <c r="V127" s="495"/>
      <c r="W127" s="495"/>
      <c r="X127" s="495"/>
      <c r="Z127" s="495"/>
      <c r="AA127" s="483"/>
      <c r="AB127" s="495"/>
      <c r="AC127" s="495"/>
      <c r="AF127" s="482"/>
      <c r="AG127" s="482"/>
      <c r="AH127" s="495"/>
    </row>
    <row r="128" spans="12:40" x14ac:dyDescent="0.2">
      <c r="R128" s="482"/>
      <c r="S128" s="586" t="s">
        <v>549</v>
      </c>
      <c r="U128" s="482"/>
      <c r="V128" s="495"/>
      <c r="W128" s="495"/>
      <c r="Y128" s="495"/>
      <c r="Z128" s="483"/>
      <c r="AA128" s="495"/>
      <c r="AB128" s="183"/>
      <c r="AF128" s="482"/>
      <c r="AG128" s="482"/>
      <c r="AH128" s="495"/>
    </row>
    <row r="129" spans="15:34" x14ac:dyDescent="0.2">
      <c r="P129" s="183"/>
      <c r="Q129" s="183"/>
      <c r="R129" s="566" t="s">
        <v>550</v>
      </c>
      <c r="S129" s="566" t="s">
        <v>551</v>
      </c>
      <c r="T129" s="183" t="s">
        <v>552</v>
      </c>
      <c r="U129" s="586" t="s">
        <v>555</v>
      </c>
      <c r="V129" s="566" t="s">
        <v>596</v>
      </c>
      <c r="W129" s="586" t="s">
        <v>553</v>
      </c>
      <c r="X129" s="586" t="s">
        <v>554</v>
      </c>
      <c r="Y129" s="586" t="s">
        <v>556</v>
      </c>
      <c r="Z129" s="586"/>
      <c r="AA129" s="183"/>
      <c r="AB129" s="183"/>
      <c r="AD129" s="183"/>
      <c r="AE129" s="183"/>
      <c r="AF129" s="566"/>
      <c r="AG129" s="566"/>
      <c r="AH129" s="586"/>
    </row>
    <row r="130" spans="15:34" x14ac:dyDescent="0.2">
      <c r="P130" s="183"/>
      <c r="Q130" s="183"/>
      <c r="R130" s="587" t="s">
        <v>471</v>
      </c>
      <c r="S130" s="587" t="s">
        <v>558</v>
      </c>
      <c r="T130" s="521" t="s">
        <v>559</v>
      </c>
      <c r="U130" s="588" t="s">
        <v>562</v>
      </c>
      <c r="V130" s="587" t="s">
        <v>597</v>
      </c>
      <c r="W130" s="588" t="s">
        <v>560</v>
      </c>
      <c r="X130" s="588" t="s">
        <v>561</v>
      </c>
      <c r="Y130" s="588" t="s">
        <v>563</v>
      </c>
      <c r="Z130" s="586"/>
      <c r="AA130" s="183"/>
      <c r="AB130" s="183"/>
      <c r="AD130" s="183"/>
      <c r="AE130" s="183"/>
      <c r="AF130" s="566"/>
      <c r="AG130" s="566"/>
      <c r="AH130" s="586"/>
    </row>
    <row r="131" spans="15:34" x14ac:dyDescent="0.2">
      <c r="P131" s="183"/>
      <c r="Q131" s="183"/>
      <c r="R131" s="566"/>
      <c r="S131" s="566"/>
      <c r="T131" s="183"/>
      <c r="U131" s="586"/>
      <c r="V131" s="566"/>
      <c r="W131" s="586"/>
      <c r="X131" s="586"/>
      <c r="Y131" s="586"/>
      <c r="Z131" s="586"/>
      <c r="AA131" s="183"/>
      <c r="AB131" s="523" t="s">
        <v>84</v>
      </c>
      <c r="AD131" s="183"/>
      <c r="AE131" s="183"/>
      <c r="AF131" s="566"/>
      <c r="AG131" s="566"/>
      <c r="AH131" s="586"/>
    </row>
    <row r="132" spans="15:34" x14ac:dyDescent="0.2">
      <c r="O132">
        <f>$O$69</f>
        <v>1</v>
      </c>
      <c r="P132" t="str">
        <f t="shared" ref="P132:P143" si="25">P110</f>
        <v>MAR</v>
      </c>
      <c r="R132" s="485">
        <v>36113.040000000001</v>
      </c>
      <c r="S132" s="485">
        <v>4695.41</v>
      </c>
      <c r="T132" s="485">
        <v>8667.83</v>
      </c>
      <c r="U132" s="485">
        <v>-10007.700000000001</v>
      </c>
      <c r="V132" s="485"/>
      <c r="W132" s="485"/>
      <c r="X132" s="485"/>
      <c r="Z132" s="485"/>
      <c r="AA132" s="485"/>
      <c r="AB132" s="495">
        <f t="shared" ref="AB132:AB143" si="26">SUM(R132:AA132)</f>
        <v>39468.58</v>
      </c>
      <c r="AF132" s="482"/>
      <c r="AG132" s="482"/>
      <c r="AH132" s="495"/>
    </row>
    <row r="133" spans="15:34" x14ac:dyDescent="0.2">
      <c r="P133" t="str">
        <f t="shared" si="25"/>
        <v>APR</v>
      </c>
      <c r="R133" s="485">
        <v>30853.71</v>
      </c>
      <c r="S133" s="485">
        <v>5051.4399999999996</v>
      </c>
      <c r="T133" s="485">
        <v>10589.59</v>
      </c>
      <c r="U133" s="485">
        <v>-10458.120000000001</v>
      </c>
      <c r="V133" s="485"/>
      <c r="W133" s="485"/>
      <c r="X133" s="485"/>
      <c r="Z133" s="485"/>
      <c r="AA133" s="485"/>
      <c r="AB133" s="495">
        <f t="shared" si="26"/>
        <v>36036.620000000003</v>
      </c>
      <c r="AF133" s="482"/>
      <c r="AG133" s="482"/>
      <c r="AH133" s="495"/>
    </row>
    <row r="134" spans="15:34" x14ac:dyDescent="0.2">
      <c r="P134" t="str">
        <f t="shared" si="25"/>
        <v>MAY</v>
      </c>
      <c r="R134" s="485">
        <v>40410.67</v>
      </c>
      <c r="S134" s="485">
        <v>5574.27</v>
      </c>
      <c r="T134" s="485">
        <v>7871.49</v>
      </c>
      <c r="U134" s="485">
        <v>-11283.67</v>
      </c>
      <c r="V134" s="485"/>
      <c r="W134" s="485"/>
      <c r="X134" s="485"/>
      <c r="Z134" s="485"/>
      <c r="AA134" s="485"/>
      <c r="AB134" s="495">
        <f t="shared" si="26"/>
        <v>42572.76</v>
      </c>
      <c r="AF134" s="482"/>
      <c r="AG134" s="482"/>
      <c r="AH134" s="495"/>
    </row>
    <row r="135" spans="15:34" x14ac:dyDescent="0.2">
      <c r="P135" t="str">
        <f t="shared" si="25"/>
        <v>JUN</v>
      </c>
      <c r="R135" s="532">
        <v>15806.51</v>
      </c>
      <c r="S135" s="532">
        <v>6361.9</v>
      </c>
      <c r="T135" s="532">
        <v>11009.4</v>
      </c>
      <c r="U135" s="532">
        <v>-12181.23</v>
      </c>
      <c r="V135" s="485"/>
      <c r="W135" s="485"/>
      <c r="X135" s="485"/>
      <c r="Z135" s="485"/>
      <c r="AA135" s="485"/>
      <c r="AB135" s="495">
        <f t="shared" si="26"/>
        <v>20996.579999999998</v>
      </c>
      <c r="AF135" s="482"/>
      <c r="AG135" s="482"/>
      <c r="AH135" s="495"/>
    </row>
    <row r="136" spans="15:34" x14ac:dyDescent="0.2">
      <c r="P136" t="str">
        <f t="shared" si="25"/>
        <v>JUL</v>
      </c>
      <c r="R136" s="532">
        <v>43159.58</v>
      </c>
      <c r="S136" s="532">
        <v>5257.35</v>
      </c>
      <c r="T136" s="532">
        <v>8324.16</v>
      </c>
      <c r="U136" s="532">
        <v>-8056.86</v>
      </c>
      <c r="V136" s="485"/>
      <c r="W136" s="485"/>
      <c r="X136" s="485"/>
      <c r="Y136" s="485"/>
      <c r="Z136" s="485"/>
      <c r="AA136" s="485"/>
      <c r="AB136" s="495">
        <f t="shared" si="26"/>
        <v>48684.229999999996</v>
      </c>
    </row>
    <row r="137" spans="15:34" x14ac:dyDescent="0.2">
      <c r="P137" t="str">
        <f t="shared" si="25"/>
        <v>AUG</v>
      </c>
      <c r="R137" s="532">
        <v>56981.760000000002</v>
      </c>
      <c r="S137" s="532">
        <v>6394</v>
      </c>
      <c r="T137" s="532">
        <v>10141.530000000001</v>
      </c>
      <c r="U137" s="532">
        <v>-11310.77</v>
      </c>
      <c r="V137" s="532"/>
      <c r="W137" s="532"/>
      <c r="X137" s="532"/>
      <c r="Y137" s="532"/>
      <c r="Z137" s="485"/>
      <c r="AA137" s="485"/>
      <c r="AB137" s="495">
        <f t="shared" si="26"/>
        <v>62206.520000000004</v>
      </c>
    </row>
    <row r="138" spans="15:34" x14ac:dyDescent="0.2">
      <c r="P138" t="str">
        <f t="shared" si="25"/>
        <v>SEP</v>
      </c>
      <c r="R138" s="532">
        <v>87782.93</v>
      </c>
      <c r="S138" s="532">
        <v>15244.24</v>
      </c>
      <c r="T138" s="532">
        <v>7722.34</v>
      </c>
      <c r="U138" s="532">
        <v>-11529.18</v>
      </c>
      <c r="V138" s="532"/>
      <c r="W138" s="532"/>
      <c r="X138" s="532"/>
      <c r="Y138" s="532"/>
      <c r="Z138" s="485"/>
      <c r="AA138" s="485"/>
      <c r="AB138" s="495">
        <f t="shared" si="26"/>
        <v>99220.329999999987</v>
      </c>
      <c r="AD138" s="495"/>
    </row>
    <row r="139" spans="15:34" x14ac:dyDescent="0.2">
      <c r="P139" t="str">
        <f t="shared" si="25"/>
        <v>OCT</v>
      </c>
      <c r="R139" s="532">
        <v>55265.07</v>
      </c>
      <c r="S139" s="532">
        <v>11520.41</v>
      </c>
      <c r="T139" s="532">
        <v>7836.35</v>
      </c>
      <c r="U139" s="532">
        <v>-8151.27</v>
      </c>
      <c r="V139" s="532"/>
      <c r="W139" s="532"/>
      <c r="X139" s="532"/>
      <c r="Y139" s="532"/>
      <c r="Z139" s="485"/>
      <c r="AA139" s="485"/>
      <c r="AB139" s="495">
        <f t="shared" si="26"/>
        <v>66470.559999999998</v>
      </c>
      <c r="AD139" s="495"/>
    </row>
    <row r="140" spans="15:34" x14ac:dyDescent="0.2">
      <c r="P140" t="str">
        <f t="shared" si="25"/>
        <v>NOV</v>
      </c>
      <c r="R140" s="485">
        <v>47822.5</v>
      </c>
      <c r="S140" s="485">
        <v>12248.67</v>
      </c>
      <c r="T140" s="485">
        <v>6132.97</v>
      </c>
      <c r="U140" s="485">
        <v>-9860.6200000000008</v>
      </c>
      <c r="V140" s="532"/>
      <c r="W140" s="532"/>
      <c r="X140" s="532"/>
      <c r="Y140" s="532"/>
      <c r="Z140" s="485"/>
      <c r="AA140" s="485"/>
      <c r="AB140" s="495">
        <f t="shared" si="26"/>
        <v>56343.519999999997</v>
      </c>
      <c r="AD140" s="495"/>
    </row>
    <row r="141" spans="15:34" x14ac:dyDescent="0.2">
      <c r="P141" t="str">
        <f t="shared" si="25"/>
        <v>DEC</v>
      </c>
      <c r="R141" s="485">
        <v>40459.5</v>
      </c>
      <c r="S141" s="485">
        <v>12157.44</v>
      </c>
      <c r="T141" s="485">
        <v>7188.15</v>
      </c>
      <c r="U141" s="485">
        <v>-8950.5499999999993</v>
      </c>
      <c r="V141" s="532"/>
      <c r="W141" s="532"/>
      <c r="X141" s="532"/>
      <c r="Y141" s="532"/>
      <c r="Z141" s="485"/>
      <c r="AA141" s="485"/>
      <c r="AB141" s="495">
        <f t="shared" si="26"/>
        <v>50854.540000000008</v>
      </c>
      <c r="AD141" s="495"/>
    </row>
    <row r="142" spans="15:34" x14ac:dyDescent="0.2">
      <c r="P142" t="str">
        <f t="shared" si="25"/>
        <v>JAN 2023</v>
      </c>
      <c r="R142" s="485">
        <v>29030.86</v>
      </c>
      <c r="S142" s="485">
        <v>12062.46</v>
      </c>
      <c r="T142" s="485">
        <v>17488.099999999999</v>
      </c>
      <c r="U142" s="485">
        <v>-6069.58</v>
      </c>
      <c r="V142" s="485"/>
      <c r="W142" s="485"/>
      <c r="X142" s="485"/>
      <c r="Y142" s="485"/>
      <c r="Z142" s="485"/>
      <c r="AA142" s="485"/>
      <c r="AB142" s="495">
        <f t="shared" si="26"/>
        <v>52511.839999999997</v>
      </c>
      <c r="AD142" s="495"/>
      <c r="AE142" s="495"/>
    </row>
    <row r="143" spans="15:34" x14ac:dyDescent="0.2">
      <c r="O143">
        <f>$O$80</f>
        <v>12</v>
      </c>
      <c r="P143" t="str">
        <f t="shared" si="25"/>
        <v>FEB</v>
      </c>
      <c r="R143" s="485">
        <v>16046.79</v>
      </c>
      <c r="S143" s="485">
        <v>12332.18</v>
      </c>
      <c r="T143" s="485">
        <v>7770.39</v>
      </c>
      <c r="U143" s="485">
        <v>-7349</v>
      </c>
      <c r="V143" s="485"/>
      <c r="W143" s="485"/>
      <c r="X143" s="485"/>
      <c r="Y143" s="485"/>
      <c r="Z143" s="485"/>
      <c r="AA143" s="485"/>
      <c r="AB143" s="495">
        <f t="shared" si="26"/>
        <v>28800.36</v>
      </c>
      <c r="AD143" s="495"/>
      <c r="AE143" s="495"/>
    </row>
    <row r="144" spans="15:34" x14ac:dyDescent="0.2">
      <c r="R144" s="485"/>
      <c r="S144" s="485"/>
      <c r="T144" s="485"/>
      <c r="U144" s="485"/>
      <c r="V144" s="485"/>
      <c r="W144" s="485"/>
      <c r="X144" s="485"/>
      <c r="Y144" s="485"/>
      <c r="Z144" s="485"/>
      <c r="AA144" s="485"/>
      <c r="AB144" s="495"/>
      <c r="AD144" s="495"/>
      <c r="AE144" s="495"/>
    </row>
    <row r="145" spans="12:40" ht="13.5" thickBot="1" x14ac:dyDescent="0.25">
      <c r="P145" t="s">
        <v>65</v>
      </c>
      <c r="R145" s="589">
        <f t="shared" ref="R145:Y145" si="27">SUM(R132:R143)</f>
        <v>499732.92</v>
      </c>
      <c r="S145" s="589">
        <f t="shared" si="27"/>
        <v>108899.76999999999</v>
      </c>
      <c r="T145" s="589">
        <f t="shared" si="27"/>
        <v>110742.3</v>
      </c>
      <c r="U145" s="589">
        <f t="shared" si="27"/>
        <v>-115208.55</v>
      </c>
      <c r="V145" s="589">
        <f t="shared" si="27"/>
        <v>0</v>
      </c>
      <c r="W145" s="589">
        <f t="shared" si="27"/>
        <v>0</v>
      </c>
      <c r="X145" s="589">
        <f t="shared" si="27"/>
        <v>0</v>
      </c>
      <c r="Y145" s="589">
        <f t="shared" si="27"/>
        <v>0</v>
      </c>
      <c r="Z145" s="485"/>
      <c r="AA145" s="485"/>
      <c r="AB145" s="589">
        <f>SUM(AB132:AB143)</f>
        <v>604166.43999999994</v>
      </c>
      <c r="AD145" s="495"/>
      <c r="AE145" s="495"/>
    </row>
    <row r="146" spans="12:40" ht="16.5" thickTop="1" x14ac:dyDescent="0.25">
      <c r="P146" s="590" t="s">
        <v>689</v>
      </c>
      <c r="Q146" s="591"/>
      <c r="AB146" s="573"/>
      <c r="AD146" s="573"/>
      <c r="AE146" s="574" t="s">
        <v>659</v>
      </c>
      <c r="AF146" s="573"/>
      <c r="AG146" s="573"/>
      <c r="AH146" s="573"/>
      <c r="AI146" s="573"/>
      <c r="AJ146" s="573"/>
      <c r="AK146" s="573"/>
      <c r="AL146" s="573"/>
      <c r="AM146" s="575"/>
    </row>
    <row r="147" spans="12:40" x14ac:dyDescent="0.2">
      <c r="X147" s="183" t="s">
        <v>466</v>
      </c>
      <c r="AC147" s="575"/>
      <c r="AD147" s="573"/>
      <c r="AE147" s="574" t="s">
        <v>662</v>
      </c>
      <c r="AF147" s="573"/>
      <c r="AG147" s="573"/>
      <c r="AH147" s="575"/>
      <c r="AI147" s="573"/>
      <c r="AJ147" s="573"/>
      <c r="AK147" s="573"/>
      <c r="AL147" s="574" t="s">
        <v>663</v>
      </c>
      <c r="AM147" s="575"/>
    </row>
    <row r="148" spans="12:40" x14ac:dyDescent="0.2">
      <c r="Q148" s="183" t="s">
        <v>468</v>
      </c>
      <c r="R148" s="183" t="s">
        <v>469</v>
      </c>
      <c r="S148" s="183" t="s">
        <v>282</v>
      </c>
      <c r="T148" s="183" t="s">
        <v>470</v>
      </c>
      <c r="X148" s="183" t="s">
        <v>471</v>
      </c>
      <c r="Y148" s="183" t="s">
        <v>470</v>
      </c>
      <c r="AC148" s="574" t="s">
        <v>668</v>
      </c>
      <c r="AD148" s="573" t="s">
        <v>117</v>
      </c>
      <c r="AE148" s="574" t="s">
        <v>669</v>
      </c>
      <c r="AF148" s="574" t="s">
        <v>670</v>
      </c>
      <c r="AG148" s="574" t="s">
        <v>671</v>
      </c>
      <c r="AH148" s="574" t="s">
        <v>672</v>
      </c>
      <c r="AI148" s="574" t="s">
        <v>118</v>
      </c>
      <c r="AJ148" s="574" t="s">
        <v>673</v>
      </c>
      <c r="AK148" s="573" t="s">
        <v>284</v>
      </c>
      <c r="AL148" s="574" t="s">
        <v>674</v>
      </c>
      <c r="AM148" s="575"/>
    </row>
    <row r="149" spans="12:40" x14ac:dyDescent="0.2">
      <c r="Q149" s="183" t="s">
        <v>474</v>
      </c>
      <c r="R149" s="183" t="s">
        <v>475</v>
      </c>
      <c r="S149" s="183" t="s">
        <v>475</v>
      </c>
      <c r="T149" s="183" t="s">
        <v>475</v>
      </c>
      <c r="U149" s="183" t="s">
        <v>476</v>
      </c>
      <c r="V149" s="183" t="s">
        <v>477</v>
      </c>
      <c r="W149" s="183" t="s">
        <v>478</v>
      </c>
      <c r="X149" s="183" t="s">
        <v>479</v>
      </c>
      <c r="Y149" s="183" t="s">
        <v>480</v>
      </c>
      <c r="Z149" s="183" t="s">
        <v>481</v>
      </c>
      <c r="AA149" s="183" t="s">
        <v>482</v>
      </c>
      <c r="AB149" s="183" t="s">
        <v>483</v>
      </c>
      <c r="AC149" s="574" t="s">
        <v>606</v>
      </c>
      <c r="AD149" s="574" t="s">
        <v>676</v>
      </c>
      <c r="AE149" s="574" t="s">
        <v>668</v>
      </c>
      <c r="AF149" s="574" t="s">
        <v>117</v>
      </c>
      <c r="AG149" s="574" t="s">
        <v>117</v>
      </c>
      <c r="AH149" s="573" t="s">
        <v>677</v>
      </c>
      <c r="AI149" s="574" t="s">
        <v>669</v>
      </c>
      <c r="AJ149" s="574" t="s">
        <v>678</v>
      </c>
      <c r="AK149" s="573" t="s">
        <v>679</v>
      </c>
      <c r="AL149" s="574" t="s">
        <v>680</v>
      </c>
      <c r="AM149" s="573" t="s">
        <v>84</v>
      </c>
    </row>
    <row r="150" spans="12:40" x14ac:dyDescent="0.2">
      <c r="P150" s="481" t="s">
        <v>487</v>
      </c>
      <c r="Q150" s="481"/>
      <c r="R150" s="481" t="s">
        <v>487</v>
      </c>
      <c r="S150" s="481"/>
      <c r="T150" s="481" t="s">
        <v>487</v>
      </c>
      <c r="U150" s="481" t="s">
        <v>487</v>
      </c>
      <c r="V150" s="481" t="s">
        <v>487</v>
      </c>
      <c r="W150" s="481" t="s">
        <v>487</v>
      </c>
      <c r="X150" s="481" t="s">
        <v>487</v>
      </c>
      <c r="Y150" s="481" t="s">
        <v>487</v>
      </c>
      <c r="Z150" s="481" t="s">
        <v>487</v>
      </c>
      <c r="AA150" s="481" t="s">
        <v>487</v>
      </c>
      <c r="AB150" s="481" t="s">
        <v>487</v>
      </c>
      <c r="AC150" s="576" t="s">
        <v>487</v>
      </c>
      <c r="AD150" s="576" t="s">
        <v>487</v>
      </c>
      <c r="AE150" s="576" t="s">
        <v>487</v>
      </c>
      <c r="AF150" s="576" t="s">
        <v>487</v>
      </c>
      <c r="AG150" s="576" t="s">
        <v>487</v>
      </c>
      <c r="AH150" s="576" t="s">
        <v>487</v>
      </c>
      <c r="AI150" s="576" t="s">
        <v>487</v>
      </c>
      <c r="AJ150" s="576" t="s">
        <v>487</v>
      </c>
      <c r="AK150" s="576" t="s">
        <v>487</v>
      </c>
      <c r="AL150" s="576" t="s">
        <v>487</v>
      </c>
      <c r="AM150" s="576" t="s">
        <v>487</v>
      </c>
    </row>
    <row r="151" spans="12:40" x14ac:dyDescent="0.2">
      <c r="V151" s="483"/>
      <c r="W151" s="483"/>
      <c r="X151" s="483"/>
      <c r="Z151" s="483"/>
      <c r="AC151" s="575"/>
      <c r="AD151" s="575"/>
      <c r="AE151" s="575"/>
      <c r="AF151" s="575"/>
      <c r="AG151" s="575"/>
      <c r="AH151" s="575"/>
      <c r="AI151" s="575"/>
      <c r="AJ151" s="575"/>
      <c r="AK151" s="575">
        <v>3.0000000000000001E-3</v>
      </c>
      <c r="AL151" s="575"/>
      <c r="AM151" s="575"/>
    </row>
    <row r="152" spans="12:40" x14ac:dyDescent="0.2">
      <c r="L152" s="577" t="e">
        <f>W152/U152</f>
        <v>#DIV/0!</v>
      </c>
      <c r="M152" s="578" t="e">
        <f>N152/R152</f>
        <v>#DIV/0!</v>
      </c>
      <c r="N152" s="483">
        <f>V152-AC152</f>
        <v>0</v>
      </c>
      <c r="O152">
        <f>$O$69</f>
        <v>1</v>
      </c>
      <c r="R152" s="482"/>
      <c r="S152" s="482"/>
      <c r="T152" s="482"/>
      <c r="U152" s="482"/>
      <c r="V152" s="483"/>
      <c r="W152" s="483"/>
      <c r="X152" s="285"/>
      <c r="Y152" s="483"/>
      <c r="Z152" s="483"/>
      <c r="AA152" s="483"/>
      <c r="AB152" s="483"/>
      <c r="AC152" s="575"/>
      <c r="AD152" s="575"/>
      <c r="AE152" s="575"/>
      <c r="AF152" s="575"/>
      <c r="AG152" s="575"/>
      <c r="AH152" s="580"/>
      <c r="AI152" s="575"/>
      <c r="AJ152" s="575"/>
      <c r="AK152" s="575">
        <f>U152*AK151</f>
        <v>0</v>
      </c>
      <c r="AL152" s="575"/>
      <c r="AM152" s="575">
        <f>SUM(AI152:AL152)</f>
        <v>0</v>
      </c>
      <c r="AN152" s="285">
        <f>AM152-AB152</f>
        <v>0</v>
      </c>
    </row>
    <row r="153" spans="12:40" x14ac:dyDescent="0.2">
      <c r="L153" s="577" t="e">
        <f t="shared" ref="L153:L163" si="28">W153/U153</f>
        <v>#DIV/0!</v>
      </c>
      <c r="M153" s="578" t="e">
        <f t="shared" ref="M153:M163" si="29">N153/R153</f>
        <v>#DIV/0!</v>
      </c>
      <c r="N153" s="483">
        <f t="shared" ref="N153:N163" si="30">V153-AC153</f>
        <v>0</v>
      </c>
      <c r="R153" s="482"/>
      <c r="S153" s="482"/>
      <c r="T153" s="482"/>
      <c r="U153" s="482"/>
      <c r="V153" s="483"/>
      <c r="W153" s="483"/>
      <c r="X153" s="285"/>
      <c r="Y153" s="483"/>
      <c r="Z153" s="483"/>
      <c r="AA153" s="483"/>
      <c r="AB153" s="483"/>
      <c r="AC153" s="575"/>
      <c r="AD153" s="575"/>
      <c r="AE153" s="575"/>
      <c r="AF153" s="575"/>
      <c r="AG153" s="575"/>
      <c r="AH153" s="580"/>
      <c r="AI153" s="575"/>
      <c r="AJ153" s="575"/>
      <c r="AK153" s="575">
        <f>U153*AK151</f>
        <v>0</v>
      </c>
      <c r="AL153" s="575"/>
      <c r="AM153" s="575">
        <f t="shared" ref="AM153:AM163" si="31">SUM(AI153:AL153)</f>
        <v>0</v>
      </c>
      <c r="AN153" s="285">
        <f t="shared" ref="AN153:AN163" si="32">AM153-AB153</f>
        <v>0</v>
      </c>
    </row>
    <row r="154" spans="12:40" x14ac:dyDescent="0.2">
      <c r="L154" s="577" t="e">
        <f t="shared" si="28"/>
        <v>#DIV/0!</v>
      </c>
      <c r="M154" s="578" t="e">
        <f t="shared" si="29"/>
        <v>#DIV/0!</v>
      </c>
      <c r="N154" s="483">
        <f t="shared" si="30"/>
        <v>0</v>
      </c>
      <c r="R154" s="482"/>
      <c r="S154" s="482"/>
      <c r="T154" s="482"/>
      <c r="U154" s="482"/>
      <c r="V154" s="483"/>
      <c r="W154" s="483"/>
      <c r="X154" s="285"/>
      <c r="Y154" s="483"/>
      <c r="Z154" s="483"/>
      <c r="AA154" s="483"/>
      <c r="AB154" s="483"/>
      <c r="AC154" s="575"/>
      <c r="AD154" s="575"/>
      <c r="AE154" s="575"/>
      <c r="AF154" s="575"/>
      <c r="AG154" s="575"/>
      <c r="AH154" s="580"/>
      <c r="AI154" s="575"/>
      <c r="AJ154" s="575"/>
      <c r="AK154" s="575">
        <f>U154*AK151</f>
        <v>0</v>
      </c>
      <c r="AL154" s="575"/>
      <c r="AM154" s="575">
        <f t="shared" si="31"/>
        <v>0</v>
      </c>
      <c r="AN154" s="285">
        <f t="shared" si="32"/>
        <v>0</v>
      </c>
    </row>
    <row r="155" spans="12:40" x14ac:dyDescent="0.2">
      <c r="L155" s="577" t="e">
        <f t="shared" si="28"/>
        <v>#DIV/0!</v>
      </c>
      <c r="M155" s="578" t="e">
        <f t="shared" si="29"/>
        <v>#DIV/0!</v>
      </c>
      <c r="N155" s="483">
        <f t="shared" si="30"/>
        <v>0</v>
      </c>
      <c r="R155" s="482"/>
      <c r="S155" s="482"/>
      <c r="T155" s="482"/>
      <c r="U155" s="482"/>
      <c r="V155" s="483"/>
      <c r="W155" s="483"/>
      <c r="X155" s="285"/>
      <c r="Y155" s="483"/>
      <c r="Z155" s="483"/>
      <c r="AA155" s="483"/>
      <c r="AB155" s="483"/>
      <c r="AC155" s="575"/>
      <c r="AD155" s="575"/>
      <c r="AE155" s="575"/>
      <c r="AF155" s="575"/>
      <c r="AG155" s="575"/>
      <c r="AH155" s="580"/>
      <c r="AI155" s="575"/>
      <c r="AJ155" s="575"/>
      <c r="AK155" s="575">
        <f>U155*AK151</f>
        <v>0</v>
      </c>
      <c r="AL155" s="575"/>
      <c r="AM155" s="575">
        <f t="shared" si="31"/>
        <v>0</v>
      </c>
      <c r="AN155" s="285">
        <f t="shared" si="32"/>
        <v>0</v>
      </c>
    </row>
    <row r="156" spans="12:40" x14ac:dyDescent="0.2">
      <c r="L156" s="577" t="e">
        <f t="shared" si="28"/>
        <v>#DIV/0!</v>
      </c>
      <c r="M156" s="578" t="e">
        <f t="shared" si="29"/>
        <v>#DIV/0!</v>
      </c>
      <c r="N156" s="483">
        <f t="shared" si="30"/>
        <v>0</v>
      </c>
      <c r="R156" s="482"/>
      <c r="S156" s="482"/>
      <c r="T156" s="482"/>
      <c r="U156" s="482"/>
      <c r="V156" s="483"/>
      <c r="W156" s="483"/>
      <c r="X156" s="285"/>
      <c r="Y156" s="483"/>
      <c r="Z156" s="483"/>
      <c r="AA156" s="483"/>
      <c r="AB156" s="483"/>
      <c r="AC156" s="575"/>
      <c r="AD156" s="575"/>
      <c r="AE156" s="575"/>
      <c r="AF156" s="575"/>
      <c r="AG156" s="575"/>
      <c r="AH156" s="580"/>
      <c r="AI156" s="575"/>
      <c r="AJ156" s="575"/>
      <c r="AK156" s="575">
        <f>U156*AK151</f>
        <v>0</v>
      </c>
      <c r="AL156" s="575"/>
      <c r="AM156" s="575">
        <f t="shared" si="31"/>
        <v>0</v>
      </c>
      <c r="AN156" s="285">
        <f t="shared" si="32"/>
        <v>0</v>
      </c>
    </row>
    <row r="157" spans="12:40" x14ac:dyDescent="0.2">
      <c r="L157" s="577" t="e">
        <f t="shared" si="28"/>
        <v>#DIV/0!</v>
      </c>
      <c r="M157" s="578" t="e">
        <f t="shared" si="29"/>
        <v>#DIV/0!</v>
      </c>
      <c r="N157" s="483">
        <f t="shared" si="30"/>
        <v>0</v>
      </c>
      <c r="R157" s="482"/>
      <c r="S157" s="482"/>
      <c r="T157" s="482"/>
      <c r="U157" s="482"/>
      <c r="V157" s="483"/>
      <c r="W157" s="483"/>
      <c r="X157" s="285"/>
      <c r="Y157" s="483"/>
      <c r="Z157" s="483"/>
      <c r="AA157" s="483"/>
      <c r="AB157" s="483"/>
      <c r="AC157" s="575"/>
      <c r="AD157" s="575"/>
      <c r="AE157" s="575"/>
      <c r="AF157" s="575"/>
      <c r="AG157" s="575"/>
      <c r="AH157" s="580"/>
      <c r="AI157" s="575"/>
      <c r="AJ157" s="575"/>
      <c r="AK157" s="575">
        <f>U157*AK151</f>
        <v>0</v>
      </c>
      <c r="AL157" s="575"/>
      <c r="AM157" s="575">
        <f t="shared" si="31"/>
        <v>0</v>
      </c>
      <c r="AN157" s="285">
        <f t="shared" si="32"/>
        <v>0</v>
      </c>
    </row>
    <row r="158" spans="12:40" x14ac:dyDescent="0.2">
      <c r="L158" s="577" t="e">
        <f t="shared" si="28"/>
        <v>#DIV/0!</v>
      </c>
      <c r="M158" s="578" t="e">
        <f t="shared" si="29"/>
        <v>#DIV/0!</v>
      </c>
      <c r="N158" s="483">
        <f t="shared" si="30"/>
        <v>0</v>
      </c>
      <c r="R158" s="482"/>
      <c r="S158" s="482"/>
      <c r="T158" s="482"/>
      <c r="U158" s="482"/>
      <c r="V158" s="483"/>
      <c r="W158" s="483"/>
      <c r="X158" s="285"/>
      <c r="Y158" s="483"/>
      <c r="Z158" s="483"/>
      <c r="AA158" s="483"/>
      <c r="AB158" s="483"/>
      <c r="AC158" s="575"/>
      <c r="AD158" s="575"/>
      <c r="AE158" s="575"/>
      <c r="AF158" s="575"/>
      <c r="AG158" s="575"/>
      <c r="AH158" s="580"/>
      <c r="AI158" s="575"/>
      <c r="AJ158" s="575"/>
      <c r="AK158" s="575">
        <f>U158*AK151</f>
        <v>0</v>
      </c>
      <c r="AL158" s="575"/>
      <c r="AM158" s="575">
        <f t="shared" si="31"/>
        <v>0</v>
      </c>
      <c r="AN158" s="285">
        <f t="shared" si="32"/>
        <v>0</v>
      </c>
    </row>
    <row r="159" spans="12:40" x14ac:dyDescent="0.2">
      <c r="L159" s="577" t="e">
        <f t="shared" si="28"/>
        <v>#DIV/0!</v>
      </c>
      <c r="M159" s="578" t="e">
        <f t="shared" si="29"/>
        <v>#DIV/0!</v>
      </c>
      <c r="N159" s="483">
        <f t="shared" si="30"/>
        <v>0</v>
      </c>
      <c r="R159" s="482"/>
      <c r="S159" s="482"/>
      <c r="T159" s="482"/>
      <c r="U159" s="482"/>
      <c r="V159" s="483"/>
      <c r="W159" s="483"/>
      <c r="X159" s="285"/>
      <c r="Y159" s="483"/>
      <c r="Z159" s="483"/>
      <c r="AA159" s="483"/>
      <c r="AB159" s="483"/>
      <c r="AC159" s="575"/>
      <c r="AD159" s="575"/>
      <c r="AE159" s="575"/>
      <c r="AF159" s="575"/>
      <c r="AG159" s="575"/>
      <c r="AH159" s="580"/>
      <c r="AI159" s="575"/>
      <c r="AJ159" s="575"/>
      <c r="AK159" s="575">
        <f>U159*AK151</f>
        <v>0</v>
      </c>
      <c r="AL159" s="575"/>
      <c r="AM159" s="575">
        <f t="shared" si="31"/>
        <v>0</v>
      </c>
      <c r="AN159" s="285">
        <f t="shared" si="32"/>
        <v>0</v>
      </c>
    </row>
    <row r="160" spans="12:40" x14ac:dyDescent="0.2">
      <c r="L160" s="577" t="e">
        <f t="shared" si="28"/>
        <v>#DIV/0!</v>
      </c>
      <c r="M160" s="578" t="e">
        <f t="shared" si="29"/>
        <v>#DIV/0!</v>
      </c>
      <c r="N160" s="483">
        <f t="shared" si="30"/>
        <v>0</v>
      </c>
      <c r="R160" s="482"/>
      <c r="S160" s="482"/>
      <c r="T160" s="482"/>
      <c r="U160" s="482"/>
      <c r="V160" s="483"/>
      <c r="W160" s="483"/>
      <c r="X160" s="285"/>
      <c r="Y160" s="483"/>
      <c r="Z160" s="483"/>
      <c r="AA160" s="483"/>
      <c r="AB160" s="483"/>
      <c r="AC160" s="575"/>
      <c r="AD160" s="575"/>
      <c r="AE160" s="575"/>
      <c r="AF160" s="575"/>
      <c r="AG160" s="575"/>
      <c r="AH160" s="580"/>
      <c r="AI160" s="575"/>
      <c r="AJ160" s="575"/>
      <c r="AK160" s="575">
        <f>U160*AK151</f>
        <v>0</v>
      </c>
      <c r="AL160" s="575"/>
      <c r="AM160" s="575">
        <f t="shared" si="31"/>
        <v>0</v>
      </c>
      <c r="AN160" s="285">
        <f t="shared" si="32"/>
        <v>0</v>
      </c>
    </row>
    <row r="161" spans="12:40" x14ac:dyDescent="0.2">
      <c r="L161" s="577" t="e">
        <f t="shared" si="28"/>
        <v>#DIV/0!</v>
      </c>
      <c r="M161" s="578" t="e">
        <f t="shared" si="29"/>
        <v>#DIV/0!</v>
      </c>
      <c r="N161" s="483">
        <f t="shared" si="30"/>
        <v>0</v>
      </c>
      <c r="R161" s="482"/>
      <c r="S161" s="482"/>
      <c r="T161" s="482"/>
      <c r="U161" s="482"/>
      <c r="V161" s="483"/>
      <c r="W161" s="483"/>
      <c r="X161" s="285"/>
      <c r="Y161" s="483"/>
      <c r="Z161" s="483"/>
      <c r="AA161" s="483"/>
      <c r="AB161" s="483"/>
      <c r="AC161" s="575"/>
      <c r="AD161" s="575"/>
      <c r="AE161" s="575"/>
      <c r="AF161" s="580"/>
      <c r="AG161" s="580"/>
      <c r="AH161" s="580"/>
      <c r="AI161" s="575"/>
      <c r="AJ161" s="575"/>
      <c r="AK161" s="575">
        <f>U161*AK151</f>
        <v>0</v>
      </c>
      <c r="AL161" s="575"/>
      <c r="AM161" s="575">
        <f t="shared" si="31"/>
        <v>0</v>
      </c>
      <c r="AN161" s="285">
        <f t="shared" si="32"/>
        <v>0</v>
      </c>
    </row>
    <row r="162" spans="12:40" x14ac:dyDescent="0.2">
      <c r="L162" s="577" t="e">
        <f t="shared" si="28"/>
        <v>#DIV/0!</v>
      </c>
      <c r="M162" s="578" t="e">
        <f t="shared" si="29"/>
        <v>#DIV/0!</v>
      </c>
      <c r="N162" s="483">
        <f t="shared" si="30"/>
        <v>0</v>
      </c>
      <c r="R162" s="482"/>
      <c r="S162" s="482"/>
      <c r="T162" s="482"/>
      <c r="U162" s="482"/>
      <c r="V162" s="483"/>
      <c r="W162" s="483"/>
      <c r="X162" s="285"/>
      <c r="Y162" s="483"/>
      <c r="Z162" s="483"/>
      <c r="AA162" s="483"/>
      <c r="AB162" s="483"/>
      <c r="AC162" s="575"/>
      <c r="AD162" s="575"/>
      <c r="AE162" s="575"/>
      <c r="AF162" s="580"/>
      <c r="AG162" s="580"/>
      <c r="AH162" s="580"/>
      <c r="AI162" s="575"/>
      <c r="AJ162" s="575"/>
      <c r="AK162" s="575">
        <f>U162*AK151</f>
        <v>0</v>
      </c>
      <c r="AL162" s="575"/>
      <c r="AM162" s="575">
        <f t="shared" si="31"/>
        <v>0</v>
      </c>
      <c r="AN162" s="285">
        <f t="shared" si="32"/>
        <v>0</v>
      </c>
    </row>
    <row r="163" spans="12:40" x14ac:dyDescent="0.2">
      <c r="L163" s="577" t="e">
        <f t="shared" si="28"/>
        <v>#DIV/0!</v>
      </c>
      <c r="M163" s="578" t="e">
        <f t="shared" si="29"/>
        <v>#DIV/0!</v>
      </c>
      <c r="N163" s="483">
        <f t="shared" si="30"/>
        <v>0</v>
      </c>
      <c r="O163">
        <f>$O$80</f>
        <v>12</v>
      </c>
      <c r="R163" s="482"/>
      <c r="S163" s="482"/>
      <c r="T163" s="482"/>
      <c r="U163" s="482"/>
      <c r="V163" s="483"/>
      <c r="W163" s="483"/>
      <c r="X163" s="285"/>
      <c r="Y163" s="483"/>
      <c r="Z163" s="483"/>
      <c r="AA163" s="483"/>
      <c r="AB163" s="483"/>
      <c r="AC163" s="575"/>
      <c r="AD163" s="575"/>
      <c r="AE163" s="575"/>
      <c r="AF163" s="580"/>
      <c r="AG163" s="580"/>
      <c r="AH163" s="580"/>
      <c r="AI163" s="575"/>
      <c r="AJ163" s="575"/>
      <c r="AK163" s="575">
        <f>U163*AK151</f>
        <v>0</v>
      </c>
      <c r="AL163" s="575"/>
      <c r="AM163" s="575">
        <f t="shared" si="31"/>
        <v>0</v>
      </c>
      <c r="AN163" s="285">
        <f t="shared" si="32"/>
        <v>0</v>
      </c>
    </row>
    <row r="164" spans="12:40" x14ac:dyDescent="0.2">
      <c r="R164" s="488" t="s">
        <v>487</v>
      </c>
      <c r="S164" s="488"/>
      <c r="T164" s="488" t="s">
        <v>487</v>
      </c>
      <c r="U164" s="488" t="s">
        <v>487</v>
      </c>
      <c r="V164" s="489" t="s">
        <v>487</v>
      </c>
      <c r="W164" s="489" t="s">
        <v>487</v>
      </c>
      <c r="X164" s="489" t="s">
        <v>487</v>
      </c>
      <c r="Y164" s="481" t="s">
        <v>487</v>
      </c>
      <c r="Z164" s="489" t="s">
        <v>487</v>
      </c>
      <c r="AA164" s="489" t="s">
        <v>487</v>
      </c>
      <c r="AB164" s="489" t="s">
        <v>487</v>
      </c>
      <c r="AC164" s="575"/>
      <c r="AD164" s="575"/>
      <c r="AE164" s="575"/>
      <c r="AF164" s="575"/>
      <c r="AG164" s="575"/>
      <c r="AH164" s="575"/>
      <c r="AI164" s="575"/>
      <c r="AJ164" s="575"/>
      <c r="AK164" s="575"/>
      <c r="AL164" s="575"/>
      <c r="AM164" s="575"/>
    </row>
    <row r="165" spans="12:40" x14ac:dyDescent="0.2">
      <c r="R165" s="482"/>
      <c r="S165" s="482"/>
      <c r="T165" s="482"/>
      <c r="U165" s="482"/>
      <c r="V165" s="483"/>
      <c r="W165" s="483"/>
      <c r="X165" s="483"/>
      <c r="Z165" s="483"/>
      <c r="AA165" s="483"/>
      <c r="AB165" s="483"/>
      <c r="AC165" s="575"/>
      <c r="AD165" s="575"/>
      <c r="AE165" s="575"/>
      <c r="AF165" s="575"/>
      <c r="AG165" s="575"/>
      <c r="AH165" s="575"/>
      <c r="AI165" s="575"/>
      <c r="AJ165" s="575"/>
      <c r="AK165" s="575"/>
      <c r="AL165" s="575"/>
      <c r="AM165" s="575"/>
    </row>
    <row r="166" spans="12:40" x14ac:dyDescent="0.2">
      <c r="R166" s="482">
        <f t="shared" ref="R166:AM166" si="33">SUM(R152:R163)</f>
        <v>0</v>
      </c>
      <c r="S166" s="482"/>
      <c r="T166" s="482">
        <f t="shared" si="33"/>
        <v>0</v>
      </c>
      <c r="U166" s="482">
        <f t="shared" si="33"/>
        <v>0</v>
      </c>
      <c r="V166" s="483">
        <f t="shared" si="33"/>
        <v>0</v>
      </c>
      <c r="W166" s="483">
        <f t="shared" si="33"/>
        <v>0</v>
      </c>
      <c r="X166" s="483">
        <f t="shared" si="33"/>
        <v>0</v>
      </c>
      <c r="Y166" s="483">
        <f t="shared" si="33"/>
        <v>0</v>
      </c>
      <c r="Z166" s="483">
        <f t="shared" si="33"/>
        <v>0</v>
      </c>
      <c r="AA166" s="483">
        <f t="shared" si="33"/>
        <v>0</v>
      </c>
      <c r="AB166" s="483">
        <f t="shared" si="33"/>
        <v>0</v>
      </c>
      <c r="AC166" s="584">
        <f t="shared" si="33"/>
        <v>0</v>
      </c>
      <c r="AD166" s="584">
        <f t="shared" si="33"/>
        <v>0</v>
      </c>
      <c r="AE166" s="584">
        <f t="shared" si="33"/>
        <v>0</v>
      </c>
      <c r="AF166" s="584">
        <f t="shared" si="33"/>
        <v>0</v>
      </c>
      <c r="AG166" s="584">
        <f t="shared" si="33"/>
        <v>0</v>
      </c>
      <c r="AH166" s="584">
        <f t="shared" si="33"/>
        <v>0</v>
      </c>
      <c r="AI166" s="584">
        <f t="shared" si="33"/>
        <v>0</v>
      </c>
      <c r="AJ166" s="584">
        <f t="shared" si="33"/>
        <v>0</v>
      </c>
      <c r="AK166" s="584">
        <f t="shared" si="33"/>
        <v>0</v>
      </c>
      <c r="AL166" s="584">
        <f t="shared" si="33"/>
        <v>0</v>
      </c>
      <c r="AM166" s="584">
        <f t="shared" si="33"/>
        <v>0</v>
      </c>
    </row>
    <row r="167" spans="12:40" x14ac:dyDescent="0.2">
      <c r="R167" s="488" t="s">
        <v>501</v>
      </c>
      <c r="S167" s="488"/>
      <c r="T167" s="488" t="s">
        <v>501</v>
      </c>
      <c r="U167" s="488" t="s">
        <v>501</v>
      </c>
      <c r="V167" s="489" t="s">
        <v>501</v>
      </c>
      <c r="W167" s="489" t="s">
        <v>501</v>
      </c>
      <c r="X167" s="489" t="s">
        <v>501</v>
      </c>
      <c r="Y167" s="489" t="s">
        <v>501</v>
      </c>
      <c r="Z167" s="489" t="s">
        <v>501</v>
      </c>
      <c r="AA167" s="489" t="s">
        <v>501</v>
      </c>
      <c r="AB167" s="489" t="s">
        <v>501</v>
      </c>
      <c r="AC167" s="585" t="s">
        <v>501</v>
      </c>
      <c r="AD167" s="585" t="s">
        <v>501</v>
      </c>
      <c r="AE167" s="585" t="s">
        <v>501</v>
      </c>
      <c r="AF167" s="585" t="s">
        <v>501</v>
      </c>
      <c r="AG167" s="585" t="s">
        <v>501</v>
      </c>
      <c r="AH167" s="585" t="s">
        <v>501</v>
      </c>
      <c r="AI167" s="585" t="s">
        <v>501</v>
      </c>
      <c r="AJ167" s="585" t="s">
        <v>501</v>
      </c>
      <c r="AK167" s="585" t="s">
        <v>501</v>
      </c>
      <c r="AL167" s="585" t="s">
        <v>501</v>
      </c>
      <c r="AM167" s="585" t="s">
        <v>501</v>
      </c>
    </row>
    <row r="168" spans="12:40" x14ac:dyDescent="0.2">
      <c r="R168" s="270">
        <f>R166</f>
        <v>0</v>
      </c>
      <c r="S168" s="270"/>
      <c r="T168">
        <v>10.715</v>
      </c>
      <c r="U168" s="285">
        <f>R168*T168</f>
        <v>0</v>
      </c>
      <c r="V168" s="483">
        <f>AC166</f>
        <v>0</v>
      </c>
      <c r="W168" s="285">
        <f>U168+V168</f>
        <v>0</v>
      </c>
      <c r="X168" s="483">
        <f>V166-W168</f>
        <v>0</v>
      </c>
      <c r="Z168" s="495"/>
      <c r="AA168" s="495"/>
    </row>
    <row r="170" spans="12:40" x14ac:dyDescent="0.2">
      <c r="S170" s="183" t="s">
        <v>549</v>
      </c>
    </row>
    <row r="171" spans="12:40" x14ac:dyDescent="0.2">
      <c r="P171" s="183"/>
      <c r="Q171" s="183"/>
      <c r="R171" s="183" t="s">
        <v>550</v>
      </c>
      <c r="S171" s="183" t="s">
        <v>551</v>
      </c>
      <c r="T171" s="183" t="s">
        <v>552</v>
      </c>
      <c r="U171" s="183" t="s">
        <v>555</v>
      </c>
      <c r="V171" s="183" t="s">
        <v>596</v>
      </c>
      <c r="W171" s="183" t="s">
        <v>553</v>
      </c>
      <c r="X171" s="183" t="s">
        <v>554</v>
      </c>
      <c r="Y171" s="183" t="s">
        <v>556</v>
      </c>
      <c r="Z171" s="183"/>
      <c r="AA171" s="183"/>
      <c r="AB171" s="183"/>
      <c r="AD171" s="183"/>
      <c r="AE171" s="183"/>
      <c r="AF171" s="183"/>
      <c r="AG171" s="183"/>
      <c r="AH171" s="183"/>
    </row>
    <row r="172" spans="12:40" x14ac:dyDescent="0.2">
      <c r="P172" s="183"/>
      <c r="Q172" s="183"/>
      <c r="R172" s="521" t="s">
        <v>471</v>
      </c>
      <c r="S172" s="521" t="s">
        <v>558</v>
      </c>
      <c r="T172" s="521" t="s">
        <v>559</v>
      </c>
      <c r="U172" s="521" t="s">
        <v>562</v>
      </c>
      <c r="V172" s="521" t="s">
        <v>597</v>
      </c>
      <c r="W172" s="521" t="s">
        <v>560</v>
      </c>
      <c r="X172" s="521" t="s">
        <v>561</v>
      </c>
      <c r="Y172" s="521" t="s">
        <v>563</v>
      </c>
      <c r="Z172" s="183"/>
      <c r="AA172" s="183"/>
      <c r="AB172" s="183"/>
      <c r="AD172" s="183"/>
      <c r="AE172" s="183"/>
      <c r="AF172" s="183"/>
      <c r="AG172" s="183"/>
      <c r="AH172" s="183"/>
    </row>
    <row r="173" spans="12:40" x14ac:dyDescent="0.2">
      <c r="P173" s="183"/>
      <c r="Q173" s="183"/>
      <c r="R173" s="183"/>
      <c r="S173" s="183"/>
      <c r="T173" s="183"/>
      <c r="U173" s="183"/>
      <c r="V173" s="183"/>
      <c r="W173" s="183"/>
      <c r="X173" s="183"/>
      <c r="Y173" s="183"/>
      <c r="Z173" s="183"/>
      <c r="AA173" s="183"/>
      <c r="AB173" s="523" t="s">
        <v>84</v>
      </c>
      <c r="AD173" s="183"/>
      <c r="AE173" s="183"/>
      <c r="AF173" s="183"/>
      <c r="AG173" s="183"/>
      <c r="AH173" s="183"/>
    </row>
    <row r="174" spans="12:40" x14ac:dyDescent="0.2">
      <c r="O174">
        <f>$O$69</f>
        <v>1</v>
      </c>
      <c r="P174">
        <f t="shared" ref="P174:P185" si="34">P152</f>
        <v>0</v>
      </c>
      <c r="R174" s="294"/>
      <c r="S174" s="294"/>
      <c r="T174" s="294"/>
      <c r="U174" s="294"/>
      <c r="V174" s="294"/>
      <c r="W174" s="294"/>
      <c r="X174" s="294"/>
      <c r="Z174" s="294"/>
      <c r="AA174" s="294"/>
      <c r="AB174" s="285">
        <f t="shared" ref="AB174:AB185" si="35">SUM(R174:AA174)</f>
        <v>0</v>
      </c>
    </row>
    <row r="175" spans="12:40" x14ac:dyDescent="0.2">
      <c r="P175">
        <f t="shared" si="34"/>
        <v>0</v>
      </c>
      <c r="R175" s="294"/>
      <c r="S175" s="294"/>
      <c r="T175" s="294"/>
      <c r="U175" s="294"/>
      <c r="V175" s="294"/>
      <c r="W175" s="294"/>
      <c r="X175" s="294"/>
      <c r="Z175" s="294"/>
      <c r="AA175" s="294"/>
      <c r="AB175" s="285">
        <f t="shared" si="35"/>
        <v>0</v>
      </c>
    </row>
    <row r="176" spans="12:40" x14ac:dyDescent="0.2">
      <c r="P176">
        <f t="shared" si="34"/>
        <v>0</v>
      </c>
      <c r="R176" s="294"/>
      <c r="S176" s="294"/>
      <c r="T176" s="294"/>
      <c r="U176" s="294"/>
      <c r="V176" s="294"/>
      <c r="W176" s="294"/>
      <c r="X176" s="294"/>
      <c r="Z176" s="294"/>
      <c r="AA176" s="294"/>
      <c r="AB176" s="285">
        <f t="shared" si="35"/>
        <v>0</v>
      </c>
    </row>
    <row r="177" spans="15:39" x14ac:dyDescent="0.2">
      <c r="P177">
        <f t="shared" si="34"/>
        <v>0</v>
      </c>
      <c r="R177" s="294"/>
      <c r="S177" s="294"/>
      <c r="T177" s="294"/>
      <c r="U177" s="294"/>
      <c r="V177" s="294"/>
      <c r="W177" s="294"/>
      <c r="X177" s="294"/>
      <c r="Z177" s="294"/>
      <c r="AA177" s="294"/>
      <c r="AB177" s="285">
        <f t="shared" si="35"/>
        <v>0</v>
      </c>
    </row>
    <row r="178" spans="15:39" x14ac:dyDescent="0.2">
      <c r="P178">
        <f t="shared" si="34"/>
        <v>0</v>
      </c>
      <c r="R178" s="294"/>
      <c r="S178" s="294"/>
      <c r="T178" s="294"/>
      <c r="U178" s="294"/>
      <c r="V178" s="294"/>
      <c r="W178" s="294"/>
      <c r="X178" s="294"/>
      <c r="Y178" s="294"/>
      <c r="Z178" s="294"/>
      <c r="AA178" s="294"/>
      <c r="AB178" s="285">
        <f t="shared" si="35"/>
        <v>0</v>
      </c>
    </row>
    <row r="179" spans="15:39" x14ac:dyDescent="0.2">
      <c r="P179">
        <f t="shared" si="34"/>
        <v>0</v>
      </c>
      <c r="R179" s="486"/>
      <c r="S179" s="486"/>
      <c r="T179" s="486"/>
      <c r="U179" s="486"/>
      <c r="V179" s="486"/>
      <c r="W179" s="486"/>
      <c r="X179" s="486"/>
      <c r="Y179" s="486"/>
      <c r="Z179" s="294"/>
      <c r="AA179" s="294"/>
      <c r="AB179" s="285">
        <f t="shared" si="35"/>
        <v>0</v>
      </c>
    </row>
    <row r="180" spans="15:39" x14ac:dyDescent="0.2">
      <c r="P180">
        <f t="shared" si="34"/>
        <v>0</v>
      </c>
      <c r="R180" s="486"/>
      <c r="S180" s="486"/>
      <c r="T180" s="486"/>
      <c r="U180" s="486"/>
      <c r="V180" s="486"/>
      <c r="W180" s="486"/>
      <c r="X180" s="486"/>
      <c r="Y180" s="486"/>
      <c r="Z180" s="294"/>
      <c r="AA180" s="294"/>
      <c r="AB180" s="285">
        <f t="shared" si="35"/>
        <v>0</v>
      </c>
    </row>
    <row r="181" spans="15:39" x14ac:dyDescent="0.2">
      <c r="P181">
        <f t="shared" si="34"/>
        <v>0</v>
      </c>
      <c r="R181" s="486"/>
      <c r="S181" s="486"/>
      <c r="T181" s="486"/>
      <c r="U181" s="486"/>
      <c r="V181" s="486"/>
      <c r="W181" s="486"/>
      <c r="X181" s="486"/>
      <c r="Y181" s="486"/>
      <c r="Z181" s="294"/>
      <c r="AA181" s="294"/>
      <c r="AB181" s="285">
        <f t="shared" si="35"/>
        <v>0</v>
      </c>
    </row>
    <row r="182" spans="15:39" x14ac:dyDescent="0.2">
      <c r="P182">
        <f t="shared" si="34"/>
        <v>0</v>
      </c>
      <c r="R182" s="486"/>
      <c r="S182" s="486"/>
      <c r="T182" s="486"/>
      <c r="U182" s="486"/>
      <c r="V182" s="486"/>
      <c r="W182" s="486"/>
      <c r="X182" s="486"/>
      <c r="Y182" s="486"/>
      <c r="Z182" s="294"/>
      <c r="AA182" s="294"/>
      <c r="AB182" s="285">
        <f t="shared" si="35"/>
        <v>0</v>
      </c>
    </row>
    <row r="183" spans="15:39" x14ac:dyDescent="0.2">
      <c r="P183">
        <f t="shared" si="34"/>
        <v>0</v>
      </c>
      <c r="R183" s="486"/>
      <c r="S183" s="486"/>
      <c r="T183" s="486"/>
      <c r="U183" s="486"/>
      <c r="V183" s="486"/>
      <c r="W183" s="486"/>
      <c r="X183" s="486"/>
      <c r="Y183" s="486"/>
      <c r="Z183" s="294"/>
      <c r="AA183" s="294"/>
      <c r="AB183" s="285">
        <f t="shared" si="35"/>
        <v>0</v>
      </c>
    </row>
    <row r="184" spans="15:39" x14ac:dyDescent="0.2">
      <c r="P184">
        <f t="shared" si="34"/>
        <v>0</v>
      </c>
      <c r="R184" s="294"/>
      <c r="S184" s="294"/>
      <c r="T184" s="294"/>
      <c r="U184" s="294"/>
      <c r="V184" s="294"/>
      <c r="W184" s="294"/>
      <c r="X184" s="294"/>
      <c r="Y184" s="294"/>
      <c r="Z184" s="294"/>
      <c r="AA184" s="294"/>
      <c r="AB184" s="285">
        <f t="shared" si="35"/>
        <v>0</v>
      </c>
    </row>
    <row r="185" spans="15:39" x14ac:dyDescent="0.2">
      <c r="O185">
        <f>$O$80</f>
        <v>12</v>
      </c>
      <c r="P185">
        <f t="shared" si="34"/>
        <v>0</v>
      </c>
      <c r="R185" s="294"/>
      <c r="S185" s="294"/>
      <c r="T185" s="294"/>
      <c r="U185" s="294"/>
      <c r="V185" s="294"/>
      <c r="W185" s="294"/>
      <c r="X185" s="294"/>
      <c r="Y185" s="294"/>
      <c r="Z185" s="294"/>
      <c r="AA185" s="294"/>
      <c r="AB185" s="285">
        <f t="shared" si="35"/>
        <v>0</v>
      </c>
    </row>
    <row r="186" spans="15:39" x14ac:dyDescent="0.2">
      <c r="R186" s="294"/>
      <c r="S186" s="294"/>
      <c r="T186" s="294"/>
      <c r="U186" s="294"/>
      <c r="V186" s="294"/>
      <c r="W186" s="294"/>
      <c r="X186" s="294"/>
      <c r="Y186" s="294"/>
      <c r="Z186" s="294"/>
      <c r="AA186" s="294"/>
      <c r="AB186" s="285"/>
    </row>
    <row r="187" spans="15:39" ht="13.5" thickBot="1" x14ac:dyDescent="0.25">
      <c r="P187" t="s">
        <v>65</v>
      </c>
      <c r="R187" s="542">
        <f t="shared" ref="R187:Y187" si="36">SUM(R174:R185)</f>
        <v>0</v>
      </c>
      <c r="S187" s="542">
        <f t="shared" si="36"/>
        <v>0</v>
      </c>
      <c r="T187" s="542">
        <f t="shared" si="36"/>
        <v>0</v>
      </c>
      <c r="U187" s="542">
        <f t="shared" si="36"/>
        <v>0</v>
      </c>
      <c r="V187" s="542">
        <f t="shared" si="36"/>
        <v>0</v>
      </c>
      <c r="W187" s="542">
        <f t="shared" si="36"/>
        <v>0</v>
      </c>
      <c r="X187" s="542">
        <f t="shared" si="36"/>
        <v>0</v>
      </c>
      <c r="Y187" s="542">
        <f t="shared" si="36"/>
        <v>0</v>
      </c>
      <c r="Z187" s="294"/>
      <c r="AA187" s="294"/>
      <c r="AB187" s="542">
        <f>SUM(AB174:AB185)</f>
        <v>0</v>
      </c>
    </row>
    <row r="188" spans="15:39" ht="16.5" thickTop="1" x14ac:dyDescent="0.25">
      <c r="P188" s="524" t="s">
        <v>690</v>
      </c>
      <c r="Q188" s="479"/>
      <c r="R188" s="479"/>
      <c r="S188" s="479"/>
      <c r="T188" s="479"/>
      <c r="AC188" s="573"/>
      <c r="AD188" s="573"/>
      <c r="AE188" s="574" t="s">
        <v>659</v>
      </c>
      <c r="AF188" s="573"/>
      <c r="AG188" s="573"/>
      <c r="AH188" s="573"/>
      <c r="AI188" s="573"/>
      <c r="AJ188" s="573"/>
      <c r="AK188" s="573"/>
      <c r="AL188" s="573"/>
      <c r="AM188" s="575"/>
    </row>
    <row r="189" spans="15:39" x14ac:dyDescent="0.2">
      <c r="X189" s="183" t="s">
        <v>466</v>
      </c>
      <c r="AC189" s="575"/>
      <c r="AD189" s="573"/>
      <c r="AE189" s="574" t="s">
        <v>662</v>
      </c>
      <c r="AF189" s="573"/>
      <c r="AG189" s="573"/>
      <c r="AH189" s="575"/>
      <c r="AI189" s="573"/>
      <c r="AJ189" s="573"/>
      <c r="AK189" s="573"/>
      <c r="AL189" s="574" t="s">
        <v>663</v>
      </c>
      <c r="AM189" s="575"/>
    </row>
    <row r="190" spans="15:39" x14ac:dyDescent="0.2">
      <c r="Q190" s="183" t="s">
        <v>664</v>
      </c>
      <c r="R190" s="183" t="s">
        <v>469</v>
      </c>
      <c r="S190" s="183" t="s">
        <v>282</v>
      </c>
      <c r="T190" s="183" t="s">
        <v>470</v>
      </c>
      <c r="X190" s="183" t="s">
        <v>471</v>
      </c>
      <c r="Y190" s="183" t="s">
        <v>470</v>
      </c>
      <c r="AC190" s="574" t="s">
        <v>668</v>
      </c>
      <c r="AD190" s="573" t="s">
        <v>117</v>
      </c>
      <c r="AE190" s="574" t="s">
        <v>669</v>
      </c>
      <c r="AF190" s="574" t="s">
        <v>670</v>
      </c>
      <c r="AG190" s="574" t="s">
        <v>671</v>
      </c>
      <c r="AH190" s="574" t="s">
        <v>672</v>
      </c>
      <c r="AI190" s="574" t="s">
        <v>118</v>
      </c>
      <c r="AJ190" s="574" t="s">
        <v>673</v>
      </c>
      <c r="AK190" s="573" t="s">
        <v>284</v>
      </c>
      <c r="AL190" s="574" t="s">
        <v>674</v>
      </c>
      <c r="AM190" s="575"/>
    </row>
    <row r="191" spans="15:39" x14ac:dyDescent="0.2">
      <c r="Q191" s="183" t="s">
        <v>474</v>
      </c>
      <c r="R191" s="183" t="s">
        <v>475</v>
      </c>
      <c r="S191" s="183" t="s">
        <v>475</v>
      </c>
      <c r="T191" s="183" t="s">
        <v>475</v>
      </c>
      <c r="U191" s="183" t="s">
        <v>476</v>
      </c>
      <c r="V191" s="183" t="s">
        <v>477</v>
      </c>
      <c r="W191" s="183" t="s">
        <v>478</v>
      </c>
      <c r="X191" s="183" t="s">
        <v>479</v>
      </c>
      <c r="Y191" s="183" t="s">
        <v>480</v>
      </c>
      <c r="Z191" s="183" t="s">
        <v>481</v>
      </c>
      <c r="AA191" s="183" t="s">
        <v>482</v>
      </c>
      <c r="AB191" s="183" t="s">
        <v>483</v>
      </c>
      <c r="AC191" s="574" t="s">
        <v>606</v>
      </c>
      <c r="AD191" s="574" t="s">
        <v>676</v>
      </c>
      <c r="AE191" s="574" t="s">
        <v>668</v>
      </c>
      <c r="AF191" s="574" t="s">
        <v>117</v>
      </c>
      <c r="AG191" s="574" t="s">
        <v>117</v>
      </c>
      <c r="AH191" s="573" t="s">
        <v>677</v>
      </c>
      <c r="AI191" s="574" t="s">
        <v>669</v>
      </c>
      <c r="AJ191" s="574" t="s">
        <v>678</v>
      </c>
      <c r="AK191" s="573" t="s">
        <v>679</v>
      </c>
      <c r="AL191" s="574" t="s">
        <v>680</v>
      </c>
      <c r="AM191" s="573" t="s">
        <v>84</v>
      </c>
    </row>
    <row r="192" spans="15:39" x14ac:dyDescent="0.2">
      <c r="P192" s="481" t="s">
        <v>487</v>
      </c>
      <c r="Q192" s="481"/>
      <c r="R192" s="481" t="s">
        <v>487</v>
      </c>
      <c r="S192" s="481"/>
      <c r="T192" s="481" t="s">
        <v>487</v>
      </c>
      <c r="U192" s="481" t="s">
        <v>487</v>
      </c>
      <c r="V192" s="481" t="s">
        <v>487</v>
      </c>
      <c r="W192" s="481" t="s">
        <v>487</v>
      </c>
      <c r="X192" s="481" t="s">
        <v>487</v>
      </c>
      <c r="Y192" s="481" t="s">
        <v>487</v>
      </c>
      <c r="Z192" s="481" t="s">
        <v>487</v>
      </c>
      <c r="AA192" s="481" t="s">
        <v>487</v>
      </c>
      <c r="AB192" s="481" t="s">
        <v>487</v>
      </c>
      <c r="AC192" s="576" t="s">
        <v>487</v>
      </c>
      <c r="AD192" s="576" t="s">
        <v>487</v>
      </c>
      <c r="AE192" s="576" t="s">
        <v>487</v>
      </c>
      <c r="AF192" s="576" t="s">
        <v>487</v>
      </c>
      <c r="AG192" s="576" t="s">
        <v>487</v>
      </c>
      <c r="AH192" s="576" t="s">
        <v>487</v>
      </c>
      <c r="AI192" s="576" t="s">
        <v>487</v>
      </c>
      <c r="AJ192" s="576" t="s">
        <v>487</v>
      </c>
      <c r="AK192" s="576" t="s">
        <v>487</v>
      </c>
      <c r="AL192" s="576" t="s">
        <v>487</v>
      </c>
      <c r="AM192" s="576" t="s">
        <v>487</v>
      </c>
    </row>
    <row r="193" spans="12:40" x14ac:dyDescent="0.2">
      <c r="V193" s="483"/>
      <c r="W193" s="483"/>
      <c r="X193" s="483"/>
      <c r="Z193" s="483"/>
      <c r="AC193" s="575"/>
      <c r="AD193" s="575"/>
      <c r="AE193" s="575"/>
      <c r="AF193" s="575"/>
      <c r="AG193" s="575"/>
      <c r="AH193" s="575"/>
      <c r="AI193" s="575"/>
      <c r="AJ193" s="575"/>
      <c r="AK193" s="575">
        <v>3.0000000000000001E-3</v>
      </c>
      <c r="AL193" s="575"/>
      <c r="AM193" s="575"/>
    </row>
    <row r="194" spans="12:40" x14ac:dyDescent="0.2">
      <c r="L194" s="577">
        <f>W194/U194</f>
        <v>3.8049997801327992E-2</v>
      </c>
      <c r="M194" s="578">
        <f>N194/R194</f>
        <v>10.715</v>
      </c>
      <c r="N194" s="483">
        <f>V194-AC194</f>
        <v>18794.11</v>
      </c>
      <c r="O194">
        <f>$O$69</f>
        <v>1</v>
      </c>
      <c r="P194" t="s">
        <v>600</v>
      </c>
      <c r="Q194">
        <v>1620</v>
      </c>
      <c r="R194" s="482">
        <v>1754</v>
      </c>
      <c r="S194" s="482">
        <v>1754</v>
      </c>
      <c r="T194" s="482"/>
      <c r="U194" s="482">
        <v>591266</v>
      </c>
      <c r="V194" s="483">
        <v>18794.11</v>
      </c>
      <c r="W194" s="483">
        <v>22497.67</v>
      </c>
      <c r="X194" s="285">
        <v>12569.040000000003</v>
      </c>
      <c r="Y194" s="483"/>
      <c r="Z194" s="483">
        <v>53860.82</v>
      </c>
      <c r="AA194" s="483">
        <v>55734.62</v>
      </c>
      <c r="AB194" s="483">
        <v>1873.8000000000029</v>
      </c>
      <c r="AC194" s="575"/>
      <c r="AD194" s="575"/>
      <c r="AE194" s="575"/>
      <c r="AF194" s="575"/>
      <c r="AG194" s="575"/>
      <c r="AH194" s="580"/>
      <c r="AI194" s="575">
        <v>100</v>
      </c>
      <c r="AJ194" s="575"/>
      <c r="AK194" s="575">
        <f>U194*AK193</f>
        <v>1773.798</v>
      </c>
      <c r="AL194" s="575"/>
      <c r="AM194" s="575">
        <f>SUM(AI194:AL194)</f>
        <v>1873.798</v>
      </c>
      <c r="AN194" s="285">
        <f>AM194-AB194</f>
        <v>-2.0000000029085641E-3</v>
      </c>
    </row>
    <row r="195" spans="12:40" x14ac:dyDescent="0.2">
      <c r="L195" s="577">
        <f t="shared" ref="L195:L205" si="37">W195/U195</f>
        <v>3.8050001503086635E-2</v>
      </c>
      <c r="M195" s="578">
        <f t="shared" ref="M195:M205" si="38">N195/R195</f>
        <v>10.71500296735905</v>
      </c>
      <c r="N195" s="483">
        <f t="shared" ref="N195:N205" si="39">V195-AC195</f>
        <v>18054.78</v>
      </c>
      <c r="P195" t="s">
        <v>492</v>
      </c>
      <c r="Q195">
        <v>1620</v>
      </c>
      <c r="R195" s="482">
        <v>1685</v>
      </c>
      <c r="S195" s="482">
        <v>1685</v>
      </c>
      <c r="T195" s="482"/>
      <c r="U195" s="482">
        <v>565503</v>
      </c>
      <c r="V195" s="483">
        <v>18054.78</v>
      </c>
      <c r="W195" s="483">
        <v>21517.39</v>
      </c>
      <c r="X195" s="285">
        <v>10332.15</v>
      </c>
      <c r="Y195" s="483"/>
      <c r="Z195" s="483">
        <v>49904.32</v>
      </c>
      <c r="AA195" s="483">
        <v>51700.83</v>
      </c>
      <c r="AB195" s="483">
        <v>1796.510000000002</v>
      </c>
      <c r="AC195" s="575"/>
      <c r="AD195" s="575"/>
      <c r="AE195" s="575"/>
      <c r="AF195" s="575"/>
      <c r="AG195" s="575"/>
      <c r="AH195" s="580"/>
      <c r="AI195" s="575">
        <v>100</v>
      </c>
      <c r="AJ195" s="575"/>
      <c r="AK195" s="575">
        <f>U195*AK193</f>
        <v>1696.509</v>
      </c>
      <c r="AL195" s="575"/>
      <c r="AM195" s="575">
        <f t="shared" ref="AM195:AM205" si="40">SUM(AI195:AL195)</f>
        <v>1796.509</v>
      </c>
      <c r="AN195" s="285">
        <f t="shared" ref="AN195:AN205" si="41">AM195-AB195</f>
        <v>-1.0000000020227162E-3</v>
      </c>
    </row>
    <row r="196" spans="12:40" x14ac:dyDescent="0.2">
      <c r="L196" s="577">
        <f t="shared" si="37"/>
        <v>3.805000389054105E-2</v>
      </c>
      <c r="M196" s="578">
        <f t="shared" si="38"/>
        <v>10.715</v>
      </c>
      <c r="N196" s="483">
        <f t="shared" si="39"/>
        <v>17379.73</v>
      </c>
      <c r="P196" t="s">
        <v>493</v>
      </c>
      <c r="Q196">
        <v>1620</v>
      </c>
      <c r="R196" s="482">
        <v>1622</v>
      </c>
      <c r="S196" s="482">
        <v>1622</v>
      </c>
      <c r="T196" s="482"/>
      <c r="U196" s="482">
        <v>526919</v>
      </c>
      <c r="V196" s="483">
        <v>17379.73</v>
      </c>
      <c r="W196" s="483">
        <v>20049.27</v>
      </c>
      <c r="X196" s="285">
        <v>10263.48</v>
      </c>
      <c r="Y196" s="483"/>
      <c r="Z196" s="483">
        <v>47692.479999999996</v>
      </c>
      <c r="AA196" s="483">
        <v>49373.23</v>
      </c>
      <c r="AB196" s="483">
        <v>1680.7500000000073</v>
      </c>
      <c r="AC196" s="575"/>
      <c r="AD196" s="575"/>
      <c r="AE196" s="575"/>
      <c r="AF196" s="575"/>
      <c r="AG196" s="575"/>
      <c r="AH196" s="580"/>
      <c r="AI196" s="575">
        <v>100</v>
      </c>
      <c r="AJ196" s="575"/>
      <c r="AK196" s="575">
        <f>U196*AK193</f>
        <v>1580.7570000000001</v>
      </c>
      <c r="AL196" s="575"/>
      <c r="AM196" s="575">
        <f t="shared" si="40"/>
        <v>1680.7570000000001</v>
      </c>
      <c r="AN196" s="285">
        <f t="shared" si="41"/>
        <v>6.999999992785888E-3</v>
      </c>
    </row>
    <row r="197" spans="12:40" x14ac:dyDescent="0.2">
      <c r="L197" s="577">
        <f t="shared" si="37"/>
        <v>3.8050005839704602E-2</v>
      </c>
      <c r="M197" s="578">
        <f t="shared" si="38"/>
        <v>10.715002925687536</v>
      </c>
      <c r="N197" s="483">
        <f t="shared" si="39"/>
        <v>18311.939999999999</v>
      </c>
      <c r="P197" t="s">
        <v>494</v>
      </c>
      <c r="Q197">
        <v>1620</v>
      </c>
      <c r="R197" s="482">
        <v>1709</v>
      </c>
      <c r="S197" s="482">
        <v>1709</v>
      </c>
      <c r="T197" s="482"/>
      <c r="U197" s="482">
        <v>556535</v>
      </c>
      <c r="V197" s="483">
        <v>18311.939999999999</v>
      </c>
      <c r="W197" s="483">
        <v>21176.16</v>
      </c>
      <c r="X197" s="285">
        <v>5008.42</v>
      </c>
      <c r="Y197" s="483"/>
      <c r="Z197" s="483">
        <v>44496.52</v>
      </c>
      <c r="AA197" s="483">
        <v>46266.12</v>
      </c>
      <c r="AB197" s="483">
        <v>1769.6000000000058</v>
      </c>
      <c r="AC197" s="575"/>
      <c r="AD197" s="575"/>
      <c r="AE197" s="575"/>
      <c r="AF197" s="575"/>
      <c r="AG197" s="575"/>
      <c r="AH197" s="580"/>
      <c r="AI197" s="575">
        <v>100</v>
      </c>
      <c r="AJ197" s="575"/>
      <c r="AK197" s="575">
        <f>U197*AK193</f>
        <v>1669.605</v>
      </c>
      <c r="AL197" s="575"/>
      <c r="AM197" s="575">
        <f t="shared" si="40"/>
        <v>1769.605</v>
      </c>
      <c r="AN197" s="285">
        <f t="shared" si="41"/>
        <v>4.9999999941974238E-3</v>
      </c>
    </row>
    <row r="198" spans="12:40" x14ac:dyDescent="0.2">
      <c r="L198" s="577">
        <f t="shared" si="37"/>
        <v>3.8049998193271747E-2</v>
      </c>
      <c r="M198" s="578">
        <f t="shared" si="38"/>
        <v>11.127115384615385</v>
      </c>
      <c r="N198" s="483">
        <f t="shared" si="39"/>
        <v>17358.3</v>
      </c>
      <c r="P198" t="s">
        <v>495</v>
      </c>
      <c r="Q198">
        <v>1620</v>
      </c>
      <c r="R198" s="482">
        <v>1560</v>
      </c>
      <c r="S198" s="482">
        <v>1620</v>
      </c>
      <c r="T198" s="482">
        <v>61</v>
      </c>
      <c r="U198" s="482">
        <v>498138</v>
      </c>
      <c r="V198" s="483">
        <v>17358.3</v>
      </c>
      <c r="W198" s="483">
        <v>18954.150000000001</v>
      </c>
      <c r="X198" s="285">
        <v>11715.82</v>
      </c>
      <c r="Y198" s="483">
        <v>653.62</v>
      </c>
      <c r="Z198" s="483">
        <v>48681.89</v>
      </c>
      <c r="AA198" s="483">
        <v>50276.3</v>
      </c>
      <c r="AB198" s="483">
        <v>1594.4100000000035</v>
      </c>
      <c r="AC198" s="575"/>
      <c r="AD198" s="575"/>
      <c r="AE198" s="575"/>
      <c r="AF198" s="575"/>
      <c r="AG198" s="575"/>
      <c r="AH198" s="580"/>
      <c r="AI198" s="575">
        <v>100</v>
      </c>
      <c r="AJ198" s="575"/>
      <c r="AK198" s="575">
        <f>U198*AK193</f>
        <v>1494.414</v>
      </c>
      <c r="AL198" s="575"/>
      <c r="AM198" s="575">
        <f t="shared" si="40"/>
        <v>1594.414</v>
      </c>
      <c r="AN198" s="285">
        <f t="shared" si="41"/>
        <v>3.9999999964948074E-3</v>
      </c>
    </row>
    <row r="199" spans="12:40" x14ac:dyDescent="0.2">
      <c r="L199" s="577">
        <f t="shared" si="37"/>
        <v>3.8049990434024725E-2</v>
      </c>
      <c r="M199" s="578">
        <f t="shared" si="38"/>
        <v>10.862515644555694</v>
      </c>
      <c r="N199" s="483">
        <f t="shared" si="39"/>
        <v>17358.3</v>
      </c>
      <c r="P199" t="s">
        <v>496</v>
      </c>
      <c r="Q199">
        <v>1620</v>
      </c>
      <c r="R199" s="482">
        <v>1598</v>
      </c>
      <c r="S199" s="482">
        <v>1620</v>
      </c>
      <c r="T199" s="482"/>
      <c r="U199" s="482">
        <v>517459</v>
      </c>
      <c r="V199" s="483">
        <v>17358.3</v>
      </c>
      <c r="W199" s="483">
        <v>19689.310000000001</v>
      </c>
      <c r="X199" s="285">
        <v>12855.86</v>
      </c>
      <c r="Y199" s="483"/>
      <c r="Z199" s="483">
        <v>49903.47</v>
      </c>
      <c r="AA199" s="483">
        <v>51555.85</v>
      </c>
      <c r="AB199" s="483">
        <v>1652.3799999999974</v>
      </c>
      <c r="AC199" s="575"/>
      <c r="AD199" s="575"/>
      <c r="AE199" s="575"/>
      <c r="AF199" s="575"/>
      <c r="AG199" s="575"/>
      <c r="AH199" s="580"/>
      <c r="AI199" s="575">
        <v>100</v>
      </c>
      <c r="AJ199" s="575"/>
      <c r="AK199" s="575">
        <f>U199*AK193</f>
        <v>1552.377</v>
      </c>
      <c r="AL199" s="575"/>
      <c r="AM199" s="575">
        <f t="shared" si="40"/>
        <v>1652.377</v>
      </c>
      <c r="AN199" s="285">
        <f t="shared" si="41"/>
        <v>-2.999999997427949E-3</v>
      </c>
    </row>
    <row r="200" spans="12:40" x14ac:dyDescent="0.2">
      <c r="L200" s="577">
        <f t="shared" si="37"/>
        <v>3.8049990631045284E-2</v>
      </c>
      <c r="M200" s="578">
        <f t="shared" si="38"/>
        <v>12.461091170136395</v>
      </c>
      <c r="N200" s="483">
        <f t="shared" si="39"/>
        <v>17358.3</v>
      </c>
      <c r="P200" t="s">
        <v>497</v>
      </c>
      <c r="Q200">
        <v>1620</v>
      </c>
      <c r="R200" s="482">
        <v>1393</v>
      </c>
      <c r="S200" s="482">
        <v>1620</v>
      </c>
      <c r="T200" s="482"/>
      <c r="U200" s="482">
        <v>378911</v>
      </c>
      <c r="V200" s="483">
        <v>17358.3</v>
      </c>
      <c r="W200" s="483">
        <v>14417.56</v>
      </c>
      <c r="X200" s="285">
        <v>15134.669999999998</v>
      </c>
      <c r="Y200" s="483"/>
      <c r="Z200" s="483">
        <v>46910.53</v>
      </c>
      <c r="AA200" s="483">
        <v>48147.27</v>
      </c>
      <c r="AB200" s="483">
        <v>1236.739999999998</v>
      </c>
      <c r="AC200" s="575"/>
      <c r="AD200" s="575"/>
      <c r="AE200" s="575"/>
      <c r="AF200" s="575"/>
      <c r="AG200" s="575"/>
      <c r="AH200" s="580"/>
      <c r="AI200" s="575">
        <v>100</v>
      </c>
      <c r="AJ200" s="575"/>
      <c r="AK200" s="575">
        <f>U200*AK193</f>
        <v>1136.7329999999999</v>
      </c>
      <c r="AL200" s="575"/>
      <c r="AM200" s="575">
        <f t="shared" si="40"/>
        <v>1236.7329999999999</v>
      </c>
      <c r="AN200" s="285">
        <f t="shared" si="41"/>
        <v>-6.9999999980154826E-3</v>
      </c>
    </row>
    <row r="201" spans="12:40" x14ac:dyDescent="0.2">
      <c r="L201" s="577">
        <f t="shared" si="37"/>
        <v>3.8050005780194414E-2</v>
      </c>
      <c r="M201" s="578">
        <f t="shared" si="38"/>
        <v>10.715000000000002</v>
      </c>
      <c r="N201" s="483">
        <f t="shared" si="39"/>
        <v>19136.990000000002</v>
      </c>
      <c r="P201" t="s">
        <v>498</v>
      </c>
      <c r="Q201">
        <v>1620</v>
      </c>
      <c r="R201" s="482">
        <v>1786</v>
      </c>
      <c r="S201" s="482">
        <v>1786</v>
      </c>
      <c r="T201" s="482">
        <v>68</v>
      </c>
      <c r="U201" s="482">
        <v>493063</v>
      </c>
      <c r="V201" s="483">
        <v>19136.990000000002</v>
      </c>
      <c r="W201" s="483">
        <v>18761.05</v>
      </c>
      <c r="X201" s="285">
        <v>17396.830000000002</v>
      </c>
      <c r="Y201" s="483">
        <v>728.62</v>
      </c>
      <c r="Z201" s="483">
        <v>56023.490000000005</v>
      </c>
      <c r="AA201" s="483">
        <v>57602.68</v>
      </c>
      <c r="AB201" s="483">
        <v>1579.1899999999951</v>
      </c>
      <c r="AC201" s="575"/>
      <c r="AD201" s="575"/>
      <c r="AE201" s="575"/>
      <c r="AF201" s="575"/>
      <c r="AG201" s="575"/>
      <c r="AH201" s="580"/>
      <c r="AI201" s="575">
        <v>100</v>
      </c>
      <c r="AJ201" s="575"/>
      <c r="AK201" s="575">
        <f>U201*AK193</f>
        <v>1479.1890000000001</v>
      </c>
      <c r="AL201" s="575"/>
      <c r="AM201" s="575">
        <f t="shared" si="40"/>
        <v>1579.1890000000001</v>
      </c>
      <c r="AN201" s="285">
        <f t="shared" si="41"/>
        <v>-9.9999999497413228E-4</v>
      </c>
    </row>
    <row r="202" spans="12:40" x14ac:dyDescent="0.2">
      <c r="L202" s="577">
        <f t="shared" si="37"/>
        <v>3.8049993917235993E-2</v>
      </c>
      <c r="M202" s="578">
        <f t="shared" si="38"/>
        <v>10.715003069367711</v>
      </c>
      <c r="N202" s="483">
        <f t="shared" si="39"/>
        <v>17454.740000000002</v>
      </c>
      <c r="P202" t="s">
        <v>499</v>
      </c>
      <c r="Q202">
        <v>1620</v>
      </c>
      <c r="R202" s="482">
        <v>1629</v>
      </c>
      <c r="S202" s="482">
        <v>1629</v>
      </c>
      <c r="T202" s="482"/>
      <c r="U202" s="482">
        <v>468537</v>
      </c>
      <c r="V202" s="483">
        <v>17454.740000000002</v>
      </c>
      <c r="W202" s="483">
        <v>17827.830000000002</v>
      </c>
      <c r="X202" s="285">
        <v>13180.75</v>
      </c>
      <c r="Y202" s="483"/>
      <c r="Z202" s="483">
        <v>48463.320000000007</v>
      </c>
      <c r="AA202" s="483">
        <v>49968.93</v>
      </c>
      <c r="AB202" s="483">
        <v>1505.6099999999933</v>
      </c>
      <c r="AC202" s="575"/>
      <c r="AD202" s="575"/>
      <c r="AE202" s="575"/>
      <c r="AF202" s="575"/>
      <c r="AG202" s="575"/>
      <c r="AH202" s="580"/>
      <c r="AI202" s="575">
        <v>100</v>
      </c>
      <c r="AJ202" s="575"/>
      <c r="AK202" s="575">
        <f>U202*AK193</f>
        <v>1405.6110000000001</v>
      </c>
      <c r="AL202" s="575"/>
      <c r="AM202" s="575">
        <f t="shared" si="40"/>
        <v>1505.6110000000001</v>
      </c>
      <c r="AN202" s="285">
        <f t="shared" si="41"/>
        <v>1.0000000067975634E-3</v>
      </c>
    </row>
    <row r="203" spans="12:40" x14ac:dyDescent="0.2">
      <c r="L203" s="577">
        <f t="shared" si="37"/>
        <v>3.8049991193743707E-2</v>
      </c>
      <c r="M203" s="578">
        <f t="shared" si="38"/>
        <v>10.714997131382674</v>
      </c>
      <c r="N203" s="483">
        <f t="shared" si="39"/>
        <v>18676.240000000002</v>
      </c>
      <c r="P203" t="s">
        <v>500</v>
      </c>
      <c r="Q203">
        <v>1620</v>
      </c>
      <c r="R203" s="482">
        <v>1743</v>
      </c>
      <c r="S203" s="482">
        <v>1743</v>
      </c>
      <c r="T203" s="482">
        <v>74</v>
      </c>
      <c r="U203" s="482">
        <v>493967</v>
      </c>
      <c r="V203" s="483">
        <v>18676.240000000002</v>
      </c>
      <c r="W203" s="483">
        <v>18795.439999999999</v>
      </c>
      <c r="X203" s="285">
        <v>12727.67</v>
      </c>
      <c r="Y203" s="483">
        <v>792.91</v>
      </c>
      <c r="Z203" s="483">
        <v>50992.26</v>
      </c>
      <c r="AA203" s="483">
        <v>52574.17</v>
      </c>
      <c r="AB203" s="483">
        <v>1581.9099999999962</v>
      </c>
      <c r="AC203" s="575"/>
      <c r="AD203" s="575"/>
      <c r="AE203" s="575"/>
      <c r="AF203" s="580"/>
      <c r="AG203" s="580"/>
      <c r="AH203" s="580"/>
      <c r="AI203" s="575">
        <v>100</v>
      </c>
      <c r="AJ203" s="575"/>
      <c r="AK203" s="575">
        <f>U203*AK193</f>
        <v>1481.9010000000001</v>
      </c>
      <c r="AL203" s="575"/>
      <c r="AM203" s="575">
        <f t="shared" si="40"/>
        <v>1581.9010000000001</v>
      </c>
      <c r="AN203" s="285">
        <f t="shared" si="41"/>
        <v>-8.9999999961491994E-3</v>
      </c>
    </row>
    <row r="204" spans="12:40" x14ac:dyDescent="0.2">
      <c r="L204" s="577">
        <f t="shared" si="37"/>
        <v>3.8049994167449454E-2</v>
      </c>
      <c r="M204" s="578">
        <f t="shared" si="38"/>
        <v>10.714997248211338</v>
      </c>
      <c r="N204" s="483">
        <f t="shared" si="39"/>
        <v>19469.150000000001</v>
      </c>
      <c r="P204" t="s">
        <v>591</v>
      </c>
      <c r="Q204" s="482">
        <v>1620</v>
      </c>
      <c r="R204" s="482">
        <v>1817</v>
      </c>
      <c r="S204" s="482">
        <v>1817</v>
      </c>
      <c r="T204" s="482"/>
      <c r="U204" s="592">
        <v>651516</v>
      </c>
      <c r="V204" s="483">
        <v>19469.150000000001</v>
      </c>
      <c r="W204" s="285">
        <v>24790.18</v>
      </c>
      <c r="X204" s="483">
        <v>17511.829999999998</v>
      </c>
      <c r="Y204" s="483"/>
      <c r="Z204" s="483">
        <v>61771.16</v>
      </c>
      <c r="AA204" s="483">
        <v>63825.71</v>
      </c>
      <c r="AB204" s="483">
        <v>2054.5499999999956</v>
      </c>
      <c r="AC204" s="575"/>
      <c r="AD204" s="575"/>
      <c r="AE204" s="575"/>
      <c r="AF204" s="580"/>
      <c r="AG204" s="580"/>
      <c r="AH204" s="580"/>
      <c r="AI204" s="575">
        <v>100</v>
      </c>
      <c r="AJ204" s="575"/>
      <c r="AK204" s="575">
        <f>U204*AK193</f>
        <v>1954.548</v>
      </c>
      <c r="AL204" s="575"/>
      <c r="AM204" s="575">
        <f t="shared" si="40"/>
        <v>2054.5479999999998</v>
      </c>
      <c r="AN204" s="285">
        <f t="shared" si="41"/>
        <v>-1.9999999958599801E-3</v>
      </c>
    </row>
    <row r="205" spans="12:40" x14ac:dyDescent="0.2">
      <c r="L205" s="577">
        <f t="shared" si="37"/>
        <v>3.8050004394917521E-2</v>
      </c>
      <c r="M205" s="578">
        <f t="shared" si="38"/>
        <v>10.714997081144192</v>
      </c>
      <c r="N205" s="483">
        <f t="shared" si="39"/>
        <v>18354.79</v>
      </c>
      <c r="O205">
        <f>$O$80</f>
        <v>12</v>
      </c>
      <c r="P205" t="s">
        <v>688</v>
      </c>
      <c r="Q205" s="482">
        <v>1620</v>
      </c>
      <c r="R205" s="482">
        <v>1713</v>
      </c>
      <c r="S205" s="482">
        <v>1713</v>
      </c>
      <c r="T205" s="482">
        <v>19</v>
      </c>
      <c r="U205" s="592">
        <v>511955</v>
      </c>
      <c r="V205" s="483">
        <v>18354.79</v>
      </c>
      <c r="W205" s="285">
        <v>19479.89</v>
      </c>
      <c r="X205" s="483">
        <v>7512.5199999999995</v>
      </c>
      <c r="Y205" s="483">
        <v>203.59</v>
      </c>
      <c r="Z205" s="483">
        <v>45550.789999999994</v>
      </c>
      <c r="AA205" s="483">
        <v>47186.65</v>
      </c>
      <c r="AB205" s="483">
        <v>1635.8600000000079</v>
      </c>
      <c r="AC205" s="575"/>
      <c r="AD205" s="575"/>
      <c r="AE205" s="575"/>
      <c r="AF205" s="580"/>
      <c r="AG205" s="580"/>
      <c r="AH205" s="580"/>
      <c r="AI205" s="575">
        <v>100</v>
      </c>
      <c r="AJ205" s="575"/>
      <c r="AK205" s="575">
        <f>U205*AK193</f>
        <v>1535.865</v>
      </c>
      <c r="AL205" s="575"/>
      <c r="AM205" s="575">
        <f t="shared" si="40"/>
        <v>1635.865</v>
      </c>
      <c r="AN205" s="285">
        <f t="shared" si="41"/>
        <v>4.9999999921510607E-3</v>
      </c>
    </row>
    <row r="206" spans="12:40" x14ac:dyDescent="0.2">
      <c r="R206" s="488" t="s">
        <v>487</v>
      </c>
      <c r="S206" s="488"/>
      <c r="T206" s="488" t="s">
        <v>487</v>
      </c>
      <c r="U206" s="488" t="s">
        <v>487</v>
      </c>
      <c r="V206" s="489" t="s">
        <v>487</v>
      </c>
      <c r="W206" s="489" t="s">
        <v>487</v>
      </c>
      <c r="X206" s="489" t="s">
        <v>487</v>
      </c>
      <c r="Y206" s="481" t="s">
        <v>487</v>
      </c>
      <c r="Z206" s="489" t="s">
        <v>487</v>
      </c>
      <c r="AA206" s="489" t="s">
        <v>487</v>
      </c>
      <c r="AB206" s="489" t="s">
        <v>487</v>
      </c>
      <c r="AC206" s="575"/>
      <c r="AD206" s="575"/>
      <c r="AE206" s="575"/>
      <c r="AF206" s="575"/>
      <c r="AG206" s="575"/>
      <c r="AH206" s="575"/>
      <c r="AI206" s="575"/>
      <c r="AJ206" s="575"/>
      <c r="AK206" s="575"/>
      <c r="AL206" s="575"/>
      <c r="AM206" s="575"/>
    </row>
    <row r="207" spans="12:40" x14ac:dyDescent="0.2">
      <c r="R207" s="482"/>
      <c r="S207" s="482"/>
      <c r="T207" s="482"/>
      <c r="U207" s="482"/>
      <c r="V207" s="483"/>
      <c r="W207" s="483"/>
      <c r="X207" s="483"/>
      <c r="Z207" s="483"/>
      <c r="AA207" s="483"/>
      <c r="AB207" s="483"/>
      <c r="AC207" s="575"/>
      <c r="AD207" s="575"/>
      <c r="AE207" s="575"/>
      <c r="AF207" s="575"/>
      <c r="AG207" s="575"/>
      <c r="AH207" s="575"/>
      <c r="AI207" s="575"/>
      <c r="AJ207" s="575"/>
      <c r="AK207" s="575"/>
      <c r="AL207" s="575"/>
      <c r="AM207" s="575"/>
    </row>
    <row r="208" spans="12:40" x14ac:dyDescent="0.2">
      <c r="R208" s="482">
        <f t="shared" ref="R208:AM208" si="42">SUM(R194:R205)</f>
        <v>20009</v>
      </c>
      <c r="S208" s="482"/>
      <c r="T208" s="482">
        <f t="shared" si="42"/>
        <v>222</v>
      </c>
      <c r="U208" s="482">
        <f t="shared" si="42"/>
        <v>6253769</v>
      </c>
      <c r="V208" s="483">
        <f t="shared" si="42"/>
        <v>217707.37</v>
      </c>
      <c r="W208" s="483">
        <f t="shared" si="42"/>
        <v>237955.90000000002</v>
      </c>
      <c r="X208" s="483">
        <f t="shared" si="42"/>
        <v>146209.03999999998</v>
      </c>
      <c r="Y208" s="483">
        <f t="shared" si="42"/>
        <v>2378.7400000000002</v>
      </c>
      <c r="Z208" s="483">
        <f t="shared" si="42"/>
        <v>604251.05000000005</v>
      </c>
      <c r="AA208" s="483">
        <f t="shared" si="42"/>
        <v>624212.36</v>
      </c>
      <c r="AB208" s="483">
        <f t="shared" si="42"/>
        <v>19961.310000000005</v>
      </c>
      <c r="AC208" s="584">
        <f t="shared" si="42"/>
        <v>0</v>
      </c>
      <c r="AD208" s="584">
        <f t="shared" si="42"/>
        <v>0</v>
      </c>
      <c r="AE208" s="584">
        <f t="shared" si="42"/>
        <v>0</v>
      </c>
      <c r="AF208" s="584">
        <f t="shared" si="42"/>
        <v>0</v>
      </c>
      <c r="AG208" s="584">
        <f t="shared" si="42"/>
        <v>0</v>
      </c>
      <c r="AH208" s="584">
        <f t="shared" si="42"/>
        <v>0</v>
      </c>
      <c r="AI208" s="584">
        <f t="shared" si="42"/>
        <v>1200</v>
      </c>
      <c r="AJ208" s="584">
        <f t="shared" si="42"/>
        <v>0</v>
      </c>
      <c r="AK208" s="584">
        <f t="shared" si="42"/>
        <v>18761.307000000004</v>
      </c>
      <c r="AL208" s="584">
        <f t="shared" si="42"/>
        <v>0</v>
      </c>
      <c r="AM208" s="584">
        <f t="shared" si="42"/>
        <v>19961.307000000004</v>
      </c>
    </row>
    <row r="209" spans="15:39" x14ac:dyDescent="0.2">
      <c r="R209" s="488" t="s">
        <v>501</v>
      </c>
      <c r="S209" s="488"/>
      <c r="T209" s="488" t="s">
        <v>501</v>
      </c>
      <c r="U209" s="488" t="s">
        <v>501</v>
      </c>
      <c r="V209" s="489" t="s">
        <v>501</v>
      </c>
      <c r="W209" s="489" t="s">
        <v>501</v>
      </c>
      <c r="X209" s="489" t="s">
        <v>501</v>
      </c>
      <c r="Y209" s="489" t="s">
        <v>501</v>
      </c>
      <c r="Z209" s="489" t="s">
        <v>501</v>
      </c>
      <c r="AA209" s="489" t="s">
        <v>501</v>
      </c>
      <c r="AB209" s="489" t="s">
        <v>501</v>
      </c>
      <c r="AC209" s="585" t="s">
        <v>501</v>
      </c>
      <c r="AD209" s="585" t="s">
        <v>501</v>
      </c>
      <c r="AE209" s="585" t="s">
        <v>501</v>
      </c>
      <c r="AF209" s="585" t="s">
        <v>501</v>
      </c>
      <c r="AG209" s="585" t="s">
        <v>501</v>
      </c>
      <c r="AH209" s="585" t="s">
        <v>501</v>
      </c>
      <c r="AI209" s="585" t="s">
        <v>501</v>
      </c>
      <c r="AJ209" s="585" t="s">
        <v>501</v>
      </c>
      <c r="AK209" s="585" t="s">
        <v>501</v>
      </c>
      <c r="AL209" s="585" t="s">
        <v>501</v>
      </c>
      <c r="AM209" s="585" t="s">
        <v>501</v>
      </c>
    </row>
    <row r="210" spans="15:39" x14ac:dyDescent="0.2">
      <c r="R210" s="270">
        <f>R208</f>
        <v>20009</v>
      </c>
      <c r="S210" s="270"/>
      <c r="T210">
        <v>10.715</v>
      </c>
      <c r="U210" s="285">
        <f>R210*T210</f>
        <v>214396.435</v>
      </c>
      <c r="V210" s="483">
        <f>AC208</f>
        <v>0</v>
      </c>
      <c r="W210" s="285">
        <f>U210+V210</f>
        <v>214396.435</v>
      </c>
      <c r="X210" s="483">
        <f>V208-W210</f>
        <v>3310.9349999999977</v>
      </c>
      <c r="Z210" s="495"/>
      <c r="AA210" s="495"/>
      <c r="AM210" s="483"/>
    </row>
    <row r="211" spans="15:39" x14ac:dyDescent="0.2">
      <c r="V211" s="483"/>
    </row>
    <row r="212" spans="15:39" x14ac:dyDescent="0.2">
      <c r="S212" s="183" t="s">
        <v>549</v>
      </c>
    </row>
    <row r="213" spans="15:39" x14ac:dyDescent="0.2">
      <c r="P213" s="183"/>
      <c r="Q213" s="183"/>
      <c r="R213" s="183" t="s">
        <v>550</v>
      </c>
      <c r="S213" s="183" t="s">
        <v>551</v>
      </c>
      <c r="T213" s="183" t="s">
        <v>552</v>
      </c>
      <c r="U213" s="183" t="s">
        <v>555</v>
      </c>
      <c r="V213" s="183" t="s">
        <v>596</v>
      </c>
      <c r="W213" s="183" t="s">
        <v>553</v>
      </c>
      <c r="X213" s="183" t="s">
        <v>554</v>
      </c>
      <c r="Y213" s="183" t="s">
        <v>556</v>
      </c>
      <c r="Z213" s="183"/>
      <c r="AA213" s="183"/>
      <c r="AB213" s="183"/>
      <c r="AD213" s="183"/>
      <c r="AE213" s="183"/>
      <c r="AF213" s="183"/>
      <c r="AG213" s="183"/>
      <c r="AH213" s="183"/>
    </row>
    <row r="214" spans="15:39" x14ac:dyDescent="0.2">
      <c r="P214" s="183"/>
      <c r="Q214" s="183"/>
      <c r="R214" s="521" t="s">
        <v>471</v>
      </c>
      <c r="S214" s="521" t="s">
        <v>558</v>
      </c>
      <c r="T214" s="521" t="s">
        <v>559</v>
      </c>
      <c r="U214" s="521" t="s">
        <v>562</v>
      </c>
      <c r="V214" s="521" t="s">
        <v>597</v>
      </c>
      <c r="W214" s="521" t="s">
        <v>560</v>
      </c>
      <c r="X214" s="521" t="s">
        <v>561</v>
      </c>
      <c r="Y214" s="521" t="s">
        <v>563</v>
      </c>
      <c r="Z214" s="183"/>
      <c r="AA214" s="183"/>
      <c r="AB214" s="183"/>
      <c r="AD214" s="183"/>
      <c r="AE214" s="183"/>
      <c r="AF214" s="183"/>
      <c r="AG214" s="183"/>
      <c r="AH214" s="183"/>
    </row>
    <row r="215" spans="15:39" x14ac:dyDescent="0.2">
      <c r="P215" s="183"/>
      <c r="Q215" s="183"/>
      <c r="R215" s="183"/>
      <c r="S215" s="183"/>
      <c r="T215" s="183"/>
      <c r="U215" s="183"/>
      <c r="V215" s="183"/>
      <c r="W215" s="183"/>
      <c r="X215" s="183"/>
      <c r="Y215" s="183"/>
      <c r="Z215" s="183"/>
      <c r="AA215" s="183"/>
      <c r="AB215" s="523" t="s">
        <v>84</v>
      </c>
      <c r="AD215" s="183"/>
      <c r="AE215" s="183"/>
      <c r="AF215" s="183"/>
      <c r="AG215" s="183"/>
      <c r="AH215" s="183"/>
    </row>
    <row r="216" spans="15:39" x14ac:dyDescent="0.2">
      <c r="O216">
        <f>$O$69</f>
        <v>1</v>
      </c>
      <c r="P216" t="s">
        <v>600</v>
      </c>
      <c r="R216" s="294">
        <v>11336.93</v>
      </c>
      <c r="S216" s="294">
        <v>1474.03</v>
      </c>
      <c r="T216" s="294">
        <v>2899.8</v>
      </c>
      <c r="U216" s="294">
        <v>-3141.72</v>
      </c>
      <c r="V216" s="294"/>
      <c r="W216" s="294"/>
      <c r="X216" s="294"/>
      <c r="Z216" s="294"/>
      <c r="AA216" s="294"/>
      <c r="AB216" s="285">
        <f t="shared" ref="AB216:AB227" si="43">SUM(R216:AA216)</f>
        <v>12569.040000000003</v>
      </c>
    </row>
    <row r="217" spans="15:39" x14ac:dyDescent="0.2">
      <c r="P217" t="s">
        <v>492</v>
      </c>
      <c r="R217" s="294">
        <v>8610.91</v>
      </c>
      <c r="S217" s="294">
        <v>1409.8</v>
      </c>
      <c r="T217" s="294">
        <v>3230.17</v>
      </c>
      <c r="U217" s="294">
        <v>-2918.73</v>
      </c>
      <c r="V217" s="294"/>
      <c r="W217" s="294"/>
      <c r="X217" s="294"/>
      <c r="Z217" s="294"/>
      <c r="AA217" s="294"/>
      <c r="AB217" s="285">
        <f t="shared" si="43"/>
        <v>10332.15</v>
      </c>
    </row>
    <row r="218" spans="15:39" x14ac:dyDescent="0.2">
      <c r="P218" t="s">
        <v>493</v>
      </c>
      <c r="R218" s="294">
        <v>9523.01</v>
      </c>
      <c r="S218" s="294">
        <v>1313.61</v>
      </c>
      <c r="T218" s="294">
        <v>2083.65</v>
      </c>
      <c r="U218" s="294">
        <v>-2656.79</v>
      </c>
      <c r="V218" s="294"/>
      <c r="W218" s="294"/>
      <c r="X218" s="294"/>
      <c r="Z218" s="294"/>
      <c r="AA218" s="294"/>
      <c r="AB218" s="285">
        <f t="shared" si="43"/>
        <v>10263.48</v>
      </c>
    </row>
    <row r="219" spans="15:39" x14ac:dyDescent="0.2">
      <c r="P219" t="s">
        <v>494</v>
      </c>
      <c r="R219" s="294">
        <v>3447.18</v>
      </c>
      <c r="S219" s="294">
        <v>1387.44</v>
      </c>
      <c r="T219" s="294">
        <v>2830.36</v>
      </c>
      <c r="U219" s="294">
        <v>-2656.56</v>
      </c>
      <c r="V219" s="294"/>
      <c r="W219" s="294"/>
      <c r="X219" s="294"/>
      <c r="Z219" s="294"/>
      <c r="AA219" s="294"/>
      <c r="AB219" s="285">
        <f t="shared" si="43"/>
        <v>5008.42</v>
      </c>
    </row>
    <row r="220" spans="15:39" x14ac:dyDescent="0.2">
      <c r="P220" t="s">
        <v>495</v>
      </c>
      <c r="R220" s="294">
        <v>10194.89</v>
      </c>
      <c r="S220" s="294">
        <v>1241.8599999999999</v>
      </c>
      <c r="T220" s="294">
        <v>2182.4</v>
      </c>
      <c r="U220" s="294">
        <v>-1903.33</v>
      </c>
      <c r="V220" s="294"/>
      <c r="W220" s="294"/>
      <c r="X220" s="294"/>
      <c r="Y220" s="294"/>
      <c r="Z220" s="294"/>
      <c r="AA220" s="294"/>
      <c r="AB220" s="285">
        <f t="shared" si="43"/>
        <v>11715.82</v>
      </c>
    </row>
    <row r="221" spans="15:39" x14ac:dyDescent="0.2">
      <c r="P221" t="s">
        <v>496</v>
      </c>
      <c r="R221" s="486">
        <v>11496.39</v>
      </c>
      <c r="S221" s="486">
        <v>1290.03</v>
      </c>
      <c r="T221" s="486">
        <v>2366.81</v>
      </c>
      <c r="U221" s="486">
        <v>-2297.37</v>
      </c>
      <c r="V221" s="486"/>
      <c r="W221" s="486"/>
      <c r="X221" s="486"/>
      <c r="Y221" s="486"/>
      <c r="Z221" s="294"/>
      <c r="AA221" s="294"/>
      <c r="AB221" s="285">
        <f t="shared" si="43"/>
        <v>12855.86</v>
      </c>
    </row>
    <row r="222" spans="15:39" x14ac:dyDescent="0.2">
      <c r="P222" t="s">
        <v>497</v>
      </c>
      <c r="R222" s="486">
        <v>13133.06</v>
      </c>
      <c r="S222" s="486">
        <v>2280.67</v>
      </c>
      <c r="T222" s="486">
        <v>1445.8</v>
      </c>
      <c r="U222" s="486">
        <v>-1724.86</v>
      </c>
      <c r="V222" s="486"/>
      <c r="W222" s="486"/>
      <c r="X222" s="486"/>
      <c r="Y222" s="486"/>
      <c r="Z222" s="294"/>
      <c r="AA222" s="294"/>
      <c r="AB222" s="285">
        <f t="shared" si="43"/>
        <v>15134.669999999998</v>
      </c>
    </row>
    <row r="223" spans="15:39" x14ac:dyDescent="0.2">
      <c r="P223" t="s">
        <v>498</v>
      </c>
      <c r="R223" s="486">
        <v>14236.7</v>
      </c>
      <c r="S223" s="486">
        <v>2967.75</v>
      </c>
      <c r="T223" s="486">
        <v>2292.2199999999998</v>
      </c>
      <c r="U223" s="486">
        <v>-2099.84</v>
      </c>
      <c r="V223" s="486"/>
      <c r="W223" s="486"/>
      <c r="X223" s="486"/>
      <c r="Y223" s="486"/>
      <c r="Z223" s="294"/>
      <c r="AA223" s="294"/>
      <c r="AB223" s="285">
        <f t="shared" si="43"/>
        <v>17396.830000000002</v>
      </c>
    </row>
    <row r="224" spans="15:39" x14ac:dyDescent="0.2">
      <c r="P224" t="s">
        <v>499</v>
      </c>
      <c r="R224" s="486">
        <v>11010.62</v>
      </c>
      <c r="S224" s="486">
        <v>2820.12</v>
      </c>
      <c r="T224" s="486">
        <v>1619.89</v>
      </c>
      <c r="U224" s="486">
        <v>-2269.88</v>
      </c>
      <c r="V224" s="486"/>
      <c r="W224" s="486"/>
      <c r="X224" s="486"/>
      <c r="Y224" s="486"/>
      <c r="Z224" s="294"/>
      <c r="AA224" s="294"/>
      <c r="AB224" s="285">
        <f t="shared" si="43"/>
        <v>13180.75</v>
      </c>
    </row>
    <row r="225" spans="12:40" x14ac:dyDescent="0.2">
      <c r="P225" t="s">
        <v>500</v>
      </c>
      <c r="R225" s="486">
        <v>9894.65</v>
      </c>
      <c r="S225" s="486">
        <v>2973.19</v>
      </c>
      <c r="T225" s="486">
        <v>2048.7600000000002</v>
      </c>
      <c r="U225" s="486">
        <v>-2188.9299999999998</v>
      </c>
      <c r="V225" s="486"/>
      <c r="W225" s="486"/>
      <c r="X225" s="486"/>
      <c r="Y225" s="486"/>
      <c r="Z225" s="294"/>
      <c r="AA225" s="294"/>
      <c r="AB225" s="285">
        <f t="shared" si="43"/>
        <v>12727.67</v>
      </c>
    </row>
    <row r="226" spans="12:40" x14ac:dyDescent="0.2">
      <c r="P226" t="str">
        <f t="shared" ref="P226:P227" si="44">P204</f>
        <v>JAN 2023</v>
      </c>
      <c r="R226" s="294">
        <v>9437.86</v>
      </c>
      <c r="S226" s="294">
        <v>3921.47</v>
      </c>
      <c r="T226" s="294">
        <v>6125.7</v>
      </c>
      <c r="U226" s="294">
        <v>-1973.2</v>
      </c>
      <c r="V226" s="294"/>
      <c r="W226" s="294"/>
      <c r="X226" s="294"/>
      <c r="Y226" s="294"/>
      <c r="Z226" s="294"/>
      <c r="AA226" s="294"/>
      <c r="AB226" s="285">
        <f t="shared" si="43"/>
        <v>17511.829999999998</v>
      </c>
    </row>
    <row r="227" spans="12:40" x14ac:dyDescent="0.2">
      <c r="O227">
        <f>$O$80</f>
        <v>12</v>
      </c>
      <c r="P227" t="str">
        <f t="shared" si="44"/>
        <v>FEB</v>
      </c>
      <c r="R227" s="294">
        <v>4009.63</v>
      </c>
      <c r="S227" s="294">
        <v>3081.46</v>
      </c>
      <c r="T227" s="294">
        <v>2257.73</v>
      </c>
      <c r="U227" s="294">
        <v>-1836.3</v>
      </c>
      <c r="V227" s="294"/>
      <c r="W227" s="294"/>
      <c r="X227" s="294"/>
      <c r="Y227" s="294"/>
      <c r="Z227" s="294"/>
      <c r="AA227" s="294"/>
      <c r="AB227" s="285">
        <f t="shared" si="43"/>
        <v>7512.5199999999995</v>
      </c>
    </row>
    <row r="228" spans="12:40" x14ac:dyDescent="0.2">
      <c r="R228" s="294"/>
      <c r="S228" s="294"/>
      <c r="T228" s="294"/>
      <c r="U228" s="294"/>
      <c r="V228" s="294"/>
      <c r="W228" s="294"/>
      <c r="X228" s="294"/>
      <c r="Y228" s="294"/>
      <c r="Z228" s="294"/>
      <c r="AA228" s="294"/>
      <c r="AB228" s="294"/>
      <c r="AC228" s="285"/>
    </row>
    <row r="229" spans="12:40" ht="13.5" thickBot="1" x14ac:dyDescent="0.25">
      <c r="P229" t="s">
        <v>65</v>
      </c>
      <c r="R229" s="542">
        <f t="shared" ref="R229" si="45">SUM(R216:R227)</f>
        <v>116331.82999999999</v>
      </c>
      <c r="S229" s="542"/>
      <c r="T229" s="542">
        <f t="shared" ref="T229:Z229" si="46">SUM(S216:S227)</f>
        <v>26161.429999999997</v>
      </c>
      <c r="U229" s="542">
        <f t="shared" si="46"/>
        <v>31383.29</v>
      </c>
      <c r="V229" s="542">
        <f t="shared" si="46"/>
        <v>-27667.510000000002</v>
      </c>
      <c r="W229" s="542">
        <f t="shared" si="46"/>
        <v>0</v>
      </c>
      <c r="X229" s="542">
        <f t="shared" si="46"/>
        <v>0</v>
      </c>
      <c r="Y229" s="542">
        <f t="shared" si="46"/>
        <v>0</v>
      </c>
      <c r="Z229" s="542">
        <f t="shared" si="46"/>
        <v>0</v>
      </c>
      <c r="AA229" s="294"/>
      <c r="AB229" s="294"/>
      <c r="AC229" s="542">
        <f>SUM(AB216:AB227)</f>
        <v>146209.03999999998</v>
      </c>
    </row>
    <row r="230" spans="12:40" ht="16.5" thickTop="1" x14ac:dyDescent="0.25">
      <c r="P230" s="524" t="s">
        <v>691</v>
      </c>
      <c r="Q230" s="479"/>
      <c r="R230" s="479"/>
      <c r="S230" s="479"/>
      <c r="AC230" s="573"/>
      <c r="AD230" s="573"/>
      <c r="AE230" s="574" t="s">
        <v>659</v>
      </c>
      <c r="AF230" s="573"/>
      <c r="AG230" s="573"/>
      <c r="AH230" s="573"/>
      <c r="AI230" s="573"/>
      <c r="AJ230" s="573"/>
      <c r="AK230" s="573"/>
      <c r="AL230" s="573"/>
      <c r="AM230" s="575"/>
    </row>
    <row r="231" spans="12:40" x14ac:dyDescent="0.2">
      <c r="X231" s="183" t="s">
        <v>466</v>
      </c>
      <c r="AC231" s="575"/>
      <c r="AD231" s="573"/>
      <c r="AE231" s="574" t="s">
        <v>662</v>
      </c>
      <c r="AF231" s="573"/>
      <c r="AG231" s="573"/>
      <c r="AH231" s="575"/>
      <c r="AI231" s="573"/>
      <c r="AJ231" s="573"/>
      <c r="AK231" s="573"/>
      <c r="AL231" s="574" t="s">
        <v>663</v>
      </c>
      <c r="AM231" s="575"/>
    </row>
    <row r="232" spans="12:40" x14ac:dyDescent="0.2">
      <c r="Q232" s="183" t="s">
        <v>664</v>
      </c>
      <c r="R232" s="183" t="s">
        <v>469</v>
      </c>
      <c r="S232" s="183"/>
      <c r="T232" s="183" t="s">
        <v>470</v>
      </c>
      <c r="X232" s="183" t="s">
        <v>471</v>
      </c>
      <c r="Y232" s="183" t="s">
        <v>470</v>
      </c>
      <c r="AC232" s="574" t="s">
        <v>668</v>
      </c>
      <c r="AD232" s="573" t="s">
        <v>117</v>
      </c>
      <c r="AE232" s="574" t="s">
        <v>669</v>
      </c>
      <c r="AF232" s="574" t="s">
        <v>670</v>
      </c>
      <c r="AG232" s="574" t="s">
        <v>671</v>
      </c>
      <c r="AH232" s="574" t="s">
        <v>672</v>
      </c>
      <c r="AI232" s="574" t="s">
        <v>118</v>
      </c>
      <c r="AJ232" s="574" t="s">
        <v>673</v>
      </c>
      <c r="AK232" s="573" t="s">
        <v>284</v>
      </c>
      <c r="AL232" s="574" t="s">
        <v>674</v>
      </c>
      <c r="AM232" s="575"/>
    </row>
    <row r="233" spans="12:40" x14ac:dyDescent="0.2">
      <c r="Q233" s="183" t="s">
        <v>474</v>
      </c>
      <c r="R233" s="183" t="s">
        <v>475</v>
      </c>
      <c r="S233" s="183"/>
      <c r="T233" s="183" t="s">
        <v>475</v>
      </c>
      <c r="U233" s="183" t="s">
        <v>476</v>
      </c>
      <c r="V233" s="183" t="s">
        <v>477</v>
      </c>
      <c r="W233" s="183" t="s">
        <v>478</v>
      </c>
      <c r="X233" s="183" t="s">
        <v>479</v>
      </c>
      <c r="Y233" s="183" t="s">
        <v>480</v>
      </c>
      <c r="Z233" s="183" t="s">
        <v>481</v>
      </c>
      <c r="AA233" s="183" t="s">
        <v>482</v>
      </c>
      <c r="AB233" s="183" t="s">
        <v>483</v>
      </c>
      <c r="AC233" s="574" t="s">
        <v>606</v>
      </c>
      <c r="AD233" s="574" t="s">
        <v>676</v>
      </c>
      <c r="AE233" s="574" t="s">
        <v>668</v>
      </c>
      <c r="AF233" s="574" t="s">
        <v>117</v>
      </c>
      <c r="AG233" s="574" t="s">
        <v>117</v>
      </c>
      <c r="AH233" s="573" t="s">
        <v>677</v>
      </c>
      <c r="AI233" s="574" t="s">
        <v>669</v>
      </c>
      <c r="AJ233" s="574" t="s">
        <v>678</v>
      </c>
      <c r="AK233" s="573" t="s">
        <v>679</v>
      </c>
      <c r="AL233" s="574" t="s">
        <v>680</v>
      </c>
      <c r="AM233" s="573" t="s">
        <v>84</v>
      </c>
    </row>
    <row r="234" spans="12:40" x14ac:dyDescent="0.2">
      <c r="P234" s="481" t="s">
        <v>487</v>
      </c>
      <c r="Q234" s="481"/>
      <c r="R234" s="481" t="s">
        <v>487</v>
      </c>
      <c r="S234" s="481"/>
      <c r="T234" s="481" t="s">
        <v>487</v>
      </c>
      <c r="U234" s="481" t="s">
        <v>487</v>
      </c>
      <c r="V234" s="481" t="s">
        <v>487</v>
      </c>
      <c r="W234" s="481" t="s">
        <v>487</v>
      </c>
      <c r="X234" s="481" t="s">
        <v>487</v>
      </c>
      <c r="Y234" s="481" t="s">
        <v>487</v>
      </c>
      <c r="Z234" s="481" t="s">
        <v>487</v>
      </c>
      <c r="AA234" s="481" t="s">
        <v>487</v>
      </c>
      <c r="AB234" s="481" t="s">
        <v>487</v>
      </c>
      <c r="AC234" s="576" t="s">
        <v>487</v>
      </c>
      <c r="AD234" s="576" t="s">
        <v>487</v>
      </c>
      <c r="AE234" s="576" t="s">
        <v>487</v>
      </c>
      <c r="AF234" s="576" t="s">
        <v>487</v>
      </c>
      <c r="AG234" s="576" t="s">
        <v>487</v>
      </c>
      <c r="AH234" s="576" t="s">
        <v>487</v>
      </c>
      <c r="AI234" s="576" t="s">
        <v>487</v>
      </c>
      <c r="AJ234" s="576" t="s">
        <v>487</v>
      </c>
      <c r="AK234" s="576" t="s">
        <v>487</v>
      </c>
      <c r="AL234" s="576" t="s">
        <v>487</v>
      </c>
      <c r="AM234" s="576" t="s">
        <v>487</v>
      </c>
    </row>
    <row r="235" spans="12:40" x14ac:dyDescent="0.2">
      <c r="V235" s="483"/>
      <c r="W235" s="483"/>
      <c r="X235" s="483"/>
      <c r="Z235" s="483"/>
      <c r="AC235" s="575"/>
      <c r="AD235" s="575"/>
      <c r="AE235" s="575"/>
      <c r="AF235" s="575"/>
      <c r="AG235" s="575"/>
      <c r="AH235" s="575"/>
      <c r="AI235" s="575"/>
      <c r="AJ235" s="575"/>
      <c r="AK235" s="575">
        <v>3.0000000000000001E-3</v>
      </c>
      <c r="AL235" s="575"/>
      <c r="AM235" s="575"/>
    </row>
    <row r="236" spans="12:40" x14ac:dyDescent="0.2">
      <c r="L236" s="577">
        <f>W236/U236</f>
        <v>3.8049940546967892E-2</v>
      </c>
      <c r="M236" s="578">
        <f t="shared" ref="M236:M247" si="47">N236/R236</f>
        <v>163.33841463414635</v>
      </c>
      <c r="N236" s="483">
        <f t="shared" ref="N236:N247" si="48">V236-AC236</f>
        <v>26787.5</v>
      </c>
      <c r="O236">
        <f>$O$69</f>
        <v>1</v>
      </c>
      <c r="P236" t="s">
        <v>600</v>
      </c>
      <c r="Q236">
        <v>2500</v>
      </c>
      <c r="R236" s="482">
        <v>164</v>
      </c>
      <c r="S236" s="482">
        <v>2500</v>
      </c>
      <c r="T236" s="527"/>
      <c r="U236" s="482">
        <v>78213</v>
      </c>
      <c r="V236" s="483">
        <v>27083.06</v>
      </c>
      <c r="W236" s="483">
        <v>2976</v>
      </c>
      <c r="X236" s="285">
        <v>2965.1499999999996</v>
      </c>
      <c r="Y236" s="483"/>
      <c r="Z236" s="483">
        <v>33024.21</v>
      </c>
      <c r="AA236" s="483">
        <v>33358.85</v>
      </c>
      <c r="AB236" s="483">
        <v>334.63999999999942</v>
      </c>
      <c r="AC236">
        <v>295.56</v>
      </c>
      <c r="AD236" s="575"/>
      <c r="AE236" s="575"/>
      <c r="AF236" s="575"/>
      <c r="AG236" s="575"/>
      <c r="AH236" s="580"/>
      <c r="AI236" s="575">
        <v>100</v>
      </c>
      <c r="AJ236" s="575"/>
      <c r="AK236" s="575">
        <f>U236*AK235</f>
        <v>234.63900000000001</v>
      </c>
      <c r="AL236" s="575"/>
      <c r="AM236" s="575">
        <f>SUM(AI236:AL236)</f>
        <v>334.63900000000001</v>
      </c>
      <c r="AN236" s="285">
        <f>AM236-AB236</f>
        <v>-9.9999999940791895E-4</v>
      </c>
    </row>
    <row r="237" spans="12:40" x14ac:dyDescent="0.2">
      <c r="L237" s="577">
        <f t="shared" ref="L237:L247" si="49">W237/U237</f>
        <v>3.8050017839621801E-2</v>
      </c>
      <c r="M237" s="578">
        <f t="shared" si="47"/>
        <v>146.37978142076503</v>
      </c>
      <c r="N237" s="483">
        <f t="shared" si="48"/>
        <v>26787.5</v>
      </c>
      <c r="P237" t="s">
        <v>492</v>
      </c>
      <c r="Q237">
        <v>2500</v>
      </c>
      <c r="R237" s="482">
        <v>183</v>
      </c>
      <c r="S237" s="482">
        <v>2500</v>
      </c>
      <c r="T237" s="527"/>
      <c r="U237" s="482">
        <v>89688</v>
      </c>
      <c r="V237" s="483">
        <v>27114.85</v>
      </c>
      <c r="W237" s="483">
        <v>3412.63</v>
      </c>
      <c r="X237" s="285">
        <v>3196.92</v>
      </c>
      <c r="Y237" s="483"/>
      <c r="Z237" s="483">
        <v>33724.400000000001</v>
      </c>
      <c r="AA237" s="483">
        <v>34093.46</v>
      </c>
      <c r="AB237" s="483">
        <v>369.05999999999767</v>
      </c>
      <c r="AC237">
        <v>327.35000000000002</v>
      </c>
      <c r="AD237" s="575"/>
      <c r="AE237" s="575"/>
      <c r="AF237" s="575"/>
      <c r="AG237" s="575"/>
      <c r="AH237" s="580"/>
      <c r="AI237" s="575">
        <v>100</v>
      </c>
      <c r="AJ237" s="575"/>
      <c r="AK237" s="575">
        <f>U237*AK235</f>
        <v>269.06400000000002</v>
      </c>
      <c r="AL237" s="575"/>
      <c r="AM237" s="575">
        <f t="shared" ref="AM237:AM246" si="50">SUM(AI237:AL237)</f>
        <v>369.06400000000002</v>
      </c>
      <c r="AN237" s="285">
        <f t="shared" ref="AN237:AN247" si="51">AM237-AB237</f>
        <v>4.0000000023496796E-3</v>
      </c>
    </row>
    <row r="238" spans="12:40" x14ac:dyDescent="0.2">
      <c r="L238" s="577">
        <f t="shared" si="49"/>
        <v>3.8049985895627643E-2</v>
      </c>
      <c r="M238" s="578">
        <f t="shared" si="47"/>
        <v>146.37978142076503</v>
      </c>
      <c r="N238" s="483">
        <f t="shared" si="48"/>
        <v>26787.5</v>
      </c>
      <c r="P238" t="s">
        <v>493</v>
      </c>
      <c r="Q238">
        <v>2500</v>
      </c>
      <c r="R238" s="482">
        <v>183</v>
      </c>
      <c r="S238" s="482">
        <v>2500</v>
      </c>
      <c r="T238" s="482"/>
      <c r="U238" s="482">
        <v>88625</v>
      </c>
      <c r="V238" s="483">
        <v>27162.91</v>
      </c>
      <c r="W238" s="483">
        <v>3372.18</v>
      </c>
      <c r="X238" s="285">
        <v>2756.3500000000004</v>
      </c>
      <c r="Y238" s="483"/>
      <c r="Z238" s="483">
        <v>33291.440000000002</v>
      </c>
      <c r="AA238" s="483">
        <v>33657.32</v>
      </c>
      <c r="AB238" s="483">
        <v>365.87999999999738</v>
      </c>
      <c r="AC238">
        <v>375.41</v>
      </c>
      <c r="AD238" s="575"/>
      <c r="AE238" s="575"/>
      <c r="AF238" s="575"/>
      <c r="AG238" s="575"/>
      <c r="AH238" s="580"/>
      <c r="AI238" s="575">
        <v>100</v>
      </c>
      <c r="AJ238" s="575"/>
      <c r="AK238" s="575">
        <f>U238*AK235</f>
        <v>265.875</v>
      </c>
      <c r="AL238" s="575"/>
      <c r="AM238" s="575">
        <f t="shared" si="50"/>
        <v>365.875</v>
      </c>
      <c r="AN238" s="285">
        <f t="shared" si="51"/>
        <v>-4.9999999973806553E-3</v>
      </c>
    </row>
    <row r="239" spans="12:40" x14ac:dyDescent="0.2">
      <c r="L239" s="577">
        <f t="shared" si="49"/>
        <v>3.8049986052998606E-2</v>
      </c>
      <c r="M239" s="578">
        <f t="shared" si="47"/>
        <v>146.37978142076503</v>
      </c>
      <c r="N239" s="483">
        <f t="shared" si="48"/>
        <v>26787.5</v>
      </c>
      <c r="P239" t="s">
        <v>494</v>
      </c>
      <c r="Q239">
        <v>2500</v>
      </c>
      <c r="R239" s="482">
        <v>183</v>
      </c>
      <c r="S239" s="482">
        <v>2500</v>
      </c>
      <c r="T239" s="482"/>
      <c r="U239" s="482">
        <v>89625</v>
      </c>
      <c r="V239" s="483">
        <v>27117.85</v>
      </c>
      <c r="W239" s="483">
        <v>3410.23</v>
      </c>
      <c r="X239" s="285">
        <v>2328.86</v>
      </c>
      <c r="Y239" s="483"/>
      <c r="Z239" s="483">
        <v>32856.939999999995</v>
      </c>
      <c r="AA239" s="483">
        <v>33225.82</v>
      </c>
      <c r="AB239" s="483">
        <v>368.88000000000466</v>
      </c>
      <c r="AC239">
        <v>330.35</v>
      </c>
      <c r="AD239" s="575"/>
      <c r="AE239" s="575"/>
      <c r="AF239" s="575"/>
      <c r="AG239" s="575"/>
      <c r="AH239" s="580"/>
      <c r="AI239" s="575">
        <v>100</v>
      </c>
      <c r="AJ239" s="575"/>
      <c r="AK239" s="575">
        <f>U239*AK235</f>
        <v>268.875</v>
      </c>
      <c r="AL239" s="575"/>
      <c r="AM239" s="575">
        <f t="shared" si="50"/>
        <v>368.875</v>
      </c>
      <c r="AN239" s="285">
        <f t="shared" si="51"/>
        <v>-5.0000000046566129E-3</v>
      </c>
    </row>
    <row r="240" spans="12:40" x14ac:dyDescent="0.2">
      <c r="L240" s="577">
        <f t="shared" si="49"/>
        <v>3.8050063535873854E-2</v>
      </c>
      <c r="M240" s="578">
        <f t="shared" si="47"/>
        <v>202.93560606060606</v>
      </c>
      <c r="N240" s="483">
        <f t="shared" si="48"/>
        <v>26787.5</v>
      </c>
      <c r="P240" t="s">
        <v>495</v>
      </c>
      <c r="Q240">
        <v>2500</v>
      </c>
      <c r="R240" s="482">
        <v>132</v>
      </c>
      <c r="S240" s="482">
        <v>2500</v>
      </c>
      <c r="T240" s="482"/>
      <c r="U240" s="482">
        <v>73187</v>
      </c>
      <c r="V240" s="483">
        <v>27143.27</v>
      </c>
      <c r="W240" s="483">
        <v>2784.77</v>
      </c>
      <c r="X240" s="285">
        <v>2829.11</v>
      </c>
      <c r="Y240" s="483"/>
      <c r="Z240" s="483">
        <v>32757.15</v>
      </c>
      <c r="AA240" s="483">
        <v>33076.71</v>
      </c>
      <c r="AB240" s="483">
        <v>319.55999999999767</v>
      </c>
      <c r="AC240">
        <v>355.77</v>
      </c>
      <c r="AD240" s="575"/>
      <c r="AE240" s="575"/>
      <c r="AF240" s="575"/>
      <c r="AG240" s="575"/>
      <c r="AH240" s="580"/>
      <c r="AI240" s="575">
        <v>100</v>
      </c>
      <c r="AJ240" s="575"/>
      <c r="AK240" s="575">
        <f>U240*AK235</f>
        <v>219.56100000000001</v>
      </c>
      <c r="AL240" s="575"/>
      <c r="AM240" s="575">
        <f t="shared" si="50"/>
        <v>319.56100000000004</v>
      </c>
      <c r="AN240" s="285">
        <f t="shared" si="51"/>
        <v>1.0000000023637767E-3</v>
      </c>
    </row>
    <row r="241" spans="12:40" x14ac:dyDescent="0.2">
      <c r="L241" s="577">
        <f t="shared" si="49"/>
        <v>3.8049937845026936E-2</v>
      </c>
      <c r="M241" s="578">
        <f t="shared" si="47"/>
        <v>212.59920634920636</v>
      </c>
      <c r="N241" s="483">
        <f t="shared" si="48"/>
        <v>26787.5</v>
      </c>
      <c r="P241" t="s">
        <v>496</v>
      </c>
      <c r="Q241">
        <v>2500</v>
      </c>
      <c r="R241" s="482">
        <v>126</v>
      </c>
      <c r="S241" s="482">
        <v>2500</v>
      </c>
      <c r="T241" s="482"/>
      <c r="U241" s="482">
        <v>74813</v>
      </c>
      <c r="V241" s="483">
        <v>27109.9</v>
      </c>
      <c r="W241" s="483">
        <v>2846.63</v>
      </c>
      <c r="X241" s="285">
        <v>3011.46</v>
      </c>
      <c r="Y241" s="483"/>
      <c r="Z241" s="483">
        <v>32967.990000000005</v>
      </c>
      <c r="AA241" s="483">
        <v>33292.43</v>
      </c>
      <c r="AB241" s="483">
        <v>324.43999999999505</v>
      </c>
      <c r="AC241">
        <v>322.39999999999998</v>
      </c>
      <c r="AD241" s="575"/>
      <c r="AE241" s="575"/>
      <c r="AF241" s="575"/>
      <c r="AG241" s="575"/>
      <c r="AH241" s="580"/>
      <c r="AI241" s="575">
        <v>100</v>
      </c>
      <c r="AJ241" s="575"/>
      <c r="AK241" s="575">
        <f>U241*AK235</f>
        <v>224.43899999999999</v>
      </c>
      <c r="AL241" s="575"/>
      <c r="AM241" s="575">
        <f t="shared" si="50"/>
        <v>324.43899999999996</v>
      </c>
      <c r="AN241" s="285">
        <f t="shared" si="51"/>
        <v>-9.9999999508781912E-4</v>
      </c>
    </row>
    <row r="242" spans="12:40" x14ac:dyDescent="0.2">
      <c r="L242" s="577">
        <f t="shared" si="49"/>
        <v>3.8049959922840458E-2</v>
      </c>
      <c r="M242" s="578">
        <f t="shared" si="47"/>
        <v>86.690938511326863</v>
      </c>
      <c r="N242" s="483">
        <f t="shared" si="48"/>
        <v>26787.5</v>
      </c>
      <c r="P242" t="s">
        <v>497</v>
      </c>
      <c r="Q242">
        <v>2500</v>
      </c>
      <c r="R242" s="482">
        <v>309</v>
      </c>
      <c r="S242" s="482">
        <v>2500</v>
      </c>
      <c r="T242" s="482"/>
      <c r="U242" s="482">
        <v>113531</v>
      </c>
      <c r="V242" s="483">
        <v>27135.18</v>
      </c>
      <c r="W242" s="483">
        <v>4319.8500000000004</v>
      </c>
      <c r="X242" s="285">
        <v>5196.08</v>
      </c>
      <c r="Y242" s="483"/>
      <c r="Z242" s="483">
        <v>36651.11</v>
      </c>
      <c r="AA242" s="483">
        <v>37091.71</v>
      </c>
      <c r="AB242" s="483">
        <v>440.59999999999854</v>
      </c>
      <c r="AC242">
        <v>347.68</v>
      </c>
      <c r="AD242" s="575"/>
      <c r="AE242" s="575"/>
      <c r="AF242" s="575"/>
      <c r="AG242" s="575"/>
      <c r="AH242" s="580"/>
      <c r="AI242" s="575">
        <v>100</v>
      </c>
      <c r="AJ242" s="575"/>
      <c r="AK242" s="575">
        <f>U242*AK235</f>
        <v>340.59300000000002</v>
      </c>
      <c r="AL242" s="575"/>
      <c r="AM242" s="575">
        <f t="shared" si="50"/>
        <v>440.59300000000002</v>
      </c>
      <c r="AN242" s="285">
        <f t="shared" si="51"/>
        <v>-6.9999999985270733E-3</v>
      </c>
    </row>
    <row r="243" spans="12:40" x14ac:dyDescent="0.2">
      <c r="L243" s="577">
        <f t="shared" si="49"/>
        <v>3.8049986326417894E-2</v>
      </c>
      <c r="M243" s="578">
        <f t="shared" si="47"/>
        <v>83.450155763239877</v>
      </c>
      <c r="N243" s="483">
        <f t="shared" si="48"/>
        <v>26787.5</v>
      </c>
      <c r="P243" t="s">
        <v>498</v>
      </c>
      <c r="Q243">
        <v>2500</v>
      </c>
      <c r="R243" s="482">
        <v>321</v>
      </c>
      <c r="S243" s="482">
        <v>2500</v>
      </c>
      <c r="T243" s="482"/>
      <c r="U243" s="482">
        <v>186491</v>
      </c>
      <c r="V243" s="483">
        <v>27517.63</v>
      </c>
      <c r="W243" s="483">
        <v>7095.98</v>
      </c>
      <c r="X243" s="285">
        <v>7393.23</v>
      </c>
      <c r="Y243" s="483"/>
      <c r="Z243" s="483">
        <v>42006.84</v>
      </c>
      <c r="AA243" s="483">
        <v>42666.32</v>
      </c>
      <c r="AB243" s="483">
        <v>659.4800000000032</v>
      </c>
      <c r="AC243">
        <v>730.13</v>
      </c>
      <c r="AD243" s="575"/>
      <c r="AE243" s="575"/>
      <c r="AF243" s="575"/>
      <c r="AG243" s="575"/>
      <c r="AH243" s="580"/>
      <c r="AI243" s="575">
        <v>100</v>
      </c>
      <c r="AJ243" s="575"/>
      <c r="AK243" s="575">
        <f>U243*AK235</f>
        <v>559.47299999999996</v>
      </c>
      <c r="AL243" s="575"/>
      <c r="AM243" s="575">
        <f t="shared" si="50"/>
        <v>659.47299999999996</v>
      </c>
      <c r="AN243" s="285">
        <f t="shared" si="51"/>
        <v>-7.0000000032450771E-3</v>
      </c>
    </row>
    <row r="244" spans="12:40" x14ac:dyDescent="0.2">
      <c r="L244" s="577">
        <f t="shared" si="49"/>
        <v>3.8050006464124111E-2</v>
      </c>
      <c r="M244" s="578">
        <f t="shared" si="47"/>
        <v>75.885269121813025</v>
      </c>
      <c r="N244" s="483">
        <f t="shared" si="48"/>
        <v>26787.5</v>
      </c>
      <c r="P244" t="s">
        <v>499</v>
      </c>
      <c r="Q244">
        <v>2500</v>
      </c>
      <c r="R244" s="482">
        <v>353</v>
      </c>
      <c r="S244" s="482">
        <v>2500</v>
      </c>
      <c r="T244" s="482"/>
      <c r="U244" s="482">
        <v>193375</v>
      </c>
      <c r="V244" s="483">
        <v>27714.04</v>
      </c>
      <c r="W244" s="483">
        <v>7357.92</v>
      </c>
      <c r="X244" s="285">
        <v>6085.7400000000007</v>
      </c>
      <c r="Y244" s="483"/>
      <c r="Z244" s="483">
        <v>41157.699999999997</v>
      </c>
      <c r="AA244" s="483">
        <v>41837.82</v>
      </c>
      <c r="AB244" s="483">
        <v>680.12000000000262</v>
      </c>
      <c r="AC244">
        <v>926.54000000000008</v>
      </c>
      <c r="AD244" s="575"/>
      <c r="AE244" s="575"/>
      <c r="AF244" s="575"/>
      <c r="AG244" s="575"/>
      <c r="AH244" s="580"/>
      <c r="AI244" s="575">
        <v>100</v>
      </c>
      <c r="AJ244" s="575"/>
      <c r="AK244" s="575">
        <f>U244*AK235</f>
        <v>580.125</v>
      </c>
      <c r="AL244" s="575"/>
      <c r="AM244" s="575">
        <f t="shared" si="50"/>
        <v>680.125</v>
      </c>
      <c r="AN244" s="285">
        <f t="shared" si="51"/>
        <v>4.9999999973806553E-3</v>
      </c>
    </row>
    <row r="245" spans="12:40" x14ac:dyDescent="0.2">
      <c r="L245" s="577">
        <f t="shared" si="49"/>
        <v>3.8049968847352025E-2</v>
      </c>
      <c r="M245" s="578">
        <f t="shared" si="47"/>
        <v>78.786176470588231</v>
      </c>
      <c r="N245" s="483">
        <f t="shared" si="48"/>
        <v>26787.3</v>
      </c>
      <c r="P245" t="s">
        <v>500</v>
      </c>
      <c r="Q245">
        <v>2500</v>
      </c>
      <c r="R245" s="482">
        <v>340</v>
      </c>
      <c r="S245" s="482">
        <v>2500</v>
      </c>
      <c r="T245" s="482"/>
      <c r="U245" s="482">
        <v>160500</v>
      </c>
      <c r="V245" s="483">
        <v>27707.759999999998</v>
      </c>
      <c r="W245" s="483">
        <v>6107.02</v>
      </c>
      <c r="X245" s="285">
        <v>4978.7299999999996</v>
      </c>
      <c r="Y245" s="483"/>
      <c r="Z245" s="483">
        <v>38793.509999999995</v>
      </c>
      <c r="AA245" s="483">
        <v>39375.22</v>
      </c>
      <c r="AB245" s="483">
        <v>581.7100000000064</v>
      </c>
      <c r="AC245">
        <v>920.46</v>
      </c>
      <c r="AD245" s="575"/>
      <c r="AE245" s="575"/>
      <c r="AF245" s="580"/>
      <c r="AG245" s="580"/>
      <c r="AH245" s="580"/>
      <c r="AI245" s="575">
        <v>100</v>
      </c>
      <c r="AJ245" s="575"/>
      <c r="AK245" s="575">
        <f>U245*AK235</f>
        <v>481.5</v>
      </c>
      <c r="AL245" s="575"/>
      <c r="AM245" s="575">
        <f t="shared" si="50"/>
        <v>581.5</v>
      </c>
      <c r="AN245" s="285">
        <f t="shared" si="51"/>
        <v>-0.21000000000640284</v>
      </c>
    </row>
    <row r="246" spans="12:40" x14ac:dyDescent="0.2">
      <c r="L246" s="577">
        <f t="shared" si="49"/>
        <v>3.805003106459387E-2</v>
      </c>
      <c r="M246" s="578">
        <f t="shared" si="47"/>
        <v>70.866402116402114</v>
      </c>
      <c r="N246" s="483">
        <f t="shared" si="48"/>
        <v>26787.5</v>
      </c>
      <c r="P246" s="327" t="s">
        <v>545</v>
      </c>
      <c r="Q246">
        <v>2500</v>
      </c>
      <c r="R246" s="482">
        <v>378</v>
      </c>
      <c r="S246" s="482">
        <v>2500</v>
      </c>
      <c r="T246" s="527"/>
      <c r="U246" s="482">
        <v>146469</v>
      </c>
      <c r="V246" s="483">
        <v>27490.92</v>
      </c>
      <c r="W246" s="483">
        <v>5573.15</v>
      </c>
      <c r="X246" s="285">
        <f t="shared" ref="X246:X247" si="52">SUM(R268:Y268)</f>
        <v>6319.4599999999991</v>
      </c>
      <c r="Y246" s="483"/>
      <c r="Z246" s="483">
        <f t="shared" ref="Z246:Z247" si="53">SUM(V246:Y246)</f>
        <v>39383.53</v>
      </c>
      <c r="AA246" s="483">
        <v>39922.93</v>
      </c>
      <c r="AB246" s="483">
        <f t="shared" ref="AB246:AB247" si="54">AA246-Z246</f>
        <v>539.40000000000146</v>
      </c>
      <c r="AC246" s="593">
        <f>514.98+188.44</f>
        <v>703.42000000000007</v>
      </c>
      <c r="AD246" s="575"/>
      <c r="AE246" s="575"/>
      <c r="AF246" s="580"/>
      <c r="AG246" s="580"/>
      <c r="AH246" s="580"/>
      <c r="AI246" s="575">
        <v>100</v>
      </c>
      <c r="AJ246" s="575"/>
      <c r="AK246" s="575">
        <f>U246*AK235</f>
        <v>439.40699999999998</v>
      </c>
      <c r="AL246" s="575"/>
      <c r="AM246" s="575">
        <f t="shared" si="50"/>
        <v>539.40699999999993</v>
      </c>
      <c r="AN246" s="285">
        <f t="shared" si="51"/>
        <v>6.9999999984702299E-3</v>
      </c>
    </row>
    <row r="247" spans="12:40" x14ac:dyDescent="0.2">
      <c r="L247" s="577">
        <f t="shared" si="49"/>
        <v>3.8049977382698448E-2</v>
      </c>
      <c r="M247" s="578">
        <f t="shared" si="47"/>
        <v>66.470223325062037</v>
      </c>
      <c r="N247" s="483">
        <f t="shared" si="48"/>
        <v>26787.5</v>
      </c>
      <c r="O247">
        <f>$O$80</f>
        <v>12</v>
      </c>
      <c r="P247" t="s">
        <v>688</v>
      </c>
      <c r="Q247">
        <v>2500</v>
      </c>
      <c r="R247" s="482">
        <v>403</v>
      </c>
      <c r="S247" s="482">
        <v>2500</v>
      </c>
      <c r="T247" s="527"/>
      <c r="U247" s="482">
        <v>145906</v>
      </c>
      <c r="V247" s="483">
        <v>27478.48</v>
      </c>
      <c r="W247" s="483">
        <v>5551.72</v>
      </c>
      <c r="X247" s="285">
        <f t="shared" si="52"/>
        <v>3224.37</v>
      </c>
      <c r="Y247" s="483"/>
      <c r="Z247" s="483">
        <f t="shared" si="53"/>
        <v>36254.57</v>
      </c>
      <c r="AA247" s="483">
        <v>36792.29</v>
      </c>
      <c r="AB247" s="483">
        <f t="shared" si="54"/>
        <v>537.72000000000116</v>
      </c>
      <c r="AC247" s="593">
        <f>505.95+185.03</f>
        <v>690.98</v>
      </c>
      <c r="AD247" s="575"/>
      <c r="AE247" s="575"/>
      <c r="AF247" s="580"/>
      <c r="AG247" s="580"/>
      <c r="AH247" s="580"/>
      <c r="AI247" s="575">
        <v>100</v>
      </c>
      <c r="AJ247" s="575"/>
      <c r="AK247" s="575">
        <f>U247*AK235</f>
        <v>437.71800000000002</v>
      </c>
      <c r="AL247" s="575"/>
      <c r="AM247" s="575">
        <f>SUM(AI247:AL247)</f>
        <v>537.71800000000007</v>
      </c>
      <c r="AN247" s="285">
        <f t="shared" si="51"/>
        <v>-2.0000000010895747E-3</v>
      </c>
    </row>
    <row r="248" spans="12:40" x14ac:dyDescent="0.2">
      <c r="R248" s="489" t="s">
        <v>487</v>
      </c>
      <c r="S248" s="489"/>
      <c r="T248" s="489" t="s">
        <v>487</v>
      </c>
      <c r="U248" s="489" t="s">
        <v>487</v>
      </c>
      <c r="V248" s="489" t="s">
        <v>487</v>
      </c>
      <c r="W248" s="489" t="s">
        <v>487</v>
      </c>
      <c r="X248" s="489" t="s">
        <v>487</v>
      </c>
      <c r="Y248" s="489" t="s">
        <v>487</v>
      </c>
      <c r="Z248" s="489" t="s">
        <v>487</v>
      </c>
      <c r="AA248" s="489" t="s">
        <v>487</v>
      </c>
      <c r="AB248" s="489" t="s">
        <v>487</v>
      </c>
      <c r="AC248" s="575"/>
      <c r="AD248" s="575"/>
      <c r="AE248" s="575"/>
      <c r="AF248" s="575"/>
      <c r="AG248" s="575"/>
      <c r="AH248" s="575"/>
      <c r="AI248" s="575"/>
      <c r="AJ248" s="575"/>
      <c r="AK248" s="575"/>
      <c r="AL248" s="575"/>
      <c r="AM248" s="575"/>
    </row>
    <row r="249" spans="12:40" x14ac:dyDescent="0.2">
      <c r="R249" s="482"/>
      <c r="S249" s="482"/>
      <c r="T249" s="482"/>
      <c r="U249" s="482"/>
      <c r="V249" s="483"/>
      <c r="W249" s="483"/>
      <c r="X249" s="483"/>
      <c r="Z249" s="483"/>
      <c r="AA249" s="483"/>
      <c r="AB249" s="483"/>
      <c r="AC249" s="575"/>
      <c r="AD249" s="575"/>
      <c r="AE249" s="575"/>
      <c r="AF249" s="575"/>
      <c r="AG249" s="575"/>
      <c r="AH249" s="575"/>
      <c r="AI249" s="575"/>
      <c r="AJ249" s="575"/>
      <c r="AK249" s="575"/>
      <c r="AL249" s="575"/>
      <c r="AM249" s="575"/>
    </row>
    <row r="250" spans="12:40" x14ac:dyDescent="0.2">
      <c r="R250" s="482">
        <f t="shared" ref="R250:AM250" si="55">SUM(R236:R247)</f>
        <v>3075</v>
      </c>
      <c r="S250" s="482"/>
      <c r="T250" s="482">
        <f t="shared" si="55"/>
        <v>0</v>
      </c>
      <c r="U250" s="482">
        <f t="shared" si="55"/>
        <v>1440423</v>
      </c>
      <c r="V250" s="483">
        <f t="shared" si="55"/>
        <v>327775.84999999998</v>
      </c>
      <c r="W250" s="483">
        <f t="shared" si="55"/>
        <v>54808.080000000009</v>
      </c>
      <c r="X250" s="483">
        <f t="shared" si="55"/>
        <v>50285.460000000006</v>
      </c>
      <c r="Y250" s="483">
        <f t="shared" si="55"/>
        <v>0</v>
      </c>
      <c r="Z250" s="483">
        <f t="shared" si="55"/>
        <v>432869.38999999996</v>
      </c>
      <c r="AA250" s="483">
        <f t="shared" si="55"/>
        <v>438390.88</v>
      </c>
      <c r="AB250" s="483">
        <f t="shared" si="55"/>
        <v>5521.4900000000052</v>
      </c>
      <c r="AC250" s="584">
        <f t="shared" si="55"/>
        <v>6326.0499999999993</v>
      </c>
      <c r="AD250" s="584">
        <f t="shared" si="55"/>
        <v>0</v>
      </c>
      <c r="AE250" s="584">
        <f t="shared" si="55"/>
        <v>0</v>
      </c>
      <c r="AF250" s="584">
        <f t="shared" si="55"/>
        <v>0</v>
      </c>
      <c r="AG250" s="584">
        <f t="shared" si="55"/>
        <v>0</v>
      </c>
      <c r="AH250" s="584">
        <f t="shared" si="55"/>
        <v>0</v>
      </c>
      <c r="AI250" s="584">
        <f t="shared" si="55"/>
        <v>1200</v>
      </c>
      <c r="AJ250" s="584">
        <f t="shared" si="55"/>
        <v>0</v>
      </c>
      <c r="AK250" s="584">
        <f t="shared" si="55"/>
        <v>4321.2690000000002</v>
      </c>
      <c r="AL250" s="584">
        <f t="shared" si="55"/>
        <v>0</v>
      </c>
      <c r="AM250" s="584">
        <f t="shared" si="55"/>
        <v>5521.2690000000002</v>
      </c>
    </row>
    <row r="251" spans="12:40" x14ac:dyDescent="0.2">
      <c r="R251" s="488" t="s">
        <v>501</v>
      </c>
      <c r="S251" s="488"/>
      <c r="T251" s="488" t="s">
        <v>501</v>
      </c>
      <c r="U251" s="488" t="s">
        <v>501</v>
      </c>
      <c r="V251" s="489" t="s">
        <v>501</v>
      </c>
      <c r="W251" s="489" t="s">
        <v>501</v>
      </c>
      <c r="X251" s="489" t="s">
        <v>501</v>
      </c>
      <c r="Y251" s="489" t="s">
        <v>501</v>
      </c>
      <c r="Z251" s="489" t="s">
        <v>501</v>
      </c>
      <c r="AA251" s="489" t="s">
        <v>501</v>
      </c>
      <c r="AB251" s="489" t="s">
        <v>501</v>
      </c>
      <c r="AC251" s="585" t="s">
        <v>501</v>
      </c>
      <c r="AD251" s="585" t="s">
        <v>501</v>
      </c>
      <c r="AE251" s="585" t="s">
        <v>501</v>
      </c>
      <c r="AF251" s="585" t="s">
        <v>501</v>
      </c>
      <c r="AG251" s="585" t="s">
        <v>501</v>
      </c>
      <c r="AH251" s="585" t="s">
        <v>501</v>
      </c>
      <c r="AI251" s="585" t="s">
        <v>501</v>
      </c>
      <c r="AJ251" s="585" t="s">
        <v>501</v>
      </c>
      <c r="AK251" s="585" t="s">
        <v>501</v>
      </c>
      <c r="AL251" s="585" t="s">
        <v>501</v>
      </c>
      <c r="AM251" s="585" t="s">
        <v>501</v>
      </c>
    </row>
    <row r="252" spans="12:40" x14ac:dyDescent="0.2">
      <c r="R252" s="270">
        <f>R250</f>
        <v>3075</v>
      </c>
      <c r="S252" s="270"/>
      <c r="T252">
        <v>10.715</v>
      </c>
      <c r="U252" s="285">
        <f>R252*T252</f>
        <v>32948.625</v>
      </c>
      <c r="V252" s="483">
        <f>AC250</f>
        <v>6326.0499999999993</v>
      </c>
      <c r="W252" s="285">
        <f>U252+V252</f>
        <v>39274.675000000003</v>
      </c>
      <c r="X252" s="483">
        <f>V250-W252</f>
        <v>288501.17499999999</v>
      </c>
    </row>
    <row r="253" spans="12:40" x14ac:dyDescent="0.2">
      <c r="X253" t="s">
        <v>593</v>
      </c>
    </row>
    <row r="254" spans="12:40" x14ac:dyDescent="0.2">
      <c r="S254" s="183" t="s">
        <v>549</v>
      </c>
    </row>
    <row r="255" spans="12:40" x14ac:dyDescent="0.2">
      <c r="P255" s="183"/>
      <c r="Q255" s="183"/>
      <c r="R255" s="183" t="s">
        <v>550</v>
      </c>
      <c r="S255" s="183" t="s">
        <v>551</v>
      </c>
      <c r="T255" s="183" t="s">
        <v>552</v>
      </c>
      <c r="U255" s="183" t="s">
        <v>555</v>
      </c>
      <c r="V255" s="183" t="s">
        <v>596</v>
      </c>
      <c r="W255" s="183" t="s">
        <v>553</v>
      </c>
      <c r="X255" s="183" t="s">
        <v>554</v>
      </c>
      <c r="Y255" s="183" t="s">
        <v>556</v>
      </c>
      <c r="Z255" s="183"/>
      <c r="AA255" s="183"/>
      <c r="AB255" s="183"/>
      <c r="AD255" s="183"/>
      <c r="AE255" s="183"/>
      <c r="AF255" s="183"/>
      <c r="AG255" s="183"/>
      <c r="AH255" s="183"/>
    </row>
    <row r="256" spans="12:40" x14ac:dyDescent="0.2">
      <c r="P256" s="183"/>
      <c r="Q256" s="183"/>
      <c r="R256" s="521" t="s">
        <v>471</v>
      </c>
      <c r="S256" s="521" t="s">
        <v>558</v>
      </c>
      <c r="T256" s="521" t="s">
        <v>559</v>
      </c>
      <c r="U256" s="521" t="s">
        <v>562</v>
      </c>
      <c r="V256" s="521" t="s">
        <v>597</v>
      </c>
      <c r="W256" s="521" t="s">
        <v>560</v>
      </c>
      <c r="X256" s="521" t="s">
        <v>561</v>
      </c>
      <c r="Y256" s="521" t="s">
        <v>563</v>
      </c>
      <c r="Z256" s="183"/>
      <c r="AA256" s="183"/>
      <c r="AB256" s="183"/>
      <c r="AD256" s="183"/>
      <c r="AE256" s="183"/>
      <c r="AF256" s="183"/>
      <c r="AG256" s="183"/>
      <c r="AH256" s="183"/>
    </row>
    <row r="257" spans="13:39" x14ac:dyDescent="0.2">
      <c r="P257" s="183"/>
      <c r="Q257" s="183"/>
      <c r="R257" s="183"/>
      <c r="S257" s="183"/>
      <c r="T257" s="183"/>
      <c r="U257" s="183"/>
      <c r="V257" s="183"/>
      <c r="W257" s="183"/>
      <c r="X257" s="183"/>
      <c r="Y257" s="183"/>
      <c r="Z257" s="183"/>
      <c r="AA257" s="183"/>
      <c r="AB257" s="523" t="s">
        <v>84</v>
      </c>
      <c r="AD257" s="183"/>
      <c r="AE257" s="183"/>
      <c r="AF257" s="183"/>
      <c r="AG257" s="183"/>
      <c r="AH257" s="183"/>
    </row>
    <row r="258" spans="13:39" x14ac:dyDescent="0.2">
      <c r="M258" s="483"/>
      <c r="N258" s="483"/>
      <c r="O258">
        <f>$O$69</f>
        <v>1</v>
      </c>
      <c r="P258" t="str">
        <f t="shared" ref="P258:P269" si="56">P236</f>
        <v>MAR</v>
      </c>
      <c r="R258" s="294">
        <v>1499.66</v>
      </c>
      <c r="S258" s="294">
        <v>194.99</v>
      </c>
      <c r="T258" s="294">
        <v>1686.09</v>
      </c>
      <c r="U258" s="294">
        <v>-415.59</v>
      </c>
      <c r="V258" s="294"/>
      <c r="W258" s="294"/>
      <c r="X258" s="294"/>
      <c r="Z258" s="294"/>
      <c r="AA258" s="294"/>
      <c r="AB258" s="285">
        <f t="shared" ref="AB258:AB267" si="57">SUM(R258:AA258)</f>
        <v>2965.1499999999996</v>
      </c>
    </row>
    <row r="259" spans="13:39" x14ac:dyDescent="0.2">
      <c r="M259" s="483"/>
      <c r="N259" s="483"/>
      <c r="P259" t="str">
        <f t="shared" si="56"/>
        <v>APR</v>
      </c>
      <c r="R259" s="294">
        <v>1365.68</v>
      </c>
      <c r="S259" s="294">
        <v>223.59</v>
      </c>
      <c r="T259" s="294">
        <v>2070.56</v>
      </c>
      <c r="U259" s="294">
        <v>-462.91</v>
      </c>
      <c r="V259" s="294"/>
      <c r="W259" s="294"/>
      <c r="X259" s="294"/>
      <c r="Z259" s="294"/>
      <c r="AA259" s="294"/>
      <c r="AB259" s="285">
        <f t="shared" si="57"/>
        <v>3196.92</v>
      </c>
    </row>
    <row r="260" spans="13:39" x14ac:dyDescent="0.2">
      <c r="M260" s="483"/>
      <c r="N260" s="483"/>
      <c r="P260" t="str">
        <f t="shared" si="56"/>
        <v>MAY</v>
      </c>
      <c r="R260" s="294">
        <v>1601.72</v>
      </c>
      <c r="S260" s="294">
        <v>220.94</v>
      </c>
      <c r="T260" s="294">
        <v>1380.69</v>
      </c>
      <c r="U260" s="294">
        <v>-447</v>
      </c>
      <c r="V260" s="294"/>
      <c r="W260" s="294"/>
      <c r="X260" s="294"/>
      <c r="Z260" s="294"/>
      <c r="AA260" s="294"/>
      <c r="AB260" s="285">
        <f t="shared" si="57"/>
        <v>2756.3500000000004</v>
      </c>
    </row>
    <row r="261" spans="13:39" x14ac:dyDescent="0.2">
      <c r="M261" s="483"/>
      <c r="N261" s="483"/>
      <c r="P261" t="str">
        <f t="shared" si="56"/>
        <v>JUN</v>
      </c>
      <c r="R261" s="486">
        <v>555.14</v>
      </c>
      <c r="S261" s="486">
        <v>223.44</v>
      </c>
      <c r="T261" s="486">
        <v>1978.09</v>
      </c>
      <c r="U261" s="486">
        <v>-427.81</v>
      </c>
      <c r="V261" s="294"/>
      <c r="W261" s="294"/>
      <c r="X261" s="294"/>
      <c r="Z261" s="294"/>
      <c r="AA261" s="294"/>
      <c r="AB261" s="285">
        <f t="shared" si="57"/>
        <v>2328.86</v>
      </c>
    </row>
    <row r="262" spans="13:39" x14ac:dyDescent="0.2">
      <c r="M262" s="483"/>
      <c r="N262" s="483"/>
      <c r="P262" t="str">
        <f t="shared" si="56"/>
        <v>JUL</v>
      </c>
      <c r="R262" s="486">
        <v>1497.85</v>
      </c>
      <c r="S262" s="486">
        <v>182.46</v>
      </c>
      <c r="T262" s="486">
        <v>1428.41</v>
      </c>
      <c r="U262" s="486">
        <v>-279.61</v>
      </c>
      <c r="V262" s="294"/>
      <c r="W262" s="294"/>
      <c r="X262" s="294"/>
      <c r="Y262" s="294"/>
      <c r="Z262" s="294"/>
      <c r="AA262" s="294"/>
      <c r="AB262" s="285">
        <f t="shared" si="57"/>
        <v>2829.11</v>
      </c>
    </row>
    <row r="263" spans="13:39" x14ac:dyDescent="0.2">
      <c r="M263" s="483"/>
      <c r="N263" s="483"/>
      <c r="P263" t="str">
        <f t="shared" si="56"/>
        <v>AUG</v>
      </c>
      <c r="R263" s="486">
        <v>1662.12</v>
      </c>
      <c r="S263" s="486">
        <v>186.51</v>
      </c>
      <c r="T263" s="486">
        <v>1495.24</v>
      </c>
      <c r="U263" s="486">
        <v>-332.41</v>
      </c>
      <c r="V263" s="486"/>
      <c r="W263" s="486"/>
      <c r="X263" s="486"/>
      <c r="Y263" s="486"/>
      <c r="Z263" s="294"/>
      <c r="AA263" s="294"/>
      <c r="AB263" s="285">
        <f t="shared" si="57"/>
        <v>3011.46</v>
      </c>
    </row>
    <row r="264" spans="13:39" x14ac:dyDescent="0.2">
      <c r="P264" t="str">
        <f t="shared" si="56"/>
        <v>SEP</v>
      </c>
      <c r="R264" s="486">
        <v>3934.98</v>
      </c>
      <c r="S264" s="486">
        <v>683.34</v>
      </c>
      <c r="T264" s="486">
        <v>1094.57</v>
      </c>
      <c r="U264" s="486">
        <v>-516.80999999999995</v>
      </c>
      <c r="V264" s="486"/>
      <c r="W264" s="486"/>
      <c r="X264" s="486"/>
      <c r="Y264" s="486"/>
      <c r="Z264" s="294"/>
      <c r="AA264" s="294"/>
      <c r="AB264" s="285">
        <f t="shared" si="57"/>
        <v>5196.08</v>
      </c>
    </row>
    <row r="265" spans="13:39" x14ac:dyDescent="0.2">
      <c r="P265" t="str">
        <f t="shared" si="56"/>
        <v>OCT</v>
      </c>
      <c r="R265" s="486">
        <v>5384.74</v>
      </c>
      <c r="S265" s="486">
        <v>1122.49</v>
      </c>
      <c r="T265" s="486">
        <v>1680.22</v>
      </c>
      <c r="U265" s="486">
        <v>-794.22</v>
      </c>
      <c r="V265" s="486"/>
      <c r="W265" s="486"/>
      <c r="X265" s="486"/>
      <c r="Y265" s="486"/>
      <c r="Z265" s="294"/>
      <c r="AA265" s="294"/>
      <c r="AB265" s="285">
        <f t="shared" si="57"/>
        <v>7393.23</v>
      </c>
    </row>
    <row r="266" spans="13:39" x14ac:dyDescent="0.2">
      <c r="P266" t="str">
        <f t="shared" si="56"/>
        <v>NOV</v>
      </c>
      <c r="R266" s="294">
        <v>4544.3100000000004</v>
      </c>
      <c r="S266" s="294">
        <v>1163.92</v>
      </c>
      <c r="T266" s="294">
        <v>1314.48</v>
      </c>
      <c r="U266" s="294">
        <v>-936.97</v>
      </c>
      <c r="V266" s="486"/>
      <c r="W266" s="486"/>
      <c r="X266" s="486"/>
      <c r="Y266" s="486"/>
      <c r="Z266" s="294"/>
      <c r="AA266" s="294"/>
      <c r="AB266" s="285">
        <f t="shared" si="57"/>
        <v>6085.7400000000007</v>
      </c>
    </row>
    <row r="267" spans="13:39" x14ac:dyDescent="0.2">
      <c r="P267" t="str">
        <f t="shared" si="56"/>
        <v>DEC</v>
      </c>
      <c r="R267" s="294">
        <v>3214.98</v>
      </c>
      <c r="S267" s="294">
        <v>966.05</v>
      </c>
      <c r="T267" s="294">
        <v>1508.93</v>
      </c>
      <c r="U267" s="294">
        <v>-711.23</v>
      </c>
      <c r="V267" s="486"/>
      <c r="W267" s="486"/>
      <c r="X267" s="486"/>
      <c r="Y267" s="486"/>
      <c r="Z267" s="294"/>
      <c r="AA267" s="294"/>
      <c r="AB267" s="285">
        <f t="shared" si="57"/>
        <v>4978.7299999999996</v>
      </c>
    </row>
    <row r="268" spans="13:39" x14ac:dyDescent="0.2">
      <c r="P268" t="str">
        <f t="shared" si="56"/>
        <v>Jan 2023</v>
      </c>
      <c r="R268" s="294">
        <v>2121.75</v>
      </c>
      <c r="S268" s="294">
        <v>881.6</v>
      </c>
      <c r="T268" s="294">
        <v>3759.71</v>
      </c>
      <c r="U268" s="294">
        <v>-443.6</v>
      </c>
      <c r="V268" s="294"/>
      <c r="W268" s="294"/>
      <c r="X268" s="294"/>
      <c r="Y268" s="294"/>
      <c r="Z268" s="294"/>
      <c r="AA268" s="294"/>
      <c r="AB268" s="285"/>
    </row>
    <row r="269" spans="13:39" x14ac:dyDescent="0.2">
      <c r="O269">
        <f>$O$80</f>
        <v>12</v>
      </c>
      <c r="P269" t="str">
        <f t="shared" si="56"/>
        <v>FEB</v>
      </c>
      <c r="R269" s="294">
        <v>1142.74</v>
      </c>
      <c r="S269" s="294">
        <v>878.21</v>
      </c>
      <c r="T269" s="294">
        <v>1726.76</v>
      </c>
      <c r="U269" s="294">
        <v>-523.34</v>
      </c>
      <c r="V269" s="294"/>
      <c r="W269" s="294"/>
      <c r="X269" s="294"/>
      <c r="Y269" s="294"/>
      <c r="Z269" s="294"/>
      <c r="AA269" s="294"/>
      <c r="AB269" s="285"/>
    </row>
    <row r="270" spans="13:39" x14ac:dyDescent="0.2">
      <c r="R270" s="294"/>
      <c r="S270" s="294"/>
      <c r="T270" s="294"/>
      <c r="U270" s="294"/>
      <c r="V270" s="294"/>
      <c r="W270" s="294"/>
      <c r="X270" s="294"/>
      <c r="Y270" s="294"/>
      <c r="Z270" s="294"/>
      <c r="AA270" s="294"/>
    </row>
    <row r="271" spans="13:39" ht="13.5" thickBot="1" x14ac:dyDescent="0.25">
      <c r="P271" t="s">
        <v>65</v>
      </c>
      <c r="R271" s="542">
        <f t="shared" ref="R271:U271" si="58">SUM(R258:R269)</f>
        <v>28525.670000000002</v>
      </c>
      <c r="S271" s="542">
        <f t="shared" si="58"/>
        <v>6927.5400000000009</v>
      </c>
      <c r="T271" s="542">
        <f t="shared" si="58"/>
        <v>21123.749999999996</v>
      </c>
      <c r="U271" s="542">
        <f t="shared" si="58"/>
        <v>-6291.5</v>
      </c>
      <c r="V271" s="542"/>
      <c r="W271" s="542">
        <f>SUM(V258:V269)</f>
        <v>0</v>
      </c>
      <c r="X271" s="542">
        <f>SUM(W258:W269)</f>
        <v>0</v>
      </c>
      <c r="Y271" s="542">
        <f>SUM(X258:X269)</f>
        <v>0</v>
      </c>
      <c r="Z271" s="542">
        <f>SUM(Y258:Y269)</f>
        <v>0</v>
      </c>
      <c r="AA271" s="294"/>
      <c r="AB271" s="542">
        <f>SUM(AB258:AB269)</f>
        <v>40741.630000000005</v>
      </c>
    </row>
    <row r="272" spans="13:39" ht="16.5" thickTop="1" x14ac:dyDescent="0.25">
      <c r="P272" s="524" t="s">
        <v>692</v>
      </c>
      <c r="Q272" s="479"/>
      <c r="R272" s="479"/>
      <c r="S272" s="479"/>
      <c r="AC272" s="573"/>
      <c r="AD272" s="573"/>
      <c r="AE272" s="574" t="s">
        <v>659</v>
      </c>
      <c r="AF272" s="573"/>
      <c r="AG272" s="573"/>
      <c r="AH272" s="573"/>
      <c r="AI272" s="573"/>
      <c r="AJ272" s="573"/>
      <c r="AK272" s="573"/>
      <c r="AL272" s="573"/>
      <c r="AM272" s="575"/>
    </row>
    <row r="273" spans="12:40" x14ac:dyDescent="0.2">
      <c r="X273" s="183" t="s">
        <v>466</v>
      </c>
      <c r="AC273" s="575"/>
      <c r="AD273" s="573"/>
      <c r="AE273" s="574" t="s">
        <v>662</v>
      </c>
      <c r="AF273" s="573"/>
      <c r="AG273" s="573"/>
      <c r="AH273" s="575"/>
      <c r="AI273" s="573"/>
      <c r="AJ273" s="573"/>
      <c r="AK273" s="573"/>
      <c r="AL273" s="574" t="s">
        <v>663</v>
      </c>
      <c r="AM273" s="575"/>
    </row>
    <row r="274" spans="12:40" x14ac:dyDescent="0.2">
      <c r="Q274" s="183" t="s">
        <v>664</v>
      </c>
      <c r="R274" s="183" t="s">
        <v>469</v>
      </c>
      <c r="S274" s="183"/>
      <c r="T274" s="183" t="s">
        <v>470</v>
      </c>
      <c r="X274" s="183" t="s">
        <v>471</v>
      </c>
      <c r="Y274" s="183" t="s">
        <v>470</v>
      </c>
      <c r="AC274" s="574" t="s">
        <v>668</v>
      </c>
      <c r="AD274" s="573" t="s">
        <v>117</v>
      </c>
      <c r="AE274" s="574" t="s">
        <v>669</v>
      </c>
      <c r="AF274" s="574" t="s">
        <v>670</v>
      </c>
      <c r="AG274" s="574" t="s">
        <v>671</v>
      </c>
      <c r="AH274" s="574" t="s">
        <v>672</v>
      </c>
      <c r="AI274" s="574" t="s">
        <v>118</v>
      </c>
      <c r="AJ274" s="574" t="s">
        <v>673</v>
      </c>
      <c r="AK274" s="573" t="s">
        <v>284</v>
      </c>
      <c r="AL274" s="574" t="s">
        <v>674</v>
      </c>
      <c r="AM274" s="575"/>
    </row>
    <row r="275" spans="12:40" x14ac:dyDescent="0.2">
      <c r="Q275" s="183" t="s">
        <v>474</v>
      </c>
      <c r="R275" s="183" t="s">
        <v>475</v>
      </c>
      <c r="S275" s="183"/>
      <c r="T275" s="183" t="s">
        <v>475</v>
      </c>
      <c r="U275" s="183" t="s">
        <v>476</v>
      </c>
      <c r="V275" s="183" t="s">
        <v>477</v>
      </c>
      <c r="W275" s="183" t="s">
        <v>478</v>
      </c>
      <c r="X275" s="183" t="s">
        <v>479</v>
      </c>
      <c r="Y275" s="183" t="s">
        <v>480</v>
      </c>
      <c r="Z275" s="183" t="s">
        <v>481</v>
      </c>
      <c r="AA275" s="183" t="s">
        <v>482</v>
      </c>
      <c r="AB275" s="183" t="s">
        <v>483</v>
      </c>
      <c r="AC275" s="574" t="s">
        <v>606</v>
      </c>
      <c r="AD275" s="574" t="s">
        <v>676</v>
      </c>
      <c r="AE275" s="574" t="s">
        <v>668</v>
      </c>
      <c r="AF275" s="574" t="s">
        <v>117</v>
      </c>
      <c r="AG275" s="574" t="s">
        <v>117</v>
      </c>
      <c r="AH275" s="573" t="s">
        <v>677</v>
      </c>
      <c r="AI275" s="574" t="s">
        <v>669</v>
      </c>
      <c r="AJ275" s="574" t="s">
        <v>678</v>
      </c>
      <c r="AK275" s="573" t="s">
        <v>679</v>
      </c>
      <c r="AL275" s="574" t="s">
        <v>680</v>
      </c>
      <c r="AM275" s="573" t="s">
        <v>84</v>
      </c>
    </row>
    <row r="276" spans="12:40" x14ac:dyDescent="0.2">
      <c r="P276" s="481" t="s">
        <v>487</v>
      </c>
      <c r="Q276" s="481"/>
      <c r="R276" s="481" t="s">
        <v>487</v>
      </c>
      <c r="S276" s="481"/>
      <c r="T276" s="481" t="s">
        <v>487</v>
      </c>
      <c r="U276" s="481" t="s">
        <v>487</v>
      </c>
      <c r="V276" s="481" t="s">
        <v>487</v>
      </c>
      <c r="W276" s="481" t="s">
        <v>487</v>
      </c>
      <c r="X276" s="481" t="s">
        <v>487</v>
      </c>
      <c r="Y276" s="481" t="s">
        <v>487</v>
      </c>
      <c r="Z276" s="481" t="s">
        <v>487</v>
      </c>
      <c r="AA276" s="481" t="s">
        <v>487</v>
      </c>
      <c r="AB276" s="481" t="s">
        <v>487</v>
      </c>
      <c r="AC276" s="576" t="s">
        <v>487</v>
      </c>
      <c r="AD276" s="576" t="s">
        <v>487</v>
      </c>
      <c r="AE276" s="576" t="s">
        <v>487</v>
      </c>
      <c r="AF276" s="576" t="s">
        <v>487</v>
      </c>
      <c r="AG276" s="576" t="s">
        <v>487</v>
      </c>
      <c r="AH276" s="576" t="s">
        <v>487</v>
      </c>
      <c r="AI276" s="576" t="s">
        <v>487</v>
      </c>
      <c r="AJ276" s="576" t="s">
        <v>487</v>
      </c>
      <c r="AK276" s="576" t="s">
        <v>487</v>
      </c>
      <c r="AL276" s="576" t="s">
        <v>487</v>
      </c>
      <c r="AM276" s="576" t="s">
        <v>487</v>
      </c>
    </row>
    <row r="277" spans="12:40" x14ac:dyDescent="0.2">
      <c r="V277" s="483"/>
      <c r="W277" s="483"/>
      <c r="X277" s="483"/>
      <c r="Z277" s="483"/>
      <c r="AC277" s="575"/>
      <c r="AD277" s="575"/>
      <c r="AE277" s="575"/>
      <c r="AF277" s="575"/>
      <c r="AG277" s="575"/>
      <c r="AH277" s="575"/>
      <c r="AI277" s="575"/>
      <c r="AJ277" s="575"/>
      <c r="AK277" s="575">
        <v>3.0000000000000001E-3</v>
      </c>
      <c r="AL277" s="575"/>
      <c r="AM277" s="575"/>
    </row>
    <row r="278" spans="12:40" x14ac:dyDescent="0.2">
      <c r="L278" s="577">
        <f>W278/U278</f>
        <v>3.8049946294307198E-2</v>
      </c>
      <c r="M278" s="578">
        <f t="shared" ref="M278:M289" si="59">N278/R278</f>
        <v>19.600609756097562</v>
      </c>
      <c r="N278" s="483">
        <f t="shared" ref="N278:N289" si="60">V278-AC278</f>
        <v>1607.25</v>
      </c>
      <c r="O278">
        <f>$O$69</f>
        <v>1</v>
      </c>
      <c r="P278" t="s">
        <v>600</v>
      </c>
      <c r="Q278">
        <v>150</v>
      </c>
      <c r="R278" s="482">
        <v>82</v>
      </c>
      <c r="S278" s="482">
        <v>150</v>
      </c>
      <c r="T278" s="482"/>
      <c r="U278" s="482">
        <v>18620</v>
      </c>
      <c r="V278" s="483">
        <v>1637.28</v>
      </c>
      <c r="W278" s="483">
        <v>708.49</v>
      </c>
      <c r="X278" s="285">
        <f>AB300</f>
        <v>450.24000000000007</v>
      </c>
      <c r="Y278" s="483"/>
      <c r="Z278" s="483">
        <f t="shared" ref="Z278:Z289" si="61">SUM(V278:Y278)</f>
        <v>2796.01</v>
      </c>
      <c r="AA278" s="483">
        <v>2951.87</v>
      </c>
      <c r="AB278" s="483">
        <f t="shared" ref="AB278:AB289" si="62">AA278-Z278</f>
        <v>155.85999999999967</v>
      </c>
      <c r="AC278" s="593">
        <f>21.81+8.22</f>
        <v>30.03</v>
      </c>
      <c r="AD278" s="575"/>
      <c r="AE278" s="575"/>
      <c r="AF278" s="575"/>
      <c r="AG278" s="575"/>
      <c r="AH278" s="580"/>
      <c r="AI278" s="575">
        <v>100</v>
      </c>
      <c r="AJ278" s="575"/>
      <c r="AK278" s="575">
        <f>U278*AK277</f>
        <v>55.86</v>
      </c>
      <c r="AL278" s="575"/>
      <c r="AM278" s="575">
        <f>SUM(AI278:AL278)</f>
        <v>155.86000000000001</v>
      </c>
      <c r="AN278" s="285">
        <f>AM278-AB278</f>
        <v>3.4106051316484809E-13</v>
      </c>
    </row>
    <row r="279" spans="12:40" x14ac:dyDescent="0.2">
      <c r="L279" s="577">
        <f t="shared" ref="L279:L289" si="63">W279/U279</f>
        <v>3.8049836663374616E-2</v>
      </c>
      <c r="M279" s="578">
        <f t="shared" si="59"/>
        <v>50.2265625</v>
      </c>
      <c r="N279" s="483">
        <f t="shared" si="60"/>
        <v>1607.25</v>
      </c>
      <c r="P279" t="s">
        <v>492</v>
      </c>
      <c r="Q279">
        <v>150</v>
      </c>
      <c r="R279" s="482">
        <v>32</v>
      </c>
      <c r="S279" s="482">
        <v>150</v>
      </c>
      <c r="T279" s="482"/>
      <c r="U279" s="482">
        <v>13163</v>
      </c>
      <c r="V279" s="483">
        <v>1670.32</v>
      </c>
      <c r="W279" s="483">
        <v>500.85</v>
      </c>
      <c r="X279" s="285">
        <f t="shared" ref="X279:X287" si="64">AB301</f>
        <v>317.81</v>
      </c>
      <c r="Y279" s="483"/>
      <c r="Z279" s="483">
        <f t="shared" si="61"/>
        <v>2488.98</v>
      </c>
      <c r="AA279" s="483">
        <v>2628.47</v>
      </c>
      <c r="AB279" s="483">
        <f t="shared" si="62"/>
        <v>139.48999999999978</v>
      </c>
      <c r="AC279" s="593">
        <f>45.81+17.26</f>
        <v>63.070000000000007</v>
      </c>
      <c r="AD279" s="575"/>
      <c r="AE279" s="575"/>
      <c r="AF279" s="575"/>
      <c r="AG279" s="575"/>
      <c r="AH279" s="580"/>
      <c r="AI279" s="575">
        <v>100</v>
      </c>
      <c r="AJ279" s="575"/>
      <c r="AK279" s="575">
        <f>U279*AK277</f>
        <v>39.489000000000004</v>
      </c>
      <c r="AL279" s="575"/>
      <c r="AM279" s="575">
        <f t="shared" ref="AM279:AM289" si="65">SUM(AI279:AL279)</f>
        <v>139.489</v>
      </c>
      <c r="AN279" s="285">
        <f t="shared" ref="AN279:AN289" si="66">AM279-AB279</f>
        <v>-9.9999999977740117E-4</v>
      </c>
    </row>
    <row r="280" spans="12:40" x14ac:dyDescent="0.2">
      <c r="L280" s="577">
        <f t="shared" si="63"/>
        <v>3.8049717350340628E-2</v>
      </c>
      <c r="M280" s="578">
        <f t="shared" si="59"/>
        <v>19.600609756097562</v>
      </c>
      <c r="N280" s="483">
        <f t="shared" si="60"/>
        <v>1607.25</v>
      </c>
      <c r="P280" t="s">
        <v>493</v>
      </c>
      <c r="Q280">
        <v>150</v>
      </c>
      <c r="R280" s="482">
        <v>82</v>
      </c>
      <c r="S280" s="482">
        <v>150</v>
      </c>
      <c r="T280" s="482"/>
      <c r="U280" s="482">
        <v>13798</v>
      </c>
      <c r="V280" s="483">
        <v>1637.28</v>
      </c>
      <c r="W280" s="483">
        <v>525.01</v>
      </c>
      <c r="X280" s="285">
        <f t="shared" si="64"/>
        <v>318.45999999999998</v>
      </c>
      <c r="Y280" s="483"/>
      <c r="Z280" s="483">
        <f t="shared" si="61"/>
        <v>2480.75</v>
      </c>
      <c r="AA280" s="483">
        <v>2622.15</v>
      </c>
      <c r="AB280" s="483">
        <f t="shared" si="62"/>
        <v>141.40000000000009</v>
      </c>
      <c r="AC280" s="593">
        <f>21.81+8.22</f>
        <v>30.03</v>
      </c>
      <c r="AD280" s="575"/>
      <c r="AE280" s="575"/>
      <c r="AF280" s="575"/>
      <c r="AG280" s="575"/>
      <c r="AH280" s="580"/>
      <c r="AI280" s="575">
        <v>100</v>
      </c>
      <c r="AJ280" s="575"/>
      <c r="AK280" s="575">
        <f>U280*AK277</f>
        <v>41.393999999999998</v>
      </c>
      <c r="AL280" s="575"/>
      <c r="AM280" s="575">
        <f t="shared" si="65"/>
        <v>141.39400000000001</v>
      </c>
      <c r="AN280" s="285">
        <f t="shared" si="66"/>
        <v>-6.0000000000854925E-3</v>
      </c>
    </row>
    <row r="281" spans="12:40" x14ac:dyDescent="0.2">
      <c r="L281" s="577">
        <f t="shared" si="63"/>
        <v>3.8049979846835953E-2</v>
      </c>
      <c r="M281" s="578">
        <f t="shared" si="59"/>
        <v>18.264204545454547</v>
      </c>
      <c r="N281" s="483">
        <f t="shared" si="60"/>
        <v>1607.25</v>
      </c>
      <c r="P281" t="s">
        <v>494</v>
      </c>
      <c r="Q281">
        <v>150</v>
      </c>
      <c r="R281" s="482">
        <v>88</v>
      </c>
      <c r="S281" s="482">
        <v>150</v>
      </c>
      <c r="T281" s="482"/>
      <c r="U281" s="482">
        <v>12405</v>
      </c>
      <c r="V281" s="483">
        <v>1637.28</v>
      </c>
      <c r="W281" s="483">
        <v>472.01</v>
      </c>
      <c r="X281" s="285">
        <f t="shared" si="64"/>
        <v>188.22</v>
      </c>
      <c r="Y281" s="483"/>
      <c r="Z281" s="483">
        <f t="shared" si="61"/>
        <v>2297.5099999999998</v>
      </c>
      <c r="AA281" s="483">
        <v>2434.73</v>
      </c>
      <c r="AB281" s="483">
        <f t="shared" si="62"/>
        <v>137.22000000000025</v>
      </c>
      <c r="AC281" s="593">
        <f>21.81+8.22</f>
        <v>30.03</v>
      </c>
      <c r="AD281" s="575"/>
      <c r="AE281" s="575"/>
      <c r="AF281" s="575"/>
      <c r="AG281" s="575"/>
      <c r="AH281" s="580"/>
      <c r="AI281" s="575">
        <v>100</v>
      </c>
      <c r="AJ281" s="575"/>
      <c r="AK281" s="575">
        <f>U281*AK277</f>
        <v>37.215000000000003</v>
      </c>
      <c r="AL281" s="575"/>
      <c r="AM281" s="575">
        <f t="shared" si="65"/>
        <v>137.215</v>
      </c>
      <c r="AN281" s="285">
        <f t="shared" si="66"/>
        <v>-5.0000000002512479E-3</v>
      </c>
    </row>
    <row r="282" spans="12:40" x14ac:dyDescent="0.2">
      <c r="L282" s="577">
        <f t="shared" si="63"/>
        <v>3.8050305321314336E-2</v>
      </c>
      <c r="M282" s="578">
        <f t="shared" si="59"/>
        <v>64.290000000000006</v>
      </c>
      <c r="N282" s="483">
        <f t="shared" si="60"/>
        <v>1607.25</v>
      </c>
      <c r="P282" t="s">
        <v>495</v>
      </c>
      <c r="Q282">
        <v>150</v>
      </c>
      <c r="R282" s="482">
        <v>25</v>
      </c>
      <c r="S282" s="482">
        <v>150</v>
      </c>
      <c r="T282" s="482"/>
      <c r="U282" s="482">
        <v>6878</v>
      </c>
      <c r="V282" s="483">
        <v>1638.46</v>
      </c>
      <c r="W282" s="483">
        <v>261.70999999999998</v>
      </c>
      <c r="X282" s="285">
        <f t="shared" si="64"/>
        <v>224.3</v>
      </c>
      <c r="Y282" s="483"/>
      <c r="Z282" s="483">
        <f t="shared" si="61"/>
        <v>2124.4700000000003</v>
      </c>
      <c r="AA282" s="483">
        <v>2245.1</v>
      </c>
      <c r="AB282" s="483">
        <f t="shared" si="62"/>
        <v>120.62999999999965</v>
      </c>
      <c r="AC282" s="593">
        <f>22.81+8.4</f>
        <v>31.21</v>
      </c>
      <c r="AD282" s="575"/>
      <c r="AE282" s="575"/>
      <c r="AF282" s="575"/>
      <c r="AG282" s="575"/>
      <c r="AH282" s="580"/>
      <c r="AI282" s="575">
        <v>100</v>
      </c>
      <c r="AJ282" s="575"/>
      <c r="AK282" s="575">
        <f>U282*AK277</f>
        <v>20.634</v>
      </c>
      <c r="AL282" s="575"/>
      <c r="AM282" s="575">
        <f t="shared" si="65"/>
        <v>120.634</v>
      </c>
      <c r="AN282" s="285">
        <f t="shared" si="66"/>
        <v>4.000000000345949E-3</v>
      </c>
    </row>
    <row r="283" spans="12:40" x14ac:dyDescent="0.2">
      <c r="L283" s="577">
        <f t="shared" si="63"/>
        <v>3.804982402870747E-2</v>
      </c>
      <c r="M283" s="578">
        <f t="shared" si="59"/>
        <v>18.264204545454547</v>
      </c>
      <c r="N283" s="483">
        <f t="shared" si="60"/>
        <v>1607.25</v>
      </c>
      <c r="P283" t="s">
        <v>496</v>
      </c>
      <c r="Q283">
        <v>150</v>
      </c>
      <c r="R283" s="482">
        <v>88</v>
      </c>
      <c r="S283" s="482">
        <v>150</v>
      </c>
      <c r="T283" s="482"/>
      <c r="U283" s="482">
        <v>14491</v>
      </c>
      <c r="V283" s="483">
        <v>1638.86</v>
      </c>
      <c r="W283" s="483">
        <v>551.38</v>
      </c>
      <c r="X283" s="285">
        <f t="shared" si="64"/>
        <v>414.76</v>
      </c>
      <c r="Y283" s="483"/>
      <c r="Z283" s="483">
        <f t="shared" si="61"/>
        <v>2605</v>
      </c>
      <c r="AA283" s="483">
        <v>2748.48</v>
      </c>
      <c r="AB283" s="483">
        <f t="shared" si="62"/>
        <v>143.48000000000002</v>
      </c>
      <c r="AC283" s="593">
        <f>23.17+8.44</f>
        <v>31.61</v>
      </c>
      <c r="AD283" s="575"/>
      <c r="AE283" s="575"/>
      <c r="AF283" s="575"/>
      <c r="AG283" s="575"/>
      <c r="AH283" s="580"/>
      <c r="AI283" s="575">
        <v>100</v>
      </c>
      <c r="AJ283" s="575"/>
      <c r="AK283" s="575">
        <f>U283*AK277</f>
        <v>43.472999999999999</v>
      </c>
      <c r="AL283" s="575"/>
      <c r="AM283" s="575">
        <f t="shared" si="65"/>
        <v>143.47300000000001</v>
      </c>
      <c r="AN283" s="285">
        <f t="shared" si="66"/>
        <v>-7.0000000000050022E-3</v>
      </c>
    </row>
    <row r="284" spans="12:40" x14ac:dyDescent="0.2">
      <c r="L284" s="577">
        <f t="shared" si="63"/>
        <v>3.8049822064056937E-2</v>
      </c>
      <c r="M284" s="578">
        <f t="shared" si="59"/>
        <v>50.2265625</v>
      </c>
      <c r="N284" s="483">
        <f t="shared" si="60"/>
        <v>1607.25</v>
      </c>
      <c r="P284" t="s">
        <v>497</v>
      </c>
      <c r="Q284">
        <v>150</v>
      </c>
      <c r="R284" s="482">
        <v>32</v>
      </c>
      <c r="S284" s="482">
        <v>150</v>
      </c>
      <c r="T284" s="482"/>
      <c r="U284" s="482">
        <v>12645</v>
      </c>
      <c r="V284" s="483">
        <v>1819.03</v>
      </c>
      <c r="W284" s="483">
        <v>481.14</v>
      </c>
      <c r="X284" s="285">
        <f t="shared" si="64"/>
        <v>536.56999999999994</v>
      </c>
      <c r="Y284" s="483"/>
      <c r="Z284" s="483">
        <f t="shared" si="61"/>
        <v>2836.74</v>
      </c>
      <c r="AA284" s="483">
        <v>2974.68</v>
      </c>
      <c r="AB284" s="483">
        <f t="shared" si="62"/>
        <v>137.94000000000005</v>
      </c>
      <c r="AC284" s="593">
        <f>155.3+56.48</f>
        <v>211.78</v>
      </c>
      <c r="AD284" s="575"/>
      <c r="AE284" s="575"/>
      <c r="AF284" s="575"/>
      <c r="AG284" s="575"/>
      <c r="AH284" s="580"/>
      <c r="AI284" s="575">
        <v>100</v>
      </c>
      <c r="AJ284" s="575"/>
      <c r="AK284" s="575">
        <f>U284*AK277</f>
        <v>37.935000000000002</v>
      </c>
      <c r="AL284" s="575"/>
      <c r="AM284" s="575">
        <f t="shared" si="65"/>
        <v>137.935</v>
      </c>
      <c r="AN284" s="285">
        <f t="shared" si="66"/>
        <v>-5.0000000000522959E-3</v>
      </c>
    </row>
    <row r="285" spans="12:40" x14ac:dyDescent="0.2">
      <c r="L285" s="577">
        <f t="shared" si="63"/>
        <v>3.8050092081031307E-2</v>
      </c>
      <c r="M285" s="578">
        <f t="shared" si="59"/>
        <v>64.290000000000006</v>
      </c>
      <c r="N285" s="483">
        <f t="shared" si="60"/>
        <v>1607.25</v>
      </c>
      <c r="P285" t="s">
        <v>498</v>
      </c>
      <c r="Q285">
        <v>150</v>
      </c>
      <c r="R285" s="482">
        <v>25</v>
      </c>
      <c r="S285" s="482">
        <v>150</v>
      </c>
      <c r="T285" s="482"/>
      <c r="U285" s="482">
        <v>13575</v>
      </c>
      <c r="V285" s="483">
        <v>1638.86</v>
      </c>
      <c r="W285" s="483">
        <v>516.53</v>
      </c>
      <c r="X285" s="285">
        <f t="shared" si="64"/>
        <v>523.90999999999985</v>
      </c>
      <c r="Y285" s="483"/>
      <c r="Z285" s="483">
        <f t="shared" si="61"/>
        <v>2679.2999999999997</v>
      </c>
      <c r="AA285" s="483">
        <v>2820.02</v>
      </c>
      <c r="AB285" s="483">
        <f t="shared" si="62"/>
        <v>140.72000000000025</v>
      </c>
      <c r="AC285" s="593">
        <f>23.17+8.44</f>
        <v>31.61</v>
      </c>
      <c r="AD285" s="575"/>
      <c r="AE285" s="575"/>
      <c r="AF285" s="575"/>
      <c r="AG285" s="575"/>
      <c r="AH285" s="580"/>
      <c r="AI285" s="575">
        <v>100</v>
      </c>
      <c r="AJ285" s="575"/>
      <c r="AK285" s="575">
        <f>U285*AK277</f>
        <v>40.725000000000001</v>
      </c>
      <c r="AL285" s="575"/>
      <c r="AM285" s="575">
        <f t="shared" si="65"/>
        <v>140.72499999999999</v>
      </c>
      <c r="AN285" s="285">
        <f t="shared" si="66"/>
        <v>4.9999999997396571E-3</v>
      </c>
    </row>
    <row r="286" spans="12:40" x14ac:dyDescent="0.2">
      <c r="L286" s="577">
        <f t="shared" si="63"/>
        <v>3.8050231839258111E-2</v>
      </c>
      <c r="M286" s="578">
        <f t="shared" si="59"/>
        <v>64.290000000000006</v>
      </c>
      <c r="N286" s="483">
        <f t="shared" si="60"/>
        <v>1607.25</v>
      </c>
      <c r="P286" t="s">
        <v>499</v>
      </c>
      <c r="Q286">
        <v>150</v>
      </c>
      <c r="R286" s="482">
        <v>25</v>
      </c>
      <c r="S286" s="482">
        <v>150</v>
      </c>
      <c r="T286" s="482"/>
      <c r="U286" s="482">
        <v>12940</v>
      </c>
      <c r="V286" s="483">
        <v>1607.25</v>
      </c>
      <c r="W286" s="483">
        <v>492.37</v>
      </c>
      <c r="X286" s="285">
        <f t="shared" si="64"/>
        <v>401.13999999999993</v>
      </c>
      <c r="Y286" s="483"/>
      <c r="Z286" s="483">
        <f t="shared" si="61"/>
        <v>2500.7599999999998</v>
      </c>
      <c r="AA286" s="483">
        <v>2639.58</v>
      </c>
      <c r="AB286" s="483">
        <f t="shared" si="62"/>
        <v>138.82000000000016</v>
      </c>
      <c r="AC286" s="593"/>
      <c r="AD286" s="575"/>
      <c r="AE286" s="575"/>
      <c r="AF286" s="575"/>
      <c r="AG286" s="575"/>
      <c r="AH286" s="580"/>
      <c r="AI286" s="575">
        <v>100</v>
      </c>
      <c r="AJ286" s="575"/>
      <c r="AK286" s="575">
        <f>U286*AK277</f>
        <v>38.82</v>
      </c>
      <c r="AL286" s="575"/>
      <c r="AM286" s="575">
        <f t="shared" si="65"/>
        <v>138.82</v>
      </c>
      <c r="AN286" s="594">
        <f t="shared" si="66"/>
        <v>0</v>
      </c>
    </row>
    <row r="287" spans="12:40" x14ac:dyDescent="0.2">
      <c r="L287" s="577">
        <f t="shared" si="63"/>
        <v>3.8050014249073817E-2</v>
      </c>
      <c r="M287" s="578">
        <f t="shared" si="59"/>
        <v>64.290000000000006</v>
      </c>
      <c r="N287" s="483">
        <f t="shared" si="60"/>
        <v>1607.25</v>
      </c>
      <c r="P287" t="s">
        <v>500</v>
      </c>
      <c r="Q287">
        <v>150</v>
      </c>
      <c r="R287" s="482">
        <v>25</v>
      </c>
      <c r="S287" s="482">
        <v>150</v>
      </c>
      <c r="T287" s="482"/>
      <c r="U287" s="482">
        <v>14036</v>
      </c>
      <c r="V287" s="483">
        <v>1638.66</v>
      </c>
      <c r="W287" s="483">
        <v>534.07000000000005</v>
      </c>
      <c r="X287" s="285">
        <f t="shared" si="64"/>
        <v>405.47000000000008</v>
      </c>
      <c r="Y287" s="483"/>
      <c r="Z287" s="483">
        <f t="shared" si="61"/>
        <v>2578.2000000000003</v>
      </c>
      <c r="AA287" s="483">
        <v>2720.31</v>
      </c>
      <c r="AB287" s="483">
        <f t="shared" si="62"/>
        <v>142.10999999999967</v>
      </c>
      <c r="AC287" s="593">
        <f>22.99+8.42</f>
        <v>31.409999999999997</v>
      </c>
      <c r="AD287" s="575"/>
      <c r="AE287" s="575"/>
      <c r="AF287" s="580"/>
      <c r="AG287" s="580"/>
      <c r="AH287" s="580"/>
      <c r="AI287" s="575">
        <v>100</v>
      </c>
      <c r="AJ287" s="575"/>
      <c r="AK287" s="575">
        <f>U287*AK277</f>
        <v>42.108000000000004</v>
      </c>
      <c r="AL287" s="575"/>
      <c r="AM287" s="575">
        <f t="shared" si="65"/>
        <v>142.108</v>
      </c>
      <c r="AN287" s="285">
        <f t="shared" si="66"/>
        <v>-1.9999999996684892E-3</v>
      </c>
    </row>
    <row r="288" spans="12:40" x14ac:dyDescent="0.2">
      <c r="L288" s="577">
        <f t="shared" si="63"/>
        <v>3.8050093500311667E-2</v>
      </c>
      <c r="M288" s="578">
        <f t="shared" si="59"/>
        <v>19.600609756097562</v>
      </c>
      <c r="N288" s="483">
        <f t="shared" si="60"/>
        <v>1607.25</v>
      </c>
      <c r="P288" s="541" t="s">
        <v>545</v>
      </c>
      <c r="Q288">
        <v>150</v>
      </c>
      <c r="R288" s="482">
        <v>82</v>
      </c>
      <c r="S288" s="482">
        <v>150</v>
      </c>
      <c r="T288" s="527"/>
      <c r="U288" s="482">
        <v>17647</v>
      </c>
      <c r="V288" s="483">
        <v>1638.66</v>
      </c>
      <c r="W288" s="483">
        <v>671.47</v>
      </c>
      <c r="X288" s="285">
        <f t="shared" ref="X288:X289" si="67">SUM(R310:Y310)</f>
        <v>589.13</v>
      </c>
      <c r="Y288" s="483"/>
      <c r="Z288" s="483">
        <f t="shared" si="61"/>
        <v>2899.26</v>
      </c>
      <c r="AA288" s="483">
        <v>3052.2</v>
      </c>
      <c r="AB288" s="483">
        <f t="shared" si="62"/>
        <v>152.9399999999996</v>
      </c>
      <c r="AC288" s="593">
        <f>22.99+8.42</f>
        <v>31.409999999999997</v>
      </c>
      <c r="AD288" s="575"/>
      <c r="AE288" s="575"/>
      <c r="AF288" s="580"/>
      <c r="AG288" s="580"/>
      <c r="AH288" s="580"/>
      <c r="AI288" s="575">
        <v>100</v>
      </c>
      <c r="AJ288" s="575"/>
      <c r="AK288" s="575">
        <f>U288*AK277</f>
        <v>52.941000000000003</v>
      </c>
      <c r="AL288" s="575"/>
      <c r="AM288" s="575">
        <f t="shared" si="65"/>
        <v>152.941</v>
      </c>
      <c r="AN288" s="285">
        <f t="shared" si="66"/>
        <v>1.0000000004026788E-3</v>
      </c>
    </row>
    <row r="289" spans="12:40" x14ac:dyDescent="0.2">
      <c r="L289" s="577">
        <f t="shared" si="63"/>
        <v>3.8049974240082433E-2</v>
      </c>
      <c r="M289" s="578">
        <f t="shared" si="59"/>
        <v>50.2265625</v>
      </c>
      <c r="N289" s="483">
        <f t="shared" si="60"/>
        <v>1607.25</v>
      </c>
      <c r="O289">
        <f>$O$80</f>
        <v>12</v>
      </c>
      <c r="P289" t="s">
        <v>688</v>
      </c>
      <c r="Q289">
        <v>150</v>
      </c>
      <c r="R289" s="482">
        <v>32</v>
      </c>
      <c r="S289" s="482">
        <v>150</v>
      </c>
      <c r="T289" s="527"/>
      <c r="U289" s="482">
        <v>15528</v>
      </c>
      <c r="V289" s="483">
        <v>1670.07</v>
      </c>
      <c r="W289" s="483">
        <v>590.84</v>
      </c>
      <c r="X289" s="285">
        <f t="shared" si="67"/>
        <v>280.64999999999998</v>
      </c>
      <c r="Y289" s="483"/>
      <c r="Z289" s="483">
        <f t="shared" si="61"/>
        <v>2541.56</v>
      </c>
      <c r="AA289" s="483">
        <v>2688.14</v>
      </c>
      <c r="AB289" s="483">
        <f t="shared" si="62"/>
        <v>146.57999999999993</v>
      </c>
      <c r="AC289" s="593">
        <f>46+16.82</f>
        <v>62.82</v>
      </c>
      <c r="AD289" s="575"/>
      <c r="AE289" s="575"/>
      <c r="AF289" s="580"/>
      <c r="AG289" s="580"/>
      <c r="AH289" s="580"/>
      <c r="AI289" s="575">
        <v>100</v>
      </c>
      <c r="AJ289" s="575"/>
      <c r="AK289" s="575">
        <f>U289*AK277</f>
        <v>46.584000000000003</v>
      </c>
      <c r="AL289" s="575"/>
      <c r="AM289" s="575">
        <f t="shared" si="65"/>
        <v>146.584</v>
      </c>
      <c r="AN289" s="285">
        <f t="shared" si="66"/>
        <v>4.0000000000759428E-3</v>
      </c>
    </row>
    <row r="290" spans="12:40" x14ac:dyDescent="0.2">
      <c r="R290" s="489" t="s">
        <v>487</v>
      </c>
      <c r="S290" s="489"/>
      <c r="T290" s="489" t="s">
        <v>487</v>
      </c>
      <c r="U290" s="489" t="s">
        <v>487</v>
      </c>
      <c r="V290" s="489" t="s">
        <v>487</v>
      </c>
      <c r="W290" s="489" t="s">
        <v>487</v>
      </c>
      <c r="X290" s="489" t="s">
        <v>487</v>
      </c>
      <c r="Y290" s="489" t="s">
        <v>487</v>
      </c>
      <c r="Z290" s="489" t="s">
        <v>487</v>
      </c>
      <c r="AA290" s="489" t="s">
        <v>487</v>
      </c>
      <c r="AB290" s="489" t="s">
        <v>487</v>
      </c>
      <c r="AC290" s="575"/>
      <c r="AD290" s="575"/>
      <c r="AE290" s="575"/>
      <c r="AF290" s="575"/>
      <c r="AG290" s="575"/>
      <c r="AH290" s="575"/>
      <c r="AI290" s="575"/>
      <c r="AJ290" s="575"/>
      <c r="AK290" s="575"/>
      <c r="AL290" s="575"/>
      <c r="AM290" s="575"/>
    </row>
    <row r="291" spans="12:40" x14ac:dyDescent="0.2">
      <c r="R291" s="482"/>
      <c r="S291" s="482"/>
      <c r="T291" s="482"/>
      <c r="U291" s="482"/>
      <c r="V291" s="483"/>
      <c r="W291" s="483"/>
      <c r="X291" s="483"/>
      <c r="Z291" s="483"/>
      <c r="AA291" s="483"/>
      <c r="AB291" s="483"/>
      <c r="AC291" s="575"/>
      <c r="AD291" s="575"/>
      <c r="AE291" s="575"/>
      <c r="AF291" s="575"/>
      <c r="AG291" s="575"/>
      <c r="AH291" s="575"/>
      <c r="AI291" s="575"/>
      <c r="AJ291" s="575"/>
      <c r="AK291" s="575"/>
      <c r="AL291" s="575"/>
      <c r="AM291" s="575"/>
    </row>
    <row r="292" spans="12:40" x14ac:dyDescent="0.2">
      <c r="R292" s="482">
        <f t="shared" ref="R292:AB292" si="68">SUM(R278:R289)</f>
        <v>618</v>
      </c>
      <c r="S292" s="482"/>
      <c r="T292" s="482">
        <f t="shared" si="68"/>
        <v>0</v>
      </c>
      <c r="U292" s="482">
        <f t="shared" si="68"/>
        <v>165726</v>
      </c>
      <c r="V292" s="483">
        <f t="shared" si="68"/>
        <v>19872.010000000002</v>
      </c>
      <c r="W292" s="483">
        <f t="shared" si="68"/>
        <v>6305.87</v>
      </c>
      <c r="X292" s="483">
        <f t="shared" si="68"/>
        <v>4650.6599999999989</v>
      </c>
      <c r="Y292" s="483">
        <f t="shared" si="68"/>
        <v>0</v>
      </c>
      <c r="Z292" s="483">
        <f t="shared" si="68"/>
        <v>30828.539999999997</v>
      </c>
      <c r="AA292" s="483">
        <f t="shared" si="68"/>
        <v>32525.730000000003</v>
      </c>
      <c r="AB292" s="483">
        <f t="shared" si="68"/>
        <v>1697.1899999999991</v>
      </c>
      <c r="AC292" s="584">
        <f t="shared" ref="AC292:AM292" si="69">SUM(AC278:AC289)</f>
        <v>585.01</v>
      </c>
      <c r="AD292" s="584">
        <f t="shared" si="69"/>
        <v>0</v>
      </c>
      <c r="AE292" s="584">
        <f t="shared" si="69"/>
        <v>0</v>
      </c>
      <c r="AF292" s="584">
        <f t="shared" si="69"/>
        <v>0</v>
      </c>
      <c r="AG292" s="584">
        <f t="shared" si="69"/>
        <v>0</v>
      </c>
      <c r="AH292" s="584">
        <f t="shared" si="69"/>
        <v>0</v>
      </c>
      <c r="AI292" s="584">
        <f t="shared" si="69"/>
        <v>1200</v>
      </c>
      <c r="AJ292" s="584">
        <f t="shared" si="69"/>
        <v>0</v>
      </c>
      <c r="AK292" s="584">
        <f t="shared" si="69"/>
        <v>497.17800000000005</v>
      </c>
      <c r="AL292" s="584">
        <f t="shared" si="69"/>
        <v>0</v>
      </c>
      <c r="AM292" s="584">
        <f t="shared" si="69"/>
        <v>1697.1779999999999</v>
      </c>
    </row>
    <row r="293" spans="12:40" x14ac:dyDescent="0.2">
      <c r="R293" s="488" t="s">
        <v>501</v>
      </c>
      <c r="S293" s="488"/>
      <c r="T293" s="488" t="s">
        <v>501</v>
      </c>
      <c r="U293" s="488" t="s">
        <v>501</v>
      </c>
      <c r="V293" s="489" t="s">
        <v>501</v>
      </c>
      <c r="W293" s="489" t="s">
        <v>501</v>
      </c>
      <c r="X293" s="489" t="s">
        <v>501</v>
      </c>
      <c r="Y293" s="489" t="s">
        <v>501</v>
      </c>
      <c r="Z293" s="489" t="s">
        <v>501</v>
      </c>
      <c r="AA293" s="489" t="s">
        <v>501</v>
      </c>
      <c r="AB293" s="489" t="s">
        <v>501</v>
      </c>
      <c r="AC293" s="585" t="s">
        <v>501</v>
      </c>
      <c r="AD293" s="585" t="s">
        <v>501</v>
      </c>
      <c r="AE293" s="585" t="s">
        <v>501</v>
      </c>
      <c r="AF293" s="585" t="s">
        <v>501</v>
      </c>
      <c r="AG293" s="585" t="s">
        <v>501</v>
      </c>
      <c r="AH293" s="585" t="s">
        <v>501</v>
      </c>
      <c r="AI293" s="585" t="s">
        <v>501</v>
      </c>
      <c r="AJ293" s="585" t="s">
        <v>501</v>
      </c>
      <c r="AK293" s="585" t="s">
        <v>501</v>
      </c>
      <c r="AL293" s="585" t="s">
        <v>501</v>
      </c>
      <c r="AM293" s="585" t="s">
        <v>501</v>
      </c>
    </row>
    <row r="294" spans="12:40" x14ac:dyDescent="0.2">
      <c r="R294" s="270">
        <f>R292</f>
        <v>618</v>
      </c>
      <c r="S294" s="270"/>
      <c r="T294">
        <v>10.715</v>
      </c>
      <c r="U294" s="285">
        <f>R294*T294</f>
        <v>6621.87</v>
      </c>
      <c r="V294" s="483">
        <f>AC292</f>
        <v>585.01</v>
      </c>
      <c r="W294" s="285">
        <f>U294+V294</f>
        <v>7206.88</v>
      </c>
      <c r="X294" s="483">
        <f>V292-W294</f>
        <v>12665.130000000001</v>
      </c>
    </row>
    <row r="295" spans="12:40" x14ac:dyDescent="0.2">
      <c r="X295" t="s">
        <v>593</v>
      </c>
    </row>
    <row r="296" spans="12:40" x14ac:dyDescent="0.2">
      <c r="S296" s="183" t="s">
        <v>549</v>
      </c>
    </row>
    <row r="297" spans="12:40" x14ac:dyDescent="0.2">
      <c r="P297" s="183"/>
      <c r="Q297" s="183"/>
      <c r="R297" s="183" t="s">
        <v>550</v>
      </c>
      <c r="S297" s="183" t="s">
        <v>551</v>
      </c>
      <c r="T297" s="183" t="s">
        <v>552</v>
      </c>
      <c r="U297" s="183" t="s">
        <v>555</v>
      </c>
      <c r="V297" s="183" t="s">
        <v>596</v>
      </c>
      <c r="W297" s="183" t="s">
        <v>553</v>
      </c>
      <c r="X297" s="183" t="s">
        <v>554</v>
      </c>
      <c r="Y297" s="183" t="s">
        <v>556</v>
      </c>
      <c r="Z297" s="183"/>
      <c r="AA297" s="183"/>
      <c r="AB297" s="183"/>
      <c r="AD297" s="183"/>
      <c r="AE297" s="183"/>
      <c r="AF297" s="183"/>
      <c r="AG297" s="183"/>
      <c r="AH297" s="183"/>
    </row>
    <row r="298" spans="12:40" x14ac:dyDescent="0.2">
      <c r="P298" s="183"/>
      <c r="Q298" s="183"/>
      <c r="R298" s="521" t="s">
        <v>471</v>
      </c>
      <c r="S298" s="521" t="s">
        <v>558</v>
      </c>
      <c r="T298" s="521" t="s">
        <v>559</v>
      </c>
      <c r="U298" s="521" t="s">
        <v>562</v>
      </c>
      <c r="V298" s="521" t="s">
        <v>597</v>
      </c>
      <c r="W298" s="521" t="s">
        <v>560</v>
      </c>
      <c r="X298" s="521" t="s">
        <v>561</v>
      </c>
      <c r="Y298" s="521" t="s">
        <v>563</v>
      </c>
      <c r="Z298" s="183"/>
      <c r="AA298" s="183"/>
      <c r="AB298" s="183"/>
      <c r="AD298" s="183"/>
      <c r="AE298" s="183"/>
      <c r="AF298" s="183"/>
      <c r="AG298" s="183"/>
      <c r="AH298" s="183"/>
    </row>
    <row r="299" spans="12:40" x14ac:dyDescent="0.2">
      <c r="P299" s="183"/>
      <c r="Q299" s="183"/>
      <c r="R299" s="183"/>
      <c r="S299" s="183"/>
      <c r="T299" s="183"/>
      <c r="U299" s="183"/>
      <c r="V299" s="183"/>
      <c r="W299" s="183"/>
      <c r="X299" s="183"/>
      <c r="Y299" s="183"/>
      <c r="Z299" s="183"/>
      <c r="AA299" s="183"/>
      <c r="AB299" s="523" t="s">
        <v>84</v>
      </c>
      <c r="AD299" s="183"/>
      <c r="AE299" s="183"/>
      <c r="AF299" s="183"/>
      <c r="AG299" s="183"/>
      <c r="AH299" s="183"/>
    </row>
    <row r="300" spans="12:40" x14ac:dyDescent="0.2">
      <c r="O300">
        <f>$O$69</f>
        <v>1</v>
      </c>
      <c r="P300" t="str">
        <f>'[3]KY Res - Equality'!A9</f>
        <v>MAR</v>
      </c>
      <c r="R300" s="294">
        <v>357.02</v>
      </c>
      <c r="S300" s="294">
        <v>46.42</v>
      </c>
      <c r="T300" s="294">
        <v>145.74</v>
      </c>
      <c r="U300" s="294">
        <v>-98.94</v>
      </c>
      <c r="V300" s="294"/>
      <c r="W300" s="294"/>
      <c r="X300" s="294"/>
      <c r="Z300" s="294"/>
      <c r="AA300" s="294"/>
      <c r="AB300" s="285">
        <f>SUM(R300:AA300)</f>
        <v>450.24000000000007</v>
      </c>
    </row>
    <row r="301" spans="12:40" x14ac:dyDescent="0.2">
      <c r="P301" t="str">
        <f>'[3]KY Res - Equality'!A10</f>
        <v>APR</v>
      </c>
      <c r="R301" s="294">
        <v>200.43</v>
      </c>
      <c r="S301" s="294">
        <v>32.82</v>
      </c>
      <c r="T301" s="294">
        <v>152.5</v>
      </c>
      <c r="U301" s="294">
        <v>-67.94</v>
      </c>
      <c r="V301" s="294"/>
      <c r="W301" s="294"/>
      <c r="X301" s="294"/>
      <c r="Z301" s="294"/>
      <c r="AA301" s="294"/>
      <c r="AB301" s="285">
        <f t="shared" ref="AB301:AB312" si="70">SUM(R301:AA301)</f>
        <v>317.81</v>
      </c>
    </row>
    <row r="302" spans="12:40" x14ac:dyDescent="0.2">
      <c r="P302" t="str">
        <f>'[3]KY Res - Equality'!A11</f>
        <v>MAY</v>
      </c>
      <c r="R302" s="294">
        <v>249.37</v>
      </c>
      <c r="S302" s="294">
        <v>34.4</v>
      </c>
      <c r="T302" s="294">
        <v>104.3</v>
      </c>
      <c r="U302" s="294">
        <v>-69.61</v>
      </c>
      <c r="V302" s="294"/>
      <c r="W302" s="294"/>
      <c r="X302" s="294"/>
      <c r="Z302" s="294"/>
      <c r="AA302" s="294"/>
      <c r="AB302" s="285">
        <f t="shared" si="70"/>
        <v>318.45999999999998</v>
      </c>
    </row>
    <row r="303" spans="12:40" x14ac:dyDescent="0.2">
      <c r="P303" t="str">
        <f>'[3]KY Res - Equality'!A12</f>
        <v>JUN</v>
      </c>
      <c r="R303" s="486">
        <v>76.84</v>
      </c>
      <c r="S303" s="486">
        <v>30.93</v>
      </c>
      <c r="T303" s="486">
        <v>139.66</v>
      </c>
      <c r="U303" s="486">
        <v>-59.21</v>
      </c>
      <c r="V303" s="294"/>
      <c r="W303" s="294"/>
      <c r="X303" s="294"/>
      <c r="Z303" s="294"/>
      <c r="AA303" s="294"/>
      <c r="AB303" s="285">
        <f t="shared" si="70"/>
        <v>188.22</v>
      </c>
    </row>
    <row r="304" spans="12:40" x14ac:dyDescent="0.2">
      <c r="P304" t="str">
        <f>'[3]KY Res - Equality'!A13</f>
        <v>JUL</v>
      </c>
      <c r="R304" s="486">
        <v>140.77000000000001</v>
      </c>
      <c r="S304" s="486">
        <v>17.149999999999999</v>
      </c>
      <c r="T304" s="486">
        <v>92.64</v>
      </c>
      <c r="U304" s="486">
        <v>-26.26</v>
      </c>
      <c r="V304" s="294"/>
      <c r="W304" s="294"/>
      <c r="X304" s="294"/>
      <c r="Y304" s="294"/>
      <c r="Z304" s="294"/>
      <c r="AA304" s="294"/>
      <c r="AB304" s="285">
        <f t="shared" si="70"/>
        <v>224.3</v>
      </c>
    </row>
    <row r="305" spans="12:40" x14ac:dyDescent="0.2">
      <c r="P305" t="str">
        <f>'[3]KY Res - Equality'!A14</f>
        <v>AUG</v>
      </c>
      <c r="R305" s="486">
        <v>321.95</v>
      </c>
      <c r="S305" s="486">
        <v>36.130000000000003</v>
      </c>
      <c r="T305" s="486">
        <v>119.53</v>
      </c>
      <c r="U305" s="486">
        <v>-62.85</v>
      </c>
      <c r="V305" s="486"/>
      <c r="W305" s="486"/>
      <c r="X305" s="486"/>
      <c r="Y305" s="486"/>
      <c r="Z305" s="294"/>
      <c r="AA305" s="294"/>
      <c r="AB305" s="285">
        <f t="shared" si="70"/>
        <v>414.76</v>
      </c>
    </row>
    <row r="306" spans="12:40" x14ac:dyDescent="0.2">
      <c r="P306" t="str">
        <f>'[3]KY Res - Equality'!A15</f>
        <v>SEP</v>
      </c>
      <c r="R306" s="486">
        <v>438.28</v>
      </c>
      <c r="S306" s="486">
        <v>76.11</v>
      </c>
      <c r="T306" s="486">
        <v>79.739999999999995</v>
      </c>
      <c r="U306" s="486">
        <v>-57.56</v>
      </c>
      <c r="V306" s="486"/>
      <c r="W306" s="486"/>
      <c r="X306" s="486"/>
      <c r="Y306" s="486"/>
      <c r="Z306" s="294"/>
      <c r="AA306" s="294"/>
      <c r="AB306" s="285">
        <f t="shared" si="70"/>
        <v>536.56999999999994</v>
      </c>
    </row>
    <row r="307" spans="12:40" x14ac:dyDescent="0.2">
      <c r="P307" t="str">
        <f>'[3]KY Res - Equality'!A16</f>
        <v>OCT</v>
      </c>
      <c r="R307" s="486">
        <v>391.96</v>
      </c>
      <c r="S307" s="486">
        <v>81.709999999999994</v>
      </c>
      <c r="T307" s="486">
        <v>108.05</v>
      </c>
      <c r="U307" s="486">
        <v>-57.81</v>
      </c>
      <c r="V307" s="486"/>
      <c r="W307" s="486"/>
      <c r="X307" s="486"/>
      <c r="Y307" s="486"/>
      <c r="Z307" s="294"/>
      <c r="AA307" s="294"/>
      <c r="AB307" s="285">
        <f t="shared" si="70"/>
        <v>523.90999999999985</v>
      </c>
    </row>
    <row r="308" spans="12:40" x14ac:dyDescent="0.2">
      <c r="P308" t="str">
        <f>'[3]KY Res - Equality'!A17</f>
        <v>NOV</v>
      </c>
      <c r="R308" s="294">
        <v>304.08999999999997</v>
      </c>
      <c r="S308" s="294">
        <v>77.89</v>
      </c>
      <c r="T308" s="294">
        <v>81.849999999999994</v>
      </c>
      <c r="U308" s="294">
        <v>-62.69</v>
      </c>
      <c r="V308" s="486"/>
      <c r="W308" s="486"/>
      <c r="X308" s="486"/>
      <c r="Y308" s="486"/>
      <c r="Z308" s="294"/>
      <c r="AA308" s="294"/>
      <c r="AB308" s="285">
        <f t="shared" si="70"/>
        <v>401.13999999999993</v>
      </c>
    </row>
    <row r="309" spans="12:40" x14ac:dyDescent="0.2">
      <c r="P309" t="str">
        <f>'[3]KY Res - Equality'!A18</f>
        <v>DEC</v>
      </c>
      <c r="R309" s="294">
        <v>281.16000000000003</v>
      </c>
      <c r="S309" s="294">
        <v>84.48</v>
      </c>
      <c r="T309" s="294">
        <v>102.03</v>
      </c>
      <c r="U309" s="294">
        <v>-62.2</v>
      </c>
      <c r="V309" s="486"/>
      <c r="W309" s="486"/>
      <c r="X309" s="486"/>
      <c r="Y309" s="486"/>
      <c r="Z309" s="294"/>
      <c r="AA309" s="294"/>
      <c r="AB309" s="285">
        <f t="shared" si="70"/>
        <v>405.47000000000008</v>
      </c>
    </row>
    <row r="310" spans="12:40" x14ac:dyDescent="0.2">
      <c r="P310" s="329" t="str">
        <f t="shared" ref="P310:P311" si="71">P288</f>
        <v>Jan 2023</v>
      </c>
      <c r="R310" s="294">
        <v>255.63</v>
      </c>
      <c r="S310" s="294">
        <v>106.22</v>
      </c>
      <c r="T310" s="294">
        <v>280.73</v>
      </c>
      <c r="U310" s="294">
        <v>-53.45</v>
      </c>
      <c r="V310" s="294"/>
      <c r="W310" s="294"/>
      <c r="X310" s="294"/>
      <c r="Y310" s="294"/>
      <c r="Z310" s="294"/>
      <c r="AA310" s="294"/>
      <c r="AB310" s="285">
        <f t="shared" si="70"/>
        <v>589.13</v>
      </c>
    </row>
    <row r="311" spans="12:40" x14ac:dyDescent="0.2">
      <c r="O311">
        <f>$O$80</f>
        <v>12</v>
      </c>
      <c r="P311" t="str">
        <f t="shared" si="71"/>
        <v>FEB</v>
      </c>
      <c r="R311" s="294">
        <v>121.62</v>
      </c>
      <c r="S311" s="294">
        <v>93.46</v>
      </c>
      <c r="T311" s="294">
        <v>121.27</v>
      </c>
      <c r="U311" s="294">
        <v>-55.7</v>
      </c>
      <c r="V311" s="294"/>
      <c r="W311" s="294"/>
      <c r="X311" s="294"/>
      <c r="Y311" s="294"/>
      <c r="Z311" s="294"/>
      <c r="AA311" s="294"/>
      <c r="AB311" s="285">
        <f t="shared" si="70"/>
        <v>280.64999999999998</v>
      </c>
    </row>
    <row r="312" spans="12:40" x14ac:dyDescent="0.2">
      <c r="R312" s="294"/>
      <c r="S312" s="294"/>
      <c r="T312" s="294"/>
      <c r="U312" s="294"/>
      <c r="V312" s="294"/>
      <c r="W312" s="294"/>
      <c r="X312" s="294"/>
      <c r="Y312" s="294"/>
      <c r="Z312" s="294"/>
      <c r="AA312" s="294"/>
      <c r="AB312" s="285">
        <f t="shared" si="70"/>
        <v>0</v>
      </c>
    </row>
    <row r="313" spans="12:40" ht="13.5" thickBot="1" x14ac:dyDescent="0.25">
      <c r="P313" t="s">
        <v>65</v>
      </c>
      <c r="R313" s="542">
        <f>SUM(R300:R311)</f>
        <v>3139.12</v>
      </c>
      <c r="S313" s="542">
        <f>SUM(R300:R311)</f>
        <v>3139.12</v>
      </c>
      <c r="T313" s="542">
        <f>SUM(S300:S311)</f>
        <v>717.72</v>
      </c>
      <c r="U313" s="542">
        <f>SUM(T300:T311)</f>
        <v>1528.04</v>
      </c>
      <c r="V313" s="542"/>
      <c r="W313" s="542">
        <f>SUM(V300:V311)</f>
        <v>0</v>
      </c>
      <c r="X313" s="542">
        <f>SUM(W300:W311)</f>
        <v>0</v>
      </c>
      <c r="Y313" s="542">
        <f>SUM(X300:X311)</f>
        <v>0</v>
      </c>
      <c r="Z313" s="542">
        <f>SUM(Y300:Y311)</f>
        <v>0</v>
      </c>
      <c r="AA313" s="294"/>
      <c r="AB313" s="542">
        <f>SUM(AB300:AB311)</f>
        <v>4650.6599999999989</v>
      </c>
    </row>
    <row r="314" spans="12:40" ht="16.5" thickTop="1" x14ac:dyDescent="0.25">
      <c r="P314" s="524" t="s">
        <v>693</v>
      </c>
      <c r="Q314" s="479"/>
      <c r="R314" s="479"/>
      <c r="S314" s="479"/>
      <c r="U314">
        <f>800</f>
        <v>800</v>
      </c>
      <c r="V314">
        <v>10.715</v>
      </c>
      <c r="W314">
        <f>U314*V314</f>
        <v>8572</v>
      </c>
      <c r="X314">
        <v>148.75</v>
      </c>
      <c r="Y314">
        <f>W314+X314</f>
        <v>8720.75</v>
      </c>
      <c r="AC314" s="573"/>
      <c r="AD314" s="573"/>
      <c r="AE314" s="574" t="s">
        <v>659</v>
      </c>
      <c r="AF314" s="573"/>
      <c r="AG314" s="573"/>
      <c r="AH314" s="573"/>
      <c r="AI314" s="573"/>
      <c r="AJ314" s="573"/>
      <c r="AK314" s="573"/>
      <c r="AL314" s="573"/>
      <c r="AM314" s="575"/>
    </row>
    <row r="315" spans="12:40" x14ac:dyDescent="0.2">
      <c r="R315" t="s">
        <v>694</v>
      </c>
      <c r="X315" s="183" t="s">
        <v>466</v>
      </c>
      <c r="AC315" s="575"/>
      <c r="AD315" s="573"/>
      <c r="AE315" s="574" t="s">
        <v>662</v>
      </c>
      <c r="AF315" s="573"/>
      <c r="AG315" s="573"/>
      <c r="AH315" s="575"/>
      <c r="AI315" s="573"/>
      <c r="AJ315" s="573"/>
      <c r="AK315" s="573"/>
      <c r="AL315" s="574" t="s">
        <v>663</v>
      </c>
      <c r="AM315" s="575"/>
    </row>
    <row r="316" spans="12:40" x14ac:dyDescent="0.2">
      <c r="Q316" s="183" t="s">
        <v>664</v>
      </c>
      <c r="R316" s="183" t="s">
        <v>469</v>
      </c>
      <c r="S316" s="183"/>
      <c r="T316" s="183" t="s">
        <v>470</v>
      </c>
      <c r="X316" s="183" t="s">
        <v>471</v>
      </c>
      <c r="Y316" s="183" t="s">
        <v>470</v>
      </c>
      <c r="AC316" s="574" t="s">
        <v>668</v>
      </c>
      <c r="AD316" s="573" t="s">
        <v>117</v>
      </c>
      <c r="AE316" s="574" t="s">
        <v>669</v>
      </c>
      <c r="AF316" s="574" t="s">
        <v>670</v>
      </c>
      <c r="AG316" s="574" t="s">
        <v>671</v>
      </c>
      <c r="AH316" s="574" t="s">
        <v>672</v>
      </c>
      <c r="AI316" s="574" t="s">
        <v>118</v>
      </c>
      <c r="AJ316" s="574" t="s">
        <v>673</v>
      </c>
      <c r="AK316" s="573" t="s">
        <v>284</v>
      </c>
      <c r="AL316" s="574" t="s">
        <v>674</v>
      </c>
      <c r="AM316" s="575"/>
    </row>
    <row r="317" spans="12:40" x14ac:dyDescent="0.2">
      <c r="Q317" s="183" t="s">
        <v>474</v>
      </c>
      <c r="R317" s="183" t="s">
        <v>475</v>
      </c>
      <c r="S317" s="183"/>
      <c r="T317" s="183" t="s">
        <v>475</v>
      </c>
      <c r="U317" s="183" t="s">
        <v>476</v>
      </c>
      <c r="V317" s="183" t="s">
        <v>477</v>
      </c>
      <c r="W317" s="183" t="s">
        <v>478</v>
      </c>
      <c r="X317" s="183" t="s">
        <v>479</v>
      </c>
      <c r="Y317" s="183" t="s">
        <v>480</v>
      </c>
      <c r="Z317" s="183" t="s">
        <v>481</v>
      </c>
      <c r="AA317" s="183" t="s">
        <v>482</v>
      </c>
      <c r="AB317" s="183" t="s">
        <v>483</v>
      </c>
      <c r="AC317" s="574" t="s">
        <v>606</v>
      </c>
      <c r="AD317" s="574" t="s">
        <v>676</v>
      </c>
      <c r="AE317" s="574" t="s">
        <v>668</v>
      </c>
      <c r="AF317" s="574" t="s">
        <v>117</v>
      </c>
      <c r="AG317" s="574" t="s">
        <v>117</v>
      </c>
      <c r="AH317" s="573" t="s">
        <v>677</v>
      </c>
      <c r="AI317" s="574" t="s">
        <v>669</v>
      </c>
      <c r="AJ317" s="574" t="s">
        <v>678</v>
      </c>
      <c r="AK317" s="573" t="s">
        <v>679</v>
      </c>
      <c r="AL317" s="574" t="s">
        <v>680</v>
      </c>
      <c r="AM317" s="573" t="s">
        <v>84</v>
      </c>
    </row>
    <row r="318" spans="12:40" x14ac:dyDescent="0.2">
      <c r="P318" s="481" t="s">
        <v>487</v>
      </c>
      <c r="Q318" s="481"/>
      <c r="R318" s="481" t="s">
        <v>487</v>
      </c>
      <c r="S318" s="481"/>
      <c r="T318" s="481" t="s">
        <v>487</v>
      </c>
      <c r="U318" s="481" t="s">
        <v>487</v>
      </c>
      <c r="V318" s="481" t="s">
        <v>487</v>
      </c>
      <c r="W318" s="481" t="s">
        <v>487</v>
      </c>
      <c r="X318" s="481" t="s">
        <v>487</v>
      </c>
      <c r="Y318" s="481" t="s">
        <v>487</v>
      </c>
      <c r="Z318" s="481" t="s">
        <v>487</v>
      </c>
      <c r="AA318" s="481" t="s">
        <v>487</v>
      </c>
      <c r="AB318" s="481" t="s">
        <v>487</v>
      </c>
      <c r="AC318" s="576" t="s">
        <v>487</v>
      </c>
      <c r="AD318" s="576" t="s">
        <v>487</v>
      </c>
      <c r="AE318" s="576" t="s">
        <v>487</v>
      </c>
      <c r="AF318" s="576" t="s">
        <v>487</v>
      </c>
      <c r="AG318" s="576" t="s">
        <v>487</v>
      </c>
      <c r="AH318" s="576" t="s">
        <v>487</v>
      </c>
      <c r="AI318" s="576" t="s">
        <v>487</v>
      </c>
      <c r="AJ318" s="576" t="s">
        <v>487</v>
      </c>
      <c r="AK318" s="576" t="s">
        <v>487</v>
      </c>
      <c r="AL318" s="576" t="s">
        <v>487</v>
      </c>
      <c r="AM318" s="576" t="s">
        <v>487</v>
      </c>
    </row>
    <row r="319" spans="12:40" x14ac:dyDescent="0.2">
      <c r="V319" s="483"/>
      <c r="W319" s="483"/>
      <c r="X319" s="483"/>
      <c r="Z319" s="483"/>
      <c r="AC319" s="575"/>
      <c r="AD319" s="575"/>
      <c r="AE319" s="575"/>
      <c r="AF319" s="575"/>
      <c r="AG319" s="575"/>
      <c r="AH319" s="575"/>
      <c r="AI319" s="575"/>
      <c r="AJ319" s="575"/>
      <c r="AK319" s="575">
        <v>3.0000000000000001E-3</v>
      </c>
      <c r="AL319" s="575"/>
      <c r="AM319" s="575"/>
    </row>
    <row r="320" spans="12:40" x14ac:dyDescent="0.2">
      <c r="L320" s="577">
        <f>W320/U320</f>
        <v>3.804987300854306E-2</v>
      </c>
      <c r="M320" s="578">
        <f t="shared" ref="M320:M331" si="72">N320/R320</f>
        <v>14.611363636363636</v>
      </c>
      <c r="N320" s="483">
        <f t="shared" ref="N320:N331" si="73">V320-AC320</f>
        <v>1928.7</v>
      </c>
      <c r="O320">
        <f>$O$69</f>
        <v>1</v>
      </c>
      <c r="P320" t="s">
        <v>600</v>
      </c>
      <c r="Q320">
        <v>180</v>
      </c>
      <c r="R320" s="482">
        <v>132</v>
      </c>
      <c r="S320" s="482">
        <v>180</v>
      </c>
      <c r="T320" s="482"/>
      <c r="U320" s="482">
        <v>21655</v>
      </c>
      <c r="V320" s="483">
        <v>1928.7</v>
      </c>
      <c r="W320" s="483">
        <v>823.97</v>
      </c>
      <c r="X320" s="285">
        <f t="shared" ref="X320:X329" si="74">SUM(R342:X342)</f>
        <v>526.82999999999993</v>
      </c>
      <c r="Y320" s="483"/>
      <c r="Z320" s="483">
        <f t="shared" ref="Z320:Z331" si="75">SUM(V320:Y320)</f>
        <v>3279.5</v>
      </c>
      <c r="AA320" s="483">
        <v>3444.47</v>
      </c>
      <c r="AB320" s="483">
        <f t="shared" ref="AB320:AB331" si="76">AA320-Z320</f>
        <v>164.9699999999998</v>
      </c>
      <c r="AC320" s="593"/>
      <c r="AD320" s="575"/>
      <c r="AE320" s="575"/>
      <c r="AF320" s="575"/>
      <c r="AG320" s="575"/>
      <c r="AH320" s="580"/>
      <c r="AI320" s="575">
        <v>100</v>
      </c>
      <c r="AJ320" s="575"/>
      <c r="AK320" s="575">
        <f>U320*AK319</f>
        <v>64.965000000000003</v>
      </c>
      <c r="AL320" s="575"/>
      <c r="AM320" s="575">
        <f>SUM(AI320:AL320)</f>
        <v>164.965</v>
      </c>
      <c r="AN320" s="285">
        <f>AM320-AB320</f>
        <v>-4.9999999997965006E-3</v>
      </c>
    </row>
    <row r="321" spans="12:40" x14ac:dyDescent="0.2">
      <c r="L321" s="577">
        <f t="shared" ref="L321:L331" si="77">W321/U321</f>
        <v>3.8049781181619259E-2</v>
      </c>
      <c r="M321" s="578">
        <f t="shared" si="72"/>
        <v>101.51052631578948</v>
      </c>
      <c r="N321" s="483">
        <f t="shared" si="73"/>
        <v>1928.7</v>
      </c>
      <c r="P321" t="s">
        <v>492</v>
      </c>
      <c r="Q321">
        <v>180</v>
      </c>
      <c r="R321" s="482">
        <v>19</v>
      </c>
      <c r="S321" s="482">
        <v>180</v>
      </c>
      <c r="T321" s="482"/>
      <c r="U321" s="482">
        <v>7312</v>
      </c>
      <c r="V321" s="483">
        <v>1928.7</v>
      </c>
      <c r="W321" s="483">
        <v>278.22000000000003</v>
      </c>
      <c r="X321" s="285">
        <f t="shared" si="74"/>
        <v>244.01</v>
      </c>
      <c r="Y321" s="483"/>
      <c r="Z321" s="483">
        <f t="shared" si="75"/>
        <v>2450.9300000000003</v>
      </c>
      <c r="AA321" s="483">
        <v>2572.87</v>
      </c>
      <c r="AB321" s="483">
        <f t="shared" si="76"/>
        <v>121.9399999999996</v>
      </c>
      <c r="AC321" s="593"/>
      <c r="AD321" s="575"/>
      <c r="AE321" s="575"/>
      <c r="AF321" s="575"/>
      <c r="AG321" s="575"/>
      <c r="AH321" s="580"/>
      <c r="AI321" s="575">
        <v>100</v>
      </c>
      <c r="AJ321" s="575"/>
      <c r="AK321" s="575">
        <f>U321*AK319</f>
        <v>21.936</v>
      </c>
      <c r="AL321" s="575"/>
      <c r="AM321" s="575">
        <f t="shared" ref="AM321:AM331" si="78">SUM(AI321:AL321)</f>
        <v>121.93600000000001</v>
      </c>
      <c r="AN321" s="285">
        <f t="shared" ref="AN321:AN331" si="79">AM321-AB321</f>
        <v>-3.9999999995927737E-3</v>
      </c>
    </row>
    <row r="322" spans="12:40" x14ac:dyDescent="0.2">
      <c r="L322" s="577">
        <f t="shared" si="77"/>
        <v>3.80498741346759E-2</v>
      </c>
      <c r="M322" s="578">
        <f t="shared" si="72"/>
        <v>14.611363636363636</v>
      </c>
      <c r="N322" s="483">
        <f t="shared" si="73"/>
        <v>1928.7</v>
      </c>
      <c r="P322" t="s">
        <v>493</v>
      </c>
      <c r="Q322">
        <v>180</v>
      </c>
      <c r="R322" s="482">
        <v>132</v>
      </c>
      <c r="S322" s="482">
        <v>180</v>
      </c>
      <c r="T322" s="482"/>
      <c r="U322" s="482">
        <v>12712</v>
      </c>
      <c r="V322" s="483">
        <v>1928.7</v>
      </c>
      <c r="W322" s="483">
        <v>483.69</v>
      </c>
      <c r="X322" s="285">
        <f t="shared" si="74"/>
        <v>312.60000000000002</v>
      </c>
      <c r="Y322" s="483"/>
      <c r="Z322" s="483">
        <f t="shared" si="75"/>
        <v>2724.99</v>
      </c>
      <c r="AA322" s="483">
        <v>2863.13</v>
      </c>
      <c r="AB322" s="483">
        <f t="shared" si="76"/>
        <v>138.14000000000033</v>
      </c>
      <c r="AC322" s="593"/>
      <c r="AD322" s="575"/>
      <c r="AE322" s="575"/>
      <c r="AF322" s="575"/>
      <c r="AG322" s="575"/>
      <c r="AH322" s="580"/>
      <c r="AI322" s="575">
        <v>100</v>
      </c>
      <c r="AJ322" s="575"/>
      <c r="AK322" s="575">
        <f>U322*AK319</f>
        <v>38.136000000000003</v>
      </c>
      <c r="AL322" s="575"/>
      <c r="AM322" s="575">
        <f t="shared" si="78"/>
        <v>138.136</v>
      </c>
      <c r="AN322" s="285">
        <f t="shared" si="79"/>
        <v>-4.0000000003317382E-3</v>
      </c>
    </row>
    <row r="323" spans="12:40" x14ac:dyDescent="0.2">
      <c r="L323" s="577">
        <f t="shared" si="77"/>
        <v>3.8050746268656718E-2</v>
      </c>
      <c r="M323" s="578">
        <f t="shared" si="72"/>
        <v>148.36153846153846</v>
      </c>
      <c r="N323" s="483">
        <f t="shared" si="73"/>
        <v>1928.7</v>
      </c>
      <c r="P323" t="s">
        <v>494</v>
      </c>
      <c r="Q323">
        <v>180</v>
      </c>
      <c r="R323" s="482">
        <v>13</v>
      </c>
      <c r="S323" s="482">
        <v>180</v>
      </c>
      <c r="T323" s="482"/>
      <c r="U323" s="482">
        <v>6700</v>
      </c>
      <c r="V323" s="483">
        <v>1928.7</v>
      </c>
      <c r="W323" s="483">
        <v>254.94</v>
      </c>
      <c r="X323" s="285">
        <f t="shared" si="74"/>
        <v>169.38000000000002</v>
      </c>
      <c r="Y323" s="483"/>
      <c r="Z323" s="483">
        <f t="shared" si="75"/>
        <v>2353.02</v>
      </c>
      <c r="AA323" s="483">
        <v>2473.12</v>
      </c>
      <c r="AB323" s="483">
        <f t="shared" si="76"/>
        <v>120.09999999999991</v>
      </c>
      <c r="AC323" s="593"/>
      <c r="AD323" s="575"/>
      <c r="AE323" s="575"/>
      <c r="AF323" s="575"/>
      <c r="AG323" s="575"/>
      <c r="AH323" s="580"/>
      <c r="AI323" s="575">
        <v>100</v>
      </c>
      <c r="AJ323" s="575"/>
      <c r="AK323" s="575">
        <f>U323*AK319</f>
        <v>20.100000000000001</v>
      </c>
      <c r="AL323" s="575"/>
      <c r="AM323" s="575">
        <f t="shared" si="78"/>
        <v>120.1</v>
      </c>
      <c r="AN323" s="285">
        <f t="shared" si="79"/>
        <v>0</v>
      </c>
    </row>
    <row r="324" spans="12:40" x14ac:dyDescent="0.2">
      <c r="L324" s="577">
        <f t="shared" si="77"/>
        <v>3.8050085096036954E-2</v>
      </c>
      <c r="M324" s="578">
        <f t="shared" si="72"/>
        <v>14.611363636363636</v>
      </c>
      <c r="N324" s="483">
        <f t="shared" si="73"/>
        <v>1928.7</v>
      </c>
      <c r="P324" t="s">
        <v>495</v>
      </c>
      <c r="Q324">
        <v>180</v>
      </c>
      <c r="R324" s="482">
        <v>132</v>
      </c>
      <c r="S324" s="482">
        <v>180</v>
      </c>
      <c r="T324" s="482"/>
      <c r="U324" s="482">
        <v>16452</v>
      </c>
      <c r="V324" s="483">
        <v>1928.7</v>
      </c>
      <c r="W324" s="483">
        <v>626</v>
      </c>
      <c r="X324" s="285">
        <f t="shared" si="74"/>
        <v>448.84000000000003</v>
      </c>
      <c r="Y324" s="483"/>
      <c r="Z324" s="483">
        <f t="shared" si="75"/>
        <v>3003.54</v>
      </c>
      <c r="AA324" s="483">
        <v>3152.89</v>
      </c>
      <c r="AB324" s="483">
        <f t="shared" si="76"/>
        <v>149.34999999999991</v>
      </c>
      <c r="AC324" s="593"/>
      <c r="AD324" s="575"/>
      <c r="AE324" s="575"/>
      <c r="AF324" s="575"/>
      <c r="AG324" s="575"/>
      <c r="AH324" s="580"/>
      <c r="AI324" s="575">
        <v>100</v>
      </c>
      <c r="AJ324" s="575"/>
      <c r="AK324" s="575">
        <f>U324*AK319</f>
        <v>49.356000000000002</v>
      </c>
      <c r="AL324" s="575"/>
      <c r="AM324" s="575">
        <f t="shared" si="78"/>
        <v>149.35599999999999</v>
      </c>
      <c r="AN324" s="285">
        <f t="shared" si="79"/>
        <v>6.0000000000854925E-3</v>
      </c>
    </row>
    <row r="325" spans="12:40" x14ac:dyDescent="0.2">
      <c r="L325" s="577">
        <f t="shared" si="77"/>
        <v>3.8049921486521851E-2</v>
      </c>
      <c r="M325" s="578">
        <f t="shared" si="72"/>
        <v>14.611363636363636</v>
      </c>
      <c r="N325" s="483">
        <f t="shared" si="73"/>
        <v>1928.7</v>
      </c>
      <c r="P325" t="s">
        <v>496</v>
      </c>
      <c r="Q325">
        <v>180</v>
      </c>
      <c r="R325" s="482">
        <v>132</v>
      </c>
      <c r="S325" s="482">
        <v>180</v>
      </c>
      <c r="T325" s="482"/>
      <c r="U325" s="482">
        <v>30568</v>
      </c>
      <c r="V325" s="483">
        <v>1928.7</v>
      </c>
      <c r="W325" s="483">
        <v>1163.1099999999999</v>
      </c>
      <c r="X325" s="285">
        <f t="shared" si="74"/>
        <v>805.1</v>
      </c>
      <c r="Y325" s="483"/>
      <c r="Z325" s="483">
        <f t="shared" si="75"/>
        <v>3896.91</v>
      </c>
      <c r="AA325" s="483">
        <v>4088.62</v>
      </c>
      <c r="AB325" s="483">
        <f t="shared" si="76"/>
        <v>191.71000000000004</v>
      </c>
      <c r="AC325" s="593"/>
      <c r="AD325" s="575"/>
      <c r="AE325" s="575"/>
      <c r="AF325" s="575"/>
      <c r="AG325" s="575"/>
      <c r="AH325" s="580"/>
      <c r="AI325" s="575">
        <v>100</v>
      </c>
      <c r="AJ325" s="575"/>
      <c r="AK325" s="575">
        <f>U325*AK319</f>
        <v>91.704000000000008</v>
      </c>
      <c r="AL325" s="575"/>
      <c r="AM325" s="575">
        <f t="shared" si="78"/>
        <v>191.70400000000001</v>
      </c>
      <c r="AN325" s="285">
        <f t="shared" si="79"/>
        <v>-6.0000000000286491E-3</v>
      </c>
    </row>
    <row r="326" spans="12:40" x14ac:dyDescent="0.2">
      <c r="L326" s="577">
        <f t="shared" si="77"/>
        <v>3.8050254916241803E-2</v>
      </c>
      <c r="M326" s="578">
        <f t="shared" si="72"/>
        <v>60.271875000000001</v>
      </c>
      <c r="N326" s="483">
        <f t="shared" si="73"/>
        <v>1928.7</v>
      </c>
      <c r="P326" t="s">
        <v>497</v>
      </c>
      <c r="Q326">
        <v>180</v>
      </c>
      <c r="R326" s="482">
        <v>32</v>
      </c>
      <c r="S326" s="482">
        <v>180</v>
      </c>
      <c r="T326" s="482"/>
      <c r="U326" s="482">
        <v>13730</v>
      </c>
      <c r="V326" s="483">
        <v>2308</v>
      </c>
      <c r="W326" s="483">
        <v>522.42999999999995</v>
      </c>
      <c r="X326" s="285">
        <f t="shared" si="74"/>
        <v>588.23</v>
      </c>
      <c r="Y326" s="483"/>
      <c r="Z326" s="483">
        <f t="shared" si="75"/>
        <v>3418.66</v>
      </c>
      <c r="AA326" s="483">
        <v>3559.85</v>
      </c>
      <c r="AB326" s="483">
        <f t="shared" si="76"/>
        <v>141.19000000000005</v>
      </c>
      <c r="AC326" s="593">
        <f>278.15+101.15</f>
        <v>379.29999999999995</v>
      </c>
      <c r="AD326" s="575"/>
      <c r="AE326" s="575"/>
      <c r="AF326" s="575"/>
      <c r="AG326" s="575"/>
      <c r="AH326" s="580"/>
      <c r="AI326" s="575">
        <v>100</v>
      </c>
      <c r="AJ326" s="575"/>
      <c r="AK326" s="575">
        <f>U326*AK319</f>
        <v>41.19</v>
      </c>
      <c r="AL326" s="575"/>
      <c r="AM326" s="575">
        <f t="shared" si="78"/>
        <v>141.19</v>
      </c>
      <c r="AN326" s="285">
        <f t="shared" si="79"/>
        <v>0</v>
      </c>
    </row>
    <row r="327" spans="12:40" x14ac:dyDescent="0.2">
      <c r="L327" s="577">
        <f t="shared" si="77"/>
        <v>3.8050014048890142E-2</v>
      </c>
      <c r="M327" s="578">
        <f t="shared" si="72"/>
        <v>30.61428571428571</v>
      </c>
      <c r="N327" s="483">
        <f t="shared" si="73"/>
        <v>1928.6999999999998</v>
      </c>
      <c r="P327" t="s">
        <v>498</v>
      </c>
      <c r="Q327">
        <v>180</v>
      </c>
      <c r="R327" s="482">
        <v>63</v>
      </c>
      <c r="S327" s="482">
        <v>180</v>
      </c>
      <c r="T327" s="482"/>
      <c r="U327" s="482">
        <v>17795</v>
      </c>
      <c r="V327" s="483">
        <v>1960.33</v>
      </c>
      <c r="W327" s="483">
        <v>677.1</v>
      </c>
      <c r="X327" s="285">
        <f t="shared" si="74"/>
        <v>679.37</v>
      </c>
      <c r="Y327" s="483"/>
      <c r="Z327" s="483">
        <f t="shared" si="75"/>
        <v>3316.7999999999997</v>
      </c>
      <c r="AA327" s="483">
        <v>3470.18</v>
      </c>
      <c r="AB327" s="483">
        <f t="shared" si="76"/>
        <v>153.38000000000011</v>
      </c>
      <c r="AC327" s="593">
        <f>23.19+8.44</f>
        <v>31.630000000000003</v>
      </c>
      <c r="AD327" s="575"/>
      <c r="AE327" s="575"/>
      <c r="AF327" s="575"/>
      <c r="AG327" s="575"/>
      <c r="AH327" s="580"/>
      <c r="AI327" s="575">
        <v>100</v>
      </c>
      <c r="AJ327" s="575"/>
      <c r="AK327" s="575">
        <f>U327*AK319</f>
        <v>53.384999999999998</v>
      </c>
      <c r="AL327" s="575"/>
      <c r="AM327" s="575">
        <f t="shared" si="78"/>
        <v>153.38499999999999</v>
      </c>
      <c r="AN327" s="285">
        <f t="shared" si="79"/>
        <v>4.9999999998817657E-3</v>
      </c>
    </row>
    <row r="328" spans="12:40" x14ac:dyDescent="0.2">
      <c r="L328" s="577">
        <f t="shared" si="77"/>
        <v>3.805012865720004E-2</v>
      </c>
      <c r="M328" s="578">
        <f t="shared" si="72"/>
        <v>23.520731707317072</v>
      </c>
      <c r="N328" s="483">
        <f t="shared" si="73"/>
        <v>1928.7</v>
      </c>
      <c r="P328" t="s">
        <v>499</v>
      </c>
      <c r="Q328">
        <v>180</v>
      </c>
      <c r="R328" s="482">
        <v>82</v>
      </c>
      <c r="S328" s="482">
        <v>180</v>
      </c>
      <c r="T328" s="482"/>
      <c r="U328" s="482">
        <v>31479</v>
      </c>
      <c r="V328" s="483">
        <v>1928.7</v>
      </c>
      <c r="W328" s="483">
        <v>1197.78</v>
      </c>
      <c r="X328" s="285">
        <f t="shared" si="74"/>
        <v>910.37</v>
      </c>
      <c r="Y328" s="483"/>
      <c r="Z328" s="483">
        <f t="shared" si="75"/>
        <v>4036.85</v>
      </c>
      <c r="AA328" s="483">
        <v>4231.28</v>
      </c>
      <c r="AB328" s="483">
        <f t="shared" si="76"/>
        <v>194.42999999999984</v>
      </c>
      <c r="AC328" s="593"/>
      <c r="AD328" s="575"/>
      <c r="AE328" s="575"/>
      <c r="AF328" s="575"/>
      <c r="AG328" s="575"/>
      <c r="AH328" s="580"/>
      <c r="AI328" s="575">
        <v>100</v>
      </c>
      <c r="AJ328" s="575"/>
      <c r="AK328" s="575">
        <f>U328*AK319</f>
        <v>94.436999999999998</v>
      </c>
      <c r="AL328" s="575"/>
      <c r="AM328" s="575">
        <f t="shared" si="78"/>
        <v>194.43700000000001</v>
      </c>
      <c r="AN328" s="285">
        <f t="shared" si="79"/>
        <v>7.0000000001755325E-3</v>
      </c>
    </row>
    <row r="329" spans="12:40" x14ac:dyDescent="0.2">
      <c r="L329" s="577">
        <f t="shared" si="77"/>
        <v>3.8049892563282846E-2</v>
      </c>
      <c r="M329" s="578">
        <f t="shared" si="72"/>
        <v>10.715027322404373</v>
      </c>
      <c r="N329" s="483">
        <f t="shared" si="73"/>
        <v>1960.8500000000001</v>
      </c>
      <c r="P329" t="s">
        <v>500</v>
      </c>
      <c r="Q329">
        <v>180</v>
      </c>
      <c r="R329" s="482">
        <v>183</v>
      </c>
      <c r="S329" s="482">
        <v>183</v>
      </c>
      <c r="T329" s="482"/>
      <c r="U329" s="482">
        <v>19081</v>
      </c>
      <c r="V329" s="483">
        <v>2149.3000000000002</v>
      </c>
      <c r="W329" s="483">
        <v>726.03</v>
      </c>
      <c r="X329" s="285">
        <f t="shared" si="74"/>
        <v>542.09</v>
      </c>
      <c r="Y329" s="483"/>
      <c r="Z329" s="483">
        <f t="shared" si="75"/>
        <v>3417.42</v>
      </c>
      <c r="AA329" s="483">
        <v>3574.67</v>
      </c>
      <c r="AB329" s="483">
        <f t="shared" si="76"/>
        <v>157.25</v>
      </c>
      <c r="AC329" s="593">
        <f>137.99+50.46</f>
        <v>188.45000000000002</v>
      </c>
      <c r="AD329" s="575"/>
      <c r="AE329" s="575"/>
      <c r="AF329" s="580"/>
      <c r="AG329" s="580"/>
      <c r="AH329" s="580"/>
      <c r="AI329" s="575">
        <v>100</v>
      </c>
      <c r="AJ329" s="575"/>
      <c r="AK329" s="575">
        <f>U329*AK319</f>
        <v>57.243000000000002</v>
      </c>
      <c r="AL329" s="575"/>
      <c r="AM329" s="575">
        <f t="shared" si="78"/>
        <v>157.24299999999999</v>
      </c>
      <c r="AN329" s="285">
        <f t="shared" si="79"/>
        <v>-7.0000000000050022E-3</v>
      </c>
    </row>
    <row r="330" spans="12:40" x14ac:dyDescent="0.2">
      <c r="L330" s="577">
        <f t="shared" si="77"/>
        <v>3.8050171037628276E-2</v>
      </c>
      <c r="M330" s="578">
        <f t="shared" si="72"/>
        <v>13.875539568345324</v>
      </c>
      <c r="N330" s="483">
        <f t="shared" si="73"/>
        <v>1928.7</v>
      </c>
      <c r="P330" s="541" t="s">
        <v>545</v>
      </c>
      <c r="Q330">
        <v>180</v>
      </c>
      <c r="R330" s="482">
        <v>139</v>
      </c>
      <c r="S330" s="482">
        <v>180</v>
      </c>
      <c r="T330" s="527"/>
      <c r="U330" s="482">
        <v>18417</v>
      </c>
      <c r="V330" s="483">
        <v>1928.7</v>
      </c>
      <c r="W330" s="483">
        <v>700.77</v>
      </c>
      <c r="X330" s="285">
        <f t="shared" ref="X330:X331" si="80">SUM(R352:Y352)</f>
        <v>641.55999999999995</v>
      </c>
      <c r="Y330" s="483"/>
      <c r="Z330" s="483">
        <f t="shared" si="75"/>
        <v>3271.03</v>
      </c>
      <c r="AA330" s="483">
        <v>3426.28</v>
      </c>
      <c r="AB330" s="483">
        <f t="shared" si="76"/>
        <v>155.25</v>
      </c>
      <c r="AD330" s="575"/>
      <c r="AE330" s="575"/>
      <c r="AF330" s="580"/>
      <c r="AG330" s="580"/>
      <c r="AH330" s="580"/>
      <c r="AI330" s="575">
        <v>100</v>
      </c>
      <c r="AJ330" s="575"/>
      <c r="AK330" s="575">
        <f>U330*AK319</f>
        <v>55.250999999999998</v>
      </c>
      <c r="AL330" s="575"/>
      <c r="AM330" s="575">
        <f t="shared" si="78"/>
        <v>155.251</v>
      </c>
      <c r="AN330" s="285">
        <f t="shared" si="79"/>
        <v>1.0000000000047748E-3</v>
      </c>
    </row>
    <row r="331" spans="12:40" x14ac:dyDescent="0.2">
      <c r="L331" s="577">
        <f t="shared" si="77"/>
        <v>3.8050070285829032E-2</v>
      </c>
      <c r="M331" s="578">
        <f t="shared" si="72"/>
        <v>13.875539568345324</v>
      </c>
      <c r="N331" s="483">
        <f t="shared" si="73"/>
        <v>1928.7</v>
      </c>
      <c r="O331">
        <f>$O$80</f>
        <v>12</v>
      </c>
      <c r="P331" t="s">
        <v>688</v>
      </c>
      <c r="Q331">
        <v>180</v>
      </c>
      <c r="R331" s="482">
        <v>139</v>
      </c>
      <c r="S331" s="482">
        <v>180</v>
      </c>
      <c r="T331" s="527"/>
      <c r="U331" s="482">
        <v>29878</v>
      </c>
      <c r="V331" s="483">
        <v>1928.7</v>
      </c>
      <c r="W331" s="483">
        <v>1136.8599999999999</v>
      </c>
      <c r="X331" s="285">
        <f t="shared" si="80"/>
        <v>481.53000000000003</v>
      </c>
      <c r="Y331" s="483"/>
      <c r="Z331" s="483">
        <f t="shared" si="75"/>
        <v>3547.09</v>
      </c>
      <c r="AA331" s="483">
        <v>3736.72</v>
      </c>
      <c r="AB331" s="483">
        <f t="shared" si="76"/>
        <v>189.62999999999965</v>
      </c>
      <c r="AD331" s="575"/>
      <c r="AE331" s="575"/>
      <c r="AF331" s="580"/>
      <c r="AG331" s="580"/>
      <c r="AH331" s="580"/>
      <c r="AI331" s="575">
        <v>100</v>
      </c>
      <c r="AJ331" s="575"/>
      <c r="AK331" s="575">
        <f>U331*AK319</f>
        <v>89.634</v>
      </c>
      <c r="AL331" s="575"/>
      <c r="AM331" s="575">
        <f t="shared" si="78"/>
        <v>189.63400000000001</v>
      </c>
      <c r="AN331" s="285">
        <f t="shared" si="79"/>
        <v>4.0000000003601599E-3</v>
      </c>
    </row>
    <row r="332" spans="12:40" x14ac:dyDescent="0.2">
      <c r="R332" s="489" t="s">
        <v>487</v>
      </c>
      <c r="S332" s="489"/>
      <c r="T332" s="489" t="s">
        <v>487</v>
      </c>
      <c r="U332" s="489" t="s">
        <v>487</v>
      </c>
      <c r="V332" s="489" t="s">
        <v>487</v>
      </c>
      <c r="W332" s="489" t="s">
        <v>487</v>
      </c>
      <c r="X332" s="489" t="s">
        <v>487</v>
      </c>
      <c r="Y332" s="489" t="s">
        <v>487</v>
      </c>
      <c r="Z332" s="489" t="s">
        <v>487</v>
      </c>
      <c r="AA332" s="489" t="s">
        <v>487</v>
      </c>
      <c r="AB332" s="489" t="s">
        <v>487</v>
      </c>
      <c r="AC332" s="575"/>
      <c r="AD332" s="575"/>
      <c r="AE332" s="575"/>
      <c r="AF332" s="575"/>
      <c r="AG332" s="575"/>
      <c r="AH332" s="575"/>
      <c r="AI332" s="575"/>
      <c r="AJ332" s="575"/>
      <c r="AK332" s="575"/>
      <c r="AL332" s="575"/>
      <c r="AM332" s="575"/>
    </row>
    <row r="333" spans="12:40" x14ac:dyDescent="0.2">
      <c r="R333" s="482"/>
      <c r="S333" s="482"/>
      <c r="T333" s="482"/>
      <c r="U333" s="482"/>
      <c r="V333" s="483"/>
      <c r="W333" s="483"/>
      <c r="X333" s="483"/>
      <c r="Z333" s="483"/>
      <c r="AA333" s="483"/>
      <c r="AB333" s="483"/>
      <c r="AC333" s="575"/>
      <c r="AD333" s="575"/>
      <c r="AE333" s="575"/>
      <c r="AF333" s="575"/>
      <c r="AG333" s="575"/>
      <c r="AH333" s="575"/>
      <c r="AI333" s="575"/>
      <c r="AJ333" s="575"/>
      <c r="AK333" s="575"/>
      <c r="AL333" s="575"/>
      <c r="AM333" s="575"/>
    </row>
    <row r="334" spans="12:40" x14ac:dyDescent="0.2">
      <c r="R334" s="482">
        <f t="shared" ref="R334:AM334" si="81">SUM(R320:R331)</f>
        <v>1198</v>
      </c>
      <c r="S334" s="482"/>
      <c r="T334" s="482">
        <f t="shared" si="81"/>
        <v>0</v>
      </c>
      <c r="U334" s="482">
        <f t="shared" si="81"/>
        <v>225779</v>
      </c>
      <c r="V334" s="483">
        <f t="shared" si="81"/>
        <v>23775.93</v>
      </c>
      <c r="W334" s="483">
        <f t="shared" si="81"/>
        <v>8590.9000000000015</v>
      </c>
      <c r="X334" s="483">
        <f t="shared" si="81"/>
        <v>6349.9100000000008</v>
      </c>
      <c r="Y334" s="483">
        <f t="shared" si="81"/>
        <v>0</v>
      </c>
      <c r="Z334" s="483">
        <f t="shared" si="81"/>
        <v>38716.739999999991</v>
      </c>
      <c r="AA334" s="483">
        <f t="shared" si="81"/>
        <v>40594.079999999994</v>
      </c>
      <c r="AB334" s="483">
        <f t="shared" si="81"/>
        <v>1877.3399999999992</v>
      </c>
      <c r="AC334" s="584">
        <f t="shared" si="81"/>
        <v>599.38</v>
      </c>
      <c r="AD334" s="584">
        <f t="shared" si="81"/>
        <v>0</v>
      </c>
      <c r="AE334" s="584">
        <f t="shared" si="81"/>
        <v>0</v>
      </c>
      <c r="AF334" s="584">
        <f t="shared" si="81"/>
        <v>0</v>
      </c>
      <c r="AG334" s="584">
        <f t="shared" si="81"/>
        <v>0</v>
      </c>
      <c r="AH334" s="584">
        <f t="shared" si="81"/>
        <v>0</v>
      </c>
      <c r="AI334" s="584">
        <f t="shared" si="81"/>
        <v>1200</v>
      </c>
      <c r="AJ334" s="584">
        <f t="shared" si="81"/>
        <v>0</v>
      </c>
      <c r="AK334" s="584">
        <f t="shared" si="81"/>
        <v>677.33699999999999</v>
      </c>
      <c r="AL334" s="584">
        <f t="shared" si="81"/>
        <v>0</v>
      </c>
      <c r="AM334" s="584">
        <f t="shared" si="81"/>
        <v>1877.3370000000002</v>
      </c>
    </row>
    <row r="335" spans="12:40" x14ac:dyDescent="0.2">
      <c r="R335" s="488" t="s">
        <v>501</v>
      </c>
      <c r="S335" s="488"/>
      <c r="T335" s="488" t="s">
        <v>501</v>
      </c>
      <c r="U335" s="488" t="s">
        <v>501</v>
      </c>
      <c r="V335" s="489" t="s">
        <v>501</v>
      </c>
      <c r="W335" s="489" t="s">
        <v>501</v>
      </c>
      <c r="X335" s="489" t="s">
        <v>501</v>
      </c>
      <c r="Y335" s="489" t="s">
        <v>501</v>
      </c>
      <c r="Z335" s="489" t="s">
        <v>501</v>
      </c>
      <c r="AA335" s="489" t="s">
        <v>501</v>
      </c>
      <c r="AB335" s="489" t="s">
        <v>501</v>
      </c>
      <c r="AC335" s="585" t="s">
        <v>501</v>
      </c>
      <c r="AD335" s="585" t="s">
        <v>501</v>
      </c>
      <c r="AE335" s="585" t="s">
        <v>501</v>
      </c>
      <c r="AF335" s="585" t="s">
        <v>501</v>
      </c>
      <c r="AG335" s="585" t="s">
        <v>501</v>
      </c>
      <c r="AH335" s="585" t="s">
        <v>501</v>
      </c>
      <c r="AI335" s="585" t="s">
        <v>501</v>
      </c>
      <c r="AJ335" s="585" t="s">
        <v>501</v>
      </c>
      <c r="AK335" s="585" t="s">
        <v>501</v>
      </c>
      <c r="AL335" s="585" t="s">
        <v>501</v>
      </c>
      <c r="AM335" s="585" t="s">
        <v>501</v>
      </c>
    </row>
    <row r="336" spans="12:40" x14ac:dyDescent="0.2">
      <c r="R336" s="270">
        <f>R334</f>
        <v>1198</v>
      </c>
      <c r="S336" s="270"/>
      <c r="T336">
        <v>10.715</v>
      </c>
      <c r="U336" s="285">
        <f>R336*T336</f>
        <v>12836.57</v>
      </c>
      <c r="V336" s="483">
        <f>AC334</f>
        <v>599.38</v>
      </c>
      <c r="W336" s="285">
        <f>U336+V336</f>
        <v>13435.949999999999</v>
      </c>
      <c r="X336" s="483">
        <f>V334-W336</f>
        <v>10339.980000000001</v>
      </c>
    </row>
    <row r="337" spans="15:34" x14ac:dyDescent="0.2">
      <c r="X337" t="s">
        <v>593</v>
      </c>
    </row>
    <row r="338" spans="15:34" x14ac:dyDescent="0.2">
      <c r="S338" s="183" t="s">
        <v>549</v>
      </c>
    </row>
    <row r="339" spans="15:34" x14ac:dyDescent="0.2">
      <c r="P339" s="183"/>
      <c r="Q339" s="183"/>
      <c r="R339" s="183" t="s">
        <v>550</v>
      </c>
      <c r="S339" s="183" t="s">
        <v>551</v>
      </c>
      <c r="T339" s="183" t="s">
        <v>552</v>
      </c>
      <c r="U339" s="183" t="s">
        <v>555</v>
      </c>
      <c r="V339" s="183" t="s">
        <v>596</v>
      </c>
      <c r="W339" s="183" t="s">
        <v>553</v>
      </c>
      <c r="X339" s="183" t="s">
        <v>554</v>
      </c>
      <c r="Y339" s="183" t="s">
        <v>556</v>
      </c>
      <c r="Z339" s="183"/>
      <c r="AA339" s="183"/>
      <c r="AB339" s="183"/>
      <c r="AD339" s="183"/>
      <c r="AE339" s="183"/>
      <c r="AF339" s="183"/>
      <c r="AG339" s="183"/>
      <c r="AH339" s="183"/>
    </row>
    <row r="340" spans="15:34" x14ac:dyDescent="0.2">
      <c r="P340" s="183"/>
      <c r="Q340" s="183"/>
      <c r="R340" s="521" t="s">
        <v>471</v>
      </c>
      <c r="S340" s="521" t="s">
        <v>558</v>
      </c>
      <c r="T340" s="521" t="s">
        <v>559</v>
      </c>
      <c r="U340" s="521" t="s">
        <v>562</v>
      </c>
      <c r="V340" s="521" t="s">
        <v>597</v>
      </c>
      <c r="W340" s="521" t="s">
        <v>560</v>
      </c>
      <c r="X340" s="521" t="s">
        <v>561</v>
      </c>
      <c r="Y340" s="521" t="s">
        <v>563</v>
      </c>
      <c r="Z340" s="183"/>
      <c r="AA340" s="183"/>
      <c r="AB340" s="183"/>
      <c r="AD340" s="183"/>
      <c r="AE340" s="183"/>
      <c r="AF340" s="183"/>
      <c r="AG340" s="183"/>
      <c r="AH340" s="183"/>
    </row>
    <row r="341" spans="15:34" x14ac:dyDescent="0.2">
      <c r="P341" s="183"/>
      <c r="Q341" s="183"/>
      <c r="R341" s="183"/>
      <c r="S341" s="183"/>
      <c r="T341" s="183"/>
      <c r="U341" s="183"/>
      <c r="V341" s="183"/>
      <c r="W341" s="183"/>
      <c r="X341" s="183"/>
      <c r="Y341" s="183"/>
      <c r="Z341" s="183"/>
      <c r="AA341" s="183"/>
      <c r="AB341" s="523" t="s">
        <v>84</v>
      </c>
      <c r="AD341" s="183"/>
      <c r="AE341" s="183"/>
      <c r="AF341" s="183"/>
      <c r="AG341" s="183"/>
      <c r="AH341" s="183"/>
    </row>
    <row r="342" spans="15:34" x14ac:dyDescent="0.2">
      <c r="O342">
        <f>$O$69</f>
        <v>1</v>
      </c>
      <c r="P342" t="str">
        <f t="shared" ref="P342:P353" si="82">P320</f>
        <v>MAR</v>
      </c>
      <c r="R342" s="294">
        <v>415.21</v>
      </c>
      <c r="S342" s="294">
        <v>53.99</v>
      </c>
      <c r="T342" s="294">
        <v>172.69</v>
      </c>
      <c r="U342" s="294">
        <v>-115.06</v>
      </c>
      <c r="V342" s="294"/>
      <c r="W342" s="294"/>
      <c r="X342" s="294"/>
      <c r="Z342" s="294"/>
      <c r="AA342" s="294"/>
      <c r="AB342" s="285">
        <f t="shared" ref="AB342:AB353" si="83">SUM(R342:AA342)</f>
        <v>526.82999999999993</v>
      </c>
    </row>
    <row r="343" spans="15:34" x14ac:dyDescent="0.2">
      <c r="P343" t="str">
        <f t="shared" si="82"/>
        <v>APR</v>
      </c>
      <c r="R343" s="294">
        <v>111.34</v>
      </c>
      <c r="S343" s="294">
        <v>18.23</v>
      </c>
      <c r="T343" s="294">
        <v>152.18</v>
      </c>
      <c r="U343" s="294">
        <v>-37.74</v>
      </c>
      <c r="V343" s="294"/>
      <c r="W343" s="294"/>
      <c r="X343" s="294"/>
      <c r="Z343" s="294"/>
      <c r="AA343" s="294"/>
      <c r="AB343" s="285">
        <f t="shared" si="83"/>
        <v>244.01</v>
      </c>
    </row>
    <row r="344" spans="15:34" x14ac:dyDescent="0.2">
      <c r="P344" t="str">
        <f t="shared" si="82"/>
        <v>MAY</v>
      </c>
      <c r="R344" s="294">
        <v>229.74</v>
      </c>
      <c r="S344" s="294">
        <v>31.69</v>
      </c>
      <c r="T344" s="294">
        <v>115.43</v>
      </c>
      <c r="U344" s="294">
        <v>-64.260000000000005</v>
      </c>
      <c r="V344" s="294"/>
      <c r="W344" s="294"/>
      <c r="X344" s="294"/>
      <c r="Z344" s="294"/>
      <c r="AA344" s="294"/>
      <c r="AB344" s="285">
        <f t="shared" si="83"/>
        <v>312.60000000000002</v>
      </c>
    </row>
    <row r="345" spans="15:34" x14ac:dyDescent="0.2">
      <c r="P345" t="str">
        <f t="shared" si="82"/>
        <v>JUN</v>
      </c>
      <c r="R345" s="486">
        <v>41.5</v>
      </c>
      <c r="S345" s="486">
        <v>16.7</v>
      </c>
      <c r="T345" s="486">
        <v>143.16</v>
      </c>
      <c r="U345" s="486">
        <v>-31.98</v>
      </c>
      <c r="V345" s="294"/>
      <c r="W345" s="294"/>
      <c r="X345" s="294"/>
      <c r="Z345" s="294"/>
      <c r="AA345" s="294"/>
      <c r="AB345" s="285">
        <f t="shared" si="83"/>
        <v>169.38000000000002</v>
      </c>
    </row>
    <row r="346" spans="15:34" x14ac:dyDescent="0.2">
      <c r="P346" t="str">
        <f t="shared" si="82"/>
        <v>JUL</v>
      </c>
      <c r="R346" s="486">
        <v>336.71</v>
      </c>
      <c r="S346" s="486">
        <v>41.01</v>
      </c>
      <c r="T346" s="486">
        <v>134.03</v>
      </c>
      <c r="U346" s="486">
        <v>-62.91</v>
      </c>
      <c r="V346" s="294"/>
      <c r="W346" s="294"/>
      <c r="X346" s="294"/>
      <c r="Y346" s="294"/>
      <c r="Z346" s="294"/>
      <c r="AA346" s="294"/>
      <c r="AB346" s="285">
        <f t="shared" si="83"/>
        <v>448.84000000000003</v>
      </c>
    </row>
    <row r="347" spans="15:34" x14ac:dyDescent="0.2">
      <c r="P347" t="str">
        <f t="shared" si="82"/>
        <v>AUG</v>
      </c>
      <c r="R347" s="486">
        <v>679.13</v>
      </c>
      <c r="S347" s="486">
        <v>76.209999999999994</v>
      </c>
      <c r="T347" s="486">
        <v>182.72</v>
      </c>
      <c r="U347" s="486">
        <v>-132.96</v>
      </c>
      <c r="V347" s="486"/>
      <c r="W347" s="486"/>
      <c r="X347" s="486"/>
      <c r="Y347" s="486"/>
      <c r="Z347" s="294"/>
      <c r="AA347" s="294"/>
      <c r="AB347" s="285">
        <f t="shared" si="83"/>
        <v>805.1</v>
      </c>
    </row>
    <row r="348" spans="15:34" x14ac:dyDescent="0.2">
      <c r="P348" t="str">
        <f t="shared" si="82"/>
        <v>SEP</v>
      </c>
      <c r="R348" s="486">
        <v>475.88</v>
      </c>
      <c r="S348" s="486">
        <v>82.64</v>
      </c>
      <c r="T348" s="486">
        <v>92.21</v>
      </c>
      <c r="U348" s="486">
        <v>-62.5</v>
      </c>
      <c r="V348" s="486"/>
      <c r="W348" s="486"/>
      <c r="X348" s="486"/>
      <c r="Y348" s="486"/>
      <c r="Z348" s="294"/>
      <c r="AA348" s="294"/>
      <c r="AB348" s="285">
        <f t="shared" si="83"/>
        <v>588.23</v>
      </c>
    </row>
    <row r="349" spans="15:34" x14ac:dyDescent="0.2">
      <c r="P349" t="str">
        <f t="shared" si="82"/>
        <v>OCT</v>
      </c>
      <c r="R349" s="486">
        <v>513.80999999999995</v>
      </c>
      <c r="S349" s="486">
        <v>107.11</v>
      </c>
      <c r="T349" s="486">
        <v>134.22999999999999</v>
      </c>
      <c r="U349" s="486">
        <v>-75.78</v>
      </c>
      <c r="V349" s="486"/>
      <c r="W349" s="486"/>
      <c r="X349" s="486"/>
      <c r="Y349" s="486"/>
      <c r="Z349" s="294"/>
      <c r="AA349" s="294"/>
      <c r="AB349" s="285">
        <f t="shared" si="83"/>
        <v>679.37</v>
      </c>
    </row>
    <row r="350" spans="15:34" x14ac:dyDescent="0.2">
      <c r="P350" t="str">
        <f t="shared" si="82"/>
        <v>NOV</v>
      </c>
      <c r="R350" s="294">
        <v>739.76</v>
      </c>
      <c r="S350" s="294">
        <v>189.47</v>
      </c>
      <c r="T350" s="294">
        <v>133.77000000000001</v>
      </c>
      <c r="U350" s="294">
        <v>-152.63</v>
      </c>
      <c r="V350" s="486"/>
      <c r="W350" s="486"/>
      <c r="X350" s="486"/>
      <c r="Y350" s="486"/>
      <c r="Z350" s="294"/>
      <c r="AA350" s="294"/>
      <c r="AB350" s="285">
        <f t="shared" si="83"/>
        <v>910.37</v>
      </c>
    </row>
    <row r="351" spans="15:34" x14ac:dyDescent="0.2">
      <c r="P351" t="str">
        <f t="shared" si="82"/>
        <v>DEC</v>
      </c>
      <c r="R351" s="294">
        <v>382.21</v>
      </c>
      <c r="S351" s="294">
        <v>114.85</v>
      </c>
      <c r="T351" s="294">
        <v>129.58000000000001</v>
      </c>
      <c r="U351" s="294">
        <v>-84.55</v>
      </c>
      <c r="V351" s="486"/>
      <c r="W351" s="486"/>
      <c r="X351" s="486"/>
      <c r="Y351" s="486"/>
      <c r="Z351" s="294"/>
      <c r="AA351" s="294"/>
      <c r="AB351" s="285">
        <f t="shared" si="83"/>
        <v>542.09</v>
      </c>
    </row>
    <row r="352" spans="15:34" x14ac:dyDescent="0.2">
      <c r="P352" s="329" t="str">
        <f t="shared" si="82"/>
        <v>Jan 2023</v>
      </c>
      <c r="R352" s="294">
        <v>266.79000000000002</v>
      </c>
      <c r="S352" s="294">
        <v>110.85</v>
      </c>
      <c r="T352" s="294">
        <v>319.7</v>
      </c>
      <c r="U352" s="294">
        <v>-55.78</v>
      </c>
      <c r="V352" s="294"/>
      <c r="W352" s="294"/>
      <c r="X352" s="294"/>
      <c r="Y352" s="294"/>
      <c r="Z352" s="294"/>
      <c r="AA352" s="294"/>
      <c r="AB352" s="285">
        <f t="shared" si="83"/>
        <v>641.55999999999995</v>
      </c>
    </row>
    <row r="353" spans="12:40" x14ac:dyDescent="0.2">
      <c r="O353">
        <f>$O$80</f>
        <v>12</v>
      </c>
      <c r="P353" t="str">
        <f t="shared" si="82"/>
        <v>FEB</v>
      </c>
      <c r="R353" s="294">
        <v>234</v>
      </c>
      <c r="S353" s="294">
        <v>179.84</v>
      </c>
      <c r="T353" s="294">
        <v>174.86</v>
      </c>
      <c r="U353" s="294">
        <v>-107.17</v>
      </c>
      <c r="V353" s="294"/>
      <c r="W353" s="294"/>
      <c r="X353" s="294"/>
      <c r="Y353" s="294"/>
      <c r="Z353" s="294"/>
      <c r="AA353" s="294"/>
      <c r="AB353" s="285">
        <f t="shared" si="83"/>
        <v>481.53000000000003</v>
      </c>
    </row>
    <row r="354" spans="12:40" x14ac:dyDescent="0.2">
      <c r="R354" s="294"/>
      <c r="S354" s="294"/>
      <c r="T354" s="294"/>
      <c r="U354" s="294"/>
      <c r="V354" s="294"/>
      <c r="W354" s="294"/>
      <c r="X354" s="294"/>
      <c r="Y354" s="294"/>
      <c r="Z354" s="294"/>
      <c r="AA354" s="294"/>
      <c r="AB354" s="285"/>
    </row>
    <row r="355" spans="12:40" ht="13.5" thickBot="1" x14ac:dyDescent="0.25">
      <c r="P355" t="s">
        <v>65</v>
      </c>
      <c r="R355" s="542">
        <f t="shared" ref="R355:Y355" si="84">SUM(R342:R353)</f>
        <v>4426.08</v>
      </c>
      <c r="S355" s="542">
        <f t="shared" si="84"/>
        <v>1022.59</v>
      </c>
      <c r="T355" s="542">
        <f t="shared" si="84"/>
        <v>1884.56</v>
      </c>
      <c r="U355" s="542">
        <f t="shared" si="84"/>
        <v>-983.31999999999982</v>
      </c>
      <c r="V355" s="542">
        <f t="shared" si="84"/>
        <v>0</v>
      </c>
      <c r="W355" s="542">
        <f t="shared" si="84"/>
        <v>0</v>
      </c>
      <c r="X355" s="542">
        <f t="shared" si="84"/>
        <v>0</v>
      </c>
      <c r="Y355" s="542">
        <f t="shared" si="84"/>
        <v>0</v>
      </c>
      <c r="Z355" s="294"/>
      <c r="AA355" s="294"/>
      <c r="AB355" s="542">
        <f>SUM(AB342:AB353)</f>
        <v>6349.9100000000008</v>
      </c>
    </row>
    <row r="356" spans="12:40" ht="16.5" thickTop="1" x14ac:dyDescent="0.25">
      <c r="P356" s="524" t="s">
        <v>695</v>
      </c>
      <c r="Q356" s="479"/>
      <c r="U356">
        <f>60</f>
        <v>60</v>
      </c>
      <c r="V356">
        <v>10.715</v>
      </c>
      <c r="W356">
        <f>U356*V356</f>
        <v>642.9</v>
      </c>
      <c r="AC356" s="573"/>
      <c r="AD356" s="573"/>
      <c r="AE356" s="574" t="s">
        <v>659</v>
      </c>
      <c r="AF356" s="573"/>
      <c r="AG356" s="573"/>
      <c r="AH356" s="573"/>
      <c r="AI356" s="573"/>
      <c r="AJ356" s="573"/>
      <c r="AK356" s="573"/>
      <c r="AL356" s="573"/>
      <c r="AM356" s="575"/>
    </row>
    <row r="357" spans="12:40" x14ac:dyDescent="0.2">
      <c r="R357" t="s">
        <v>569</v>
      </c>
      <c r="X357" s="183" t="s">
        <v>466</v>
      </c>
      <c r="AC357" s="575"/>
      <c r="AD357" s="573"/>
      <c r="AE357" s="574" t="s">
        <v>662</v>
      </c>
      <c r="AF357" s="573"/>
      <c r="AG357" s="573"/>
      <c r="AH357" s="575"/>
      <c r="AI357" s="573"/>
      <c r="AJ357" s="573"/>
      <c r="AK357" s="573"/>
      <c r="AL357" s="574" t="s">
        <v>663</v>
      </c>
      <c r="AM357" s="575"/>
    </row>
    <row r="358" spans="12:40" x14ac:dyDescent="0.2">
      <c r="Q358" s="183" t="s">
        <v>664</v>
      </c>
      <c r="R358" s="183" t="s">
        <v>469</v>
      </c>
      <c r="S358" s="183"/>
      <c r="T358" s="183" t="s">
        <v>470</v>
      </c>
      <c r="X358" s="183" t="s">
        <v>471</v>
      </c>
      <c r="Y358" s="183" t="s">
        <v>470</v>
      </c>
      <c r="AC358" s="574" t="s">
        <v>668</v>
      </c>
      <c r="AD358" s="573" t="s">
        <v>117</v>
      </c>
      <c r="AE358" s="574" t="s">
        <v>669</v>
      </c>
      <c r="AF358" s="574" t="s">
        <v>670</v>
      </c>
      <c r="AG358" s="574" t="s">
        <v>671</v>
      </c>
      <c r="AH358" s="574" t="s">
        <v>672</v>
      </c>
      <c r="AI358" s="574" t="s">
        <v>118</v>
      </c>
      <c r="AJ358" s="574" t="s">
        <v>673</v>
      </c>
      <c r="AK358" s="573" t="s">
        <v>284</v>
      </c>
      <c r="AL358" s="574" t="s">
        <v>674</v>
      </c>
      <c r="AM358" s="575"/>
    </row>
    <row r="359" spans="12:40" x14ac:dyDescent="0.2">
      <c r="Q359" s="183" t="s">
        <v>474</v>
      </c>
      <c r="R359" s="183" t="s">
        <v>475</v>
      </c>
      <c r="S359" s="183"/>
      <c r="T359" s="183" t="s">
        <v>475</v>
      </c>
      <c r="U359" s="183" t="s">
        <v>476</v>
      </c>
      <c r="V359" s="183" t="s">
        <v>477</v>
      </c>
      <c r="W359" s="183" t="s">
        <v>478</v>
      </c>
      <c r="X359" s="183" t="s">
        <v>479</v>
      </c>
      <c r="Y359" s="183" t="s">
        <v>480</v>
      </c>
      <c r="Z359" s="183" t="s">
        <v>481</v>
      </c>
      <c r="AA359" s="183" t="s">
        <v>482</v>
      </c>
      <c r="AB359" s="183" t="s">
        <v>483</v>
      </c>
      <c r="AC359" s="574" t="s">
        <v>606</v>
      </c>
      <c r="AD359" s="574" t="s">
        <v>676</v>
      </c>
      <c r="AE359" s="574" t="s">
        <v>668</v>
      </c>
      <c r="AF359" s="574" t="s">
        <v>117</v>
      </c>
      <c r="AG359" s="574" t="s">
        <v>117</v>
      </c>
      <c r="AH359" s="573" t="s">
        <v>677</v>
      </c>
      <c r="AI359" s="574" t="s">
        <v>669</v>
      </c>
      <c r="AJ359" s="574" t="s">
        <v>678</v>
      </c>
      <c r="AK359" s="573" t="s">
        <v>679</v>
      </c>
      <c r="AL359" s="574" t="s">
        <v>680</v>
      </c>
      <c r="AM359" s="573" t="s">
        <v>84</v>
      </c>
    </row>
    <row r="360" spans="12:40" x14ac:dyDescent="0.2">
      <c r="P360" s="481" t="s">
        <v>487</v>
      </c>
      <c r="Q360" s="481"/>
      <c r="R360" s="481" t="s">
        <v>487</v>
      </c>
      <c r="S360" s="481"/>
      <c r="T360" s="481" t="s">
        <v>487</v>
      </c>
      <c r="U360" s="481" t="s">
        <v>487</v>
      </c>
      <c r="V360" s="481" t="s">
        <v>487</v>
      </c>
      <c r="W360" s="481" t="s">
        <v>487</v>
      </c>
      <c r="X360" s="481" t="s">
        <v>487</v>
      </c>
      <c r="Y360" s="481" t="s">
        <v>487</v>
      </c>
      <c r="Z360" s="481" t="s">
        <v>487</v>
      </c>
      <c r="AA360" s="481" t="s">
        <v>487</v>
      </c>
      <c r="AB360" s="481" t="s">
        <v>487</v>
      </c>
      <c r="AC360" s="576" t="s">
        <v>487</v>
      </c>
      <c r="AD360" s="576" t="s">
        <v>487</v>
      </c>
      <c r="AE360" s="576" t="s">
        <v>487</v>
      </c>
      <c r="AF360" s="576" t="s">
        <v>487</v>
      </c>
      <c r="AG360" s="576" t="s">
        <v>487</v>
      </c>
      <c r="AH360" s="576" t="s">
        <v>487</v>
      </c>
      <c r="AI360" s="576" t="s">
        <v>487</v>
      </c>
      <c r="AJ360" s="576" t="s">
        <v>487</v>
      </c>
      <c r="AK360" s="576" t="s">
        <v>487</v>
      </c>
      <c r="AL360" s="576" t="s">
        <v>487</v>
      </c>
      <c r="AM360" s="576" t="s">
        <v>487</v>
      </c>
    </row>
    <row r="361" spans="12:40" x14ac:dyDescent="0.2">
      <c r="V361" s="483"/>
      <c r="W361" s="483"/>
      <c r="X361" s="483"/>
      <c r="Z361" s="483"/>
      <c r="AC361" s="575"/>
      <c r="AD361" s="575"/>
      <c r="AE361" s="575"/>
      <c r="AF361" s="575"/>
      <c r="AG361" s="575"/>
      <c r="AH361" s="575"/>
      <c r="AI361" s="575"/>
      <c r="AJ361" s="575"/>
      <c r="AK361" s="575">
        <v>3.0000000000000001E-3</v>
      </c>
      <c r="AL361" s="575"/>
      <c r="AM361" s="575"/>
    </row>
    <row r="362" spans="12:40" x14ac:dyDescent="0.2">
      <c r="L362" s="577">
        <f>W362/U362</f>
        <v>3.8049938157081013E-2</v>
      </c>
      <c r="M362" s="578">
        <f>N362/R362</f>
        <v>10.714966887417219</v>
      </c>
      <c r="N362" s="483">
        <f>V362-AC362</f>
        <v>1617.96</v>
      </c>
      <c r="O362">
        <f>$O$69</f>
        <v>1</v>
      </c>
      <c r="P362" t="s">
        <v>600</v>
      </c>
      <c r="Q362">
        <v>60</v>
      </c>
      <c r="R362" s="482">
        <v>151</v>
      </c>
      <c r="S362" s="482">
        <v>151</v>
      </c>
      <c r="T362" s="482">
        <v>20</v>
      </c>
      <c r="U362" s="482">
        <v>64680</v>
      </c>
      <c r="V362" s="483">
        <v>1617.96</v>
      </c>
      <c r="W362" s="483">
        <v>2461.0700000000002</v>
      </c>
      <c r="X362" s="285">
        <f t="shared" ref="X362:X371" si="85">SUM(R384:X384)</f>
        <v>1351.48</v>
      </c>
      <c r="Y362" s="483">
        <v>214.3</v>
      </c>
      <c r="Z362" s="483">
        <f t="shared" ref="Z362:Z372" si="86">SUM(V362:Y362)</f>
        <v>5644.81</v>
      </c>
      <c r="AA362" s="483">
        <v>5938.85</v>
      </c>
      <c r="AB362" s="483">
        <f t="shared" ref="AB362:AB372" si="87">AA362-Z362</f>
        <v>294.03999999999996</v>
      </c>
      <c r="AC362" s="575"/>
      <c r="AD362" s="575"/>
      <c r="AE362" s="575"/>
      <c r="AF362" s="575"/>
      <c r="AG362" s="575"/>
      <c r="AH362" s="580"/>
      <c r="AI362" s="575">
        <v>100</v>
      </c>
      <c r="AJ362" s="575"/>
      <c r="AK362" s="575">
        <f>U362*AK361</f>
        <v>194.04</v>
      </c>
      <c r="AL362" s="575"/>
      <c r="AM362" s="575">
        <f>SUM(AI362:AL362)</f>
        <v>294.03999999999996</v>
      </c>
      <c r="AN362" s="285">
        <f>AM362-AB362</f>
        <v>0</v>
      </c>
    </row>
    <row r="363" spans="12:40" x14ac:dyDescent="0.2">
      <c r="L363" s="577">
        <f t="shared" ref="L363:L373" si="88">W363/U363</f>
        <v>3.8049959291146261E-2</v>
      </c>
      <c r="M363" s="578">
        <f t="shared" ref="M363:M373" si="89">N363/R363</f>
        <v>10.715</v>
      </c>
      <c r="N363" s="483">
        <f t="shared" ref="N363:N373" si="90">V363-AC363</f>
        <v>1285.8</v>
      </c>
      <c r="P363" t="s">
        <v>492</v>
      </c>
      <c r="Q363">
        <v>60</v>
      </c>
      <c r="R363" s="482">
        <v>120</v>
      </c>
      <c r="S363" s="482">
        <v>120</v>
      </c>
      <c r="T363" s="482">
        <v>26</v>
      </c>
      <c r="U363" s="482">
        <v>57727</v>
      </c>
      <c r="V363" s="483">
        <v>1285.8</v>
      </c>
      <c r="W363" s="483">
        <v>2196.5100000000002</v>
      </c>
      <c r="X363" s="285">
        <f t="shared" si="85"/>
        <v>1018.4099999999999</v>
      </c>
      <c r="Y363" s="483">
        <v>278.58999999999997</v>
      </c>
      <c r="Z363" s="483">
        <f t="shared" si="86"/>
        <v>4779.3100000000004</v>
      </c>
      <c r="AA363" s="483">
        <v>5052.49</v>
      </c>
      <c r="AB363" s="483">
        <f t="shared" si="87"/>
        <v>273.17999999999938</v>
      </c>
      <c r="AC363" s="575"/>
      <c r="AD363" s="575"/>
      <c r="AE363" s="575"/>
      <c r="AF363" s="575"/>
      <c r="AG363" s="575"/>
      <c r="AH363" s="580"/>
      <c r="AI363" s="575">
        <v>100</v>
      </c>
      <c r="AJ363" s="575"/>
      <c r="AK363" s="575">
        <f>U363*AK361</f>
        <v>173.18100000000001</v>
      </c>
      <c r="AL363" s="575"/>
      <c r="AM363" s="575">
        <f t="shared" ref="AM363:AM373" si="91">SUM(AI363:AL363)</f>
        <v>273.18100000000004</v>
      </c>
      <c r="AN363" s="285">
        <f t="shared" ref="AN363:AN373" si="92">AM363-AB363</f>
        <v>1.0000000006584742E-3</v>
      </c>
    </row>
    <row r="364" spans="12:40" x14ac:dyDescent="0.2">
      <c r="L364" s="577">
        <f t="shared" si="88"/>
        <v>3.8050045432305862E-2</v>
      </c>
      <c r="M364" s="578">
        <f t="shared" si="89"/>
        <v>10.715</v>
      </c>
      <c r="N364" s="483">
        <f t="shared" si="90"/>
        <v>1692.97</v>
      </c>
      <c r="P364" t="s">
        <v>493</v>
      </c>
      <c r="Q364">
        <v>60</v>
      </c>
      <c r="R364" s="482">
        <v>158</v>
      </c>
      <c r="S364" s="482">
        <v>158</v>
      </c>
      <c r="T364" s="482">
        <v>32</v>
      </c>
      <c r="U364" s="482">
        <v>71535</v>
      </c>
      <c r="V364" s="483">
        <v>1692.97</v>
      </c>
      <c r="W364" s="483">
        <v>2721.91</v>
      </c>
      <c r="X364" s="285">
        <f t="shared" si="85"/>
        <v>1364.1099999999997</v>
      </c>
      <c r="Y364" s="483">
        <v>342.88</v>
      </c>
      <c r="Z364" s="483">
        <f t="shared" si="86"/>
        <v>6121.87</v>
      </c>
      <c r="AA364" s="483">
        <v>6436.47</v>
      </c>
      <c r="AB364" s="483">
        <f t="shared" si="87"/>
        <v>314.60000000000036</v>
      </c>
      <c r="AC364" s="575"/>
      <c r="AD364" s="575"/>
      <c r="AE364" s="575"/>
      <c r="AF364" s="575"/>
      <c r="AG364" s="575"/>
      <c r="AH364" s="580"/>
      <c r="AI364" s="575">
        <v>100</v>
      </c>
      <c r="AJ364" s="575"/>
      <c r="AK364" s="575">
        <f>U364*AK361</f>
        <v>214.60500000000002</v>
      </c>
      <c r="AL364" s="575"/>
      <c r="AM364" s="575">
        <f t="shared" si="91"/>
        <v>314.60500000000002</v>
      </c>
      <c r="AN364" s="285">
        <f t="shared" si="92"/>
        <v>4.999999999654392E-3</v>
      </c>
    </row>
    <row r="365" spans="12:40" x14ac:dyDescent="0.2">
      <c r="L365" s="577">
        <f t="shared" si="88"/>
        <v>3.8049945711183496E-2</v>
      </c>
      <c r="M365" s="578">
        <f t="shared" si="89"/>
        <v>10.715030674846625</v>
      </c>
      <c r="N365" s="483">
        <f t="shared" si="90"/>
        <v>1746.55</v>
      </c>
      <c r="P365" t="s">
        <v>494</v>
      </c>
      <c r="Q365">
        <v>60</v>
      </c>
      <c r="R365" s="482">
        <v>163</v>
      </c>
      <c r="S365" s="482">
        <v>163</v>
      </c>
      <c r="T365" s="482">
        <v>26</v>
      </c>
      <c r="U365" s="482">
        <v>73680</v>
      </c>
      <c r="V365" s="483">
        <v>1746.55</v>
      </c>
      <c r="W365" s="483">
        <v>2803.52</v>
      </c>
      <c r="X365" s="285">
        <f t="shared" si="85"/>
        <v>619.78</v>
      </c>
      <c r="Y365" s="483">
        <v>278.58999999999997</v>
      </c>
      <c r="Z365" s="483">
        <f t="shared" si="86"/>
        <v>5448.44</v>
      </c>
      <c r="AA365" s="483">
        <v>5769.48</v>
      </c>
      <c r="AB365" s="483">
        <f t="shared" si="87"/>
        <v>321.03999999999996</v>
      </c>
      <c r="AC365" s="575"/>
      <c r="AD365" s="575"/>
      <c r="AE365" s="575"/>
      <c r="AF365" s="575"/>
      <c r="AG365" s="575"/>
      <c r="AH365" s="580"/>
      <c r="AI365" s="575">
        <v>100</v>
      </c>
      <c r="AJ365" s="575"/>
      <c r="AK365" s="575">
        <f>U365*AK361</f>
        <v>221.04</v>
      </c>
      <c r="AL365" s="575"/>
      <c r="AM365" s="575">
        <f t="shared" si="91"/>
        <v>321.03999999999996</v>
      </c>
      <c r="AN365" s="285">
        <f t="shared" si="92"/>
        <v>0</v>
      </c>
    </row>
    <row r="366" spans="12:40" x14ac:dyDescent="0.2">
      <c r="L366" s="577">
        <f t="shared" si="88"/>
        <v>3.8050014690999313E-2</v>
      </c>
      <c r="M366" s="578">
        <f t="shared" si="89"/>
        <v>10.715</v>
      </c>
      <c r="N366" s="483">
        <f t="shared" si="90"/>
        <v>1435.81</v>
      </c>
      <c r="P366" t="s">
        <v>495</v>
      </c>
      <c r="Q366">
        <v>60</v>
      </c>
      <c r="R366" s="482">
        <v>134</v>
      </c>
      <c r="S366" s="482">
        <v>134</v>
      </c>
      <c r="T366" s="482">
        <v>32</v>
      </c>
      <c r="U366" s="482">
        <v>61262</v>
      </c>
      <c r="V366" s="483">
        <v>1435.81</v>
      </c>
      <c r="W366" s="483">
        <v>2331.02</v>
      </c>
      <c r="X366" s="285">
        <f t="shared" si="85"/>
        <v>1408.91</v>
      </c>
      <c r="Y366" s="483">
        <v>342.88</v>
      </c>
      <c r="Z366" s="483">
        <f t="shared" si="86"/>
        <v>5518.62</v>
      </c>
      <c r="AA366" s="483">
        <v>5802.41</v>
      </c>
      <c r="AB366" s="483">
        <f t="shared" si="87"/>
        <v>283.78999999999996</v>
      </c>
      <c r="AC366" s="575"/>
      <c r="AD366" s="575"/>
      <c r="AE366" s="575"/>
      <c r="AF366" s="575"/>
      <c r="AG366" s="575"/>
      <c r="AH366" s="580"/>
      <c r="AI366" s="575">
        <v>100</v>
      </c>
      <c r="AJ366" s="575"/>
      <c r="AK366" s="575">
        <f>U366*AK361</f>
        <v>183.786</v>
      </c>
      <c r="AL366" s="575"/>
      <c r="AM366" s="575">
        <f t="shared" si="91"/>
        <v>283.786</v>
      </c>
      <c r="AN366" s="285">
        <f t="shared" si="92"/>
        <v>-3.999999999962256E-3</v>
      </c>
    </row>
    <row r="367" spans="12:40" x14ac:dyDescent="0.2">
      <c r="L367" s="577">
        <f t="shared" si="88"/>
        <v>3.8050090252707586E-2</v>
      </c>
      <c r="M367" s="578">
        <f t="shared" si="89"/>
        <v>10.715047619047619</v>
      </c>
      <c r="N367" s="483">
        <f t="shared" si="90"/>
        <v>1125.08</v>
      </c>
      <c r="P367" t="s">
        <v>496</v>
      </c>
      <c r="Q367">
        <v>60</v>
      </c>
      <c r="R367" s="482">
        <v>105</v>
      </c>
      <c r="S367" s="482">
        <v>105</v>
      </c>
      <c r="T367" s="482">
        <v>28</v>
      </c>
      <c r="U367" s="482">
        <v>44320</v>
      </c>
      <c r="V367" s="483">
        <v>1125.08</v>
      </c>
      <c r="W367" s="483">
        <v>1686.38</v>
      </c>
      <c r="X367" s="285">
        <f t="shared" si="85"/>
        <v>1079.9999999999998</v>
      </c>
      <c r="Y367" s="483">
        <v>300.02</v>
      </c>
      <c r="Z367" s="483">
        <f t="shared" si="86"/>
        <v>4191.4799999999996</v>
      </c>
      <c r="AA367" s="483">
        <v>4424.4399999999996</v>
      </c>
      <c r="AB367" s="483">
        <f t="shared" si="87"/>
        <v>232.96000000000004</v>
      </c>
      <c r="AC367" s="575"/>
      <c r="AD367" s="575"/>
      <c r="AE367" s="575"/>
      <c r="AF367" s="575"/>
      <c r="AG367" s="575"/>
      <c r="AH367" s="580"/>
      <c r="AI367" s="575">
        <v>100</v>
      </c>
      <c r="AJ367" s="575"/>
      <c r="AK367" s="575">
        <f>U367*AK361</f>
        <v>132.96</v>
      </c>
      <c r="AL367" s="575"/>
      <c r="AM367" s="575">
        <f t="shared" si="91"/>
        <v>232.96</v>
      </c>
      <c r="AN367" s="285">
        <f t="shared" si="92"/>
        <v>0</v>
      </c>
    </row>
    <row r="368" spans="12:40" x14ac:dyDescent="0.2">
      <c r="L368" s="577">
        <f t="shared" si="88"/>
        <v>3.8049901510177279E-2</v>
      </c>
      <c r="M368" s="578">
        <f t="shared" si="89"/>
        <v>10.715072463768117</v>
      </c>
      <c r="N368" s="483">
        <f t="shared" si="90"/>
        <v>739.34</v>
      </c>
      <c r="P368" t="s">
        <v>497</v>
      </c>
      <c r="Q368">
        <v>60</v>
      </c>
      <c r="R368" s="482">
        <v>69</v>
      </c>
      <c r="S368" s="482">
        <v>69</v>
      </c>
      <c r="T368" s="482"/>
      <c r="U368" s="482">
        <v>27414</v>
      </c>
      <c r="V368" s="483">
        <v>739.34</v>
      </c>
      <c r="W368" s="483">
        <v>1043.0999999999999</v>
      </c>
      <c r="X368" s="285">
        <f t="shared" si="85"/>
        <v>1079.1600000000001</v>
      </c>
      <c r="Y368" s="483"/>
      <c r="Z368" s="483">
        <f t="shared" si="86"/>
        <v>2861.6000000000004</v>
      </c>
      <c r="AA368" s="483">
        <v>3043.84</v>
      </c>
      <c r="AB368" s="483">
        <f t="shared" si="87"/>
        <v>182.23999999999978</v>
      </c>
      <c r="AC368" s="575"/>
      <c r="AD368" s="575"/>
      <c r="AE368" s="575"/>
      <c r="AF368" s="575"/>
      <c r="AG368" s="575"/>
      <c r="AH368" s="580"/>
      <c r="AI368" s="575">
        <v>100</v>
      </c>
      <c r="AJ368" s="575"/>
      <c r="AK368" s="575">
        <f>U368*AK361</f>
        <v>82.242000000000004</v>
      </c>
      <c r="AL368" s="575"/>
      <c r="AM368" s="575">
        <f t="shared" si="91"/>
        <v>182.24200000000002</v>
      </c>
      <c r="AN368" s="285">
        <f t="shared" si="92"/>
        <v>2.0000000002369234E-3</v>
      </c>
    </row>
    <row r="369" spans="12:40" x14ac:dyDescent="0.2">
      <c r="L369" s="577">
        <f t="shared" si="88"/>
        <v>3.8049611319765919E-2</v>
      </c>
      <c r="M369" s="578">
        <f t="shared" si="89"/>
        <v>19.481818181818181</v>
      </c>
      <c r="N369" s="483">
        <f t="shared" si="90"/>
        <v>642.9</v>
      </c>
      <c r="P369" t="s">
        <v>498</v>
      </c>
      <c r="Q369">
        <v>60</v>
      </c>
      <c r="R369" s="482">
        <v>33</v>
      </c>
      <c r="S369" s="482">
        <v>60</v>
      </c>
      <c r="T369" s="482"/>
      <c r="U369" s="482">
        <v>11449</v>
      </c>
      <c r="V369" s="483">
        <v>642.9</v>
      </c>
      <c r="W369" s="483">
        <v>435.63</v>
      </c>
      <c r="X369" s="285">
        <f t="shared" si="85"/>
        <v>412.21000000000004</v>
      </c>
      <c r="Y369" s="483"/>
      <c r="Z369" s="483">
        <f t="shared" si="86"/>
        <v>1490.74</v>
      </c>
      <c r="AA369" s="483">
        <v>1625.09</v>
      </c>
      <c r="AB369" s="483">
        <f t="shared" si="87"/>
        <v>134.34999999999991</v>
      </c>
      <c r="AC369" s="575"/>
      <c r="AD369" s="575"/>
      <c r="AE369" s="575"/>
      <c r="AF369" s="575"/>
      <c r="AG369" s="575"/>
      <c r="AH369" s="580"/>
      <c r="AI369" s="575">
        <v>100</v>
      </c>
      <c r="AJ369" s="575"/>
      <c r="AK369" s="575">
        <f>U369*AK361</f>
        <v>34.347000000000001</v>
      </c>
      <c r="AL369" s="575"/>
      <c r="AM369" s="575">
        <f t="shared" si="91"/>
        <v>134.34700000000001</v>
      </c>
      <c r="AN369" s="285">
        <f t="shared" si="92"/>
        <v>-2.9999999999006377E-3</v>
      </c>
    </row>
    <row r="370" spans="12:40" x14ac:dyDescent="0.2">
      <c r="L370" s="577">
        <f t="shared" si="88"/>
        <v>3.804958000409752E-2</v>
      </c>
      <c r="M370" s="578">
        <f t="shared" si="89"/>
        <v>37.817647058823525</v>
      </c>
      <c r="N370" s="483">
        <f t="shared" si="90"/>
        <v>642.9</v>
      </c>
      <c r="P370" t="s">
        <v>499</v>
      </c>
      <c r="Q370">
        <v>60</v>
      </c>
      <c r="R370" s="482">
        <v>17</v>
      </c>
      <c r="S370" s="482">
        <v>60</v>
      </c>
      <c r="T370" s="482"/>
      <c r="U370" s="482">
        <v>9762</v>
      </c>
      <c r="V370" s="483">
        <v>642.9</v>
      </c>
      <c r="W370" s="483">
        <v>371.44</v>
      </c>
      <c r="X370" s="285">
        <f t="shared" si="85"/>
        <v>283.85000000000002</v>
      </c>
      <c r="Y370" s="483"/>
      <c r="Z370" s="483">
        <f t="shared" si="86"/>
        <v>1298.19</v>
      </c>
      <c r="AA370" s="483">
        <v>1427.48</v>
      </c>
      <c r="AB370" s="483">
        <f t="shared" si="87"/>
        <v>129.28999999999996</v>
      </c>
      <c r="AC370" s="575"/>
      <c r="AD370" s="575"/>
      <c r="AE370" s="575"/>
      <c r="AF370" s="575"/>
      <c r="AG370" s="575"/>
      <c r="AH370" s="580"/>
      <c r="AI370" s="575">
        <v>100</v>
      </c>
      <c r="AJ370" s="575"/>
      <c r="AK370" s="575">
        <f>U370*AK361</f>
        <v>29.286000000000001</v>
      </c>
      <c r="AL370" s="575"/>
      <c r="AM370" s="575">
        <f t="shared" si="91"/>
        <v>129.286</v>
      </c>
      <c r="AN370" s="285">
        <f t="shared" si="92"/>
        <v>-3.999999999962256E-3</v>
      </c>
    </row>
    <row r="371" spans="12:40" x14ac:dyDescent="0.2">
      <c r="L371" s="577">
        <f t="shared" si="88"/>
        <v>3.8050327544972444E-2</v>
      </c>
      <c r="M371" s="578">
        <f t="shared" si="89"/>
        <v>24.726923076923075</v>
      </c>
      <c r="N371" s="483">
        <f t="shared" si="90"/>
        <v>642.9</v>
      </c>
      <c r="P371" t="s">
        <v>500</v>
      </c>
      <c r="Q371">
        <v>60</v>
      </c>
      <c r="R371" s="482">
        <v>26</v>
      </c>
      <c r="S371" s="482">
        <v>60</v>
      </c>
      <c r="T371" s="482"/>
      <c r="U371" s="482">
        <v>9617</v>
      </c>
      <c r="V371" s="483">
        <v>642.9</v>
      </c>
      <c r="W371" s="483">
        <v>365.93</v>
      </c>
      <c r="X371" s="285">
        <f t="shared" si="85"/>
        <v>259.14</v>
      </c>
      <c r="Y371" s="483"/>
      <c r="Z371" s="483">
        <f t="shared" si="86"/>
        <v>1267.9699999999998</v>
      </c>
      <c r="AA371" s="483">
        <v>1396.82</v>
      </c>
      <c r="AB371" s="483">
        <f t="shared" si="87"/>
        <v>128.85000000000014</v>
      </c>
      <c r="AC371" s="575"/>
      <c r="AD371" s="575"/>
      <c r="AE371" s="575"/>
      <c r="AF371" s="580"/>
      <c r="AG371" s="580"/>
      <c r="AH371" s="580"/>
      <c r="AI371" s="575">
        <v>100</v>
      </c>
      <c r="AJ371" s="575"/>
      <c r="AK371" s="575">
        <f>U371*AK361</f>
        <v>28.850999999999999</v>
      </c>
      <c r="AL371" s="575"/>
      <c r="AM371" s="575">
        <f t="shared" si="91"/>
        <v>128.851</v>
      </c>
      <c r="AN371" s="285">
        <f t="shared" si="92"/>
        <v>9.999999998626663E-4</v>
      </c>
    </row>
    <row r="372" spans="12:40" x14ac:dyDescent="0.2">
      <c r="L372" s="577">
        <f t="shared" si="88"/>
        <v>3.804971915955898E-2</v>
      </c>
      <c r="M372" s="578">
        <f t="shared" si="89"/>
        <v>10.715</v>
      </c>
      <c r="N372" s="483">
        <f t="shared" si="90"/>
        <v>728.62</v>
      </c>
      <c r="P372">
        <f>[1]Accuride!P372</f>
        <v>0</v>
      </c>
      <c r="Q372">
        <v>60</v>
      </c>
      <c r="R372" s="482">
        <v>68</v>
      </c>
      <c r="S372" s="482">
        <v>68</v>
      </c>
      <c r="T372" s="482">
        <v>5</v>
      </c>
      <c r="U372" s="482">
        <v>9614</v>
      </c>
      <c r="V372" s="483">
        <v>728.62</v>
      </c>
      <c r="W372" s="483">
        <v>365.81</v>
      </c>
      <c r="X372" s="285">
        <f t="shared" ref="X372:X373" si="93">SUM(R394:Y394)</f>
        <v>305.33000000000004</v>
      </c>
      <c r="Y372" s="483">
        <v>53.58</v>
      </c>
      <c r="Z372" s="483">
        <f t="shared" si="86"/>
        <v>1453.3400000000001</v>
      </c>
      <c r="AA372" s="483">
        <v>1582.18</v>
      </c>
      <c r="AB372" s="483">
        <f t="shared" si="87"/>
        <v>128.83999999999992</v>
      </c>
      <c r="AC372" s="575"/>
      <c r="AD372" s="575"/>
      <c r="AE372" s="575"/>
      <c r="AF372" s="580"/>
      <c r="AG372" s="580"/>
      <c r="AH372" s="580"/>
      <c r="AI372" s="575">
        <v>100</v>
      </c>
      <c r="AJ372" s="575"/>
      <c r="AK372" s="575">
        <f>U372*AK361</f>
        <v>28.842000000000002</v>
      </c>
      <c r="AL372" s="575"/>
      <c r="AM372" s="575">
        <f t="shared" si="91"/>
        <v>128.84200000000001</v>
      </c>
      <c r="AN372" s="285">
        <f t="shared" si="92"/>
        <v>2.0000000000948148E-3</v>
      </c>
    </row>
    <row r="373" spans="12:40" x14ac:dyDescent="0.2">
      <c r="L373" s="577">
        <f t="shared" si="88"/>
        <v>3.8049883690876196E-2</v>
      </c>
      <c r="M373" s="578">
        <f t="shared" si="89"/>
        <v>10.715</v>
      </c>
      <c r="N373" s="483">
        <f t="shared" si="90"/>
        <v>728.62</v>
      </c>
      <c r="O373">
        <f>$O$80</f>
        <v>12</v>
      </c>
      <c r="P373" t="s">
        <v>688</v>
      </c>
      <c r="Q373">
        <v>60</v>
      </c>
      <c r="R373" s="482">
        <v>68</v>
      </c>
      <c r="S373" s="482">
        <v>68</v>
      </c>
      <c r="T373" s="482">
        <v>5</v>
      </c>
      <c r="U373" s="482">
        <v>7738</v>
      </c>
      <c r="V373" s="483">
        <v>728.62</v>
      </c>
      <c r="W373" s="483">
        <v>294.43</v>
      </c>
      <c r="X373" s="285">
        <f t="shared" si="93"/>
        <v>136.22000000000003</v>
      </c>
      <c r="Y373" s="483">
        <v>53.58</v>
      </c>
      <c r="Z373" s="483">
        <f>SUM(V373:Y373)</f>
        <v>1212.8499999999999</v>
      </c>
      <c r="AA373" s="483">
        <v>1336.06</v>
      </c>
      <c r="AB373" s="483">
        <f>AA373-Z373</f>
        <v>123.21000000000004</v>
      </c>
      <c r="AC373" s="575"/>
      <c r="AD373" s="575"/>
      <c r="AE373" s="575"/>
      <c r="AF373" s="580"/>
      <c r="AG373" s="580"/>
      <c r="AH373" s="580"/>
      <c r="AI373" s="575">
        <v>100</v>
      </c>
      <c r="AJ373" s="575"/>
      <c r="AK373" s="575">
        <f>U373*AK361</f>
        <v>23.214000000000002</v>
      </c>
      <c r="AL373" s="575"/>
      <c r="AM373" s="575">
        <f t="shared" si="91"/>
        <v>123.214</v>
      </c>
      <c r="AN373" s="285">
        <f t="shared" si="92"/>
        <v>3.999999999962256E-3</v>
      </c>
    </row>
    <row r="374" spans="12:40" x14ac:dyDescent="0.2">
      <c r="R374" s="488" t="s">
        <v>487</v>
      </c>
      <c r="S374" s="488"/>
      <c r="T374" s="488" t="s">
        <v>487</v>
      </c>
      <c r="U374" s="488" t="s">
        <v>487</v>
      </c>
      <c r="V374" s="489" t="s">
        <v>487</v>
      </c>
      <c r="W374" s="489" t="s">
        <v>487</v>
      </c>
      <c r="X374" s="489" t="s">
        <v>487</v>
      </c>
      <c r="Y374" s="481" t="s">
        <v>487</v>
      </c>
      <c r="Z374" s="489" t="s">
        <v>487</v>
      </c>
      <c r="AA374" s="489" t="s">
        <v>487</v>
      </c>
      <c r="AB374" s="489" t="s">
        <v>487</v>
      </c>
      <c r="AC374" s="575"/>
      <c r="AD374" s="575"/>
      <c r="AE374" s="575"/>
      <c r="AF374" s="575"/>
      <c r="AG374" s="575"/>
      <c r="AH374" s="575"/>
      <c r="AI374" s="575"/>
      <c r="AJ374" s="575"/>
      <c r="AK374" s="575"/>
      <c r="AL374" s="575"/>
      <c r="AM374" s="575"/>
    </row>
    <row r="375" spans="12:40" x14ac:dyDescent="0.2">
      <c r="R375" s="482"/>
      <c r="S375" s="482"/>
      <c r="T375" s="482"/>
      <c r="U375" s="482"/>
      <c r="V375" s="483"/>
      <c r="W375" s="483"/>
      <c r="X375" s="483"/>
      <c r="Z375" s="483"/>
      <c r="AA375" s="483"/>
      <c r="AB375" s="483"/>
      <c r="AC375" s="575"/>
      <c r="AD375" s="575"/>
      <c r="AE375" s="575"/>
      <c r="AF375" s="575"/>
      <c r="AG375" s="575"/>
      <c r="AH375" s="575"/>
      <c r="AI375" s="575"/>
      <c r="AJ375" s="575"/>
      <c r="AK375" s="575"/>
      <c r="AL375" s="575"/>
      <c r="AM375" s="575"/>
    </row>
    <row r="376" spans="12:40" x14ac:dyDescent="0.2">
      <c r="R376" s="482">
        <f t="shared" ref="R376:AM376" si="94">SUM(R362:R373)</f>
        <v>1112</v>
      </c>
      <c r="S376" s="482"/>
      <c r="T376" s="482">
        <f t="shared" si="94"/>
        <v>174</v>
      </c>
      <c r="U376" s="482">
        <f t="shared" si="94"/>
        <v>448798</v>
      </c>
      <c r="V376" s="483">
        <f t="shared" si="94"/>
        <v>13029.45</v>
      </c>
      <c r="W376" s="483">
        <f t="shared" si="94"/>
        <v>17076.75</v>
      </c>
      <c r="X376" s="483">
        <f t="shared" si="94"/>
        <v>9318.5999999999985</v>
      </c>
      <c r="Y376" s="483">
        <f t="shared" si="94"/>
        <v>1864.4199999999996</v>
      </c>
      <c r="Z376" s="483">
        <f t="shared" si="94"/>
        <v>41289.219999999994</v>
      </c>
      <c r="AA376" s="483">
        <f t="shared" si="94"/>
        <v>43835.609999999993</v>
      </c>
      <c r="AB376" s="483">
        <f t="shared" si="94"/>
        <v>2546.3899999999994</v>
      </c>
      <c r="AC376" s="584">
        <f t="shared" si="94"/>
        <v>0</v>
      </c>
      <c r="AD376" s="584">
        <f t="shared" si="94"/>
        <v>0</v>
      </c>
      <c r="AE376" s="584">
        <f t="shared" si="94"/>
        <v>0</v>
      </c>
      <c r="AF376" s="584">
        <f t="shared" si="94"/>
        <v>0</v>
      </c>
      <c r="AG376" s="584">
        <f t="shared" si="94"/>
        <v>0</v>
      </c>
      <c r="AH376" s="584">
        <f t="shared" si="94"/>
        <v>0</v>
      </c>
      <c r="AI376" s="584">
        <f t="shared" si="94"/>
        <v>1200</v>
      </c>
      <c r="AJ376" s="584">
        <f t="shared" si="94"/>
        <v>0</v>
      </c>
      <c r="AK376" s="584">
        <f t="shared" si="94"/>
        <v>1346.3940000000002</v>
      </c>
      <c r="AL376" s="584">
        <f t="shared" si="94"/>
        <v>0</v>
      </c>
      <c r="AM376" s="584">
        <f t="shared" si="94"/>
        <v>2546.3940000000002</v>
      </c>
    </row>
    <row r="377" spans="12:40" x14ac:dyDescent="0.2">
      <c r="R377" s="488" t="s">
        <v>501</v>
      </c>
      <c r="S377" s="488"/>
      <c r="T377" s="488" t="s">
        <v>501</v>
      </c>
      <c r="U377" s="488" t="s">
        <v>501</v>
      </c>
      <c r="V377" s="489" t="s">
        <v>501</v>
      </c>
      <c r="W377" s="489" t="s">
        <v>501</v>
      </c>
      <c r="X377" s="489" t="s">
        <v>501</v>
      </c>
      <c r="Y377" s="489" t="s">
        <v>501</v>
      </c>
      <c r="Z377" s="489" t="s">
        <v>501</v>
      </c>
      <c r="AA377" s="489" t="s">
        <v>501</v>
      </c>
      <c r="AB377" s="489" t="s">
        <v>501</v>
      </c>
      <c r="AC377" s="585" t="s">
        <v>501</v>
      </c>
      <c r="AD377" s="585" t="s">
        <v>501</v>
      </c>
      <c r="AE377" s="585" t="s">
        <v>501</v>
      </c>
      <c r="AF377" s="585" t="s">
        <v>501</v>
      </c>
      <c r="AG377" s="585" t="s">
        <v>501</v>
      </c>
      <c r="AH377" s="585" t="s">
        <v>501</v>
      </c>
      <c r="AI377" s="585" t="s">
        <v>501</v>
      </c>
      <c r="AJ377" s="585" t="s">
        <v>501</v>
      </c>
      <c r="AK377" s="585" t="s">
        <v>501</v>
      </c>
      <c r="AL377" s="585" t="s">
        <v>501</v>
      </c>
      <c r="AM377" s="585" t="s">
        <v>501</v>
      </c>
    </row>
    <row r="378" spans="12:40" x14ac:dyDescent="0.2">
      <c r="R378" s="270">
        <f>R376</f>
        <v>1112</v>
      </c>
      <c r="S378" s="270"/>
      <c r="T378">
        <v>10.715</v>
      </c>
      <c r="U378" s="285">
        <f>R378*T378</f>
        <v>11915.08</v>
      </c>
      <c r="V378" s="483">
        <f>AC376</f>
        <v>0</v>
      </c>
      <c r="W378" s="285">
        <f>U378+V378</f>
        <v>11915.08</v>
      </c>
      <c r="X378" s="483">
        <f>V376-W378</f>
        <v>1114.3700000000008</v>
      </c>
    </row>
    <row r="380" spans="12:40" x14ac:dyDescent="0.2">
      <c r="S380" s="183" t="s">
        <v>549</v>
      </c>
    </row>
    <row r="381" spans="12:40" x14ac:dyDescent="0.2">
      <c r="P381" s="183"/>
      <c r="Q381" s="183"/>
      <c r="R381" s="183" t="s">
        <v>550</v>
      </c>
      <c r="S381" s="183" t="s">
        <v>551</v>
      </c>
      <c r="T381" s="183" t="s">
        <v>552</v>
      </c>
      <c r="U381" s="183" t="s">
        <v>555</v>
      </c>
      <c r="V381" s="183" t="s">
        <v>596</v>
      </c>
      <c r="W381" s="183" t="s">
        <v>553</v>
      </c>
      <c r="X381" s="183" t="s">
        <v>554</v>
      </c>
      <c r="Y381" s="183" t="s">
        <v>556</v>
      </c>
      <c r="Z381" s="183"/>
      <c r="AA381" s="183"/>
      <c r="AB381" s="183"/>
      <c r="AD381" s="183"/>
      <c r="AE381" s="183"/>
      <c r="AF381" s="183"/>
      <c r="AG381" s="183"/>
      <c r="AH381" s="183"/>
    </row>
    <row r="382" spans="12:40" x14ac:dyDescent="0.2">
      <c r="P382" s="183"/>
      <c r="Q382" s="183"/>
      <c r="R382" s="521" t="s">
        <v>471</v>
      </c>
      <c r="S382" s="521" t="s">
        <v>558</v>
      </c>
      <c r="T382" s="521" t="s">
        <v>559</v>
      </c>
      <c r="U382" s="521" t="s">
        <v>562</v>
      </c>
      <c r="V382" s="521" t="s">
        <v>597</v>
      </c>
      <c r="W382" s="521" t="s">
        <v>560</v>
      </c>
      <c r="X382" s="521" t="s">
        <v>561</v>
      </c>
      <c r="Y382" s="521" t="s">
        <v>563</v>
      </c>
      <c r="Z382" s="183"/>
      <c r="AA382" s="183"/>
      <c r="AB382" s="183"/>
      <c r="AD382" s="183"/>
      <c r="AE382" s="183"/>
      <c r="AF382" s="183"/>
      <c r="AG382" s="183"/>
      <c r="AH382" s="183"/>
    </row>
    <row r="383" spans="12:40" x14ac:dyDescent="0.2">
      <c r="P383" s="183"/>
      <c r="Q383" s="183"/>
      <c r="R383" s="183"/>
      <c r="S383" s="183"/>
      <c r="T383" s="183"/>
      <c r="U383" s="183"/>
      <c r="V383" s="183"/>
      <c r="W383" s="183"/>
      <c r="X383" s="183"/>
      <c r="Y383" s="183"/>
      <c r="Z383" s="183"/>
      <c r="AA383" s="183"/>
      <c r="AB383" s="523" t="s">
        <v>84</v>
      </c>
      <c r="AD383" s="183"/>
      <c r="AE383" s="183"/>
      <c r="AF383" s="183"/>
      <c r="AG383" s="183"/>
      <c r="AH383" s="183"/>
    </row>
    <row r="384" spans="12:40" x14ac:dyDescent="0.2">
      <c r="O384">
        <f>$O$69</f>
        <v>1</v>
      </c>
      <c r="P384" t="str">
        <f t="shared" ref="P384:P395" si="95">P362</f>
        <v>MAR</v>
      </c>
      <c r="R384" s="294">
        <v>1240.17</v>
      </c>
      <c r="S384" s="294">
        <v>161.25</v>
      </c>
      <c r="T384" s="294">
        <v>293.74</v>
      </c>
      <c r="U384" s="294">
        <v>-343.68</v>
      </c>
      <c r="V384" s="294"/>
      <c r="W384" s="294"/>
      <c r="X384" s="294"/>
      <c r="Z384" s="294"/>
      <c r="AA384" s="294"/>
      <c r="AB384" s="285">
        <f t="shared" ref="AB384:AB395" si="96">SUM(R384:AA384)</f>
        <v>1351.48</v>
      </c>
    </row>
    <row r="385" spans="15:39" x14ac:dyDescent="0.2">
      <c r="P385" t="str">
        <f t="shared" si="95"/>
        <v>APR</v>
      </c>
      <c r="R385" s="294">
        <v>879.01</v>
      </c>
      <c r="S385" s="294">
        <v>143.91</v>
      </c>
      <c r="T385" s="294">
        <v>293.44</v>
      </c>
      <c r="U385" s="294">
        <v>-297.95</v>
      </c>
      <c r="V385" s="294"/>
      <c r="W385" s="294"/>
      <c r="X385" s="294"/>
      <c r="Z385" s="294"/>
      <c r="AA385" s="294"/>
      <c r="AB385" s="285">
        <f t="shared" si="96"/>
        <v>1018.4099999999999</v>
      </c>
    </row>
    <row r="386" spans="15:39" x14ac:dyDescent="0.2">
      <c r="P386" t="str">
        <f t="shared" si="95"/>
        <v>MAY</v>
      </c>
      <c r="R386" s="294">
        <v>1292.8499999999999</v>
      </c>
      <c r="S386" s="294">
        <v>178.34</v>
      </c>
      <c r="T386" s="294">
        <v>254.1</v>
      </c>
      <c r="U386" s="294">
        <v>-361.18</v>
      </c>
      <c r="V386" s="294"/>
      <c r="W386" s="294"/>
      <c r="X386" s="294"/>
      <c r="Z386" s="294"/>
      <c r="AA386" s="294"/>
      <c r="AB386" s="285">
        <f t="shared" si="96"/>
        <v>1364.1099999999997</v>
      </c>
    </row>
    <row r="387" spans="15:39" x14ac:dyDescent="0.2">
      <c r="P387" t="str">
        <f t="shared" si="95"/>
        <v>JUN</v>
      </c>
      <c r="R387" s="486">
        <v>456.37</v>
      </c>
      <c r="S387" s="486">
        <v>183.68</v>
      </c>
      <c r="T387" s="486">
        <v>331.43</v>
      </c>
      <c r="U387" s="486">
        <v>-351.7</v>
      </c>
      <c r="V387" s="294"/>
      <c r="W387" s="294"/>
      <c r="X387" s="294"/>
      <c r="Z387" s="294"/>
      <c r="AA387" s="294"/>
      <c r="AB387" s="285">
        <f t="shared" si="96"/>
        <v>619.78</v>
      </c>
    </row>
    <row r="388" spans="15:39" x14ac:dyDescent="0.2">
      <c r="P388" t="str">
        <f t="shared" si="95"/>
        <v>JUL</v>
      </c>
      <c r="R388" s="486">
        <v>1253.79</v>
      </c>
      <c r="S388" s="486">
        <v>152.72999999999999</v>
      </c>
      <c r="T388" s="486">
        <v>236.45</v>
      </c>
      <c r="U388" s="486">
        <v>-234.06</v>
      </c>
      <c r="V388" s="294"/>
      <c r="W388" s="294"/>
      <c r="X388" s="294"/>
      <c r="Y388" s="294"/>
      <c r="Z388" s="294"/>
      <c r="AA388" s="294"/>
      <c r="AB388" s="285">
        <f t="shared" si="96"/>
        <v>1408.91</v>
      </c>
    </row>
    <row r="389" spans="15:39" x14ac:dyDescent="0.2">
      <c r="P389" t="str">
        <f t="shared" si="95"/>
        <v>AUG</v>
      </c>
      <c r="R389" s="486">
        <v>984.66</v>
      </c>
      <c r="S389" s="486">
        <v>110.49</v>
      </c>
      <c r="T389" s="486">
        <v>185.54</v>
      </c>
      <c r="U389" s="486">
        <v>-200.69</v>
      </c>
      <c r="V389" s="294"/>
      <c r="W389" s="294"/>
      <c r="X389" s="486"/>
      <c r="Y389" s="486"/>
      <c r="Z389" s="294"/>
      <c r="AA389" s="294"/>
      <c r="AB389" s="285">
        <f t="shared" si="96"/>
        <v>1079.9999999999998</v>
      </c>
    </row>
    <row r="390" spans="15:39" x14ac:dyDescent="0.2">
      <c r="P390" t="str">
        <f t="shared" si="95"/>
        <v>SEP</v>
      </c>
      <c r="R390" s="486">
        <v>950.17</v>
      </c>
      <c r="S390" s="486">
        <v>165</v>
      </c>
      <c r="T390" s="486">
        <v>88.78</v>
      </c>
      <c r="U390" s="486">
        <v>-124.79</v>
      </c>
      <c r="V390" s="486"/>
      <c r="W390" s="486"/>
      <c r="X390" s="486"/>
      <c r="Y390" s="486"/>
      <c r="Z390" s="294"/>
      <c r="AA390" s="294"/>
      <c r="AB390" s="285">
        <f t="shared" si="96"/>
        <v>1079.1600000000001</v>
      </c>
    </row>
    <row r="391" spans="15:39" x14ac:dyDescent="0.2">
      <c r="P391" t="str">
        <f t="shared" si="95"/>
        <v>OCT</v>
      </c>
      <c r="R391" s="486">
        <v>330.58</v>
      </c>
      <c r="S391" s="486">
        <v>68.91</v>
      </c>
      <c r="T391" s="486">
        <v>61.48</v>
      </c>
      <c r="U391" s="486">
        <v>-48.76</v>
      </c>
      <c r="V391" s="486"/>
      <c r="W391" s="486"/>
      <c r="X391" s="486"/>
      <c r="Y391" s="486"/>
      <c r="Z391" s="294"/>
      <c r="AA391" s="294"/>
      <c r="AB391" s="285">
        <f t="shared" si="96"/>
        <v>412.21000000000004</v>
      </c>
    </row>
    <row r="392" spans="15:39" x14ac:dyDescent="0.2">
      <c r="P392" t="str">
        <f t="shared" si="95"/>
        <v>NOV</v>
      </c>
      <c r="R392" s="294">
        <v>229.41</v>
      </c>
      <c r="S392" s="294">
        <v>58.76</v>
      </c>
      <c r="T392" s="294">
        <v>42.96</v>
      </c>
      <c r="U392" s="294">
        <v>-47.28</v>
      </c>
      <c r="V392" s="486"/>
      <c r="W392" s="486"/>
      <c r="X392" s="486"/>
      <c r="Y392" s="486"/>
      <c r="Z392" s="294"/>
      <c r="AA392" s="294"/>
      <c r="AB392" s="285">
        <f t="shared" si="96"/>
        <v>283.85000000000002</v>
      </c>
    </row>
    <row r="393" spans="15:39" x14ac:dyDescent="0.2">
      <c r="P393" t="str">
        <f t="shared" si="95"/>
        <v>DEC</v>
      </c>
      <c r="R393" s="294">
        <v>192.64</v>
      </c>
      <c r="S393" s="294">
        <v>57.88</v>
      </c>
      <c r="T393" s="294">
        <v>51.25</v>
      </c>
      <c r="U393" s="294">
        <v>-42.63</v>
      </c>
      <c r="V393" s="486"/>
      <c r="W393" s="486"/>
      <c r="X393" s="486"/>
      <c r="Y393" s="486"/>
      <c r="Z393" s="294"/>
      <c r="AA393" s="294"/>
      <c r="AB393" s="285">
        <f t="shared" si="96"/>
        <v>259.14</v>
      </c>
    </row>
    <row r="394" spans="15:39" x14ac:dyDescent="0.2">
      <c r="P394" s="327" t="s">
        <v>545</v>
      </c>
      <c r="R394" s="294">
        <v>139.27000000000001</v>
      </c>
      <c r="S394" s="294">
        <v>57.87</v>
      </c>
      <c r="T394" s="294">
        <v>137.31</v>
      </c>
      <c r="U394" s="294">
        <v>-29.12</v>
      </c>
      <c r="V394" s="294"/>
      <c r="W394" s="294"/>
      <c r="X394" s="294"/>
      <c r="Y394" s="294"/>
      <c r="Z394" s="294"/>
      <c r="AA394" s="294"/>
      <c r="AB394" s="285">
        <f t="shared" si="96"/>
        <v>305.33000000000004</v>
      </c>
    </row>
    <row r="395" spans="15:39" x14ac:dyDescent="0.2">
      <c r="O395">
        <f>$O$80</f>
        <v>12</v>
      </c>
      <c r="P395" t="str">
        <f t="shared" si="95"/>
        <v>FEB</v>
      </c>
      <c r="R395" s="294">
        <v>60.6</v>
      </c>
      <c r="S395" s="294">
        <v>46.58</v>
      </c>
      <c r="T395" s="294">
        <v>56.8</v>
      </c>
      <c r="U395" s="294">
        <v>-27.76</v>
      </c>
      <c r="V395" s="294"/>
      <c r="W395" s="294"/>
      <c r="X395" s="294"/>
      <c r="Y395" s="294"/>
      <c r="Z395" s="294"/>
      <c r="AA395" s="294"/>
      <c r="AB395" s="285">
        <f t="shared" si="96"/>
        <v>136.22000000000003</v>
      </c>
    </row>
    <row r="396" spans="15:39" x14ac:dyDescent="0.2">
      <c r="R396" s="294"/>
      <c r="S396" s="294"/>
      <c r="T396" s="294"/>
      <c r="U396" s="294"/>
      <c r="V396" s="294"/>
      <c r="W396" s="294"/>
      <c r="X396" s="294"/>
      <c r="Y396" s="294"/>
      <c r="Z396" s="294"/>
      <c r="AA396" s="294"/>
    </row>
    <row r="397" spans="15:39" ht="13.5" thickBot="1" x14ac:dyDescent="0.25">
      <c r="P397" t="s">
        <v>65</v>
      </c>
      <c r="R397" s="542">
        <f t="shared" ref="R397:Y397" si="97">SUM(R384:R395)</f>
        <v>8009.5200000000013</v>
      </c>
      <c r="S397" s="542">
        <f t="shared" si="97"/>
        <v>1385.4</v>
      </c>
      <c r="T397" s="542">
        <f t="shared" si="97"/>
        <v>2033.28</v>
      </c>
      <c r="U397" s="542">
        <f t="shared" si="97"/>
        <v>-2109.6</v>
      </c>
      <c r="V397" s="542">
        <f t="shared" si="97"/>
        <v>0</v>
      </c>
      <c r="W397" s="542">
        <f t="shared" si="97"/>
        <v>0</v>
      </c>
      <c r="X397" s="542">
        <f t="shared" si="97"/>
        <v>0</v>
      </c>
      <c r="Y397" s="542">
        <f t="shared" si="97"/>
        <v>0</v>
      </c>
      <c r="Z397" s="294"/>
      <c r="AA397" s="294"/>
      <c r="AB397" s="542">
        <f>SUM(AB384:AB395)</f>
        <v>9318.5999999999985</v>
      </c>
    </row>
    <row r="398" spans="15:39" ht="16.5" thickTop="1" x14ac:dyDescent="0.25">
      <c r="P398" s="595" t="s">
        <v>696</v>
      </c>
      <c r="Q398" s="596"/>
      <c r="R398" s="596"/>
      <c r="S398" s="479"/>
      <c r="AC398" s="573"/>
      <c r="AD398" s="573"/>
      <c r="AE398" s="574" t="s">
        <v>659</v>
      </c>
      <c r="AF398" s="573"/>
      <c r="AG398" s="573"/>
      <c r="AH398" s="573"/>
      <c r="AI398" s="573"/>
      <c r="AJ398" s="573"/>
      <c r="AK398" s="573"/>
      <c r="AL398" s="573"/>
      <c r="AM398" s="575"/>
    </row>
    <row r="399" spans="15:39" x14ac:dyDescent="0.2">
      <c r="R399" t="s">
        <v>697</v>
      </c>
      <c r="X399" s="183" t="s">
        <v>466</v>
      </c>
      <c r="AC399" s="575"/>
      <c r="AD399" s="573"/>
      <c r="AE399" s="574" t="s">
        <v>662</v>
      </c>
      <c r="AF399" s="573"/>
      <c r="AG399" s="573"/>
      <c r="AH399" s="575"/>
      <c r="AI399" s="573"/>
      <c r="AJ399" s="573"/>
      <c r="AK399" s="573"/>
      <c r="AL399" s="574" t="s">
        <v>663</v>
      </c>
      <c r="AM399" s="575"/>
    </row>
    <row r="400" spans="15:39" x14ac:dyDescent="0.2">
      <c r="Q400" s="183" t="s">
        <v>664</v>
      </c>
      <c r="R400" s="183" t="s">
        <v>469</v>
      </c>
      <c r="S400" s="183"/>
      <c r="T400" s="183" t="s">
        <v>470</v>
      </c>
      <c r="X400" s="183" t="s">
        <v>471</v>
      </c>
      <c r="Y400" s="183" t="s">
        <v>470</v>
      </c>
      <c r="AC400" s="574" t="s">
        <v>668</v>
      </c>
      <c r="AD400" s="573" t="s">
        <v>117</v>
      </c>
      <c r="AE400" s="574" t="s">
        <v>669</v>
      </c>
      <c r="AF400" s="574" t="s">
        <v>670</v>
      </c>
      <c r="AG400" s="574" t="s">
        <v>671</v>
      </c>
      <c r="AH400" s="574" t="s">
        <v>672</v>
      </c>
      <c r="AI400" s="574" t="s">
        <v>118</v>
      </c>
      <c r="AJ400" s="574" t="s">
        <v>673</v>
      </c>
      <c r="AK400" s="573" t="s">
        <v>284</v>
      </c>
      <c r="AL400" s="574" t="s">
        <v>674</v>
      </c>
      <c r="AM400" s="575"/>
    </row>
    <row r="401" spans="12:40" x14ac:dyDescent="0.2">
      <c r="Q401" s="183" t="s">
        <v>474</v>
      </c>
      <c r="R401" s="183" t="s">
        <v>475</v>
      </c>
      <c r="S401" s="183"/>
      <c r="T401" s="183" t="s">
        <v>475</v>
      </c>
      <c r="U401" s="183" t="s">
        <v>476</v>
      </c>
      <c r="V401" s="183" t="s">
        <v>477</v>
      </c>
      <c r="W401" s="183" t="s">
        <v>478</v>
      </c>
      <c r="X401" s="183" t="s">
        <v>479</v>
      </c>
      <c r="Y401" s="183" t="s">
        <v>480</v>
      </c>
      <c r="Z401" s="183" t="s">
        <v>481</v>
      </c>
      <c r="AA401" s="183" t="s">
        <v>482</v>
      </c>
      <c r="AB401" s="183" t="s">
        <v>483</v>
      </c>
      <c r="AC401" s="574" t="s">
        <v>606</v>
      </c>
      <c r="AD401" s="574" t="s">
        <v>676</v>
      </c>
      <c r="AE401" s="574" t="s">
        <v>668</v>
      </c>
      <c r="AF401" s="574" t="s">
        <v>117</v>
      </c>
      <c r="AG401" s="574" t="s">
        <v>117</v>
      </c>
      <c r="AH401" s="573" t="s">
        <v>677</v>
      </c>
      <c r="AI401" s="574" t="s">
        <v>669</v>
      </c>
      <c r="AJ401" s="574" t="s">
        <v>678</v>
      </c>
      <c r="AK401" s="573" t="s">
        <v>679</v>
      </c>
      <c r="AL401" s="574" t="s">
        <v>680</v>
      </c>
      <c r="AM401" s="573" t="s">
        <v>84</v>
      </c>
    </row>
    <row r="402" spans="12:40" x14ac:dyDescent="0.2">
      <c r="P402" s="481" t="s">
        <v>487</v>
      </c>
      <c r="Q402" s="481"/>
      <c r="R402" s="481" t="s">
        <v>487</v>
      </c>
      <c r="S402" s="481"/>
      <c r="T402" s="481" t="s">
        <v>487</v>
      </c>
      <c r="U402" s="481" t="s">
        <v>487</v>
      </c>
      <c r="V402" s="481" t="s">
        <v>487</v>
      </c>
      <c r="W402" s="481" t="s">
        <v>487</v>
      </c>
      <c r="X402" s="481" t="s">
        <v>487</v>
      </c>
      <c r="Y402" s="481" t="s">
        <v>487</v>
      </c>
      <c r="Z402" s="481" t="s">
        <v>487</v>
      </c>
      <c r="AA402" s="481" t="s">
        <v>487</v>
      </c>
      <c r="AB402" s="481" t="s">
        <v>487</v>
      </c>
      <c r="AC402" s="576" t="s">
        <v>487</v>
      </c>
      <c r="AD402" s="576" t="s">
        <v>487</v>
      </c>
      <c r="AE402" s="576" t="s">
        <v>487</v>
      </c>
      <c r="AF402" s="576" t="s">
        <v>487</v>
      </c>
      <c r="AG402" s="576" t="s">
        <v>487</v>
      </c>
      <c r="AH402" s="576" t="s">
        <v>487</v>
      </c>
      <c r="AI402" s="576" t="s">
        <v>487</v>
      </c>
      <c r="AJ402" s="576" t="s">
        <v>487</v>
      </c>
      <c r="AK402" s="576" t="s">
        <v>487</v>
      </c>
      <c r="AL402" s="576" t="s">
        <v>487</v>
      </c>
      <c r="AM402" s="576" t="s">
        <v>487</v>
      </c>
    </row>
    <row r="403" spans="12:40" x14ac:dyDescent="0.2">
      <c r="V403" s="483"/>
      <c r="W403" s="483"/>
      <c r="X403" s="483"/>
      <c r="Z403" s="483"/>
      <c r="AC403" s="575"/>
      <c r="AD403" s="575"/>
      <c r="AE403" s="575"/>
      <c r="AF403" s="575"/>
      <c r="AG403" s="575"/>
      <c r="AH403" s="575"/>
      <c r="AI403" s="575"/>
      <c r="AJ403" s="575"/>
      <c r="AK403" s="575">
        <v>3.0000000000000001E-3</v>
      </c>
      <c r="AL403" s="575"/>
      <c r="AM403" s="575"/>
    </row>
    <row r="404" spans="12:40" x14ac:dyDescent="0.2">
      <c r="L404" s="577" t="e">
        <f>W404/U404</f>
        <v>#DIV/0!</v>
      </c>
      <c r="M404" s="578" t="e">
        <f>N404/R404</f>
        <v>#DIV/0!</v>
      </c>
      <c r="N404" s="483">
        <f>V404-AC404</f>
        <v>0</v>
      </c>
      <c r="O404">
        <f>$O$69</f>
        <v>1</v>
      </c>
      <c r="P404" t="s">
        <v>698</v>
      </c>
      <c r="R404" s="482"/>
      <c r="S404" s="482"/>
      <c r="T404" s="482"/>
      <c r="U404" s="482"/>
      <c r="V404" s="483"/>
      <c r="W404" s="483"/>
      <c r="X404" s="285"/>
      <c r="Y404" s="483"/>
      <c r="Z404" s="483"/>
      <c r="AA404" s="483"/>
      <c r="AB404" s="483"/>
      <c r="AC404" s="575"/>
      <c r="AD404" s="575"/>
      <c r="AE404" s="575"/>
      <c r="AF404" s="575"/>
      <c r="AG404" s="575"/>
      <c r="AH404" s="580"/>
      <c r="AI404" s="575"/>
      <c r="AJ404" s="575"/>
      <c r="AK404" s="575">
        <f>U404*AK403</f>
        <v>0</v>
      </c>
      <c r="AL404" s="575"/>
      <c r="AM404" s="575">
        <f>SUM(AI404:AL404)</f>
        <v>0</v>
      </c>
      <c r="AN404" s="285">
        <f>AM404-AB404</f>
        <v>0</v>
      </c>
    </row>
    <row r="405" spans="12:40" x14ac:dyDescent="0.2">
      <c r="L405" s="577" t="e">
        <f t="shared" ref="L405:L415" si="98">W405/U405</f>
        <v>#DIV/0!</v>
      </c>
      <c r="M405" s="578" t="e">
        <f t="shared" ref="M405:M415" si="99">N405/R405</f>
        <v>#DIV/0!</v>
      </c>
      <c r="N405" s="483">
        <f t="shared" ref="N405:N415" si="100">V405-AC405</f>
        <v>0</v>
      </c>
      <c r="P405" t="s">
        <v>688</v>
      </c>
      <c r="R405" s="482"/>
      <c r="S405" s="482"/>
      <c r="T405" s="482"/>
      <c r="U405" s="482"/>
      <c r="V405" s="483"/>
      <c r="W405" s="483"/>
      <c r="X405" s="285"/>
      <c r="Y405" s="483"/>
      <c r="Z405" s="483"/>
      <c r="AA405" s="483"/>
      <c r="AB405" s="483"/>
      <c r="AC405" s="575"/>
      <c r="AD405" s="575"/>
      <c r="AE405" s="575"/>
      <c r="AF405" s="575"/>
      <c r="AG405" s="575"/>
      <c r="AH405" s="580"/>
      <c r="AI405" s="575"/>
      <c r="AJ405" s="575"/>
      <c r="AK405" s="575">
        <f>U405*AK403</f>
        <v>0</v>
      </c>
      <c r="AL405" s="575"/>
      <c r="AM405" s="575">
        <f t="shared" ref="AM405:AM415" si="101">SUM(AI405:AL405)</f>
        <v>0</v>
      </c>
      <c r="AN405" s="285">
        <f t="shared" ref="AN405:AN415" si="102">AM405-AB405</f>
        <v>0</v>
      </c>
    </row>
    <row r="406" spans="12:40" x14ac:dyDescent="0.2">
      <c r="L406" s="577" t="e">
        <f t="shared" si="98"/>
        <v>#DIV/0!</v>
      </c>
      <c r="M406" s="578" t="e">
        <f t="shared" si="99"/>
        <v>#DIV/0!</v>
      </c>
      <c r="N406" s="483">
        <f t="shared" si="100"/>
        <v>0</v>
      </c>
      <c r="P406" t="s">
        <v>600</v>
      </c>
      <c r="R406" s="482"/>
      <c r="S406" s="482"/>
      <c r="T406" s="482"/>
      <c r="U406" s="482"/>
      <c r="V406" s="483"/>
      <c r="W406" s="483"/>
      <c r="X406" s="285"/>
      <c r="Y406" s="483"/>
      <c r="Z406" s="483"/>
      <c r="AA406" s="483"/>
      <c r="AB406" s="483"/>
      <c r="AC406" s="575"/>
      <c r="AD406" s="575"/>
      <c r="AE406" s="575"/>
      <c r="AF406" s="575"/>
      <c r="AG406" s="575"/>
      <c r="AH406" s="580"/>
      <c r="AI406" s="575"/>
      <c r="AJ406" s="575"/>
      <c r="AK406" s="575">
        <f>U406*AK403</f>
        <v>0</v>
      </c>
      <c r="AL406" s="575"/>
      <c r="AM406" s="575">
        <f t="shared" si="101"/>
        <v>0</v>
      </c>
      <c r="AN406" s="285">
        <f t="shared" si="102"/>
        <v>0</v>
      </c>
    </row>
    <row r="407" spans="12:40" x14ac:dyDescent="0.2">
      <c r="L407" s="577" t="e">
        <f t="shared" si="98"/>
        <v>#DIV/0!</v>
      </c>
      <c r="M407" s="578" t="e">
        <f t="shared" si="99"/>
        <v>#DIV/0!</v>
      </c>
      <c r="N407" s="483">
        <f t="shared" si="100"/>
        <v>0</v>
      </c>
      <c r="P407" t="s">
        <v>492</v>
      </c>
      <c r="R407" s="482"/>
      <c r="S407" s="482"/>
      <c r="T407" s="482"/>
      <c r="U407" s="482"/>
      <c r="V407" s="483"/>
      <c r="W407" s="483"/>
      <c r="X407" s="285"/>
      <c r="Y407" s="483"/>
      <c r="Z407" s="483"/>
      <c r="AA407" s="483"/>
      <c r="AB407" s="483"/>
      <c r="AC407" s="575"/>
      <c r="AD407" s="575"/>
      <c r="AE407" s="575"/>
      <c r="AF407" s="575"/>
      <c r="AG407" s="575"/>
      <c r="AH407" s="580"/>
      <c r="AI407" s="575"/>
      <c r="AJ407" s="575"/>
      <c r="AK407" s="575">
        <f>U407*AK403</f>
        <v>0</v>
      </c>
      <c r="AL407" s="575"/>
      <c r="AM407" s="575">
        <f t="shared" si="101"/>
        <v>0</v>
      </c>
      <c r="AN407" s="285">
        <f t="shared" si="102"/>
        <v>0</v>
      </c>
    </row>
    <row r="408" spans="12:40" x14ac:dyDescent="0.2">
      <c r="L408" s="577" t="e">
        <f t="shared" si="98"/>
        <v>#DIV/0!</v>
      </c>
      <c r="M408" s="578" t="e">
        <f t="shared" si="99"/>
        <v>#DIV/0!</v>
      </c>
      <c r="N408" s="483">
        <f t="shared" si="100"/>
        <v>0</v>
      </c>
      <c r="P408" t="s">
        <v>493</v>
      </c>
      <c r="R408" s="482"/>
      <c r="S408" s="482"/>
      <c r="T408" s="482"/>
      <c r="U408" s="482"/>
      <c r="V408" s="483"/>
      <c r="W408" s="483"/>
      <c r="X408" s="285"/>
      <c r="Y408" s="483"/>
      <c r="Z408" s="483"/>
      <c r="AA408" s="483"/>
      <c r="AB408" s="483"/>
      <c r="AC408" s="575"/>
      <c r="AD408" s="575"/>
      <c r="AE408" s="575"/>
      <c r="AF408" s="575"/>
      <c r="AG408" s="575"/>
      <c r="AH408" s="580"/>
      <c r="AI408" s="575"/>
      <c r="AJ408" s="575"/>
      <c r="AK408" s="575">
        <f>U408*AK403</f>
        <v>0</v>
      </c>
      <c r="AL408" s="575"/>
      <c r="AM408" s="575">
        <f t="shared" si="101"/>
        <v>0</v>
      </c>
      <c r="AN408" s="285">
        <f t="shared" si="102"/>
        <v>0</v>
      </c>
    </row>
    <row r="409" spans="12:40" x14ac:dyDescent="0.2">
      <c r="L409" s="577" t="e">
        <f t="shared" si="98"/>
        <v>#DIV/0!</v>
      </c>
      <c r="M409" s="578" t="e">
        <f t="shared" si="99"/>
        <v>#DIV/0!</v>
      </c>
      <c r="N409" s="483">
        <f t="shared" si="100"/>
        <v>0</v>
      </c>
      <c r="P409" t="s">
        <v>494</v>
      </c>
      <c r="R409" s="482"/>
      <c r="S409" s="482"/>
      <c r="T409" s="482"/>
      <c r="U409" s="482"/>
      <c r="V409" s="483"/>
      <c r="W409" s="483"/>
      <c r="X409" s="285"/>
      <c r="Y409" s="483"/>
      <c r="Z409" s="483"/>
      <c r="AA409" s="483"/>
      <c r="AB409" s="483"/>
      <c r="AC409" s="575"/>
      <c r="AD409" s="575"/>
      <c r="AE409" s="575"/>
      <c r="AF409" s="575"/>
      <c r="AG409" s="575"/>
      <c r="AH409" s="580"/>
      <c r="AI409" s="575"/>
      <c r="AJ409" s="575"/>
      <c r="AK409" s="575">
        <f>U409*AK403</f>
        <v>0</v>
      </c>
      <c r="AL409" s="575"/>
      <c r="AM409" s="575">
        <f t="shared" si="101"/>
        <v>0</v>
      </c>
      <c r="AN409" s="285">
        <f t="shared" si="102"/>
        <v>0</v>
      </c>
    </row>
    <row r="410" spans="12:40" x14ac:dyDescent="0.2">
      <c r="L410" s="577" t="e">
        <f t="shared" si="98"/>
        <v>#DIV/0!</v>
      </c>
      <c r="M410" s="578" t="e">
        <f t="shared" si="99"/>
        <v>#DIV/0!</v>
      </c>
      <c r="N410" s="483">
        <f t="shared" si="100"/>
        <v>0</v>
      </c>
      <c r="P410" t="s">
        <v>495</v>
      </c>
      <c r="R410" s="482"/>
      <c r="S410" s="482"/>
      <c r="T410" s="482"/>
      <c r="U410" s="482"/>
      <c r="V410" s="483"/>
      <c r="W410" s="483"/>
      <c r="X410" s="285"/>
      <c r="Y410" s="483"/>
      <c r="Z410" s="483"/>
      <c r="AA410" s="483"/>
      <c r="AB410" s="483"/>
      <c r="AC410" s="575"/>
      <c r="AD410" s="575"/>
      <c r="AE410" s="575"/>
      <c r="AF410" s="575"/>
      <c r="AG410" s="575"/>
      <c r="AH410" s="580"/>
      <c r="AI410" s="575"/>
      <c r="AJ410" s="575"/>
      <c r="AK410" s="575">
        <f>U410*AK403</f>
        <v>0</v>
      </c>
      <c r="AL410" s="575"/>
      <c r="AM410" s="575">
        <f t="shared" si="101"/>
        <v>0</v>
      </c>
      <c r="AN410" s="285">
        <f t="shared" si="102"/>
        <v>0</v>
      </c>
    </row>
    <row r="411" spans="12:40" x14ac:dyDescent="0.2">
      <c r="L411" s="577" t="e">
        <f t="shared" si="98"/>
        <v>#DIV/0!</v>
      </c>
      <c r="M411" s="578" t="e">
        <f t="shared" si="99"/>
        <v>#DIV/0!</v>
      </c>
      <c r="N411" s="483">
        <f t="shared" si="100"/>
        <v>0</v>
      </c>
      <c r="P411" t="s">
        <v>496</v>
      </c>
      <c r="R411" s="482"/>
      <c r="S411" s="482"/>
      <c r="T411" s="482"/>
      <c r="U411" s="482"/>
      <c r="V411" s="483"/>
      <c r="W411" s="483"/>
      <c r="X411" s="285"/>
      <c r="Y411" s="483"/>
      <c r="Z411" s="483"/>
      <c r="AA411" s="483"/>
      <c r="AB411" s="483"/>
      <c r="AC411" s="575"/>
      <c r="AD411" s="575"/>
      <c r="AE411" s="575"/>
      <c r="AF411" s="575"/>
      <c r="AG411" s="575"/>
      <c r="AH411" s="580"/>
      <c r="AI411" s="575"/>
      <c r="AJ411" s="575"/>
      <c r="AK411" s="575">
        <f>U411*AK403</f>
        <v>0</v>
      </c>
      <c r="AL411" s="575"/>
      <c r="AM411" s="575">
        <f t="shared" si="101"/>
        <v>0</v>
      </c>
      <c r="AN411" s="285">
        <f t="shared" si="102"/>
        <v>0</v>
      </c>
    </row>
    <row r="412" spans="12:40" x14ac:dyDescent="0.2">
      <c r="L412" s="577" t="e">
        <f t="shared" si="98"/>
        <v>#DIV/0!</v>
      </c>
      <c r="M412" s="578" t="e">
        <f t="shared" si="99"/>
        <v>#DIV/0!</v>
      </c>
      <c r="N412" s="483">
        <f t="shared" si="100"/>
        <v>0</v>
      </c>
      <c r="P412" t="s">
        <v>497</v>
      </c>
      <c r="R412" s="482"/>
      <c r="S412" s="482"/>
      <c r="T412" s="482"/>
      <c r="U412" s="482"/>
      <c r="V412" s="483"/>
      <c r="W412" s="483"/>
      <c r="X412" s="285"/>
      <c r="Y412" s="483"/>
      <c r="Z412" s="483"/>
      <c r="AA412" s="483"/>
      <c r="AB412" s="483"/>
      <c r="AC412" s="575"/>
      <c r="AD412" s="575"/>
      <c r="AE412" s="575"/>
      <c r="AF412" s="575"/>
      <c r="AG412" s="575"/>
      <c r="AH412" s="580"/>
      <c r="AI412" s="575"/>
      <c r="AJ412" s="575"/>
      <c r="AK412" s="575">
        <f>U412*AK403</f>
        <v>0</v>
      </c>
      <c r="AL412" s="575"/>
      <c r="AM412" s="575">
        <f t="shared" si="101"/>
        <v>0</v>
      </c>
      <c r="AN412" s="285">
        <f t="shared" si="102"/>
        <v>0</v>
      </c>
    </row>
    <row r="413" spans="12:40" x14ac:dyDescent="0.2">
      <c r="L413" s="577" t="e">
        <f t="shared" si="98"/>
        <v>#DIV/0!</v>
      </c>
      <c r="M413" s="578" t="e">
        <f t="shared" si="99"/>
        <v>#DIV/0!</v>
      </c>
      <c r="N413" s="483">
        <f t="shared" si="100"/>
        <v>0</v>
      </c>
      <c r="P413" t="s">
        <v>498</v>
      </c>
      <c r="R413" s="482"/>
      <c r="S413" s="482"/>
      <c r="T413" s="482"/>
      <c r="U413" s="482"/>
      <c r="V413" s="483"/>
      <c r="W413" s="483"/>
      <c r="X413" s="285"/>
      <c r="Y413" s="483"/>
      <c r="Z413" s="483"/>
      <c r="AA413" s="483"/>
      <c r="AB413" s="483"/>
      <c r="AC413" s="575"/>
      <c r="AD413" s="575"/>
      <c r="AE413" s="575"/>
      <c r="AF413" s="580"/>
      <c r="AG413" s="580"/>
      <c r="AH413" s="580"/>
      <c r="AI413" s="575"/>
      <c r="AJ413" s="575"/>
      <c r="AK413" s="575">
        <f>U413*AK403</f>
        <v>0</v>
      </c>
      <c r="AL413" s="575"/>
      <c r="AM413" s="575">
        <f t="shared" si="101"/>
        <v>0</v>
      </c>
      <c r="AN413" s="285">
        <f t="shared" si="102"/>
        <v>0</v>
      </c>
    </row>
    <row r="414" spans="12:40" x14ac:dyDescent="0.2">
      <c r="L414" s="577" t="e">
        <f t="shared" si="98"/>
        <v>#DIV/0!</v>
      </c>
      <c r="M414" s="578" t="e">
        <f t="shared" si="99"/>
        <v>#DIV/0!</v>
      </c>
      <c r="N414" s="483">
        <f t="shared" si="100"/>
        <v>0</v>
      </c>
      <c r="P414" t="s">
        <v>499</v>
      </c>
      <c r="R414" s="482"/>
      <c r="S414" s="482"/>
      <c r="T414" s="482"/>
      <c r="U414" s="482"/>
      <c r="V414" s="483"/>
      <c r="W414" s="483"/>
      <c r="X414" s="285"/>
      <c r="Y414" s="483"/>
      <c r="Z414" s="483"/>
      <c r="AA414" s="483"/>
      <c r="AB414" s="483"/>
      <c r="AC414" s="575"/>
      <c r="AD414" s="575"/>
      <c r="AE414" s="575"/>
      <c r="AF414" s="580"/>
      <c r="AG414" s="580"/>
      <c r="AH414" s="580"/>
      <c r="AI414" s="575"/>
      <c r="AJ414" s="575"/>
      <c r="AK414" s="575">
        <f>U414*AK403</f>
        <v>0</v>
      </c>
      <c r="AL414" s="575"/>
      <c r="AM414" s="575">
        <f t="shared" si="101"/>
        <v>0</v>
      </c>
      <c r="AN414" s="285">
        <f t="shared" si="102"/>
        <v>0</v>
      </c>
    </row>
    <row r="415" spans="12:40" x14ac:dyDescent="0.2">
      <c r="L415" s="577" t="e">
        <f t="shared" si="98"/>
        <v>#DIV/0!</v>
      </c>
      <c r="M415" s="578" t="e">
        <f t="shared" si="99"/>
        <v>#DIV/0!</v>
      </c>
      <c r="N415" s="483">
        <f t="shared" si="100"/>
        <v>0</v>
      </c>
      <c r="O415">
        <f>$O$80</f>
        <v>12</v>
      </c>
      <c r="P415" t="s">
        <v>500</v>
      </c>
      <c r="R415" s="597"/>
      <c r="S415" s="597"/>
      <c r="T415" s="482"/>
      <c r="U415" s="482"/>
      <c r="V415" s="483"/>
      <c r="W415" s="483"/>
      <c r="X415" s="285"/>
      <c r="Y415" s="483"/>
      <c r="Z415" s="483"/>
      <c r="AA415" s="483"/>
      <c r="AB415" s="483"/>
      <c r="AC415" s="575"/>
      <c r="AD415" s="575"/>
      <c r="AE415" s="575"/>
      <c r="AF415" s="580"/>
      <c r="AG415" s="580"/>
      <c r="AH415" s="580"/>
      <c r="AI415" s="575"/>
      <c r="AJ415" s="575"/>
      <c r="AK415" s="575">
        <f>U415*AK403</f>
        <v>0</v>
      </c>
      <c r="AL415" s="575"/>
      <c r="AM415" s="575">
        <f t="shared" si="101"/>
        <v>0</v>
      </c>
      <c r="AN415" s="285">
        <f t="shared" si="102"/>
        <v>0</v>
      </c>
    </row>
    <row r="416" spans="12:40" x14ac:dyDescent="0.2">
      <c r="R416" s="488" t="s">
        <v>487</v>
      </c>
      <c r="S416" s="488"/>
      <c r="T416" s="488" t="s">
        <v>487</v>
      </c>
      <c r="U416" s="488" t="s">
        <v>487</v>
      </c>
      <c r="V416" s="489" t="s">
        <v>487</v>
      </c>
      <c r="W416" s="489" t="s">
        <v>487</v>
      </c>
      <c r="X416" s="489" t="s">
        <v>487</v>
      </c>
      <c r="Y416" s="481" t="s">
        <v>487</v>
      </c>
      <c r="Z416" s="489" t="s">
        <v>487</v>
      </c>
      <c r="AA416" s="489" t="s">
        <v>487</v>
      </c>
      <c r="AB416" s="489" t="s">
        <v>487</v>
      </c>
      <c r="AC416" s="575"/>
      <c r="AD416" s="575"/>
      <c r="AE416" s="575"/>
      <c r="AF416" s="575"/>
      <c r="AG416" s="575"/>
      <c r="AH416" s="575"/>
      <c r="AI416" s="575"/>
      <c r="AJ416" s="575"/>
      <c r="AK416" s="575"/>
      <c r="AL416" s="575"/>
      <c r="AM416" s="575"/>
    </row>
    <row r="417" spans="15:39" x14ac:dyDescent="0.2">
      <c r="R417" s="482"/>
      <c r="S417" s="482"/>
      <c r="T417" s="482"/>
      <c r="U417" s="482"/>
      <c r="V417" s="483"/>
      <c r="W417" s="483"/>
      <c r="X417" s="483"/>
      <c r="Z417" s="483"/>
      <c r="AA417" s="483"/>
      <c r="AB417" s="483"/>
      <c r="AC417" s="575"/>
      <c r="AD417" s="575"/>
      <c r="AE417" s="575"/>
      <c r="AF417" s="575"/>
      <c r="AG417" s="575"/>
      <c r="AH417" s="575"/>
      <c r="AI417" s="575"/>
      <c r="AJ417" s="575"/>
      <c r="AK417" s="575"/>
      <c r="AL417" s="575"/>
      <c r="AM417" s="575"/>
    </row>
    <row r="418" spans="15:39" x14ac:dyDescent="0.2">
      <c r="R418" s="482">
        <f t="shared" ref="R418:AM418" si="103">SUM(R404:R415)</f>
        <v>0</v>
      </c>
      <c r="S418" s="482"/>
      <c r="T418" s="482">
        <f t="shared" si="103"/>
        <v>0</v>
      </c>
      <c r="U418" s="482">
        <f t="shared" si="103"/>
        <v>0</v>
      </c>
      <c r="V418" s="483">
        <f t="shared" si="103"/>
        <v>0</v>
      </c>
      <c r="W418" s="483">
        <f t="shared" si="103"/>
        <v>0</v>
      </c>
      <c r="X418" s="483">
        <f t="shared" si="103"/>
        <v>0</v>
      </c>
      <c r="Y418" s="483">
        <f t="shared" si="103"/>
        <v>0</v>
      </c>
      <c r="Z418" s="483">
        <f t="shared" si="103"/>
        <v>0</v>
      </c>
      <c r="AA418" s="483">
        <f t="shared" si="103"/>
        <v>0</v>
      </c>
      <c r="AB418" s="483">
        <f t="shared" si="103"/>
        <v>0</v>
      </c>
      <c r="AC418" s="584">
        <f t="shared" si="103"/>
        <v>0</v>
      </c>
      <c r="AD418" s="584">
        <f t="shared" si="103"/>
        <v>0</v>
      </c>
      <c r="AE418" s="584">
        <f t="shared" si="103"/>
        <v>0</v>
      </c>
      <c r="AF418" s="584">
        <f t="shared" si="103"/>
        <v>0</v>
      </c>
      <c r="AG418" s="584">
        <f t="shared" si="103"/>
        <v>0</v>
      </c>
      <c r="AH418" s="584">
        <f t="shared" si="103"/>
        <v>0</v>
      </c>
      <c r="AI418" s="584">
        <f t="shared" si="103"/>
        <v>0</v>
      </c>
      <c r="AJ418" s="584">
        <f t="shared" si="103"/>
        <v>0</v>
      </c>
      <c r="AK418" s="584">
        <f t="shared" si="103"/>
        <v>0</v>
      </c>
      <c r="AL418" s="584">
        <f t="shared" si="103"/>
        <v>0</v>
      </c>
      <c r="AM418" s="584">
        <f t="shared" si="103"/>
        <v>0</v>
      </c>
    </row>
    <row r="419" spans="15:39" x14ac:dyDescent="0.2">
      <c r="R419" s="488" t="s">
        <v>501</v>
      </c>
      <c r="S419" s="488"/>
      <c r="T419" s="488" t="s">
        <v>501</v>
      </c>
      <c r="U419" s="488" t="s">
        <v>501</v>
      </c>
      <c r="V419" s="489" t="s">
        <v>501</v>
      </c>
      <c r="W419" s="489" t="s">
        <v>501</v>
      </c>
      <c r="X419" s="489" t="s">
        <v>501</v>
      </c>
      <c r="Y419" s="489" t="s">
        <v>501</v>
      </c>
      <c r="Z419" s="489" t="s">
        <v>501</v>
      </c>
      <c r="AA419" s="489" t="s">
        <v>501</v>
      </c>
      <c r="AB419" s="489" t="s">
        <v>501</v>
      </c>
      <c r="AC419" s="585" t="s">
        <v>501</v>
      </c>
      <c r="AD419" s="585" t="s">
        <v>501</v>
      </c>
      <c r="AE419" s="585" t="s">
        <v>501</v>
      </c>
      <c r="AF419" s="585" t="s">
        <v>501</v>
      </c>
      <c r="AG419" s="585" t="s">
        <v>501</v>
      </c>
      <c r="AH419" s="585" t="s">
        <v>501</v>
      </c>
      <c r="AI419" s="585" t="s">
        <v>501</v>
      </c>
      <c r="AJ419" s="585" t="s">
        <v>501</v>
      </c>
      <c r="AK419" s="585" t="s">
        <v>501</v>
      </c>
      <c r="AL419" s="585" t="s">
        <v>501</v>
      </c>
      <c r="AM419" s="585" t="s">
        <v>501</v>
      </c>
    </row>
    <row r="420" spans="15:39" x14ac:dyDescent="0.2">
      <c r="R420" s="270">
        <f>R418</f>
        <v>0</v>
      </c>
      <c r="S420" s="270"/>
      <c r="T420">
        <v>10.715</v>
      </c>
      <c r="U420" s="285">
        <f>R420*T420</f>
        <v>0</v>
      </c>
      <c r="V420" s="483">
        <f>AC418</f>
        <v>0</v>
      </c>
      <c r="W420" s="285">
        <f>U420+V420</f>
        <v>0</v>
      </c>
      <c r="X420" s="483">
        <f>V418-W420</f>
        <v>0</v>
      </c>
    </row>
    <row r="422" spans="15:39" x14ac:dyDescent="0.2">
      <c r="S422" s="183" t="s">
        <v>549</v>
      </c>
    </row>
    <row r="423" spans="15:39" x14ac:dyDescent="0.2">
      <c r="P423" s="183"/>
      <c r="Q423" s="183"/>
      <c r="R423" s="183" t="s">
        <v>550</v>
      </c>
      <c r="S423" s="183" t="s">
        <v>551</v>
      </c>
      <c r="T423" s="183" t="s">
        <v>552</v>
      </c>
      <c r="U423" s="183" t="s">
        <v>555</v>
      </c>
      <c r="V423" s="183" t="s">
        <v>596</v>
      </c>
      <c r="W423" s="183" t="s">
        <v>553</v>
      </c>
      <c r="X423" s="183" t="s">
        <v>554</v>
      </c>
      <c r="Y423" s="183" t="s">
        <v>556</v>
      </c>
      <c r="Z423" s="183"/>
      <c r="AA423" s="183"/>
      <c r="AB423" s="183"/>
      <c r="AD423" s="183"/>
      <c r="AE423" s="183"/>
      <c r="AF423" s="183"/>
      <c r="AG423" s="183"/>
      <c r="AH423" s="183"/>
    </row>
    <row r="424" spans="15:39" x14ac:dyDescent="0.2">
      <c r="P424" s="183"/>
      <c r="Q424" s="183"/>
      <c r="R424" s="521" t="s">
        <v>471</v>
      </c>
      <c r="S424" s="521" t="s">
        <v>558</v>
      </c>
      <c r="T424" s="521" t="s">
        <v>559</v>
      </c>
      <c r="U424" s="521" t="s">
        <v>562</v>
      </c>
      <c r="V424" s="521" t="s">
        <v>597</v>
      </c>
      <c r="W424" s="521" t="s">
        <v>560</v>
      </c>
      <c r="X424" s="521" t="s">
        <v>561</v>
      </c>
      <c r="Y424" s="521" t="s">
        <v>563</v>
      </c>
      <c r="Z424" s="183"/>
      <c r="AA424" s="183"/>
      <c r="AB424" s="183"/>
      <c r="AD424" s="183"/>
      <c r="AE424" s="183"/>
      <c r="AF424" s="183"/>
      <c r="AG424" s="183"/>
      <c r="AH424" s="183"/>
    </row>
    <row r="425" spans="15:39" x14ac:dyDescent="0.2">
      <c r="P425" s="183"/>
      <c r="Q425" s="183"/>
      <c r="R425" s="183"/>
      <c r="S425" s="183"/>
      <c r="T425" s="183"/>
      <c r="U425" s="183"/>
      <c r="V425" s="183"/>
      <c r="W425" s="183"/>
      <c r="X425" s="183"/>
      <c r="Y425" s="183"/>
      <c r="Z425" s="183"/>
      <c r="AA425" s="183"/>
      <c r="AB425" s="523" t="s">
        <v>84</v>
      </c>
      <c r="AD425" s="183"/>
      <c r="AE425" s="183"/>
      <c r="AF425" s="183"/>
      <c r="AG425" s="183"/>
      <c r="AH425" s="183"/>
    </row>
    <row r="426" spans="15:39" x14ac:dyDescent="0.2">
      <c r="O426">
        <f>$O$69</f>
        <v>1</v>
      </c>
      <c r="P426" t="str">
        <f t="shared" ref="P426:P437" si="104">P404</f>
        <v>JAN 2019</v>
      </c>
      <c r="R426" s="294"/>
      <c r="S426" s="294"/>
      <c r="T426" s="294"/>
      <c r="U426" s="294"/>
      <c r="V426" s="294"/>
      <c r="W426" s="294"/>
      <c r="X426" s="294"/>
      <c r="Z426" s="294"/>
      <c r="AA426" s="294"/>
      <c r="AB426" s="285">
        <f t="shared" ref="AB426:AB437" si="105">SUM(R426:AA426)</f>
        <v>0</v>
      </c>
    </row>
    <row r="427" spans="15:39" x14ac:dyDescent="0.2">
      <c r="P427" t="str">
        <f t="shared" si="104"/>
        <v>FEB</v>
      </c>
      <c r="R427" s="294"/>
      <c r="S427" s="294"/>
      <c r="T427" s="294"/>
      <c r="U427" s="294"/>
      <c r="V427" s="294"/>
      <c r="W427" s="294"/>
      <c r="X427" s="294"/>
      <c r="Z427" s="294"/>
      <c r="AA427" s="294"/>
      <c r="AB427" s="285">
        <f t="shared" si="105"/>
        <v>0</v>
      </c>
    </row>
    <row r="428" spans="15:39" x14ac:dyDescent="0.2">
      <c r="P428" t="str">
        <f t="shared" si="104"/>
        <v>MAR</v>
      </c>
      <c r="R428" s="294"/>
      <c r="S428" s="294"/>
      <c r="T428" s="294"/>
      <c r="U428" s="294"/>
      <c r="V428" s="294"/>
      <c r="W428" s="294"/>
      <c r="X428" s="294"/>
      <c r="Z428" s="294"/>
      <c r="AA428" s="294"/>
      <c r="AB428" s="285">
        <f t="shared" si="105"/>
        <v>0</v>
      </c>
    </row>
    <row r="429" spans="15:39" x14ac:dyDescent="0.2">
      <c r="P429" t="str">
        <f t="shared" si="104"/>
        <v>APR</v>
      </c>
      <c r="R429" s="294"/>
      <c r="S429" s="294"/>
      <c r="T429" s="294"/>
      <c r="U429" s="294"/>
      <c r="V429" s="294"/>
      <c r="W429" s="294"/>
      <c r="X429" s="294"/>
      <c r="Z429" s="294"/>
      <c r="AA429" s="294"/>
      <c r="AB429" s="285">
        <f t="shared" si="105"/>
        <v>0</v>
      </c>
    </row>
    <row r="430" spans="15:39" x14ac:dyDescent="0.2">
      <c r="P430" t="str">
        <f t="shared" si="104"/>
        <v>MAY</v>
      </c>
      <c r="R430" s="294"/>
      <c r="S430" s="294"/>
      <c r="T430" s="294"/>
      <c r="U430" s="294"/>
      <c r="V430" s="294"/>
      <c r="W430" s="294"/>
      <c r="X430" s="294"/>
      <c r="Y430" s="294"/>
      <c r="Z430" s="294"/>
      <c r="AA430" s="294"/>
      <c r="AB430" s="285">
        <f t="shared" si="105"/>
        <v>0</v>
      </c>
    </row>
    <row r="431" spans="15:39" x14ac:dyDescent="0.2">
      <c r="P431" t="str">
        <f t="shared" si="104"/>
        <v>JUN</v>
      </c>
      <c r="R431" s="486"/>
      <c r="S431" s="486"/>
      <c r="T431" s="486"/>
      <c r="U431" s="486"/>
      <c r="V431" s="486"/>
      <c r="W431" s="486"/>
      <c r="X431" s="486"/>
      <c r="Y431" s="486"/>
      <c r="Z431" s="294"/>
      <c r="AA431" s="294"/>
      <c r="AB431" s="285">
        <f t="shared" si="105"/>
        <v>0</v>
      </c>
    </row>
    <row r="432" spans="15:39" x14ac:dyDescent="0.2">
      <c r="P432" t="str">
        <f t="shared" si="104"/>
        <v>JUL</v>
      </c>
      <c r="R432" s="486"/>
      <c r="S432" s="486"/>
      <c r="T432" s="486"/>
      <c r="U432" s="486"/>
      <c r="V432" s="486"/>
      <c r="W432" s="486"/>
      <c r="X432" s="486"/>
      <c r="Y432" s="486"/>
      <c r="Z432" s="294"/>
      <c r="AA432" s="294"/>
      <c r="AB432" s="285">
        <f t="shared" si="105"/>
        <v>0</v>
      </c>
    </row>
    <row r="433" spans="12:40" x14ac:dyDescent="0.2">
      <c r="P433" t="str">
        <f t="shared" si="104"/>
        <v>AUG</v>
      </c>
      <c r="R433" s="486"/>
      <c r="S433" s="486"/>
      <c r="T433" s="486"/>
      <c r="U433" s="486"/>
      <c r="V433" s="486"/>
      <c r="W433" s="486"/>
      <c r="X433" s="486"/>
      <c r="Y433" s="486"/>
      <c r="Z433" s="294"/>
      <c r="AA433" s="294"/>
      <c r="AB433" s="285">
        <f t="shared" si="105"/>
        <v>0</v>
      </c>
    </row>
    <row r="434" spans="12:40" x14ac:dyDescent="0.2">
      <c r="P434" t="str">
        <f t="shared" si="104"/>
        <v>SEP</v>
      </c>
      <c r="R434" s="486"/>
      <c r="S434" s="486"/>
      <c r="T434" s="486"/>
      <c r="U434" s="486"/>
      <c r="V434" s="486"/>
      <c r="W434" s="486"/>
      <c r="X434" s="486"/>
      <c r="Y434" s="486"/>
      <c r="Z434" s="294"/>
      <c r="AA434" s="294"/>
      <c r="AB434" s="285">
        <f t="shared" si="105"/>
        <v>0</v>
      </c>
    </row>
    <row r="435" spans="12:40" x14ac:dyDescent="0.2">
      <c r="P435" t="str">
        <f t="shared" si="104"/>
        <v>OCT</v>
      </c>
      <c r="R435" s="486"/>
      <c r="S435" s="486"/>
      <c r="T435" s="486"/>
      <c r="U435" s="486"/>
      <c r="V435" s="486"/>
      <c r="W435" s="486"/>
      <c r="X435" s="486"/>
      <c r="Y435" s="486"/>
      <c r="Z435" s="294"/>
      <c r="AA435" s="294"/>
      <c r="AB435" s="285">
        <f t="shared" si="105"/>
        <v>0</v>
      </c>
    </row>
    <row r="436" spans="12:40" x14ac:dyDescent="0.2">
      <c r="P436" t="str">
        <f t="shared" si="104"/>
        <v>NOV</v>
      </c>
      <c r="R436" s="294"/>
      <c r="S436" s="294"/>
      <c r="T436" s="294"/>
      <c r="U436" s="294"/>
      <c r="V436" s="294"/>
      <c r="W436" s="294"/>
      <c r="X436" s="294"/>
      <c r="Y436" s="294"/>
      <c r="Z436" s="294"/>
      <c r="AA436" s="294"/>
      <c r="AB436" s="285">
        <f t="shared" si="105"/>
        <v>0</v>
      </c>
    </row>
    <row r="437" spans="12:40" x14ac:dyDescent="0.2">
      <c r="O437">
        <f>$O$80</f>
        <v>12</v>
      </c>
      <c r="P437" t="str">
        <f t="shared" si="104"/>
        <v>DEC</v>
      </c>
      <c r="R437" s="294"/>
      <c r="S437" s="294"/>
      <c r="T437" s="294"/>
      <c r="U437" s="294"/>
      <c r="V437" s="294"/>
      <c r="W437" s="294"/>
      <c r="X437" s="294"/>
      <c r="Y437" s="294"/>
      <c r="Z437" s="294"/>
      <c r="AA437" s="294"/>
      <c r="AB437" s="285">
        <f t="shared" si="105"/>
        <v>0</v>
      </c>
    </row>
    <row r="438" spans="12:40" x14ac:dyDescent="0.2">
      <c r="R438" s="294"/>
      <c r="S438" s="294"/>
      <c r="T438" s="294"/>
      <c r="U438" s="294"/>
      <c r="V438" s="294"/>
      <c r="W438" s="294"/>
      <c r="X438" s="294"/>
      <c r="Y438" s="294"/>
      <c r="Z438" s="294"/>
      <c r="AA438" s="294"/>
    </row>
    <row r="439" spans="12:40" ht="13.5" thickBot="1" x14ac:dyDescent="0.25">
      <c r="P439" t="s">
        <v>65</v>
      </c>
      <c r="R439" s="542">
        <f t="shared" ref="R439:Y439" si="106">SUM(R426:R437)</f>
        <v>0</v>
      </c>
      <c r="S439" s="542">
        <f t="shared" si="106"/>
        <v>0</v>
      </c>
      <c r="T439" s="542">
        <f t="shared" si="106"/>
        <v>0</v>
      </c>
      <c r="U439" s="542">
        <f t="shared" si="106"/>
        <v>0</v>
      </c>
      <c r="V439" s="542">
        <f t="shared" si="106"/>
        <v>0</v>
      </c>
      <c r="W439" s="542">
        <f t="shared" si="106"/>
        <v>0</v>
      </c>
      <c r="X439" s="542">
        <f t="shared" si="106"/>
        <v>0</v>
      </c>
      <c r="Y439" s="542">
        <f t="shared" si="106"/>
        <v>0</v>
      </c>
      <c r="Z439" s="294"/>
      <c r="AA439" s="294"/>
      <c r="AB439" s="542">
        <f>SUM(AB426:AB437)</f>
        <v>0</v>
      </c>
    </row>
    <row r="440" spans="12:40" ht="16.5" thickTop="1" x14ac:dyDescent="0.25">
      <c r="P440" s="524" t="s">
        <v>699</v>
      </c>
      <c r="Q440" s="479"/>
      <c r="AC440" s="573"/>
      <c r="AD440" s="573"/>
      <c r="AE440" s="574" t="s">
        <v>659</v>
      </c>
      <c r="AF440" s="573"/>
      <c r="AG440" s="573"/>
      <c r="AH440" s="573"/>
      <c r="AI440" s="573"/>
      <c r="AJ440" s="573"/>
      <c r="AK440" s="573"/>
      <c r="AL440" s="573"/>
      <c r="AM440" s="575"/>
    </row>
    <row r="441" spans="12:40" x14ac:dyDescent="0.2">
      <c r="R441" t="s">
        <v>569</v>
      </c>
      <c r="X441" s="183" t="s">
        <v>466</v>
      </c>
      <c r="AC441" s="575"/>
      <c r="AD441" s="573"/>
      <c r="AE441" s="574" t="s">
        <v>662</v>
      </c>
      <c r="AF441" s="573"/>
      <c r="AG441" s="573"/>
      <c r="AH441" s="575"/>
      <c r="AI441" s="573"/>
      <c r="AJ441" s="573"/>
      <c r="AK441" s="573"/>
      <c r="AL441" s="574" t="s">
        <v>663</v>
      </c>
      <c r="AM441" s="575"/>
    </row>
    <row r="442" spans="12:40" x14ac:dyDescent="0.2">
      <c r="Q442" s="183" t="s">
        <v>664</v>
      </c>
      <c r="R442" s="183" t="s">
        <v>469</v>
      </c>
      <c r="S442" s="183"/>
      <c r="T442" s="183" t="s">
        <v>470</v>
      </c>
      <c r="X442" s="183" t="s">
        <v>471</v>
      </c>
      <c r="Y442" s="183" t="s">
        <v>470</v>
      </c>
      <c r="AC442" s="574" t="s">
        <v>668</v>
      </c>
      <c r="AD442" s="573" t="s">
        <v>117</v>
      </c>
      <c r="AE442" s="574" t="s">
        <v>669</v>
      </c>
      <c r="AF442" s="574" t="s">
        <v>670</v>
      </c>
      <c r="AG442" s="574" t="s">
        <v>671</v>
      </c>
      <c r="AH442" s="574" t="s">
        <v>672</v>
      </c>
      <c r="AI442" s="574" t="s">
        <v>118</v>
      </c>
      <c r="AJ442" s="574" t="s">
        <v>673</v>
      </c>
      <c r="AK442" s="573" t="s">
        <v>284</v>
      </c>
      <c r="AL442" s="574" t="s">
        <v>674</v>
      </c>
      <c r="AM442" s="575"/>
    </row>
    <row r="443" spans="12:40" x14ac:dyDescent="0.2">
      <c r="Q443" s="183" t="s">
        <v>474</v>
      </c>
      <c r="R443" s="183" t="s">
        <v>475</v>
      </c>
      <c r="S443" s="183"/>
      <c r="T443" s="183" t="s">
        <v>475</v>
      </c>
      <c r="U443" s="183" t="s">
        <v>476</v>
      </c>
      <c r="V443" s="183" t="s">
        <v>477</v>
      </c>
      <c r="W443" s="183" t="s">
        <v>478</v>
      </c>
      <c r="X443" s="183" t="s">
        <v>479</v>
      </c>
      <c r="Y443" s="183" t="s">
        <v>480</v>
      </c>
      <c r="Z443" s="183" t="s">
        <v>481</v>
      </c>
      <c r="AA443" s="183" t="s">
        <v>482</v>
      </c>
      <c r="AB443" s="183" t="s">
        <v>483</v>
      </c>
      <c r="AC443" s="574" t="s">
        <v>606</v>
      </c>
      <c r="AD443" s="574" t="s">
        <v>676</v>
      </c>
      <c r="AE443" s="574" t="s">
        <v>668</v>
      </c>
      <c r="AF443" s="574" t="s">
        <v>117</v>
      </c>
      <c r="AG443" s="574" t="s">
        <v>117</v>
      </c>
      <c r="AH443" s="573" t="s">
        <v>677</v>
      </c>
      <c r="AI443" s="574" t="s">
        <v>669</v>
      </c>
      <c r="AJ443" s="574" t="s">
        <v>678</v>
      </c>
      <c r="AK443" s="573" t="s">
        <v>679</v>
      </c>
      <c r="AL443" s="574" t="s">
        <v>680</v>
      </c>
      <c r="AM443" s="573" t="s">
        <v>84</v>
      </c>
    </row>
    <row r="444" spans="12:40" x14ac:dyDescent="0.2">
      <c r="P444" s="481" t="s">
        <v>487</v>
      </c>
      <c r="Q444" s="481"/>
      <c r="R444" s="481" t="s">
        <v>487</v>
      </c>
      <c r="S444" s="481"/>
      <c r="T444" s="481" t="s">
        <v>487</v>
      </c>
      <c r="U444" s="481" t="s">
        <v>487</v>
      </c>
      <c r="V444" s="481" t="s">
        <v>487</v>
      </c>
      <c r="W444" s="481" t="s">
        <v>487</v>
      </c>
      <c r="X444" s="481" t="s">
        <v>487</v>
      </c>
      <c r="Y444" s="481" t="s">
        <v>487</v>
      </c>
      <c r="Z444" s="481" t="s">
        <v>487</v>
      </c>
      <c r="AA444" s="481" t="s">
        <v>487</v>
      </c>
      <c r="AB444" s="481" t="s">
        <v>487</v>
      </c>
      <c r="AC444" s="576" t="s">
        <v>487</v>
      </c>
      <c r="AD444" s="576" t="s">
        <v>487</v>
      </c>
      <c r="AE444" s="576" t="s">
        <v>487</v>
      </c>
      <c r="AF444" s="576" t="s">
        <v>487</v>
      </c>
      <c r="AG444" s="576" t="s">
        <v>487</v>
      </c>
      <c r="AH444" s="576" t="s">
        <v>487</v>
      </c>
      <c r="AI444" s="576" t="s">
        <v>487</v>
      </c>
      <c r="AJ444" s="576" t="s">
        <v>487</v>
      </c>
      <c r="AK444" s="576" t="s">
        <v>487</v>
      </c>
      <c r="AL444" s="576" t="s">
        <v>487</v>
      </c>
      <c r="AM444" s="576" t="s">
        <v>487</v>
      </c>
    </row>
    <row r="445" spans="12:40" x14ac:dyDescent="0.2">
      <c r="V445" s="483"/>
      <c r="W445" s="483"/>
      <c r="X445" s="483"/>
      <c r="Z445" s="483"/>
      <c r="AC445" s="575"/>
      <c r="AD445" s="575"/>
      <c r="AE445" s="575"/>
      <c r="AF445" s="575"/>
      <c r="AG445" s="575"/>
      <c r="AH445" s="575"/>
      <c r="AI445" s="575"/>
      <c r="AJ445" s="575"/>
      <c r="AK445" s="575">
        <v>3.0000000000000001E-3</v>
      </c>
      <c r="AL445" s="575"/>
      <c r="AM445" s="575"/>
    </row>
    <row r="446" spans="12:40" x14ac:dyDescent="0.2">
      <c r="L446" s="577">
        <f>W446/U446</f>
        <v>3.8050175535481838E-2</v>
      </c>
      <c r="M446" s="578">
        <f>N446/R446</f>
        <v>24.352272727272727</v>
      </c>
      <c r="N446" s="483">
        <f>V446-AC446</f>
        <v>1071.5</v>
      </c>
      <c r="O446">
        <f>$O$69</f>
        <v>1</v>
      </c>
      <c r="P446" t="s">
        <v>600</v>
      </c>
      <c r="Q446">
        <v>100</v>
      </c>
      <c r="R446" s="482">
        <v>44</v>
      </c>
      <c r="S446" s="482">
        <v>100</v>
      </c>
      <c r="T446" s="482"/>
      <c r="U446" s="482">
        <v>25351</v>
      </c>
      <c r="V446" s="483">
        <v>1071.5</v>
      </c>
      <c r="W446" s="483">
        <v>964.61</v>
      </c>
      <c r="X446" s="285">
        <f t="shared" ref="X446:X455" si="107">SUM(R468:X468)</f>
        <v>553.14999999999986</v>
      </c>
      <c r="Y446" s="483"/>
      <c r="Z446" s="483">
        <f t="shared" ref="Z446:Z456" si="108">SUM(V446:Y446)</f>
        <v>2589.2600000000002</v>
      </c>
      <c r="AA446" s="483">
        <v>2765.31</v>
      </c>
      <c r="AB446" s="483">
        <f t="shared" ref="AB446:AB457" si="109">AA446-Z446</f>
        <v>176.04999999999973</v>
      </c>
      <c r="AC446" s="575"/>
      <c r="AD446" s="575"/>
      <c r="AE446" s="575"/>
      <c r="AF446" s="575"/>
      <c r="AG446" s="575"/>
      <c r="AH446" s="580"/>
      <c r="AI446" s="575">
        <v>100</v>
      </c>
      <c r="AJ446" s="575"/>
      <c r="AK446" s="575">
        <f>U446*AK445</f>
        <v>76.052999999999997</v>
      </c>
      <c r="AL446" s="575"/>
      <c r="AM446" s="575">
        <f>SUM(AI446:AL446)</f>
        <v>176.053</v>
      </c>
      <c r="AN446" s="285">
        <f>AM446-AB446</f>
        <v>3.0000000002701199E-3</v>
      </c>
    </row>
    <row r="447" spans="12:40" x14ac:dyDescent="0.2">
      <c r="L447" s="577">
        <f t="shared" ref="L447:L457" si="110">W447/U447</f>
        <v>3.8049982085274096E-2</v>
      </c>
      <c r="M447" s="578">
        <f t="shared" ref="M447:M457" si="111">N447/R447</f>
        <v>24.352272727272727</v>
      </c>
      <c r="N447" s="483">
        <f t="shared" ref="N447:N457" si="112">V447-AC447</f>
        <v>1071.5</v>
      </c>
      <c r="P447" t="s">
        <v>492</v>
      </c>
      <c r="Q447">
        <v>100</v>
      </c>
      <c r="R447" s="482">
        <v>44</v>
      </c>
      <c r="S447" s="482">
        <v>100</v>
      </c>
      <c r="T447" s="482"/>
      <c r="U447" s="482">
        <v>22328</v>
      </c>
      <c r="V447" s="483">
        <v>1071.5</v>
      </c>
      <c r="W447" s="483">
        <v>849.58</v>
      </c>
      <c r="X447" s="285">
        <f t="shared" si="107"/>
        <v>431.30999999999995</v>
      </c>
      <c r="Y447" s="483"/>
      <c r="Z447" s="483">
        <f t="shared" si="108"/>
        <v>2352.39</v>
      </c>
      <c r="AA447" s="483">
        <v>2519.37</v>
      </c>
      <c r="AB447" s="483">
        <f t="shared" si="109"/>
        <v>166.98000000000002</v>
      </c>
      <c r="AC447" s="575"/>
      <c r="AD447" s="575"/>
      <c r="AE447" s="575"/>
      <c r="AF447" s="575"/>
      <c r="AG447" s="575"/>
      <c r="AH447" s="580"/>
      <c r="AI447" s="575">
        <v>100</v>
      </c>
      <c r="AJ447" s="575"/>
      <c r="AK447" s="575">
        <f>U447*AK445</f>
        <v>66.983999999999995</v>
      </c>
      <c r="AL447" s="575"/>
      <c r="AM447" s="575">
        <f t="shared" ref="AM447:AM457" si="113">SUM(AI447:AL447)</f>
        <v>166.98399999999998</v>
      </c>
      <c r="AN447" s="285">
        <f t="shared" ref="AN447:AN457" si="114">AM447-AB447</f>
        <v>3.999999999962256E-3</v>
      </c>
    </row>
    <row r="448" spans="12:40" x14ac:dyDescent="0.2">
      <c r="L448" s="577">
        <f t="shared" si="110"/>
        <v>3.8049930167597765E-2</v>
      </c>
      <c r="M448" s="578">
        <f t="shared" si="111"/>
        <v>28.19736842105263</v>
      </c>
      <c r="N448" s="483">
        <f t="shared" si="112"/>
        <v>1071.5</v>
      </c>
      <c r="P448" t="s">
        <v>493</v>
      </c>
      <c r="Q448">
        <v>100</v>
      </c>
      <c r="R448" s="482">
        <v>38</v>
      </c>
      <c r="S448" s="482">
        <v>100</v>
      </c>
      <c r="T448" s="482"/>
      <c r="U448" s="482">
        <v>17184</v>
      </c>
      <c r="V448" s="483">
        <v>1071.5</v>
      </c>
      <c r="W448" s="483">
        <v>653.85</v>
      </c>
      <c r="X448" s="285">
        <f t="shared" si="107"/>
        <v>356.59999999999997</v>
      </c>
      <c r="Y448" s="483"/>
      <c r="Z448" s="483">
        <f t="shared" si="108"/>
        <v>2081.9499999999998</v>
      </c>
      <c r="AA448" s="483">
        <v>2233.5</v>
      </c>
      <c r="AB448" s="483">
        <f t="shared" si="109"/>
        <v>151.55000000000018</v>
      </c>
      <c r="AC448" s="575"/>
      <c r="AD448" s="575"/>
      <c r="AE448" s="575"/>
      <c r="AF448" s="575"/>
      <c r="AG448" s="575"/>
      <c r="AH448" s="580"/>
      <c r="AI448" s="575">
        <v>100</v>
      </c>
      <c r="AJ448" s="575"/>
      <c r="AK448" s="575">
        <f>U448*AK445</f>
        <v>51.552</v>
      </c>
      <c r="AL448" s="575"/>
      <c r="AM448" s="575">
        <f t="shared" si="113"/>
        <v>151.55199999999999</v>
      </c>
      <c r="AN448" s="285">
        <f t="shared" si="114"/>
        <v>1.9999999998105977E-3</v>
      </c>
    </row>
    <row r="449" spans="12:40" x14ac:dyDescent="0.2">
      <c r="L449" s="577">
        <f t="shared" si="110"/>
        <v>3.8050113036925397E-2</v>
      </c>
      <c r="M449" s="578">
        <f t="shared" si="111"/>
        <v>28.19736842105263</v>
      </c>
      <c r="N449" s="483">
        <f t="shared" si="112"/>
        <v>1071.5</v>
      </c>
      <c r="P449" t="s">
        <v>494</v>
      </c>
      <c r="Q449">
        <v>100</v>
      </c>
      <c r="R449" s="482">
        <v>38</v>
      </c>
      <c r="S449" s="482">
        <v>100</v>
      </c>
      <c r="T449" s="482"/>
      <c r="U449" s="482">
        <v>15924</v>
      </c>
      <c r="V449" s="483">
        <v>1071.5</v>
      </c>
      <c r="W449" s="483">
        <v>605.91</v>
      </c>
      <c r="X449" s="285">
        <f t="shared" si="107"/>
        <v>178.26999999999998</v>
      </c>
      <c r="Y449" s="483"/>
      <c r="Z449" s="483">
        <f t="shared" si="108"/>
        <v>1855.6799999999998</v>
      </c>
      <c r="AA449" s="483">
        <v>2003.45</v>
      </c>
      <c r="AB449" s="483">
        <f t="shared" si="109"/>
        <v>147.77000000000021</v>
      </c>
      <c r="AC449" s="575"/>
      <c r="AD449" s="575"/>
      <c r="AE449" s="575"/>
      <c r="AF449" s="575"/>
      <c r="AG449" s="575"/>
      <c r="AH449" s="580"/>
      <c r="AI449" s="575">
        <v>100</v>
      </c>
      <c r="AJ449" s="575"/>
      <c r="AK449" s="575">
        <f>U449*AK445</f>
        <v>47.771999999999998</v>
      </c>
      <c r="AL449" s="575"/>
      <c r="AM449" s="575">
        <f t="shared" si="113"/>
        <v>147.77199999999999</v>
      </c>
      <c r="AN449" s="285">
        <f t="shared" si="114"/>
        <v>1.999999999782176E-3</v>
      </c>
    </row>
    <row r="450" spans="12:40" x14ac:dyDescent="0.2">
      <c r="L450" s="577">
        <f t="shared" si="110"/>
        <v>3.8050142980647732E-2</v>
      </c>
      <c r="M450" s="578">
        <f t="shared" si="111"/>
        <v>42.86</v>
      </c>
      <c r="N450" s="483">
        <f t="shared" si="112"/>
        <v>1071.5</v>
      </c>
      <c r="P450" t="s">
        <v>495</v>
      </c>
      <c r="Q450">
        <v>100</v>
      </c>
      <c r="R450" s="482">
        <v>25</v>
      </c>
      <c r="S450" s="482">
        <v>100</v>
      </c>
      <c r="T450" s="482"/>
      <c r="U450" s="482">
        <v>15037</v>
      </c>
      <c r="V450" s="483">
        <v>1071.5</v>
      </c>
      <c r="W450" s="483">
        <v>572.16</v>
      </c>
      <c r="X450" s="285">
        <f t="shared" si="107"/>
        <v>378.68</v>
      </c>
      <c r="Y450" s="483"/>
      <c r="Z450" s="483">
        <f t="shared" si="108"/>
        <v>2022.34</v>
      </c>
      <c r="AA450" s="483">
        <v>2167.4499999999998</v>
      </c>
      <c r="AB450" s="483">
        <f t="shared" si="109"/>
        <v>145.1099999999999</v>
      </c>
      <c r="AC450" s="575"/>
      <c r="AD450" s="575"/>
      <c r="AE450" s="575"/>
      <c r="AF450" s="575"/>
      <c r="AG450" s="575"/>
      <c r="AH450" s="580"/>
      <c r="AI450" s="575">
        <v>100</v>
      </c>
      <c r="AJ450" s="575"/>
      <c r="AK450" s="575">
        <f>U450*AK445</f>
        <v>45.111000000000004</v>
      </c>
      <c r="AL450" s="575"/>
      <c r="AM450" s="575">
        <f t="shared" si="113"/>
        <v>145.11099999999999</v>
      </c>
      <c r="AN450" s="285">
        <f t="shared" si="114"/>
        <v>1.00000000009004E-3</v>
      </c>
    </row>
    <row r="451" spans="12:40" x14ac:dyDescent="0.2">
      <c r="L451" s="577">
        <f t="shared" si="110"/>
        <v>3.8049877804932235E-2</v>
      </c>
      <c r="M451" s="578">
        <f t="shared" si="111"/>
        <v>28.19736842105263</v>
      </c>
      <c r="N451" s="483">
        <f t="shared" si="112"/>
        <v>1071.5</v>
      </c>
      <c r="P451" t="s">
        <v>496</v>
      </c>
      <c r="Q451">
        <v>100</v>
      </c>
      <c r="R451" s="482">
        <v>38</v>
      </c>
      <c r="S451" s="482">
        <v>100</v>
      </c>
      <c r="T451" s="482"/>
      <c r="U451" s="482">
        <v>18004</v>
      </c>
      <c r="V451" s="483">
        <v>1071.5</v>
      </c>
      <c r="W451" s="483">
        <v>685.05</v>
      </c>
      <c r="X451" s="285">
        <f t="shared" si="107"/>
        <v>469.96999999999997</v>
      </c>
      <c r="Y451" s="483"/>
      <c r="Z451" s="483">
        <f t="shared" si="108"/>
        <v>2226.52</v>
      </c>
      <c r="AA451" s="483">
        <v>2380.5300000000002</v>
      </c>
      <c r="AB451" s="483">
        <f t="shared" si="109"/>
        <v>154.01000000000022</v>
      </c>
      <c r="AC451" s="575"/>
      <c r="AD451" s="575"/>
      <c r="AE451" s="575"/>
      <c r="AF451" s="575"/>
      <c r="AG451" s="575"/>
      <c r="AH451" s="580"/>
      <c r="AI451" s="575">
        <v>100</v>
      </c>
      <c r="AJ451" s="575"/>
      <c r="AK451" s="575">
        <f>U451*AK445</f>
        <v>54.012</v>
      </c>
      <c r="AL451" s="575"/>
      <c r="AM451" s="575">
        <f t="shared" si="113"/>
        <v>154.012</v>
      </c>
      <c r="AN451" s="285">
        <f t="shared" si="114"/>
        <v>1.999999999782176E-3</v>
      </c>
    </row>
    <row r="452" spans="12:40" x14ac:dyDescent="0.2">
      <c r="L452" s="577">
        <f t="shared" si="110"/>
        <v>3.804975539911705E-2</v>
      </c>
      <c r="M452" s="578">
        <f t="shared" si="111"/>
        <v>28.19736842105263</v>
      </c>
      <c r="N452" s="483">
        <f t="shared" si="112"/>
        <v>1071.5</v>
      </c>
      <c r="P452" t="s">
        <v>497</v>
      </c>
      <c r="Q452">
        <v>100</v>
      </c>
      <c r="R452" s="482">
        <v>38</v>
      </c>
      <c r="S452" s="482">
        <v>100</v>
      </c>
      <c r="T452" s="482"/>
      <c r="U452" s="482">
        <v>16762</v>
      </c>
      <c r="V452" s="483">
        <v>1071.5</v>
      </c>
      <c r="W452" s="483">
        <v>637.79</v>
      </c>
      <c r="X452" s="285">
        <f t="shared" si="107"/>
        <v>678.82</v>
      </c>
      <c r="Y452" s="483"/>
      <c r="Z452" s="483">
        <f t="shared" si="108"/>
        <v>2388.11</v>
      </c>
      <c r="AA452" s="483">
        <v>2538.4</v>
      </c>
      <c r="AB452" s="483">
        <f t="shared" si="109"/>
        <v>150.28999999999996</v>
      </c>
      <c r="AC452" s="575"/>
      <c r="AD452" s="575"/>
      <c r="AE452" s="575"/>
      <c r="AF452" s="575"/>
      <c r="AG452" s="575"/>
      <c r="AH452" s="580"/>
      <c r="AI452" s="575">
        <v>100</v>
      </c>
      <c r="AJ452" s="575"/>
      <c r="AK452" s="575">
        <f>U452*AK445</f>
        <v>50.286000000000001</v>
      </c>
      <c r="AL452" s="575"/>
      <c r="AM452" s="575">
        <f t="shared" si="113"/>
        <v>150.286</v>
      </c>
      <c r="AN452" s="285">
        <f t="shared" si="114"/>
        <v>-3.999999999962256E-3</v>
      </c>
    </row>
    <row r="453" spans="12:40" x14ac:dyDescent="0.2">
      <c r="L453" s="577">
        <f t="shared" si="110"/>
        <v>3.8050340136054427E-2</v>
      </c>
      <c r="M453" s="578">
        <f t="shared" si="111"/>
        <v>33.484375</v>
      </c>
      <c r="N453" s="483">
        <f t="shared" si="112"/>
        <v>1071.5</v>
      </c>
      <c r="P453" t="s">
        <v>498</v>
      </c>
      <c r="Q453">
        <v>100</v>
      </c>
      <c r="R453" s="482">
        <v>32</v>
      </c>
      <c r="S453" s="482">
        <v>100</v>
      </c>
      <c r="T453" s="482"/>
      <c r="U453" s="482">
        <v>14700</v>
      </c>
      <c r="V453" s="483">
        <v>1071.5</v>
      </c>
      <c r="W453" s="483">
        <v>559.34</v>
      </c>
      <c r="X453" s="285">
        <f t="shared" si="107"/>
        <v>539.50999999999988</v>
      </c>
      <c r="Y453" s="483"/>
      <c r="Z453" s="483">
        <f t="shared" si="108"/>
        <v>2170.35</v>
      </c>
      <c r="AA453" s="483">
        <v>2314.4499999999998</v>
      </c>
      <c r="AB453" s="483">
        <f t="shared" si="109"/>
        <v>144.09999999999991</v>
      </c>
      <c r="AC453" s="575"/>
      <c r="AD453" s="575"/>
      <c r="AE453" s="575"/>
      <c r="AF453" s="575"/>
      <c r="AG453" s="575"/>
      <c r="AH453" s="580"/>
      <c r="AI453" s="575">
        <v>100</v>
      </c>
      <c r="AJ453" s="575"/>
      <c r="AK453" s="575">
        <f>U453*AK445</f>
        <v>44.1</v>
      </c>
      <c r="AL453" s="575"/>
      <c r="AM453" s="575">
        <f t="shared" si="113"/>
        <v>144.1</v>
      </c>
      <c r="AN453" s="285">
        <f t="shared" si="114"/>
        <v>0</v>
      </c>
    </row>
    <row r="454" spans="12:40" x14ac:dyDescent="0.2">
      <c r="L454" s="577">
        <f t="shared" si="110"/>
        <v>3.8049885174789487E-2</v>
      </c>
      <c r="M454" s="578">
        <f t="shared" si="111"/>
        <v>28.19736842105263</v>
      </c>
      <c r="N454" s="483">
        <f t="shared" si="112"/>
        <v>1071.5</v>
      </c>
      <c r="P454" t="s">
        <v>499</v>
      </c>
      <c r="Q454">
        <v>100</v>
      </c>
      <c r="R454" s="482">
        <v>38</v>
      </c>
      <c r="S454" s="482">
        <v>100</v>
      </c>
      <c r="T454" s="482"/>
      <c r="U454" s="482">
        <v>15676</v>
      </c>
      <c r="V454" s="483">
        <v>1071.5</v>
      </c>
      <c r="W454" s="483">
        <v>596.47</v>
      </c>
      <c r="X454" s="285">
        <f t="shared" si="107"/>
        <v>457.06</v>
      </c>
      <c r="Y454" s="483"/>
      <c r="Z454" s="483">
        <f t="shared" si="108"/>
        <v>2125.0300000000002</v>
      </c>
      <c r="AA454" s="483">
        <v>2272.06</v>
      </c>
      <c r="AB454" s="483">
        <f t="shared" si="109"/>
        <v>147.02999999999975</v>
      </c>
      <c r="AC454" s="575"/>
      <c r="AD454" s="575"/>
      <c r="AE454" s="575"/>
      <c r="AF454" s="575"/>
      <c r="AG454" s="575"/>
      <c r="AH454" s="580"/>
      <c r="AI454" s="575">
        <v>100</v>
      </c>
      <c r="AJ454" s="575"/>
      <c r="AK454" s="575">
        <f>U454*AK445</f>
        <v>47.027999999999999</v>
      </c>
      <c r="AL454" s="575"/>
      <c r="AM454" s="575">
        <f t="shared" si="113"/>
        <v>147.02799999999999</v>
      </c>
      <c r="AN454" s="285">
        <f t="shared" si="114"/>
        <v>-1.9999999997537543E-3</v>
      </c>
    </row>
    <row r="455" spans="12:40" x14ac:dyDescent="0.2">
      <c r="L455" s="577">
        <f t="shared" si="110"/>
        <v>3.8050188308498448E-2</v>
      </c>
      <c r="M455" s="578">
        <f t="shared" si="111"/>
        <v>21.43</v>
      </c>
      <c r="N455" s="483">
        <f t="shared" si="112"/>
        <v>1071.5</v>
      </c>
      <c r="P455" t="s">
        <v>500</v>
      </c>
      <c r="Q455">
        <v>100</v>
      </c>
      <c r="R455" s="482">
        <v>50</v>
      </c>
      <c r="S455" s="482">
        <v>100</v>
      </c>
      <c r="T455" s="482"/>
      <c r="U455" s="482">
        <v>24428</v>
      </c>
      <c r="V455" s="483">
        <v>1071.5</v>
      </c>
      <c r="W455" s="483">
        <v>929.49</v>
      </c>
      <c r="X455" s="285">
        <f t="shared" si="107"/>
        <v>635.44000000000005</v>
      </c>
      <c r="Y455" s="483"/>
      <c r="Z455" s="483">
        <f t="shared" si="108"/>
        <v>2636.4300000000003</v>
      </c>
      <c r="AA455" s="483">
        <v>2809.71</v>
      </c>
      <c r="AB455" s="483">
        <f t="shared" si="109"/>
        <v>173.27999999999975</v>
      </c>
      <c r="AC455" s="575"/>
      <c r="AD455" s="575"/>
      <c r="AE455" s="575"/>
      <c r="AF455" s="580"/>
      <c r="AG455" s="580"/>
      <c r="AH455" s="580"/>
      <c r="AI455" s="575">
        <v>100</v>
      </c>
      <c r="AJ455" s="575"/>
      <c r="AK455" s="575">
        <f>U455*AK445</f>
        <v>73.284000000000006</v>
      </c>
      <c r="AL455" s="575"/>
      <c r="AM455" s="575">
        <f t="shared" si="113"/>
        <v>173.28399999999999</v>
      </c>
      <c r="AN455" s="285">
        <f t="shared" si="114"/>
        <v>4.0000000002464731E-3</v>
      </c>
    </row>
    <row r="456" spans="12:40" x14ac:dyDescent="0.2">
      <c r="L456" s="577">
        <f t="shared" si="110"/>
        <v>3.805005538631958E-2</v>
      </c>
      <c r="M456" s="578">
        <f t="shared" si="111"/>
        <v>24.352272727272727</v>
      </c>
      <c r="N456" s="483">
        <f t="shared" si="112"/>
        <v>1071.5</v>
      </c>
      <c r="P456" t="s">
        <v>591</v>
      </c>
      <c r="Q456">
        <v>100</v>
      </c>
      <c r="R456" s="482">
        <v>44</v>
      </c>
      <c r="S456" s="482">
        <v>100</v>
      </c>
      <c r="T456" s="482"/>
      <c r="U456" s="482">
        <v>28888</v>
      </c>
      <c r="V456" s="483">
        <v>1071.5</v>
      </c>
      <c r="W456" s="483">
        <v>1099.19</v>
      </c>
      <c r="X456" s="285">
        <f t="shared" ref="X456:X457" si="115">SUM(R478:Y478)</f>
        <v>798.61</v>
      </c>
      <c r="Y456" s="483"/>
      <c r="Z456" s="483">
        <f t="shared" si="108"/>
        <v>2969.3</v>
      </c>
      <c r="AA456" s="483">
        <v>3155.96</v>
      </c>
      <c r="AB456" s="483">
        <f t="shared" si="109"/>
        <v>186.65999999999985</v>
      </c>
      <c r="AC456" s="575"/>
      <c r="AD456" s="575"/>
      <c r="AE456" s="575"/>
      <c r="AF456" s="580"/>
      <c r="AG456" s="580"/>
      <c r="AH456" s="580"/>
      <c r="AI456" s="575">
        <v>100</v>
      </c>
      <c r="AJ456" s="575"/>
      <c r="AK456" s="575">
        <f>U456*AK445</f>
        <v>86.664000000000001</v>
      </c>
      <c r="AL456" s="575"/>
      <c r="AM456" s="575">
        <f t="shared" si="113"/>
        <v>186.66399999999999</v>
      </c>
      <c r="AN456" s="285">
        <f t="shared" si="114"/>
        <v>4.0000000001327862E-3</v>
      </c>
    </row>
    <row r="457" spans="12:40" x14ac:dyDescent="0.2">
      <c r="L457" s="577">
        <f t="shared" si="110"/>
        <v>3.8050172871271208E-2</v>
      </c>
      <c r="M457" s="578">
        <f t="shared" si="111"/>
        <v>24.352272727272727</v>
      </c>
      <c r="N457" s="483">
        <f t="shared" si="112"/>
        <v>1071.5</v>
      </c>
      <c r="O457">
        <f>$O$80</f>
        <v>12</v>
      </c>
      <c r="P457" t="s">
        <v>688</v>
      </c>
      <c r="Q457">
        <v>100</v>
      </c>
      <c r="R457" s="482">
        <v>44</v>
      </c>
      <c r="S457" s="482">
        <v>100</v>
      </c>
      <c r="T457" s="482"/>
      <c r="U457" s="482">
        <v>24874</v>
      </c>
      <c r="V457" s="483">
        <v>1071.5</v>
      </c>
      <c r="W457" s="483">
        <v>946.46</v>
      </c>
      <c r="X457" s="285">
        <f t="shared" si="115"/>
        <v>374.03999999999996</v>
      </c>
      <c r="Y457" s="483"/>
      <c r="Z457" s="483">
        <f>SUM(V457:Y457)</f>
        <v>2392</v>
      </c>
      <c r="AA457" s="483">
        <v>2566.62</v>
      </c>
      <c r="AB457" s="483">
        <f t="shared" si="109"/>
        <v>174.61999999999989</v>
      </c>
      <c r="AC457" s="575"/>
      <c r="AD457" s="575"/>
      <c r="AE457" s="575"/>
      <c r="AF457" s="580"/>
      <c r="AG457" s="580"/>
      <c r="AH457" s="580"/>
      <c r="AI457" s="575">
        <v>100</v>
      </c>
      <c r="AJ457" s="575"/>
      <c r="AK457" s="575">
        <f>U457*AK445</f>
        <v>74.622</v>
      </c>
      <c r="AL457" s="575"/>
      <c r="AM457" s="575">
        <f t="shared" si="113"/>
        <v>174.62200000000001</v>
      </c>
      <c r="AN457" s="285">
        <f t="shared" si="114"/>
        <v>2.0000000001232365E-3</v>
      </c>
    </row>
    <row r="458" spans="12:40" x14ac:dyDescent="0.2">
      <c r="R458" s="488" t="s">
        <v>487</v>
      </c>
      <c r="S458" s="488"/>
      <c r="T458" s="488" t="s">
        <v>487</v>
      </c>
      <c r="U458" s="488" t="s">
        <v>487</v>
      </c>
      <c r="V458" s="489"/>
      <c r="W458" s="489" t="s">
        <v>487</v>
      </c>
      <c r="X458" s="489" t="s">
        <v>487</v>
      </c>
      <c r="Y458" s="481" t="s">
        <v>487</v>
      </c>
      <c r="Z458" s="489" t="s">
        <v>487</v>
      </c>
      <c r="AA458" s="489" t="s">
        <v>487</v>
      </c>
      <c r="AB458" s="489" t="s">
        <v>487</v>
      </c>
      <c r="AC458" s="575"/>
      <c r="AD458" s="575"/>
      <c r="AE458" s="575"/>
      <c r="AF458" s="575"/>
      <c r="AG458" s="575"/>
      <c r="AH458" s="575"/>
      <c r="AI458" s="575"/>
      <c r="AJ458" s="575"/>
      <c r="AK458" s="575"/>
      <c r="AL458" s="575"/>
      <c r="AM458" s="575"/>
    </row>
    <row r="459" spans="12:40" x14ac:dyDescent="0.2">
      <c r="R459" s="482"/>
      <c r="S459" s="482"/>
      <c r="T459" s="482"/>
      <c r="U459" s="482"/>
      <c r="V459" s="483"/>
      <c r="W459" s="483"/>
      <c r="X459" s="483"/>
      <c r="Z459" s="483"/>
      <c r="AA459" s="483"/>
      <c r="AB459" s="483"/>
      <c r="AC459" s="575"/>
      <c r="AD459" s="575"/>
      <c r="AE459" s="575"/>
      <c r="AF459" s="575"/>
      <c r="AG459" s="575"/>
      <c r="AH459" s="575"/>
      <c r="AI459" s="575"/>
      <c r="AJ459" s="575"/>
      <c r="AK459" s="575"/>
      <c r="AL459" s="575"/>
      <c r="AM459" s="575"/>
    </row>
    <row r="460" spans="12:40" x14ac:dyDescent="0.2">
      <c r="R460" s="482">
        <f t="shared" ref="R460:AM460" si="116">SUM(R446:R457)</f>
        <v>473</v>
      </c>
      <c r="S460" s="482"/>
      <c r="T460" s="482">
        <f t="shared" si="116"/>
        <v>0</v>
      </c>
      <c r="U460" s="482">
        <f t="shared" si="116"/>
        <v>239156</v>
      </c>
      <c r="V460" s="483">
        <f t="shared" si="116"/>
        <v>12858</v>
      </c>
      <c r="W460" s="483">
        <f t="shared" si="116"/>
        <v>9099.9000000000015</v>
      </c>
      <c r="X460" s="483">
        <f t="shared" si="116"/>
        <v>5851.4599999999991</v>
      </c>
      <c r="Y460" s="483">
        <f t="shared" si="116"/>
        <v>0</v>
      </c>
      <c r="Z460" s="483">
        <f t="shared" si="116"/>
        <v>27809.359999999997</v>
      </c>
      <c r="AA460" s="483">
        <f t="shared" si="116"/>
        <v>29726.81</v>
      </c>
      <c r="AB460" s="483">
        <f t="shared" si="116"/>
        <v>1917.4499999999994</v>
      </c>
      <c r="AC460" s="584">
        <f t="shared" si="116"/>
        <v>0</v>
      </c>
      <c r="AD460" s="584">
        <f t="shared" si="116"/>
        <v>0</v>
      </c>
      <c r="AE460" s="584">
        <f t="shared" si="116"/>
        <v>0</v>
      </c>
      <c r="AF460" s="584">
        <f t="shared" si="116"/>
        <v>0</v>
      </c>
      <c r="AG460" s="584">
        <f t="shared" si="116"/>
        <v>0</v>
      </c>
      <c r="AH460" s="584">
        <f t="shared" si="116"/>
        <v>0</v>
      </c>
      <c r="AI460" s="584">
        <f t="shared" si="116"/>
        <v>1200</v>
      </c>
      <c r="AJ460" s="584">
        <f t="shared" si="116"/>
        <v>0</v>
      </c>
      <c r="AK460" s="584">
        <f t="shared" si="116"/>
        <v>717.46799999999996</v>
      </c>
      <c r="AL460" s="584">
        <f t="shared" si="116"/>
        <v>0</v>
      </c>
      <c r="AM460" s="584">
        <f t="shared" si="116"/>
        <v>1917.4679999999998</v>
      </c>
    </row>
    <row r="461" spans="12:40" x14ac:dyDescent="0.2">
      <c r="R461" s="488" t="s">
        <v>501</v>
      </c>
      <c r="S461" s="488"/>
      <c r="T461" s="488" t="s">
        <v>501</v>
      </c>
      <c r="U461" s="488" t="s">
        <v>501</v>
      </c>
      <c r="V461" s="489" t="s">
        <v>501</v>
      </c>
      <c r="W461" s="489" t="s">
        <v>501</v>
      </c>
      <c r="X461" s="489" t="s">
        <v>501</v>
      </c>
      <c r="Y461" s="489" t="s">
        <v>501</v>
      </c>
      <c r="Z461" s="489" t="s">
        <v>501</v>
      </c>
      <c r="AA461" s="489" t="s">
        <v>501</v>
      </c>
      <c r="AB461" s="489" t="s">
        <v>501</v>
      </c>
      <c r="AC461" s="585" t="s">
        <v>501</v>
      </c>
      <c r="AD461" s="585" t="s">
        <v>501</v>
      </c>
      <c r="AE461" s="585" t="s">
        <v>501</v>
      </c>
      <c r="AF461" s="585" t="s">
        <v>501</v>
      </c>
      <c r="AG461" s="585" t="s">
        <v>501</v>
      </c>
      <c r="AH461" s="585" t="s">
        <v>501</v>
      </c>
      <c r="AI461" s="585" t="s">
        <v>501</v>
      </c>
      <c r="AJ461" s="585" t="s">
        <v>501</v>
      </c>
      <c r="AK461" s="585" t="s">
        <v>501</v>
      </c>
      <c r="AL461" s="585" t="s">
        <v>501</v>
      </c>
      <c r="AM461" s="585" t="s">
        <v>501</v>
      </c>
    </row>
    <row r="462" spans="12:40" x14ac:dyDescent="0.2">
      <c r="R462">
        <v>1216</v>
      </c>
      <c r="T462">
        <v>10.715</v>
      </c>
      <c r="V462">
        <f>R462*T462</f>
        <v>13029.44</v>
      </c>
    </row>
    <row r="464" spans="12:40" x14ac:dyDescent="0.2">
      <c r="S464" s="183" t="s">
        <v>549</v>
      </c>
    </row>
    <row r="465" spans="15:34" x14ac:dyDescent="0.2">
      <c r="P465" s="183"/>
      <c r="Q465" s="183"/>
      <c r="R465" s="183" t="s">
        <v>550</v>
      </c>
      <c r="S465" s="183" t="s">
        <v>551</v>
      </c>
      <c r="T465" s="183" t="s">
        <v>552</v>
      </c>
      <c r="U465" s="183" t="s">
        <v>555</v>
      </c>
      <c r="V465" s="183" t="s">
        <v>596</v>
      </c>
      <c r="W465" s="183" t="s">
        <v>553</v>
      </c>
      <c r="X465" s="183" t="s">
        <v>554</v>
      </c>
      <c r="Y465" s="183" t="s">
        <v>556</v>
      </c>
      <c r="Z465" s="183"/>
      <c r="AA465" s="183"/>
      <c r="AB465" s="183"/>
      <c r="AD465" s="183"/>
      <c r="AE465" s="183"/>
      <c r="AF465" s="183"/>
      <c r="AG465" s="183"/>
      <c r="AH465" s="183"/>
    </row>
    <row r="466" spans="15:34" x14ac:dyDescent="0.2">
      <c r="P466" s="183"/>
      <c r="Q466" s="183"/>
      <c r="R466" s="521" t="s">
        <v>471</v>
      </c>
      <c r="S466" s="521" t="s">
        <v>558</v>
      </c>
      <c r="T466" s="521" t="s">
        <v>559</v>
      </c>
      <c r="U466" s="521" t="s">
        <v>562</v>
      </c>
      <c r="V466" s="521" t="s">
        <v>597</v>
      </c>
      <c r="W466" s="521" t="s">
        <v>560</v>
      </c>
      <c r="X466" s="521" t="s">
        <v>561</v>
      </c>
      <c r="Y466" s="521" t="s">
        <v>563</v>
      </c>
      <c r="Z466" s="183"/>
      <c r="AA466" s="183"/>
      <c r="AB466" s="183"/>
      <c r="AD466" s="183"/>
      <c r="AE466" s="183"/>
      <c r="AF466" s="183"/>
      <c r="AG466" s="183"/>
      <c r="AH466" s="183"/>
    </row>
    <row r="467" spans="15:34" x14ac:dyDescent="0.2">
      <c r="P467" s="183"/>
      <c r="Q467" s="183"/>
      <c r="R467" s="183"/>
      <c r="S467" s="183"/>
      <c r="T467" s="183"/>
      <c r="U467" s="183"/>
      <c r="V467" s="183"/>
      <c r="W467" s="183"/>
      <c r="X467" s="183"/>
      <c r="Y467" s="183"/>
      <c r="Z467" s="183"/>
      <c r="AA467" s="183"/>
      <c r="AB467" s="523" t="s">
        <v>84</v>
      </c>
      <c r="AD467" s="183"/>
      <c r="AE467" s="183"/>
      <c r="AF467" s="183"/>
      <c r="AG467" s="183"/>
      <c r="AH467" s="183"/>
    </row>
    <row r="468" spans="15:34" x14ac:dyDescent="0.2">
      <c r="O468">
        <f>$O$69</f>
        <v>1</v>
      </c>
      <c r="P468" t="str">
        <f t="shared" ref="P468:P479" si="117">P446</f>
        <v>MAR</v>
      </c>
      <c r="R468" s="294">
        <v>486.08</v>
      </c>
      <c r="S468" s="294">
        <v>63.2</v>
      </c>
      <c r="T468" s="294">
        <v>138.57</v>
      </c>
      <c r="U468" s="294">
        <v>-134.69999999999999</v>
      </c>
      <c r="V468" s="294"/>
      <c r="W468" s="294"/>
      <c r="X468" s="294"/>
      <c r="Z468" s="294"/>
      <c r="AA468" s="294"/>
      <c r="AB468" s="285">
        <f t="shared" ref="AB468:AB479" si="118">SUM(R468:AA468)</f>
        <v>553.14999999999986</v>
      </c>
    </row>
    <row r="469" spans="15:34" x14ac:dyDescent="0.2">
      <c r="P469" t="str">
        <f t="shared" si="117"/>
        <v>APR</v>
      </c>
      <c r="R469" s="294">
        <v>339.99</v>
      </c>
      <c r="S469" s="294">
        <v>55.66</v>
      </c>
      <c r="T469" s="294">
        <v>150.9</v>
      </c>
      <c r="U469" s="294">
        <v>-115.24</v>
      </c>
      <c r="V469" s="294"/>
      <c r="W469" s="294"/>
      <c r="X469" s="294"/>
      <c r="Z469" s="294"/>
      <c r="AA469" s="294"/>
      <c r="AB469" s="285">
        <f t="shared" si="118"/>
        <v>431.30999999999995</v>
      </c>
    </row>
    <row r="470" spans="15:34" x14ac:dyDescent="0.2">
      <c r="P470" t="str">
        <f t="shared" si="117"/>
        <v>MAY</v>
      </c>
      <c r="R470" s="294">
        <v>310.57</v>
      </c>
      <c r="S470" s="294">
        <v>42.84</v>
      </c>
      <c r="T470" s="294">
        <v>89.74</v>
      </c>
      <c r="U470" s="294">
        <v>-86.55</v>
      </c>
      <c r="V470" s="294"/>
      <c r="W470" s="294"/>
      <c r="X470" s="294"/>
      <c r="Z470" s="294"/>
      <c r="AA470" s="294"/>
      <c r="AB470" s="285">
        <f t="shared" si="118"/>
        <v>356.59999999999997</v>
      </c>
    </row>
    <row r="471" spans="15:34" x14ac:dyDescent="0.2">
      <c r="P471" t="str">
        <f t="shared" si="117"/>
        <v>JUN</v>
      </c>
      <c r="R471" s="486">
        <v>98.63</v>
      </c>
      <c r="S471" s="486">
        <v>39.700000000000003</v>
      </c>
      <c r="T471" s="486">
        <v>115.95</v>
      </c>
      <c r="U471" s="486">
        <v>-76.010000000000005</v>
      </c>
      <c r="V471" s="294"/>
      <c r="W471" s="294"/>
      <c r="X471" s="294"/>
      <c r="Z471" s="294"/>
      <c r="AA471" s="294"/>
      <c r="AB471" s="285">
        <f t="shared" si="118"/>
        <v>178.26999999999998</v>
      </c>
    </row>
    <row r="472" spans="15:34" x14ac:dyDescent="0.2">
      <c r="P472" t="str">
        <f t="shared" si="117"/>
        <v>JUL</v>
      </c>
      <c r="R472" s="486">
        <v>307.75</v>
      </c>
      <c r="S472" s="486">
        <v>37.49</v>
      </c>
      <c r="T472" s="486">
        <v>90.9</v>
      </c>
      <c r="U472" s="486">
        <v>-57.46</v>
      </c>
      <c r="V472" s="294"/>
      <c r="W472" s="294"/>
      <c r="X472" s="294"/>
      <c r="Y472" s="294"/>
      <c r="Z472" s="294"/>
      <c r="AA472" s="294"/>
      <c r="AB472" s="285">
        <f t="shared" si="118"/>
        <v>378.68</v>
      </c>
    </row>
    <row r="473" spans="15:34" x14ac:dyDescent="0.2">
      <c r="P473" t="str">
        <f t="shared" si="117"/>
        <v>AUG</v>
      </c>
      <c r="R473" s="486">
        <v>399.99</v>
      </c>
      <c r="S473" s="486">
        <v>44.88</v>
      </c>
      <c r="T473" s="486">
        <v>104.55</v>
      </c>
      <c r="U473" s="486">
        <v>-79.45</v>
      </c>
      <c r="V473" s="294"/>
      <c r="W473" s="294"/>
      <c r="X473" s="486"/>
      <c r="Y473" s="486"/>
      <c r="Z473" s="294"/>
      <c r="AA473" s="294"/>
      <c r="AB473" s="285">
        <f t="shared" si="118"/>
        <v>469.96999999999997</v>
      </c>
    </row>
    <row r="474" spans="15:34" x14ac:dyDescent="0.2">
      <c r="P474" t="str">
        <f t="shared" si="117"/>
        <v>SEP</v>
      </c>
      <c r="R474" s="486">
        <v>580.97</v>
      </c>
      <c r="S474" s="486">
        <v>100.89</v>
      </c>
      <c r="T474" s="486">
        <v>73.260000000000005</v>
      </c>
      <c r="U474" s="486">
        <v>-76.3</v>
      </c>
      <c r="V474" s="486"/>
      <c r="W474" s="486"/>
      <c r="X474" s="486"/>
      <c r="Y474" s="486"/>
      <c r="Z474" s="294"/>
      <c r="AA474" s="294"/>
      <c r="AB474" s="285">
        <f t="shared" si="118"/>
        <v>678.82</v>
      </c>
    </row>
    <row r="475" spans="15:34" x14ac:dyDescent="0.2">
      <c r="P475" t="str">
        <f t="shared" si="117"/>
        <v>OCT</v>
      </c>
      <c r="R475" s="486">
        <v>424.45</v>
      </c>
      <c r="S475" s="486">
        <v>88.48</v>
      </c>
      <c r="T475" s="486">
        <v>89.18</v>
      </c>
      <c r="U475" s="486">
        <v>-62.6</v>
      </c>
      <c r="V475" s="486"/>
      <c r="W475" s="486"/>
      <c r="X475" s="486"/>
      <c r="Y475" s="486"/>
      <c r="Z475" s="294"/>
      <c r="AA475" s="294"/>
      <c r="AB475" s="285">
        <f t="shared" si="118"/>
        <v>539.50999999999988</v>
      </c>
    </row>
    <row r="476" spans="15:34" x14ac:dyDescent="0.2">
      <c r="P476" t="str">
        <f t="shared" si="117"/>
        <v>NOV</v>
      </c>
      <c r="R476" s="294">
        <v>368.39</v>
      </c>
      <c r="S476" s="294">
        <v>94.35</v>
      </c>
      <c r="T476" s="294">
        <v>70.28</v>
      </c>
      <c r="U476" s="294">
        <v>-75.959999999999994</v>
      </c>
      <c r="V476" s="486"/>
      <c r="W476" s="486"/>
      <c r="X476" s="486"/>
      <c r="Y476" s="486"/>
      <c r="Z476" s="294"/>
      <c r="AA476" s="294"/>
      <c r="AB476" s="285">
        <f t="shared" si="118"/>
        <v>457.06</v>
      </c>
    </row>
    <row r="477" spans="15:34" x14ac:dyDescent="0.2">
      <c r="P477" t="str">
        <f t="shared" si="117"/>
        <v>DEC</v>
      </c>
      <c r="R477" s="294">
        <v>489.32</v>
      </c>
      <c r="S477" s="294">
        <v>147.03</v>
      </c>
      <c r="T477" s="294">
        <v>107.34</v>
      </c>
      <c r="U477" s="294">
        <v>-108.25</v>
      </c>
      <c r="V477" s="486"/>
      <c r="W477" s="486"/>
      <c r="X477" s="486"/>
      <c r="Y477" s="486"/>
      <c r="Z477" s="294"/>
      <c r="AA477" s="294"/>
      <c r="AB477" s="285">
        <f t="shared" si="118"/>
        <v>635.44000000000005</v>
      </c>
    </row>
    <row r="478" spans="15:34" x14ac:dyDescent="0.2">
      <c r="P478" t="str">
        <f t="shared" si="117"/>
        <v>JAN 2023</v>
      </c>
      <c r="R478" s="294">
        <v>418.47</v>
      </c>
      <c r="S478" s="294">
        <v>173.88</v>
      </c>
      <c r="T478" s="294">
        <v>293.75</v>
      </c>
      <c r="U478" s="294">
        <v>-87.49</v>
      </c>
      <c r="V478" s="294"/>
      <c r="W478" s="294"/>
      <c r="X478" s="294"/>
      <c r="Y478" s="294"/>
      <c r="Z478" s="294"/>
      <c r="AA478" s="294"/>
      <c r="AB478" s="285">
        <f t="shared" si="118"/>
        <v>798.61</v>
      </c>
    </row>
    <row r="479" spans="15:34" x14ac:dyDescent="0.2">
      <c r="O479">
        <f>$O$80</f>
        <v>12</v>
      </c>
      <c r="P479" t="str">
        <f t="shared" si="117"/>
        <v>FEB</v>
      </c>
      <c r="R479" s="294">
        <v>194.81</v>
      </c>
      <c r="S479" s="294">
        <v>149.72</v>
      </c>
      <c r="T479" s="294">
        <v>118.73</v>
      </c>
      <c r="U479" s="294">
        <v>-89.22</v>
      </c>
      <c r="V479" s="294"/>
      <c r="W479" s="294"/>
      <c r="X479" s="294"/>
      <c r="Y479" s="294"/>
      <c r="Z479" s="294"/>
      <c r="AA479" s="294"/>
      <c r="AB479" s="285">
        <f t="shared" si="118"/>
        <v>374.03999999999996</v>
      </c>
    </row>
    <row r="480" spans="15:34" x14ac:dyDescent="0.2">
      <c r="R480" s="294"/>
      <c r="S480" s="294"/>
      <c r="T480" s="294"/>
      <c r="U480" s="294"/>
      <c r="V480" s="294"/>
      <c r="W480" s="294"/>
      <c r="X480" s="294"/>
      <c r="Y480" s="294"/>
      <c r="Z480" s="294"/>
      <c r="AA480" s="294"/>
    </row>
    <row r="481" spans="12:40" ht="13.5" thickBot="1" x14ac:dyDescent="0.25">
      <c r="P481" t="s">
        <v>65</v>
      </c>
      <c r="R481" s="542">
        <f t="shared" ref="R481:Y481" si="119">SUM(R468:R479)</f>
        <v>4419.42</v>
      </c>
      <c r="S481" s="542">
        <f t="shared" si="119"/>
        <v>1038.1199999999999</v>
      </c>
      <c r="T481" s="542">
        <f t="shared" si="119"/>
        <v>1443.1499999999999</v>
      </c>
      <c r="U481" s="542">
        <f t="shared" si="119"/>
        <v>-1049.23</v>
      </c>
      <c r="V481" s="542">
        <f t="shared" si="119"/>
        <v>0</v>
      </c>
      <c r="W481" s="542">
        <f t="shared" si="119"/>
        <v>0</v>
      </c>
      <c r="X481" s="542">
        <f t="shared" si="119"/>
        <v>0</v>
      </c>
      <c r="Y481" s="542">
        <f t="shared" si="119"/>
        <v>0</v>
      </c>
      <c r="Z481" s="294"/>
      <c r="AA481" s="294"/>
      <c r="AB481" s="542">
        <f>SUM(AB468:AB479)</f>
        <v>5851.4599999999991</v>
      </c>
    </row>
    <row r="482" spans="12:40" ht="16.5" thickTop="1" x14ac:dyDescent="0.25">
      <c r="P482" s="524" t="s">
        <v>700</v>
      </c>
      <c r="Q482" s="479"/>
      <c r="R482" s="479"/>
      <c r="S482" s="479"/>
      <c r="U482">
        <v>3000</v>
      </c>
      <c r="V482">
        <v>10.715</v>
      </c>
      <c r="W482">
        <f>U482*V482</f>
        <v>32145</v>
      </c>
      <c r="AC482" s="573"/>
      <c r="AD482" s="573"/>
      <c r="AE482" s="574" t="s">
        <v>659</v>
      </c>
      <c r="AF482" s="573"/>
      <c r="AG482" s="573"/>
      <c r="AH482" s="573"/>
      <c r="AI482" s="573"/>
      <c r="AJ482" s="573"/>
      <c r="AK482" s="573"/>
      <c r="AL482" s="573"/>
      <c r="AM482" s="575"/>
    </row>
    <row r="483" spans="12:40" x14ac:dyDescent="0.2">
      <c r="R483" t="s">
        <v>694</v>
      </c>
      <c r="X483" s="183" t="s">
        <v>466</v>
      </c>
      <c r="AC483" s="575"/>
      <c r="AD483" s="573"/>
      <c r="AE483" s="574" t="s">
        <v>662</v>
      </c>
      <c r="AF483" s="573"/>
      <c r="AG483" s="573"/>
      <c r="AH483" s="575"/>
      <c r="AI483" s="573"/>
      <c r="AJ483" s="573"/>
      <c r="AK483" s="573"/>
      <c r="AL483" s="574" t="s">
        <v>663</v>
      </c>
      <c r="AM483" s="575"/>
    </row>
    <row r="484" spans="12:40" x14ac:dyDescent="0.2">
      <c r="Q484" s="183" t="s">
        <v>664</v>
      </c>
      <c r="R484" s="183" t="s">
        <v>469</v>
      </c>
      <c r="S484" s="183"/>
      <c r="T484" s="183" t="s">
        <v>470</v>
      </c>
      <c r="X484" s="183" t="s">
        <v>471</v>
      </c>
      <c r="Y484" s="183" t="s">
        <v>470</v>
      </c>
      <c r="AC484" s="574" t="s">
        <v>668</v>
      </c>
      <c r="AD484" s="573" t="s">
        <v>117</v>
      </c>
      <c r="AE484" s="574" t="s">
        <v>669</v>
      </c>
      <c r="AF484" s="574" t="s">
        <v>670</v>
      </c>
      <c r="AG484" s="574" t="s">
        <v>671</v>
      </c>
      <c r="AH484" s="574" t="s">
        <v>672</v>
      </c>
      <c r="AI484" s="574" t="s">
        <v>118</v>
      </c>
      <c r="AJ484" s="574" t="s">
        <v>673</v>
      </c>
      <c r="AK484" s="573" t="s">
        <v>284</v>
      </c>
      <c r="AL484" s="574" t="s">
        <v>674</v>
      </c>
      <c r="AM484" s="575"/>
    </row>
    <row r="485" spans="12:40" x14ac:dyDescent="0.2">
      <c r="Q485" s="183" t="s">
        <v>474</v>
      </c>
      <c r="R485" s="183" t="s">
        <v>475</v>
      </c>
      <c r="S485" s="183"/>
      <c r="T485" s="183" t="s">
        <v>475</v>
      </c>
      <c r="U485" s="183" t="s">
        <v>476</v>
      </c>
      <c r="V485" s="183" t="s">
        <v>477</v>
      </c>
      <c r="W485" s="183" t="s">
        <v>478</v>
      </c>
      <c r="X485" s="183" t="s">
        <v>479</v>
      </c>
      <c r="Y485" s="183" t="s">
        <v>480</v>
      </c>
      <c r="Z485" s="183" t="s">
        <v>481</v>
      </c>
      <c r="AA485" s="183" t="s">
        <v>482</v>
      </c>
      <c r="AB485" s="183" t="s">
        <v>483</v>
      </c>
      <c r="AC485" s="574" t="s">
        <v>606</v>
      </c>
      <c r="AD485" s="574" t="s">
        <v>676</v>
      </c>
      <c r="AE485" s="574" t="s">
        <v>668</v>
      </c>
      <c r="AF485" s="574" t="s">
        <v>117</v>
      </c>
      <c r="AG485" s="574" t="s">
        <v>117</v>
      </c>
      <c r="AH485" s="573" t="s">
        <v>677</v>
      </c>
      <c r="AI485" s="574" t="s">
        <v>669</v>
      </c>
      <c r="AJ485" s="574" t="s">
        <v>678</v>
      </c>
      <c r="AK485" s="573" t="s">
        <v>679</v>
      </c>
      <c r="AL485" s="574" t="s">
        <v>680</v>
      </c>
      <c r="AM485" s="573" t="s">
        <v>84</v>
      </c>
    </row>
    <row r="486" spans="12:40" x14ac:dyDescent="0.2">
      <c r="P486" s="481" t="s">
        <v>487</v>
      </c>
      <c r="Q486" s="481"/>
      <c r="R486" s="481" t="s">
        <v>487</v>
      </c>
      <c r="S486" s="481"/>
      <c r="T486" s="481" t="s">
        <v>487</v>
      </c>
      <c r="U486" s="481" t="s">
        <v>487</v>
      </c>
      <c r="V486" s="481" t="s">
        <v>487</v>
      </c>
      <c r="W486" s="481" t="s">
        <v>487</v>
      </c>
      <c r="X486" s="481" t="s">
        <v>487</v>
      </c>
      <c r="Y486" s="481" t="s">
        <v>487</v>
      </c>
      <c r="Z486" s="481" t="s">
        <v>487</v>
      </c>
      <c r="AA486" s="481" t="s">
        <v>487</v>
      </c>
      <c r="AB486" s="481" t="s">
        <v>487</v>
      </c>
      <c r="AC486" s="576" t="s">
        <v>487</v>
      </c>
      <c r="AD486" s="576" t="s">
        <v>487</v>
      </c>
      <c r="AE486" s="576" t="s">
        <v>487</v>
      </c>
      <c r="AF486" s="576" t="s">
        <v>487</v>
      </c>
      <c r="AG486" s="576" t="s">
        <v>487</v>
      </c>
      <c r="AH486" s="576" t="s">
        <v>487</v>
      </c>
      <c r="AI486" s="576" t="s">
        <v>487</v>
      </c>
      <c r="AJ486" s="576" t="s">
        <v>487</v>
      </c>
      <c r="AK486" s="576" t="s">
        <v>487</v>
      </c>
      <c r="AL486" s="576" t="s">
        <v>487</v>
      </c>
      <c r="AM486" s="576" t="s">
        <v>487</v>
      </c>
    </row>
    <row r="487" spans="12:40" x14ac:dyDescent="0.2">
      <c r="V487" s="483"/>
      <c r="W487" s="483"/>
      <c r="X487" s="483"/>
      <c r="Z487" s="483"/>
      <c r="AC487" s="575"/>
      <c r="AD487" s="575"/>
      <c r="AE487" s="575"/>
      <c r="AF487" s="575"/>
      <c r="AG487" s="575"/>
      <c r="AH487" s="575"/>
      <c r="AI487" s="575"/>
      <c r="AJ487" s="575"/>
      <c r="AK487" s="575">
        <v>3.0000000000000001E-3</v>
      </c>
      <c r="AL487" s="575"/>
      <c r="AM487" s="575"/>
    </row>
    <row r="488" spans="12:40" x14ac:dyDescent="0.2">
      <c r="L488" s="577">
        <f>W488/U488</f>
        <v>3.8049983350882402E-2</v>
      </c>
      <c r="M488" s="578">
        <f>N488/R488</f>
        <v>10.715</v>
      </c>
      <c r="N488" s="483">
        <f>V488-AC488</f>
        <v>9450.6299999999992</v>
      </c>
      <c r="O488">
        <f>$O$69</f>
        <v>1</v>
      </c>
      <c r="P488" t="s">
        <v>600</v>
      </c>
      <c r="Q488">
        <v>720</v>
      </c>
      <c r="R488" s="482">
        <v>882</v>
      </c>
      <c r="S488" s="482">
        <v>882</v>
      </c>
      <c r="T488" s="482"/>
      <c r="U488" s="482">
        <v>222234</v>
      </c>
      <c r="V488" s="483">
        <v>9450.6299999999992</v>
      </c>
      <c r="W488" s="483">
        <v>8456</v>
      </c>
      <c r="X488" s="285">
        <f t="shared" ref="X488:X497" si="120">SUM(R510:X510)</f>
        <v>4852.1299999999992</v>
      </c>
      <c r="Y488" s="483"/>
      <c r="Z488" s="483">
        <f t="shared" ref="Z488:Z499" si="121">SUM(V488:Y488)</f>
        <v>22758.759999999995</v>
      </c>
      <c r="AA488" s="483">
        <v>23525.47</v>
      </c>
      <c r="AB488" s="483">
        <f t="shared" ref="AB488:AB499" si="122">AA488-Z488</f>
        <v>766.7100000000064</v>
      </c>
      <c r="AC488" s="575"/>
      <c r="AD488" s="575"/>
      <c r="AE488" s="575"/>
      <c r="AF488" s="575"/>
      <c r="AG488" s="575"/>
      <c r="AH488" s="580"/>
      <c r="AI488" s="575">
        <v>100</v>
      </c>
      <c r="AJ488" s="575"/>
      <c r="AK488" s="575">
        <f>U488*AK487</f>
        <v>666.702</v>
      </c>
      <c r="AL488" s="575"/>
      <c r="AM488" s="575">
        <f>SUM(AI488:AL488)</f>
        <v>766.702</v>
      </c>
      <c r="AN488" s="285">
        <f>AM488-AB488</f>
        <v>-8.0000000064046617E-3</v>
      </c>
    </row>
    <row r="489" spans="12:40" x14ac:dyDescent="0.2">
      <c r="L489" s="577">
        <f t="shared" ref="L489:L499" si="123">W489/U489</f>
        <v>3.8050008060940714E-2</v>
      </c>
      <c r="M489" s="578">
        <f t="shared" ref="M489:M499" si="124">N489/R489</f>
        <v>10.715</v>
      </c>
      <c r="N489" s="483">
        <f t="shared" ref="N489:N499" si="125">V489-AC489</f>
        <v>9514.92</v>
      </c>
      <c r="P489" t="s">
        <v>492</v>
      </c>
      <c r="Q489">
        <v>720</v>
      </c>
      <c r="R489" s="482">
        <v>888</v>
      </c>
      <c r="S489" s="482">
        <v>888</v>
      </c>
      <c r="T489" s="482"/>
      <c r="U489" s="482">
        <v>198488</v>
      </c>
      <c r="V489" s="483">
        <v>9514.92</v>
      </c>
      <c r="W489" s="483">
        <v>7552.47</v>
      </c>
      <c r="X489" s="285">
        <f t="shared" si="120"/>
        <v>3833.5</v>
      </c>
      <c r="Y489" s="483"/>
      <c r="Z489" s="483">
        <f t="shared" si="121"/>
        <v>20900.89</v>
      </c>
      <c r="AA489" s="483">
        <v>21596.35</v>
      </c>
      <c r="AB489" s="483">
        <f t="shared" si="122"/>
        <v>695.45999999999913</v>
      </c>
      <c r="AC489" s="575"/>
      <c r="AD489" s="575"/>
      <c r="AE489" s="575"/>
      <c r="AF489" s="575"/>
      <c r="AG489" s="575"/>
      <c r="AH489" s="580"/>
      <c r="AI489" s="575">
        <v>100</v>
      </c>
      <c r="AJ489" s="575"/>
      <c r="AK489" s="575">
        <f>U489*AK487</f>
        <v>595.46400000000006</v>
      </c>
      <c r="AL489" s="575"/>
      <c r="AM489" s="575">
        <f t="shared" ref="AM489:AM499" si="126">SUM(AI489:AL489)</f>
        <v>695.46400000000006</v>
      </c>
      <c r="AN489" s="285">
        <f t="shared" ref="AN489:AN499" si="127">AM489-AB489</f>
        <v>4.0000000009285941E-3</v>
      </c>
    </row>
    <row r="490" spans="12:40" x14ac:dyDescent="0.2">
      <c r="L490" s="577">
        <f t="shared" si="123"/>
        <v>3.8050025146689016E-2</v>
      </c>
      <c r="M490" s="578">
        <f t="shared" si="124"/>
        <v>10.714993412384716</v>
      </c>
      <c r="N490" s="483">
        <f t="shared" si="125"/>
        <v>8132.68</v>
      </c>
      <c r="P490" t="s">
        <v>493</v>
      </c>
      <c r="Q490">
        <v>720</v>
      </c>
      <c r="R490" s="482">
        <v>759</v>
      </c>
      <c r="S490" s="482">
        <v>759</v>
      </c>
      <c r="T490" s="482"/>
      <c r="U490" s="482">
        <v>149125</v>
      </c>
      <c r="V490" s="483">
        <v>8132.68</v>
      </c>
      <c r="W490" s="483">
        <v>5674.21</v>
      </c>
      <c r="X490" s="285">
        <f t="shared" si="120"/>
        <v>3044.4399999999996</v>
      </c>
      <c r="Y490" s="483"/>
      <c r="Z490" s="483">
        <f t="shared" si="121"/>
        <v>16851.329999999998</v>
      </c>
      <c r="AA490" s="483">
        <v>17398.7</v>
      </c>
      <c r="AB490" s="483">
        <f t="shared" si="122"/>
        <v>547.37000000000262</v>
      </c>
      <c r="AC490" s="575"/>
      <c r="AD490" s="575"/>
      <c r="AE490" s="575"/>
      <c r="AF490" s="575"/>
      <c r="AG490" s="575"/>
      <c r="AH490" s="580"/>
      <c r="AI490" s="575">
        <v>100</v>
      </c>
      <c r="AJ490" s="575"/>
      <c r="AK490" s="575">
        <f>U490*AK487</f>
        <v>447.375</v>
      </c>
      <c r="AL490" s="575"/>
      <c r="AM490" s="575">
        <f t="shared" si="126"/>
        <v>547.375</v>
      </c>
      <c r="AN490" s="285">
        <f t="shared" si="127"/>
        <v>4.9999999973806553E-3</v>
      </c>
    </row>
    <row r="491" spans="12:40" x14ac:dyDescent="0.2">
      <c r="L491" s="577">
        <f t="shared" si="123"/>
        <v>3.805002315886985E-2</v>
      </c>
      <c r="M491" s="578">
        <f t="shared" si="124"/>
        <v>10.714993894993896</v>
      </c>
      <c r="N491" s="483">
        <f t="shared" si="125"/>
        <v>8775.58</v>
      </c>
      <c r="P491" t="s">
        <v>494</v>
      </c>
      <c r="Q491">
        <v>720</v>
      </c>
      <c r="R491" s="482">
        <v>819</v>
      </c>
      <c r="S491" s="482">
        <v>819</v>
      </c>
      <c r="T491" s="482"/>
      <c r="U491" s="482">
        <v>159766</v>
      </c>
      <c r="V491" s="483">
        <v>8775.58</v>
      </c>
      <c r="W491" s="483">
        <v>6079.1</v>
      </c>
      <c r="X491" s="285">
        <f t="shared" si="120"/>
        <v>1662.4900000000002</v>
      </c>
      <c r="Y491" s="483"/>
      <c r="Z491" s="483">
        <f t="shared" si="121"/>
        <v>16517.170000000002</v>
      </c>
      <c r="AA491" s="483">
        <v>17096.46</v>
      </c>
      <c r="AB491" s="483">
        <f t="shared" si="122"/>
        <v>579.28999999999724</v>
      </c>
      <c r="AC491" s="575"/>
      <c r="AD491" s="575"/>
      <c r="AE491" s="575"/>
      <c r="AF491" s="575"/>
      <c r="AG491" s="575"/>
      <c r="AH491" s="580"/>
      <c r="AI491" s="575">
        <v>100</v>
      </c>
      <c r="AJ491" s="575"/>
      <c r="AK491" s="575">
        <f>U491*AK487</f>
        <v>479.298</v>
      </c>
      <c r="AL491" s="575"/>
      <c r="AM491" s="575">
        <f t="shared" si="126"/>
        <v>579.298</v>
      </c>
      <c r="AN491" s="285">
        <f t="shared" si="127"/>
        <v>8.0000000027666829E-3</v>
      </c>
    </row>
    <row r="492" spans="12:40" x14ac:dyDescent="0.2">
      <c r="L492" s="577">
        <f t="shared" si="123"/>
        <v>3.8049997692617028E-2</v>
      </c>
      <c r="M492" s="578">
        <f t="shared" si="124"/>
        <v>10.715</v>
      </c>
      <c r="N492" s="483">
        <f t="shared" si="125"/>
        <v>8443.42</v>
      </c>
      <c r="P492" t="s">
        <v>495</v>
      </c>
      <c r="Q492">
        <v>720</v>
      </c>
      <c r="R492" s="482">
        <v>788</v>
      </c>
      <c r="S492" s="482">
        <v>788</v>
      </c>
      <c r="T492" s="482"/>
      <c r="U492" s="482">
        <v>151687</v>
      </c>
      <c r="V492" s="483">
        <v>8443.42</v>
      </c>
      <c r="W492" s="483">
        <v>5771.69</v>
      </c>
      <c r="X492" s="285">
        <f t="shared" si="120"/>
        <v>3711.8499999999995</v>
      </c>
      <c r="Y492" s="483"/>
      <c r="Z492" s="483">
        <f t="shared" si="121"/>
        <v>17926.96</v>
      </c>
      <c r="AA492" s="483">
        <v>18482.02</v>
      </c>
      <c r="AB492" s="483">
        <f t="shared" si="122"/>
        <v>555.06000000000131</v>
      </c>
      <c r="AC492" s="575"/>
      <c r="AD492" s="575"/>
      <c r="AE492" s="575"/>
      <c r="AF492" s="575"/>
      <c r="AG492" s="575"/>
      <c r="AH492" s="580"/>
      <c r="AI492" s="575">
        <v>100</v>
      </c>
      <c r="AJ492" s="575"/>
      <c r="AK492" s="575">
        <f>U492*AK487</f>
        <v>455.06100000000004</v>
      </c>
      <c r="AL492" s="575"/>
      <c r="AM492" s="575">
        <f t="shared" si="126"/>
        <v>555.06100000000004</v>
      </c>
      <c r="AN492" s="285">
        <f t="shared" si="127"/>
        <v>9.9999999872579792E-4</v>
      </c>
    </row>
    <row r="493" spans="12:40" x14ac:dyDescent="0.2">
      <c r="L493" s="577">
        <f t="shared" si="123"/>
        <v>3.804999452661674E-2</v>
      </c>
      <c r="M493" s="578">
        <f t="shared" si="124"/>
        <v>10.71499372647428</v>
      </c>
      <c r="N493" s="483">
        <f t="shared" si="125"/>
        <v>8539.85</v>
      </c>
      <c r="P493" t="s">
        <v>496</v>
      </c>
      <c r="Q493">
        <v>720</v>
      </c>
      <c r="R493" s="482">
        <v>797</v>
      </c>
      <c r="S493" s="482">
        <v>797</v>
      </c>
      <c r="T493" s="482"/>
      <c r="U493" s="482">
        <v>155297</v>
      </c>
      <c r="V493" s="483">
        <v>8539.85</v>
      </c>
      <c r="W493" s="483">
        <v>5909.05</v>
      </c>
      <c r="X493" s="285">
        <f t="shared" si="120"/>
        <v>4015.94</v>
      </c>
      <c r="Y493" s="483"/>
      <c r="Z493" s="483">
        <f t="shared" si="121"/>
        <v>18464.84</v>
      </c>
      <c r="AA493" s="483">
        <v>19030.73</v>
      </c>
      <c r="AB493" s="483">
        <f t="shared" si="122"/>
        <v>565.88999999999942</v>
      </c>
      <c r="AC493" s="575"/>
      <c r="AD493" s="575"/>
      <c r="AE493" s="575"/>
      <c r="AF493" s="575"/>
      <c r="AG493" s="575"/>
      <c r="AH493" s="580"/>
      <c r="AI493" s="575">
        <v>100</v>
      </c>
      <c r="AJ493" s="575"/>
      <c r="AK493" s="575">
        <f>U493*AK487</f>
        <v>465.89100000000002</v>
      </c>
      <c r="AL493" s="575"/>
      <c r="AM493" s="575">
        <f t="shared" si="126"/>
        <v>565.89100000000008</v>
      </c>
      <c r="AN493" s="285">
        <f t="shared" si="127"/>
        <v>1.0000000006584742E-3</v>
      </c>
    </row>
    <row r="494" spans="12:40" x14ac:dyDescent="0.2">
      <c r="L494" s="577">
        <f t="shared" si="123"/>
        <v>3.8049983389977768E-2</v>
      </c>
      <c r="M494" s="578">
        <f t="shared" si="124"/>
        <v>10.714993597951345</v>
      </c>
      <c r="N494" s="483">
        <f t="shared" si="125"/>
        <v>8368.41</v>
      </c>
      <c r="P494" t="s">
        <v>497</v>
      </c>
      <c r="Q494">
        <v>720</v>
      </c>
      <c r="R494" s="482">
        <v>781</v>
      </c>
      <c r="S494" s="482">
        <v>781</v>
      </c>
      <c r="T494" s="482"/>
      <c r="U494" s="482">
        <v>156532</v>
      </c>
      <c r="V494" s="483">
        <v>8368.41</v>
      </c>
      <c r="W494" s="483">
        <v>5956.04</v>
      </c>
      <c r="X494" s="285">
        <f t="shared" si="120"/>
        <v>6288.98</v>
      </c>
      <c r="Y494" s="483"/>
      <c r="Z494" s="483">
        <f t="shared" si="121"/>
        <v>20613.43</v>
      </c>
      <c r="AA494" s="483">
        <v>21183.03</v>
      </c>
      <c r="AB494" s="483">
        <f t="shared" si="122"/>
        <v>569.59999999999854</v>
      </c>
      <c r="AC494" s="575"/>
      <c r="AD494" s="575"/>
      <c r="AE494" s="575"/>
      <c r="AF494" s="575"/>
      <c r="AG494" s="575"/>
      <c r="AH494" s="580"/>
      <c r="AI494" s="575">
        <v>100</v>
      </c>
      <c r="AJ494" s="575"/>
      <c r="AK494" s="575">
        <f>U494*AK487</f>
        <v>469.596</v>
      </c>
      <c r="AL494" s="575"/>
      <c r="AM494" s="575">
        <f t="shared" si="126"/>
        <v>569.596</v>
      </c>
      <c r="AN494" s="285">
        <f t="shared" si="127"/>
        <v>-3.9999999985411705E-3</v>
      </c>
    </row>
    <row r="495" spans="12:40" x14ac:dyDescent="0.2">
      <c r="L495" s="577">
        <f t="shared" si="123"/>
        <v>3.8049995342048878E-2</v>
      </c>
      <c r="M495" s="578">
        <f t="shared" si="124"/>
        <v>10.714994350282486</v>
      </c>
      <c r="N495" s="483">
        <f t="shared" si="125"/>
        <v>9482.77</v>
      </c>
      <c r="P495" t="s">
        <v>498</v>
      </c>
      <c r="Q495">
        <v>720</v>
      </c>
      <c r="R495" s="482">
        <v>885</v>
      </c>
      <c r="S495" s="482">
        <v>885</v>
      </c>
      <c r="T495" s="482"/>
      <c r="U495" s="482">
        <v>161015</v>
      </c>
      <c r="V495" s="483">
        <v>9482.77</v>
      </c>
      <c r="W495" s="483">
        <v>6126.62</v>
      </c>
      <c r="X495" s="285">
        <f t="shared" si="120"/>
        <v>5815.6399999999985</v>
      </c>
      <c r="Y495" s="483"/>
      <c r="Z495" s="483">
        <f t="shared" si="121"/>
        <v>21425.03</v>
      </c>
      <c r="AA495" s="483">
        <v>22008.080000000002</v>
      </c>
      <c r="AB495" s="483">
        <f t="shared" si="122"/>
        <v>583.05000000000291</v>
      </c>
      <c r="AC495" s="575"/>
      <c r="AD495" s="575"/>
      <c r="AE495" s="575"/>
      <c r="AF495" s="575"/>
      <c r="AG495" s="575"/>
      <c r="AH495" s="580"/>
      <c r="AI495" s="575">
        <v>100</v>
      </c>
      <c r="AJ495" s="575"/>
      <c r="AK495" s="575">
        <f>U495*AK487</f>
        <v>483.04500000000002</v>
      </c>
      <c r="AL495" s="575"/>
      <c r="AM495" s="575">
        <f t="shared" si="126"/>
        <v>583.04500000000007</v>
      </c>
      <c r="AN495" s="285">
        <f t="shared" si="127"/>
        <v>-5.0000000028376235E-3</v>
      </c>
    </row>
    <row r="496" spans="12:40" x14ac:dyDescent="0.2">
      <c r="L496" s="577">
        <f t="shared" si="123"/>
        <v>3.8049992217898829E-2</v>
      </c>
      <c r="M496" s="578">
        <f t="shared" si="124"/>
        <v>10.715005793742757</v>
      </c>
      <c r="N496" s="483">
        <f t="shared" si="125"/>
        <v>9247.0499999999993</v>
      </c>
      <c r="P496" t="s">
        <v>499</v>
      </c>
      <c r="Q496">
        <v>720</v>
      </c>
      <c r="R496" s="482">
        <v>863</v>
      </c>
      <c r="S496" s="482">
        <v>863</v>
      </c>
      <c r="T496" s="482"/>
      <c r="U496" s="482">
        <v>160625</v>
      </c>
      <c r="V496" s="483">
        <v>9247.0499999999993</v>
      </c>
      <c r="W496" s="483">
        <v>6111.78</v>
      </c>
      <c r="X496" s="285">
        <f t="shared" si="120"/>
        <v>4626.21</v>
      </c>
      <c r="Y496" s="483"/>
      <c r="Z496" s="483">
        <f t="shared" si="121"/>
        <v>19985.039999999997</v>
      </c>
      <c r="AA496" s="483">
        <v>20566.919999999998</v>
      </c>
      <c r="AB496" s="483">
        <f t="shared" si="122"/>
        <v>581.88000000000102</v>
      </c>
      <c r="AC496" s="575"/>
      <c r="AD496" s="575"/>
      <c r="AE496" s="575"/>
      <c r="AF496" s="575"/>
      <c r="AG496" s="575"/>
      <c r="AH496" s="580"/>
      <c r="AI496" s="575">
        <v>100</v>
      </c>
      <c r="AJ496" s="575"/>
      <c r="AK496" s="575">
        <f>U496*AK487</f>
        <v>481.875</v>
      </c>
      <c r="AL496" s="575"/>
      <c r="AM496" s="575">
        <f t="shared" si="126"/>
        <v>581.875</v>
      </c>
      <c r="AN496" s="285">
        <f t="shared" si="127"/>
        <v>-5.0000000010186341E-3</v>
      </c>
    </row>
    <row r="497" spans="12:40" x14ac:dyDescent="0.2">
      <c r="L497" s="577">
        <f t="shared" si="123"/>
        <v>3.80499974825034E-2</v>
      </c>
      <c r="M497" s="578">
        <f t="shared" si="124"/>
        <v>10.715</v>
      </c>
      <c r="N497" s="483">
        <f t="shared" si="125"/>
        <v>9857.7999999999993</v>
      </c>
      <c r="P497" t="s">
        <v>500</v>
      </c>
      <c r="Q497">
        <v>720</v>
      </c>
      <c r="R497" s="482">
        <v>920</v>
      </c>
      <c r="S497" s="482">
        <v>920</v>
      </c>
      <c r="T497" s="482"/>
      <c r="U497" s="482">
        <v>198610</v>
      </c>
      <c r="V497" s="483">
        <v>9857.7999999999993</v>
      </c>
      <c r="W497" s="483">
        <v>7557.11</v>
      </c>
      <c r="X497" s="285">
        <f t="shared" si="120"/>
        <v>5213.0199999999995</v>
      </c>
      <c r="Y497" s="483"/>
      <c r="Z497" s="483">
        <f t="shared" si="121"/>
        <v>22627.93</v>
      </c>
      <c r="AA497" s="483">
        <v>23323.759999999998</v>
      </c>
      <c r="AB497" s="483">
        <f t="shared" si="122"/>
        <v>695.82999999999811</v>
      </c>
      <c r="AC497" s="575"/>
      <c r="AD497" s="575"/>
      <c r="AE497" s="575"/>
      <c r="AF497" s="580"/>
      <c r="AG497" s="580"/>
      <c r="AH497" s="580"/>
      <c r="AI497" s="575">
        <v>100</v>
      </c>
      <c r="AJ497" s="575"/>
      <c r="AK497" s="575">
        <f>U497*AK487</f>
        <v>595.83000000000004</v>
      </c>
      <c r="AL497" s="575"/>
      <c r="AM497" s="575">
        <f t="shared" si="126"/>
        <v>695.83</v>
      </c>
      <c r="AN497" s="285">
        <f t="shared" si="127"/>
        <v>1.9326762412674725E-12</v>
      </c>
    </row>
    <row r="498" spans="12:40" x14ac:dyDescent="0.2">
      <c r="L498" s="577">
        <f t="shared" si="123"/>
        <v>3.8050007064622984E-2</v>
      </c>
      <c r="M498" s="578">
        <f t="shared" si="124"/>
        <v>10.715</v>
      </c>
      <c r="N498" s="483">
        <f t="shared" si="125"/>
        <v>9279.19</v>
      </c>
      <c r="P498" s="541" t="s">
        <v>545</v>
      </c>
      <c r="Q498">
        <v>720</v>
      </c>
      <c r="R498" s="482">
        <v>866</v>
      </c>
      <c r="S498" s="482">
        <v>866</v>
      </c>
      <c r="T498" s="527"/>
      <c r="U498" s="482">
        <v>191093</v>
      </c>
      <c r="V498" s="483">
        <v>9279.19</v>
      </c>
      <c r="W498" s="483">
        <v>7271.09</v>
      </c>
      <c r="X498" s="285">
        <f t="shared" ref="X498:X499" si="128">SUM(R520:Y520)</f>
        <v>5515.72</v>
      </c>
      <c r="Y498" s="483"/>
      <c r="Z498" s="483">
        <f t="shared" si="121"/>
        <v>22066</v>
      </c>
      <c r="AA498" s="483">
        <v>22739.279999999999</v>
      </c>
      <c r="AB498" s="483">
        <f t="shared" si="122"/>
        <v>673.27999999999884</v>
      </c>
      <c r="AC498" s="575"/>
      <c r="AD498" s="575"/>
      <c r="AE498" s="575"/>
      <c r="AF498" s="580"/>
      <c r="AG498" s="580"/>
      <c r="AH498" s="580"/>
      <c r="AI498" s="575">
        <v>100</v>
      </c>
      <c r="AJ498" s="575"/>
      <c r="AK498" s="575">
        <f>U498*AK487</f>
        <v>573.279</v>
      </c>
      <c r="AL498" s="575"/>
      <c r="AM498" s="575">
        <f t="shared" si="126"/>
        <v>673.279</v>
      </c>
      <c r="AN498" s="285">
        <f t="shared" si="127"/>
        <v>-9.9999999883948476E-4</v>
      </c>
    </row>
    <row r="499" spans="12:40" x14ac:dyDescent="0.2">
      <c r="L499" s="577">
        <f t="shared" si="123"/>
        <v>3.8050007558293332E-2</v>
      </c>
      <c r="M499" s="578">
        <f t="shared" si="124"/>
        <v>10.715</v>
      </c>
      <c r="N499" s="483">
        <f t="shared" si="125"/>
        <v>10500.7</v>
      </c>
      <c r="O499">
        <f>$O$80</f>
        <v>12</v>
      </c>
      <c r="P499" t="s">
        <v>688</v>
      </c>
      <c r="Q499">
        <v>720</v>
      </c>
      <c r="R499" s="482">
        <v>980</v>
      </c>
      <c r="S499" s="482">
        <v>980</v>
      </c>
      <c r="T499" s="527"/>
      <c r="U499" s="482">
        <v>211688</v>
      </c>
      <c r="V499" s="483">
        <v>10500.7</v>
      </c>
      <c r="W499" s="483">
        <v>8054.73</v>
      </c>
      <c r="X499" s="285">
        <f t="shared" si="128"/>
        <v>3252.65</v>
      </c>
      <c r="Y499" s="483"/>
      <c r="Z499" s="483">
        <f t="shared" si="121"/>
        <v>21808.080000000002</v>
      </c>
      <c r="AA499" s="483">
        <v>22543.14</v>
      </c>
      <c r="AB499" s="483">
        <f t="shared" si="122"/>
        <v>735.05999999999767</v>
      </c>
      <c r="AC499" s="575"/>
      <c r="AD499" s="575"/>
      <c r="AE499" s="575"/>
      <c r="AF499" s="580"/>
      <c r="AG499" s="580"/>
      <c r="AH499" s="580"/>
      <c r="AI499" s="575">
        <v>100</v>
      </c>
      <c r="AJ499" s="575"/>
      <c r="AK499" s="575">
        <f>U499*AK487</f>
        <v>635.06399999999996</v>
      </c>
      <c r="AL499" s="575"/>
      <c r="AM499" s="575">
        <f t="shared" si="126"/>
        <v>735.06399999999996</v>
      </c>
      <c r="AN499" s="285">
        <f t="shared" si="127"/>
        <v>4.0000000022928361E-3</v>
      </c>
    </row>
    <row r="500" spans="12:40" x14ac:dyDescent="0.2">
      <c r="R500" s="489" t="s">
        <v>487</v>
      </c>
      <c r="S500" s="489"/>
      <c r="T500" s="489" t="s">
        <v>487</v>
      </c>
      <c r="U500" s="489" t="s">
        <v>487</v>
      </c>
      <c r="V500" s="489" t="s">
        <v>487</v>
      </c>
      <c r="W500" s="489" t="s">
        <v>487</v>
      </c>
      <c r="X500" s="489" t="s">
        <v>487</v>
      </c>
      <c r="Y500" s="489" t="s">
        <v>487</v>
      </c>
      <c r="Z500" s="489" t="s">
        <v>487</v>
      </c>
      <c r="AA500" s="489" t="s">
        <v>487</v>
      </c>
      <c r="AB500" s="489" t="s">
        <v>487</v>
      </c>
      <c r="AC500" s="575"/>
      <c r="AD500" s="575"/>
      <c r="AE500" s="575"/>
      <c r="AF500" s="575"/>
      <c r="AG500" s="575"/>
      <c r="AH500" s="575"/>
      <c r="AI500" s="575"/>
      <c r="AJ500" s="575"/>
      <c r="AK500" s="575"/>
      <c r="AL500" s="575"/>
      <c r="AM500" s="575"/>
    </row>
    <row r="501" spans="12:40" x14ac:dyDescent="0.2">
      <c r="R501" s="482"/>
      <c r="S501" s="482"/>
      <c r="T501" s="482"/>
      <c r="U501" s="482"/>
      <c r="V501" s="483"/>
      <c r="W501" s="483"/>
      <c r="X501" s="483"/>
      <c r="Z501" s="483"/>
      <c r="AA501" s="483"/>
      <c r="AB501" s="483"/>
      <c r="AC501" s="575"/>
      <c r="AD501" s="575"/>
      <c r="AE501" s="575"/>
      <c r="AF501" s="575"/>
      <c r="AG501" s="575"/>
      <c r="AH501" s="575"/>
      <c r="AI501" s="575"/>
      <c r="AJ501" s="575"/>
      <c r="AK501" s="575"/>
      <c r="AL501" s="575"/>
      <c r="AM501" s="575"/>
    </row>
    <row r="502" spans="12:40" x14ac:dyDescent="0.2">
      <c r="R502" s="482">
        <f t="shared" ref="R502:AM502" si="129">SUM(R488:R499)</f>
        <v>10228</v>
      </c>
      <c r="S502" s="482">
        <f t="shared" si="129"/>
        <v>10228</v>
      </c>
      <c r="T502" s="482">
        <f t="shared" si="129"/>
        <v>0</v>
      </c>
      <c r="U502" s="482">
        <f t="shared" si="129"/>
        <v>2116160</v>
      </c>
      <c r="V502" s="483">
        <f t="shared" si="129"/>
        <v>109593</v>
      </c>
      <c r="W502" s="483">
        <f t="shared" si="129"/>
        <v>80519.89</v>
      </c>
      <c r="X502" s="483">
        <f t="shared" si="129"/>
        <v>51832.569999999992</v>
      </c>
      <c r="Y502" s="483">
        <f t="shared" si="129"/>
        <v>0</v>
      </c>
      <c r="Z502" s="483">
        <f t="shared" si="129"/>
        <v>241945.45999999996</v>
      </c>
      <c r="AA502" s="483">
        <f t="shared" si="129"/>
        <v>249493.94</v>
      </c>
      <c r="AB502" s="483">
        <f t="shared" si="129"/>
        <v>7548.4800000000032</v>
      </c>
      <c r="AC502" s="584">
        <f t="shared" si="129"/>
        <v>0</v>
      </c>
      <c r="AD502" s="584">
        <f t="shared" si="129"/>
        <v>0</v>
      </c>
      <c r="AE502" s="584">
        <f t="shared" si="129"/>
        <v>0</v>
      </c>
      <c r="AF502" s="584">
        <f t="shared" si="129"/>
        <v>0</v>
      </c>
      <c r="AG502" s="584">
        <f t="shared" si="129"/>
        <v>0</v>
      </c>
      <c r="AH502" s="584">
        <f t="shared" si="129"/>
        <v>0</v>
      </c>
      <c r="AI502" s="584">
        <f t="shared" si="129"/>
        <v>1200</v>
      </c>
      <c r="AJ502" s="584">
        <f t="shared" si="129"/>
        <v>0</v>
      </c>
      <c r="AK502" s="584">
        <f t="shared" si="129"/>
        <v>6348.4800000000014</v>
      </c>
      <c r="AL502" s="584">
        <f t="shared" si="129"/>
        <v>0</v>
      </c>
      <c r="AM502" s="584">
        <f t="shared" si="129"/>
        <v>7548.4800000000014</v>
      </c>
    </row>
    <row r="503" spans="12:40" x14ac:dyDescent="0.2">
      <c r="R503" s="488" t="s">
        <v>501</v>
      </c>
      <c r="S503" s="488"/>
      <c r="T503" s="488" t="s">
        <v>501</v>
      </c>
      <c r="U503" s="488" t="s">
        <v>501</v>
      </c>
      <c r="V503" s="489" t="s">
        <v>501</v>
      </c>
      <c r="W503" s="489" t="s">
        <v>501</v>
      </c>
      <c r="X503" s="489" t="s">
        <v>501</v>
      </c>
      <c r="Y503" s="489" t="s">
        <v>501</v>
      </c>
      <c r="Z503" s="489" t="s">
        <v>501</v>
      </c>
      <c r="AA503" s="489" t="s">
        <v>501</v>
      </c>
      <c r="AB503" s="489" t="s">
        <v>501</v>
      </c>
      <c r="AC503" s="585" t="s">
        <v>501</v>
      </c>
      <c r="AD503" s="585" t="s">
        <v>501</v>
      </c>
      <c r="AE503" s="585" t="s">
        <v>501</v>
      </c>
      <c r="AF503" s="585" t="s">
        <v>501</v>
      </c>
      <c r="AG503" s="585" t="s">
        <v>501</v>
      </c>
      <c r="AH503" s="585" t="s">
        <v>501</v>
      </c>
      <c r="AI503" s="585" t="s">
        <v>501</v>
      </c>
      <c r="AJ503" s="585" t="s">
        <v>501</v>
      </c>
      <c r="AK503" s="585" t="s">
        <v>501</v>
      </c>
      <c r="AL503" s="585" t="s">
        <v>501</v>
      </c>
      <c r="AM503" s="585" t="s">
        <v>501</v>
      </c>
    </row>
    <row r="504" spans="12:40" x14ac:dyDescent="0.2">
      <c r="R504">
        <v>40150</v>
      </c>
      <c r="T504">
        <v>10.715</v>
      </c>
      <c r="V504">
        <f>R504*T504</f>
        <v>430207.25</v>
      </c>
    </row>
    <row r="505" spans="12:40" x14ac:dyDescent="0.2">
      <c r="X505" t="s">
        <v>593</v>
      </c>
    </row>
    <row r="506" spans="12:40" x14ac:dyDescent="0.2">
      <c r="S506" s="183" t="s">
        <v>549</v>
      </c>
    </row>
    <row r="507" spans="12:40" x14ac:dyDescent="0.2">
      <c r="P507" s="183"/>
      <c r="Q507" s="183"/>
      <c r="R507" s="183" t="s">
        <v>550</v>
      </c>
      <c r="S507" s="183" t="s">
        <v>551</v>
      </c>
      <c r="T507" s="183" t="s">
        <v>552</v>
      </c>
      <c r="U507" s="183" t="s">
        <v>555</v>
      </c>
      <c r="V507" s="183" t="s">
        <v>596</v>
      </c>
      <c r="W507" s="183" t="s">
        <v>553</v>
      </c>
      <c r="X507" s="183" t="s">
        <v>554</v>
      </c>
      <c r="Y507" s="183" t="s">
        <v>556</v>
      </c>
      <c r="Z507" s="183"/>
      <c r="AA507" s="183"/>
      <c r="AB507" s="183"/>
      <c r="AD507" s="183"/>
      <c r="AE507" s="183"/>
      <c r="AF507" s="183"/>
      <c r="AG507" s="183"/>
      <c r="AH507" s="183"/>
    </row>
    <row r="508" spans="12:40" x14ac:dyDescent="0.2">
      <c r="P508" s="183"/>
      <c r="Q508" s="183"/>
      <c r="R508" s="521" t="s">
        <v>471</v>
      </c>
      <c r="S508" s="521" t="s">
        <v>558</v>
      </c>
      <c r="T508" s="521" t="s">
        <v>559</v>
      </c>
      <c r="U508" s="521" t="s">
        <v>562</v>
      </c>
      <c r="V508" s="521" t="s">
        <v>597</v>
      </c>
      <c r="W508" s="521" t="s">
        <v>560</v>
      </c>
      <c r="X508" s="521" t="s">
        <v>561</v>
      </c>
      <c r="Y508" s="521" t="s">
        <v>563</v>
      </c>
      <c r="Z508" s="183"/>
      <c r="AA508" s="183"/>
      <c r="AB508" s="183"/>
      <c r="AD508" s="183"/>
      <c r="AE508" s="183"/>
      <c r="AF508" s="183"/>
      <c r="AG508" s="183"/>
      <c r="AH508" s="183"/>
    </row>
    <row r="509" spans="12:40" x14ac:dyDescent="0.2">
      <c r="P509" s="183"/>
      <c r="Q509" s="183"/>
      <c r="R509" s="183"/>
      <c r="S509" s="183"/>
      <c r="T509" s="183"/>
      <c r="U509" s="183"/>
      <c r="V509" s="183"/>
      <c r="W509" s="183"/>
      <c r="X509" s="183"/>
      <c r="Y509" s="183"/>
      <c r="Z509" s="183"/>
      <c r="AA509" s="183"/>
      <c r="AB509" s="523" t="s">
        <v>84</v>
      </c>
      <c r="AD509" s="183"/>
      <c r="AE509" s="183"/>
      <c r="AF509" s="183"/>
      <c r="AG509" s="183"/>
      <c r="AH509" s="183"/>
    </row>
    <row r="510" spans="12:40" x14ac:dyDescent="0.2">
      <c r="O510">
        <f>$O$69</f>
        <v>1</v>
      </c>
      <c r="P510" t="str">
        <f t="shared" ref="P510:P521" si="130">P488</f>
        <v>MAR</v>
      </c>
      <c r="R510" s="294">
        <v>4261.1099999999997</v>
      </c>
      <c r="S510" s="294">
        <v>554.03</v>
      </c>
      <c r="T510" s="294">
        <v>1217.8399999999999</v>
      </c>
      <c r="U510" s="294">
        <v>-1180.8499999999999</v>
      </c>
      <c r="V510" s="294"/>
      <c r="W510" s="294"/>
      <c r="X510" s="294"/>
      <c r="Z510" s="294"/>
      <c r="AA510" s="294"/>
      <c r="AB510" s="285">
        <f t="shared" ref="AB510:AB521" si="131">SUM(R510:AA510)</f>
        <v>4852.1299999999992</v>
      </c>
    </row>
    <row r="511" spans="12:40" x14ac:dyDescent="0.2">
      <c r="P511" t="str">
        <f t="shared" si="130"/>
        <v>APR</v>
      </c>
      <c r="R511" s="294">
        <v>3022.38</v>
      </c>
      <c r="S511" s="294">
        <v>494.83</v>
      </c>
      <c r="T511" s="294">
        <v>1340.75</v>
      </c>
      <c r="U511" s="294">
        <v>-1024.46</v>
      </c>
      <c r="V511" s="294"/>
      <c r="W511" s="294"/>
      <c r="X511" s="294"/>
      <c r="Z511" s="294"/>
      <c r="AA511" s="294"/>
      <c r="AB511" s="285">
        <f t="shared" si="131"/>
        <v>3833.5</v>
      </c>
    </row>
    <row r="512" spans="12:40" x14ac:dyDescent="0.2">
      <c r="P512" t="str">
        <f t="shared" si="130"/>
        <v>MAY</v>
      </c>
      <c r="R512" s="294">
        <v>2695.14</v>
      </c>
      <c r="S512" s="294">
        <v>371.77</v>
      </c>
      <c r="T512" s="294">
        <v>728.45</v>
      </c>
      <c r="U512" s="294">
        <v>-750.92</v>
      </c>
      <c r="V512" s="294"/>
      <c r="W512" s="294"/>
      <c r="X512" s="294"/>
      <c r="Z512" s="294"/>
      <c r="AA512" s="294"/>
      <c r="AB512" s="285">
        <f t="shared" si="131"/>
        <v>3044.4399999999996</v>
      </c>
    </row>
    <row r="513" spans="15:39" x14ac:dyDescent="0.2">
      <c r="P513" t="str">
        <f t="shared" si="130"/>
        <v>JUN</v>
      </c>
      <c r="R513" s="486">
        <v>989.59</v>
      </c>
      <c r="S513" s="486">
        <v>398.3</v>
      </c>
      <c r="T513" s="486">
        <v>1037.22</v>
      </c>
      <c r="U513" s="486">
        <v>-762.62</v>
      </c>
      <c r="V513" s="294"/>
      <c r="W513" s="294"/>
      <c r="X513" s="294"/>
      <c r="Z513" s="294"/>
      <c r="AA513" s="294"/>
      <c r="AB513" s="285">
        <f t="shared" si="131"/>
        <v>1662.4900000000002</v>
      </c>
    </row>
    <row r="514" spans="15:39" x14ac:dyDescent="0.2">
      <c r="P514" t="str">
        <f t="shared" si="130"/>
        <v>JUL</v>
      </c>
      <c r="R514" s="486">
        <v>3104.43</v>
      </c>
      <c r="S514" s="486">
        <v>378.16</v>
      </c>
      <c r="T514" s="486">
        <v>808.88</v>
      </c>
      <c r="U514" s="486">
        <v>-579.62</v>
      </c>
      <c r="V514" s="294"/>
      <c r="W514" s="294"/>
      <c r="X514" s="294"/>
      <c r="Y514" s="294"/>
      <c r="Z514" s="294"/>
      <c r="AA514" s="294"/>
      <c r="AB514" s="285">
        <f t="shared" si="131"/>
        <v>3711.8499999999995</v>
      </c>
    </row>
    <row r="515" spans="15:39" x14ac:dyDescent="0.2">
      <c r="P515" t="str">
        <f t="shared" si="130"/>
        <v>AUG</v>
      </c>
      <c r="R515" s="486">
        <v>3450.23</v>
      </c>
      <c r="S515" s="486">
        <v>387.16</v>
      </c>
      <c r="T515" s="486">
        <v>868.49</v>
      </c>
      <c r="U515" s="486">
        <v>-689.94</v>
      </c>
      <c r="V515" s="486"/>
      <c r="W515" s="486"/>
      <c r="X515" s="486"/>
      <c r="Y515" s="486"/>
      <c r="Z515" s="294"/>
      <c r="AA515" s="294"/>
      <c r="AB515" s="285">
        <f t="shared" si="131"/>
        <v>4015.94</v>
      </c>
    </row>
    <row r="516" spans="15:39" x14ac:dyDescent="0.2">
      <c r="P516" t="str">
        <f t="shared" si="130"/>
        <v>SEP</v>
      </c>
      <c r="R516" s="486">
        <v>5425.4</v>
      </c>
      <c r="S516" s="486">
        <v>942.17</v>
      </c>
      <c r="T516" s="486">
        <v>633.97</v>
      </c>
      <c r="U516" s="486">
        <v>-712.56</v>
      </c>
      <c r="V516" s="486"/>
      <c r="W516" s="486"/>
      <c r="X516" s="486"/>
      <c r="Y516" s="486"/>
      <c r="Z516" s="294"/>
      <c r="AA516" s="294"/>
      <c r="AB516" s="285">
        <f t="shared" si="131"/>
        <v>6288.98</v>
      </c>
    </row>
    <row r="517" spans="15:39" x14ac:dyDescent="0.2">
      <c r="P517" t="str">
        <f t="shared" si="130"/>
        <v>OCT</v>
      </c>
      <c r="R517" s="486">
        <v>4649.1499999999996</v>
      </c>
      <c r="S517" s="486">
        <v>969.15</v>
      </c>
      <c r="T517" s="486">
        <v>883.06</v>
      </c>
      <c r="U517" s="486">
        <v>-685.72</v>
      </c>
      <c r="V517" s="486"/>
      <c r="W517" s="486"/>
      <c r="X517" s="486"/>
      <c r="Y517" s="486"/>
      <c r="Z517" s="294"/>
      <c r="AA517" s="294"/>
      <c r="AB517" s="285">
        <f t="shared" si="131"/>
        <v>5815.6399999999985</v>
      </c>
    </row>
    <row r="518" spans="15:39" x14ac:dyDescent="0.2">
      <c r="P518" t="str">
        <f t="shared" si="130"/>
        <v>NOV</v>
      </c>
      <c r="R518" s="294">
        <v>3774.69</v>
      </c>
      <c r="S518" s="294">
        <v>966.8</v>
      </c>
      <c r="T518" s="294">
        <v>662.96</v>
      </c>
      <c r="U518" s="294">
        <v>-778.24</v>
      </c>
      <c r="V518" s="486"/>
      <c r="W518" s="486"/>
      <c r="X518" s="486"/>
      <c r="Y518" s="486"/>
      <c r="Z518" s="294"/>
      <c r="AA518" s="294"/>
      <c r="AB518" s="285">
        <f t="shared" si="131"/>
        <v>4626.21</v>
      </c>
    </row>
    <row r="519" spans="15:39" x14ac:dyDescent="0.2">
      <c r="P519" t="str">
        <f t="shared" si="130"/>
        <v>DEC</v>
      </c>
      <c r="R519" s="294">
        <v>3978.36</v>
      </c>
      <c r="S519" s="294">
        <v>1195.43</v>
      </c>
      <c r="T519" s="294">
        <v>919.33</v>
      </c>
      <c r="U519" s="294">
        <v>-880.1</v>
      </c>
      <c r="V519" s="486"/>
      <c r="W519" s="486"/>
      <c r="X519" s="486"/>
      <c r="Y519" s="486"/>
      <c r="Z519" s="294"/>
      <c r="AA519" s="294"/>
      <c r="AB519" s="285">
        <f t="shared" si="131"/>
        <v>5213.0199999999995</v>
      </c>
    </row>
    <row r="520" spans="15:39" x14ac:dyDescent="0.2">
      <c r="P520" s="329" t="str">
        <f t="shared" si="130"/>
        <v>Jan 2023</v>
      </c>
      <c r="R520" s="294">
        <v>2768.17</v>
      </c>
      <c r="S520" s="294">
        <v>1150.19</v>
      </c>
      <c r="T520" s="294">
        <v>2176.11</v>
      </c>
      <c r="U520" s="294">
        <v>-578.75</v>
      </c>
      <c r="V520" s="294"/>
      <c r="W520" s="294"/>
      <c r="X520" s="294"/>
      <c r="Y520" s="294"/>
      <c r="Z520" s="294"/>
      <c r="AA520" s="294"/>
      <c r="AB520" s="285">
        <f t="shared" si="131"/>
        <v>5515.72</v>
      </c>
    </row>
    <row r="521" spans="15:39" x14ac:dyDescent="0.2">
      <c r="O521">
        <f>$O$80</f>
        <v>12</v>
      </c>
      <c r="P521" t="str">
        <f t="shared" si="130"/>
        <v>FEB</v>
      </c>
      <c r="R521" s="294">
        <v>1657.94</v>
      </c>
      <c r="S521" s="294">
        <v>1274.1500000000001</v>
      </c>
      <c r="T521" s="294">
        <v>1079.8499999999999</v>
      </c>
      <c r="U521" s="294">
        <v>-759.29</v>
      </c>
      <c r="V521" s="294"/>
      <c r="W521" s="294"/>
      <c r="X521" s="294"/>
      <c r="Y521" s="294"/>
      <c r="Z521" s="294"/>
      <c r="AA521" s="294"/>
      <c r="AB521" s="285">
        <f t="shared" si="131"/>
        <v>3252.65</v>
      </c>
    </row>
    <row r="522" spans="15:39" x14ac:dyDescent="0.2">
      <c r="R522" s="294"/>
      <c r="S522" s="294"/>
      <c r="T522" s="294"/>
      <c r="U522" s="294"/>
      <c r="V522" s="294"/>
      <c r="W522" s="294"/>
      <c r="X522" s="294"/>
      <c r="Y522" s="294"/>
      <c r="Z522" s="294"/>
      <c r="AA522" s="294"/>
    </row>
    <row r="523" spans="15:39" ht="13.5" thickBot="1" x14ac:dyDescent="0.25">
      <c r="P523" t="s">
        <v>65</v>
      </c>
      <c r="R523" s="542">
        <f t="shared" ref="R523:Y523" si="132">SUM(R510:R521)</f>
        <v>39776.589999999997</v>
      </c>
      <c r="S523" s="542">
        <f t="shared" si="132"/>
        <v>9082.14</v>
      </c>
      <c r="T523" s="542">
        <f t="shared" si="132"/>
        <v>12356.910000000002</v>
      </c>
      <c r="U523" s="542">
        <f t="shared" si="132"/>
        <v>-9383.07</v>
      </c>
      <c r="V523" s="542">
        <f t="shared" si="132"/>
        <v>0</v>
      </c>
      <c r="W523" s="542">
        <f t="shared" si="132"/>
        <v>0</v>
      </c>
      <c r="X523" s="542">
        <f t="shared" si="132"/>
        <v>0</v>
      </c>
      <c r="Y523" s="542">
        <f t="shared" si="132"/>
        <v>0</v>
      </c>
      <c r="Z523" s="294"/>
      <c r="AA523" s="294"/>
      <c r="AB523" s="542">
        <f>SUM(AB510:AB521)</f>
        <v>51832.569999999992</v>
      </c>
    </row>
    <row r="524" spans="15:39" ht="16.5" thickTop="1" x14ac:dyDescent="0.25">
      <c r="P524" s="524" t="s">
        <v>701</v>
      </c>
      <c r="Q524" s="479"/>
      <c r="AC524" s="573"/>
      <c r="AD524" s="573"/>
      <c r="AE524" s="574" t="s">
        <v>659</v>
      </c>
      <c r="AF524" s="573"/>
      <c r="AG524" s="573"/>
      <c r="AH524" s="573"/>
      <c r="AI524" s="573"/>
      <c r="AJ524" s="573"/>
      <c r="AK524" s="573"/>
      <c r="AL524" s="573"/>
      <c r="AM524" s="575"/>
    </row>
    <row r="525" spans="15:39" x14ac:dyDescent="0.2">
      <c r="X525" s="183" t="s">
        <v>466</v>
      </c>
      <c r="AC525" s="575"/>
      <c r="AD525" s="573"/>
      <c r="AE525" s="574" t="s">
        <v>662</v>
      </c>
      <c r="AF525" s="573"/>
      <c r="AG525" s="573"/>
      <c r="AH525" s="575"/>
      <c r="AI525" s="573"/>
      <c r="AJ525" s="573"/>
      <c r="AK525" s="573"/>
      <c r="AL525" s="574" t="s">
        <v>663</v>
      </c>
      <c r="AM525" s="575"/>
    </row>
    <row r="526" spans="15:39" x14ac:dyDescent="0.2">
      <c r="Q526" s="183" t="s">
        <v>664</v>
      </c>
      <c r="R526" s="183" t="s">
        <v>702</v>
      </c>
      <c r="S526" s="183"/>
      <c r="T526" s="183" t="s">
        <v>470</v>
      </c>
      <c r="U526" s="183" t="s">
        <v>286</v>
      </c>
      <c r="X526" s="183" t="s">
        <v>471</v>
      </c>
      <c r="Y526" s="183" t="s">
        <v>470</v>
      </c>
      <c r="AC526" s="574" t="s">
        <v>668</v>
      </c>
      <c r="AD526" s="573" t="s">
        <v>117</v>
      </c>
      <c r="AE526" s="574" t="s">
        <v>669</v>
      </c>
      <c r="AF526" s="574" t="s">
        <v>670</v>
      </c>
      <c r="AG526" s="574" t="s">
        <v>671</v>
      </c>
      <c r="AH526" s="574" t="s">
        <v>672</v>
      </c>
      <c r="AI526" s="574" t="s">
        <v>118</v>
      </c>
      <c r="AJ526" s="574" t="s">
        <v>673</v>
      </c>
      <c r="AK526" s="573" t="s">
        <v>284</v>
      </c>
      <c r="AL526" s="574" t="s">
        <v>674</v>
      </c>
      <c r="AM526" s="575"/>
    </row>
    <row r="527" spans="15:39" x14ac:dyDescent="0.2">
      <c r="Q527" s="183" t="s">
        <v>474</v>
      </c>
      <c r="R527" s="183" t="s">
        <v>475</v>
      </c>
      <c r="S527" s="183"/>
      <c r="T527" s="183" t="s">
        <v>475</v>
      </c>
      <c r="U527" s="183" t="s">
        <v>476</v>
      </c>
      <c r="V527" s="183" t="s">
        <v>477</v>
      </c>
      <c r="W527" s="183" t="s">
        <v>478</v>
      </c>
      <c r="X527" s="183" t="s">
        <v>479</v>
      </c>
      <c r="Y527" s="183" t="s">
        <v>480</v>
      </c>
      <c r="Z527" s="183" t="s">
        <v>481</v>
      </c>
      <c r="AA527" s="183" t="s">
        <v>482</v>
      </c>
      <c r="AB527" s="183" t="s">
        <v>483</v>
      </c>
      <c r="AC527" s="574" t="s">
        <v>606</v>
      </c>
      <c r="AD527" s="574" t="s">
        <v>676</v>
      </c>
      <c r="AE527" s="574" t="s">
        <v>668</v>
      </c>
      <c r="AF527" s="574" t="s">
        <v>117</v>
      </c>
      <c r="AG527" s="574" t="s">
        <v>117</v>
      </c>
      <c r="AH527" s="573" t="s">
        <v>677</v>
      </c>
      <c r="AI527" s="574" t="s">
        <v>669</v>
      </c>
      <c r="AJ527" s="574" t="s">
        <v>678</v>
      </c>
      <c r="AK527" s="573" t="s">
        <v>679</v>
      </c>
      <c r="AL527" s="574" t="s">
        <v>680</v>
      </c>
      <c r="AM527" s="573" t="s">
        <v>84</v>
      </c>
    </row>
    <row r="528" spans="15:39" x14ac:dyDescent="0.2">
      <c r="P528" s="481" t="s">
        <v>487</v>
      </c>
      <c r="Q528" s="481"/>
      <c r="R528" s="481" t="s">
        <v>487</v>
      </c>
      <c r="S528" s="481"/>
      <c r="T528" s="481" t="s">
        <v>487</v>
      </c>
      <c r="U528" s="481" t="s">
        <v>487</v>
      </c>
      <c r="V528" s="481" t="s">
        <v>487</v>
      </c>
      <c r="W528" s="481" t="s">
        <v>487</v>
      </c>
      <c r="X528" s="481" t="s">
        <v>487</v>
      </c>
      <c r="Y528" s="481" t="s">
        <v>487</v>
      </c>
      <c r="Z528" s="481" t="s">
        <v>487</v>
      </c>
      <c r="AA528" s="481" t="s">
        <v>487</v>
      </c>
      <c r="AB528" s="481" t="s">
        <v>487</v>
      </c>
      <c r="AC528" s="576" t="s">
        <v>487</v>
      </c>
      <c r="AD528" s="576" t="s">
        <v>487</v>
      </c>
      <c r="AE528" s="576" t="s">
        <v>487</v>
      </c>
      <c r="AF528" s="576" t="s">
        <v>487</v>
      </c>
      <c r="AG528" s="576" t="s">
        <v>487</v>
      </c>
      <c r="AH528" s="576" t="s">
        <v>487</v>
      </c>
      <c r="AI528" s="576" t="s">
        <v>487</v>
      </c>
      <c r="AJ528" s="576" t="s">
        <v>487</v>
      </c>
      <c r="AK528" s="576" t="s">
        <v>487</v>
      </c>
      <c r="AL528" s="576" t="s">
        <v>487</v>
      </c>
      <c r="AM528" s="576" t="s">
        <v>487</v>
      </c>
    </row>
    <row r="529" spans="12:40" x14ac:dyDescent="0.2">
      <c r="V529" s="483"/>
      <c r="W529" s="483"/>
      <c r="X529" s="483"/>
      <c r="Z529" s="483"/>
      <c r="AC529" s="575"/>
      <c r="AD529" s="575"/>
      <c r="AE529" s="575"/>
      <c r="AF529" s="575"/>
      <c r="AG529" s="575"/>
      <c r="AH529" s="575"/>
      <c r="AI529" s="575"/>
      <c r="AJ529" s="575"/>
      <c r="AK529" s="575">
        <v>3.0000000000000001E-3</v>
      </c>
      <c r="AL529" s="575"/>
      <c r="AM529" s="575"/>
    </row>
    <row r="530" spans="12:40" ht="15.75" x14ac:dyDescent="0.25">
      <c r="L530" s="577" t="e">
        <f>W530/U530</f>
        <v>#DIV/0!</v>
      </c>
      <c r="M530" s="578" t="e">
        <f>N530/R530</f>
        <v>#DIV/0!</v>
      </c>
      <c r="N530" s="483">
        <f>V530-AC530</f>
        <v>0</v>
      </c>
      <c r="O530">
        <f>$O$69</f>
        <v>1</v>
      </c>
      <c r="P530" s="203" t="e">
        <f>#REF!</f>
        <v>#REF!</v>
      </c>
      <c r="R530" s="482"/>
      <c r="S530" s="482"/>
      <c r="T530" s="482"/>
      <c r="U530" s="482"/>
      <c r="V530" s="483"/>
      <c r="W530" s="483"/>
      <c r="X530" s="483">
        <f>AC552</f>
        <v>0</v>
      </c>
      <c r="Y530" s="483"/>
      <c r="Z530" s="483">
        <f t="shared" ref="Z530:Z541" si="133">SUM(V530:Y530)</f>
        <v>0</v>
      </c>
      <c r="AA530" s="544"/>
      <c r="AB530" s="483">
        <f t="shared" ref="AB530:AB541" si="134">AA530-Z530</f>
        <v>0</v>
      </c>
      <c r="AC530" s="575"/>
      <c r="AD530" s="575"/>
      <c r="AE530" s="575"/>
      <c r="AF530" s="575"/>
      <c r="AG530" s="575"/>
      <c r="AH530" s="580"/>
      <c r="AI530" s="575"/>
      <c r="AJ530" s="575"/>
      <c r="AK530" s="575">
        <f>U530*AK529</f>
        <v>0</v>
      </c>
      <c r="AL530" s="575"/>
      <c r="AM530" s="575">
        <f>SUM(AI530:AL530)</f>
        <v>0</v>
      </c>
      <c r="AN530" s="285">
        <f>AM530-AB530</f>
        <v>0</v>
      </c>
    </row>
    <row r="531" spans="12:40" ht="15.75" x14ac:dyDescent="0.25">
      <c r="L531" s="577" t="e">
        <f t="shared" ref="L531:L541" si="135">W531/U531</f>
        <v>#DIV/0!</v>
      </c>
      <c r="M531" s="578" t="e">
        <f t="shared" ref="M531:M541" si="136">N531/R531</f>
        <v>#DIV/0!</v>
      </c>
      <c r="N531" s="483">
        <f t="shared" ref="N531:N541" si="137">V531-AC531</f>
        <v>0</v>
      </c>
      <c r="P531" s="203" t="e">
        <f>#REF!</f>
        <v>#REF!</v>
      </c>
      <c r="R531" s="482"/>
      <c r="S531" s="482"/>
      <c r="T531" s="482"/>
      <c r="U531" s="482"/>
      <c r="V531" s="483"/>
      <c r="W531" s="483"/>
      <c r="X531" s="483">
        <f t="shared" ref="X531:X541" si="138">AC553</f>
        <v>0</v>
      </c>
      <c r="Y531" s="483"/>
      <c r="Z531" s="483">
        <f t="shared" si="133"/>
        <v>0</v>
      </c>
      <c r="AA531" s="544"/>
      <c r="AB531" s="483">
        <f t="shared" si="134"/>
        <v>0</v>
      </c>
      <c r="AC531" s="575"/>
      <c r="AD531" s="575"/>
      <c r="AE531" s="575"/>
      <c r="AF531" s="575"/>
      <c r="AG531" s="575"/>
      <c r="AH531" s="580"/>
      <c r="AI531" s="575"/>
      <c r="AJ531" s="575"/>
      <c r="AK531" s="575">
        <f>U531*AK529</f>
        <v>0</v>
      </c>
      <c r="AL531" s="575"/>
      <c r="AM531" s="575">
        <f t="shared" ref="AM531:AM541" si="139">SUM(AI531:AL531)</f>
        <v>0</v>
      </c>
      <c r="AN531" s="285">
        <f t="shared" ref="AN531:AN541" si="140">AM531-AB531</f>
        <v>0</v>
      </c>
    </row>
    <row r="532" spans="12:40" ht="15.75" x14ac:dyDescent="0.25">
      <c r="L532" s="577" t="e">
        <f t="shared" si="135"/>
        <v>#DIV/0!</v>
      </c>
      <c r="M532" s="578" t="e">
        <f t="shared" si="136"/>
        <v>#DIV/0!</v>
      </c>
      <c r="N532" s="483">
        <f t="shared" si="137"/>
        <v>0</v>
      </c>
      <c r="P532" s="203" t="str">
        <f>$P$69</f>
        <v>March 22</v>
      </c>
      <c r="R532" s="482"/>
      <c r="S532" s="482"/>
      <c r="T532" s="482"/>
      <c r="U532" s="482"/>
      <c r="V532" s="483"/>
      <c r="W532" s="483"/>
      <c r="X532" s="483">
        <f t="shared" si="138"/>
        <v>0</v>
      </c>
      <c r="Y532" s="483"/>
      <c r="Z532" s="483">
        <f t="shared" si="133"/>
        <v>0</v>
      </c>
      <c r="AA532" s="544"/>
      <c r="AB532" s="483">
        <f t="shared" si="134"/>
        <v>0</v>
      </c>
      <c r="AC532" s="575"/>
      <c r="AD532" s="575"/>
      <c r="AE532" s="575"/>
      <c r="AF532" s="575"/>
      <c r="AG532" s="575"/>
      <c r="AH532" s="580"/>
      <c r="AI532" s="575"/>
      <c r="AJ532" s="575"/>
      <c r="AK532" s="575">
        <f>U532*AK529</f>
        <v>0</v>
      </c>
      <c r="AL532" s="575"/>
      <c r="AM532" s="575">
        <f t="shared" si="139"/>
        <v>0</v>
      </c>
      <c r="AN532" s="285">
        <f t="shared" si="140"/>
        <v>0</v>
      </c>
    </row>
    <row r="533" spans="12:40" ht="15.75" x14ac:dyDescent="0.25">
      <c r="L533" s="577" t="e">
        <f t="shared" si="135"/>
        <v>#DIV/0!</v>
      </c>
      <c r="M533" s="578" t="e">
        <f t="shared" si="136"/>
        <v>#DIV/0!</v>
      </c>
      <c r="N533" s="483">
        <f t="shared" si="137"/>
        <v>0</v>
      </c>
      <c r="P533" s="203" t="str">
        <f>$P$70</f>
        <v>April</v>
      </c>
      <c r="R533" s="482"/>
      <c r="S533" s="482"/>
      <c r="T533" s="482"/>
      <c r="U533" s="482"/>
      <c r="V533" s="483"/>
      <c r="W533" s="483"/>
      <c r="X533" s="483">
        <f t="shared" si="138"/>
        <v>0</v>
      </c>
      <c r="Y533" s="483"/>
      <c r="Z533" s="483">
        <f t="shared" si="133"/>
        <v>0</v>
      </c>
      <c r="AA533" s="544"/>
      <c r="AB533" s="483">
        <f t="shared" si="134"/>
        <v>0</v>
      </c>
      <c r="AC533" s="575"/>
      <c r="AD533" s="575"/>
      <c r="AE533" s="575"/>
      <c r="AF533" s="575"/>
      <c r="AG533" s="575"/>
      <c r="AH533" s="580"/>
      <c r="AI533" s="575"/>
      <c r="AJ533" s="575"/>
      <c r="AK533" s="575">
        <f>U533*AK529</f>
        <v>0</v>
      </c>
      <c r="AL533" s="575"/>
      <c r="AM533" s="575">
        <f t="shared" si="139"/>
        <v>0</v>
      </c>
      <c r="AN533" s="285">
        <f t="shared" si="140"/>
        <v>0</v>
      </c>
    </row>
    <row r="534" spans="12:40" ht="15.75" x14ac:dyDescent="0.25">
      <c r="L534" s="577" t="e">
        <f t="shared" si="135"/>
        <v>#DIV/0!</v>
      </c>
      <c r="M534" s="578" t="e">
        <f t="shared" si="136"/>
        <v>#DIV/0!</v>
      </c>
      <c r="N534" s="483">
        <f t="shared" si="137"/>
        <v>0</v>
      </c>
      <c r="P534" s="203" t="str">
        <f>$P$71</f>
        <v>May</v>
      </c>
      <c r="R534" s="482"/>
      <c r="S534" s="482"/>
      <c r="T534" s="482"/>
      <c r="U534" s="482"/>
      <c r="V534" s="483"/>
      <c r="W534" s="483"/>
      <c r="X534" s="483">
        <f t="shared" si="138"/>
        <v>0</v>
      </c>
      <c r="Y534" s="483"/>
      <c r="Z534" s="483">
        <f t="shared" si="133"/>
        <v>0</v>
      </c>
      <c r="AA534" s="544"/>
      <c r="AB534" s="483">
        <f t="shared" si="134"/>
        <v>0</v>
      </c>
      <c r="AC534" s="575"/>
      <c r="AD534" s="575"/>
      <c r="AE534" s="575"/>
      <c r="AF534" s="575"/>
      <c r="AG534" s="575"/>
      <c r="AH534" s="580"/>
      <c r="AI534" s="575"/>
      <c r="AJ534" s="575"/>
      <c r="AK534" s="575">
        <f>U534*AK529</f>
        <v>0</v>
      </c>
      <c r="AL534" s="575"/>
      <c r="AM534" s="575">
        <f t="shared" si="139"/>
        <v>0</v>
      </c>
      <c r="AN534" s="285">
        <f t="shared" si="140"/>
        <v>0</v>
      </c>
    </row>
    <row r="535" spans="12:40" ht="15.75" x14ac:dyDescent="0.25">
      <c r="L535" s="577" t="e">
        <f t="shared" si="135"/>
        <v>#DIV/0!</v>
      </c>
      <c r="M535" s="578" t="e">
        <f t="shared" si="136"/>
        <v>#DIV/0!</v>
      </c>
      <c r="N535" s="483">
        <f t="shared" si="137"/>
        <v>0</v>
      </c>
      <c r="P535" s="203" t="str">
        <f>$P$72</f>
        <v>June</v>
      </c>
      <c r="R535" s="482"/>
      <c r="S535" s="482"/>
      <c r="T535" s="482"/>
      <c r="U535" s="482"/>
      <c r="V535" s="483"/>
      <c r="W535" s="483"/>
      <c r="X535" s="483">
        <f t="shared" si="138"/>
        <v>0</v>
      </c>
      <c r="Y535" s="483"/>
      <c r="Z535" s="483">
        <f t="shared" si="133"/>
        <v>0</v>
      </c>
      <c r="AA535" s="544"/>
      <c r="AB535" s="483">
        <f t="shared" si="134"/>
        <v>0</v>
      </c>
      <c r="AC535" s="575"/>
      <c r="AD535" s="575"/>
      <c r="AE535" s="575"/>
      <c r="AF535" s="575"/>
      <c r="AG535" s="575"/>
      <c r="AH535" s="580"/>
      <c r="AI535" s="575"/>
      <c r="AJ535" s="575"/>
      <c r="AK535" s="575">
        <f>U535*AK529</f>
        <v>0</v>
      </c>
      <c r="AL535" s="575"/>
      <c r="AM535" s="575">
        <f t="shared" si="139"/>
        <v>0</v>
      </c>
      <c r="AN535" s="285">
        <f t="shared" si="140"/>
        <v>0</v>
      </c>
    </row>
    <row r="536" spans="12:40" ht="15.75" x14ac:dyDescent="0.25">
      <c r="L536" s="577" t="e">
        <f t="shared" si="135"/>
        <v>#DIV/0!</v>
      </c>
      <c r="M536" s="578" t="e">
        <f t="shared" si="136"/>
        <v>#DIV/0!</v>
      </c>
      <c r="N536" s="483">
        <f t="shared" si="137"/>
        <v>0</v>
      </c>
      <c r="P536" s="203" t="str">
        <f>$P$73</f>
        <v>July</v>
      </c>
      <c r="R536" s="482"/>
      <c r="S536" s="482"/>
      <c r="T536" s="482"/>
      <c r="U536" s="482"/>
      <c r="V536" s="483"/>
      <c r="W536" s="483"/>
      <c r="X536" s="483">
        <f t="shared" si="138"/>
        <v>0</v>
      </c>
      <c r="Y536" s="483"/>
      <c r="Z536" s="483">
        <f t="shared" si="133"/>
        <v>0</v>
      </c>
      <c r="AA536" s="544"/>
      <c r="AB536" s="483">
        <f t="shared" si="134"/>
        <v>0</v>
      </c>
      <c r="AC536" s="575"/>
      <c r="AD536" s="575"/>
      <c r="AE536" s="575"/>
      <c r="AF536" s="575"/>
      <c r="AG536" s="575"/>
      <c r="AH536" s="580"/>
      <c r="AI536" s="575"/>
      <c r="AJ536" s="575"/>
      <c r="AK536" s="575">
        <f>U536*AK529</f>
        <v>0</v>
      </c>
      <c r="AL536" s="575"/>
      <c r="AM536" s="575">
        <f t="shared" si="139"/>
        <v>0</v>
      </c>
      <c r="AN536" s="285">
        <f t="shared" si="140"/>
        <v>0</v>
      </c>
    </row>
    <row r="537" spans="12:40" ht="15.75" x14ac:dyDescent="0.25">
      <c r="L537" s="577" t="e">
        <f t="shared" si="135"/>
        <v>#DIV/0!</v>
      </c>
      <c r="M537" s="578" t="e">
        <f t="shared" si="136"/>
        <v>#DIV/0!</v>
      </c>
      <c r="N537" s="483">
        <f t="shared" si="137"/>
        <v>0</v>
      </c>
      <c r="P537" s="203" t="str">
        <f>$P$74</f>
        <v>August</v>
      </c>
      <c r="R537" s="482"/>
      <c r="S537" s="482"/>
      <c r="T537" s="482"/>
      <c r="U537" s="482"/>
      <c r="V537" s="483"/>
      <c r="W537" s="483"/>
      <c r="X537" s="483">
        <f t="shared" si="138"/>
        <v>0</v>
      </c>
      <c r="Y537" s="483"/>
      <c r="Z537" s="483">
        <f t="shared" si="133"/>
        <v>0</v>
      </c>
      <c r="AA537" s="544"/>
      <c r="AB537" s="483">
        <f t="shared" si="134"/>
        <v>0</v>
      </c>
      <c r="AC537" s="575"/>
      <c r="AD537" s="575"/>
      <c r="AE537" s="575"/>
      <c r="AF537" s="575"/>
      <c r="AG537" s="575"/>
      <c r="AH537" s="580"/>
      <c r="AI537" s="575"/>
      <c r="AJ537" s="575"/>
      <c r="AK537" s="575">
        <f>U537*AK529</f>
        <v>0</v>
      </c>
      <c r="AL537" s="575"/>
      <c r="AM537" s="575">
        <f t="shared" si="139"/>
        <v>0</v>
      </c>
      <c r="AN537" s="285">
        <f t="shared" si="140"/>
        <v>0</v>
      </c>
    </row>
    <row r="538" spans="12:40" ht="15.75" x14ac:dyDescent="0.25">
      <c r="L538" s="577" t="e">
        <f t="shared" si="135"/>
        <v>#DIV/0!</v>
      </c>
      <c r="M538" s="578" t="e">
        <f t="shared" si="136"/>
        <v>#DIV/0!</v>
      </c>
      <c r="N538" s="483">
        <f t="shared" si="137"/>
        <v>0</v>
      </c>
      <c r="P538" s="203" t="str">
        <f>$P$75</f>
        <v>September</v>
      </c>
      <c r="R538" s="482"/>
      <c r="S538" s="482"/>
      <c r="T538" s="482"/>
      <c r="U538" s="482"/>
      <c r="V538" s="483"/>
      <c r="W538" s="483"/>
      <c r="X538" s="483">
        <f t="shared" si="138"/>
        <v>0</v>
      </c>
      <c r="Y538" s="483"/>
      <c r="Z538" s="483">
        <f t="shared" si="133"/>
        <v>0</v>
      </c>
      <c r="AA538" s="544"/>
      <c r="AB538" s="483">
        <f t="shared" si="134"/>
        <v>0</v>
      </c>
      <c r="AC538" s="575"/>
      <c r="AD538" s="575"/>
      <c r="AE538" s="575"/>
      <c r="AF538" s="575"/>
      <c r="AG538" s="575"/>
      <c r="AH538" s="580"/>
      <c r="AI538" s="575"/>
      <c r="AJ538" s="575"/>
      <c r="AK538" s="575">
        <f>U538*AK529</f>
        <v>0</v>
      </c>
      <c r="AL538" s="575"/>
      <c r="AM538" s="575">
        <f t="shared" si="139"/>
        <v>0</v>
      </c>
      <c r="AN538" s="285">
        <f t="shared" si="140"/>
        <v>0</v>
      </c>
    </row>
    <row r="539" spans="12:40" ht="15.75" x14ac:dyDescent="0.25">
      <c r="L539" s="577" t="e">
        <f t="shared" si="135"/>
        <v>#DIV/0!</v>
      </c>
      <c r="M539" s="578" t="e">
        <f t="shared" si="136"/>
        <v>#DIV/0!</v>
      </c>
      <c r="N539" s="483">
        <f t="shared" si="137"/>
        <v>0</v>
      </c>
      <c r="P539" s="203" t="str">
        <f>$P$76</f>
        <v>October</v>
      </c>
      <c r="R539" s="482"/>
      <c r="S539" s="482"/>
      <c r="T539" s="482"/>
      <c r="U539" s="482"/>
      <c r="V539" s="483"/>
      <c r="W539" s="483"/>
      <c r="X539" s="483">
        <f t="shared" si="138"/>
        <v>0</v>
      </c>
      <c r="Y539" s="483"/>
      <c r="Z539" s="483">
        <f t="shared" si="133"/>
        <v>0</v>
      </c>
      <c r="AA539" s="544"/>
      <c r="AB539" s="483">
        <f t="shared" si="134"/>
        <v>0</v>
      </c>
      <c r="AC539" s="575"/>
      <c r="AD539" s="575"/>
      <c r="AE539" s="575"/>
      <c r="AF539" s="580"/>
      <c r="AG539" s="580"/>
      <c r="AH539" s="580"/>
      <c r="AI539" s="575"/>
      <c r="AJ539" s="575"/>
      <c r="AK539" s="575">
        <f>U539*AK529</f>
        <v>0</v>
      </c>
      <c r="AL539" s="575"/>
      <c r="AM539" s="575">
        <f t="shared" si="139"/>
        <v>0</v>
      </c>
      <c r="AN539" s="285">
        <f t="shared" si="140"/>
        <v>0</v>
      </c>
    </row>
    <row r="540" spans="12:40" ht="15.75" x14ac:dyDescent="0.25">
      <c r="L540" s="577" t="e">
        <f t="shared" si="135"/>
        <v>#DIV/0!</v>
      </c>
      <c r="M540" s="578" t="e">
        <f t="shared" si="136"/>
        <v>#DIV/0!</v>
      </c>
      <c r="N540" s="483">
        <f t="shared" si="137"/>
        <v>0</v>
      </c>
      <c r="P540" s="203" t="str">
        <f>$P$77</f>
        <v>Novermber</v>
      </c>
      <c r="R540" s="482"/>
      <c r="S540" s="482"/>
      <c r="T540" s="482"/>
      <c r="U540" s="482"/>
      <c r="V540" s="483"/>
      <c r="W540" s="483"/>
      <c r="X540" s="483">
        <f t="shared" si="138"/>
        <v>0</v>
      </c>
      <c r="Y540" s="483"/>
      <c r="Z540" s="483">
        <f t="shared" si="133"/>
        <v>0</v>
      </c>
      <c r="AA540" s="544"/>
      <c r="AB540" s="483">
        <f t="shared" si="134"/>
        <v>0</v>
      </c>
      <c r="AC540" s="575"/>
      <c r="AD540" s="575"/>
      <c r="AE540" s="575"/>
      <c r="AF540" s="580"/>
      <c r="AG540" s="580"/>
      <c r="AH540" s="580"/>
      <c r="AI540" s="575"/>
      <c r="AJ540" s="575"/>
      <c r="AK540" s="575">
        <f>U540*AK529</f>
        <v>0</v>
      </c>
      <c r="AL540" s="575"/>
      <c r="AM540" s="575">
        <f t="shared" si="139"/>
        <v>0</v>
      </c>
      <c r="AN540" s="285">
        <f t="shared" si="140"/>
        <v>0</v>
      </c>
    </row>
    <row r="541" spans="12:40" ht="15.75" x14ac:dyDescent="0.25">
      <c r="L541" s="577" t="e">
        <f t="shared" si="135"/>
        <v>#DIV/0!</v>
      </c>
      <c r="M541" s="578" t="e">
        <f t="shared" si="136"/>
        <v>#DIV/0!</v>
      </c>
      <c r="N541" s="483">
        <f t="shared" si="137"/>
        <v>0</v>
      </c>
      <c r="O541">
        <f>$O$80</f>
        <v>12</v>
      </c>
      <c r="P541" s="203" t="str">
        <f>$P$78</f>
        <v>December</v>
      </c>
      <c r="R541" s="482"/>
      <c r="S541" s="482"/>
      <c r="T541" s="482"/>
      <c r="U541" s="482"/>
      <c r="V541" s="483"/>
      <c r="W541" s="483"/>
      <c r="X541" s="483">
        <f t="shared" si="138"/>
        <v>0</v>
      </c>
      <c r="Y541" s="483"/>
      <c r="Z541" s="483">
        <f t="shared" si="133"/>
        <v>0</v>
      </c>
      <c r="AA541" s="544"/>
      <c r="AB541" s="483">
        <f t="shared" si="134"/>
        <v>0</v>
      </c>
      <c r="AC541" s="575"/>
      <c r="AD541" s="575"/>
      <c r="AE541" s="575"/>
      <c r="AF541" s="580"/>
      <c r="AG541" s="580"/>
      <c r="AH541" s="580"/>
      <c r="AI541" s="575"/>
      <c r="AJ541" s="575"/>
      <c r="AK541" s="575">
        <f>U541*AK529</f>
        <v>0</v>
      </c>
      <c r="AL541" s="575"/>
      <c r="AM541" s="575">
        <f t="shared" si="139"/>
        <v>0</v>
      </c>
      <c r="AN541" s="285">
        <f t="shared" si="140"/>
        <v>0</v>
      </c>
    </row>
    <row r="542" spans="12:40" x14ac:dyDescent="0.2">
      <c r="R542" s="488" t="s">
        <v>487</v>
      </c>
      <c r="S542" s="488"/>
      <c r="T542" s="488" t="s">
        <v>487</v>
      </c>
      <c r="U542" s="488" t="s">
        <v>487</v>
      </c>
      <c r="V542" s="489" t="s">
        <v>487</v>
      </c>
      <c r="W542" s="489" t="s">
        <v>487</v>
      </c>
      <c r="X542" s="489" t="s">
        <v>487</v>
      </c>
      <c r="Y542" s="481" t="s">
        <v>487</v>
      </c>
      <c r="Z542" s="489" t="s">
        <v>487</v>
      </c>
      <c r="AA542" s="489" t="s">
        <v>487</v>
      </c>
      <c r="AB542" s="489" t="s">
        <v>487</v>
      </c>
      <c r="AC542" s="575"/>
      <c r="AD542" s="575"/>
      <c r="AE542" s="575"/>
      <c r="AF542" s="575"/>
      <c r="AG542" s="575"/>
      <c r="AH542" s="575"/>
      <c r="AI542" s="575"/>
      <c r="AJ542" s="575"/>
      <c r="AK542" s="575"/>
      <c r="AL542" s="575"/>
      <c r="AM542" s="575"/>
    </row>
    <row r="543" spans="12:40" x14ac:dyDescent="0.2">
      <c r="R543" s="482"/>
      <c r="S543" s="482"/>
      <c r="T543" s="482"/>
      <c r="U543" s="482"/>
      <c r="V543" s="483"/>
      <c r="W543" s="483"/>
      <c r="X543" s="483"/>
      <c r="Z543" s="483"/>
      <c r="AA543" s="483"/>
      <c r="AB543" s="483"/>
      <c r="AC543" s="575"/>
      <c r="AD543" s="575"/>
      <c r="AE543" s="575"/>
      <c r="AF543" s="575"/>
      <c r="AG543" s="575"/>
      <c r="AH543" s="575"/>
      <c r="AI543" s="575"/>
      <c r="AJ543" s="575"/>
      <c r="AK543" s="575"/>
      <c r="AL543" s="575"/>
      <c r="AM543" s="575"/>
    </row>
    <row r="544" spans="12:40" x14ac:dyDescent="0.2">
      <c r="R544" s="482">
        <f t="shared" ref="R544:AM544" si="141">SUM(R530:R541)</f>
        <v>0</v>
      </c>
      <c r="S544" s="482"/>
      <c r="T544" s="482">
        <f t="shared" si="141"/>
        <v>0</v>
      </c>
      <c r="U544" s="482">
        <f t="shared" si="141"/>
        <v>0</v>
      </c>
      <c r="V544" s="483">
        <f t="shared" si="141"/>
        <v>0</v>
      </c>
      <c r="W544" s="483">
        <f t="shared" si="141"/>
        <v>0</v>
      </c>
      <c r="X544" s="483">
        <f t="shared" si="141"/>
        <v>0</v>
      </c>
      <c r="Y544" s="483">
        <f t="shared" si="141"/>
        <v>0</v>
      </c>
      <c r="Z544" s="483">
        <f t="shared" si="141"/>
        <v>0</v>
      </c>
      <c r="AA544" s="483">
        <f t="shared" si="141"/>
        <v>0</v>
      </c>
      <c r="AB544" s="483">
        <f t="shared" si="141"/>
        <v>0</v>
      </c>
      <c r="AC544" s="584">
        <f t="shared" si="141"/>
        <v>0</v>
      </c>
      <c r="AD544" s="584">
        <f t="shared" si="141"/>
        <v>0</v>
      </c>
      <c r="AE544" s="584">
        <f t="shared" si="141"/>
        <v>0</v>
      </c>
      <c r="AF544" s="584">
        <f t="shared" si="141"/>
        <v>0</v>
      </c>
      <c r="AG544" s="584">
        <f t="shared" si="141"/>
        <v>0</v>
      </c>
      <c r="AH544" s="584">
        <f t="shared" si="141"/>
        <v>0</v>
      </c>
      <c r="AI544" s="584">
        <f t="shared" si="141"/>
        <v>0</v>
      </c>
      <c r="AJ544" s="584">
        <f t="shared" si="141"/>
        <v>0</v>
      </c>
      <c r="AK544" s="584">
        <f t="shared" si="141"/>
        <v>0</v>
      </c>
      <c r="AL544" s="584">
        <f t="shared" si="141"/>
        <v>0</v>
      </c>
      <c r="AM544" s="584">
        <f t="shared" si="141"/>
        <v>0</v>
      </c>
    </row>
    <row r="545" spans="15:39" x14ac:dyDescent="0.2">
      <c r="R545" s="488" t="s">
        <v>501</v>
      </c>
      <c r="S545" s="488"/>
      <c r="T545" s="488" t="s">
        <v>501</v>
      </c>
      <c r="U545" s="488" t="s">
        <v>501</v>
      </c>
      <c r="V545" s="489" t="s">
        <v>501</v>
      </c>
      <c r="W545" s="489" t="s">
        <v>501</v>
      </c>
      <c r="X545" s="489" t="s">
        <v>501</v>
      </c>
      <c r="Y545" s="489" t="s">
        <v>501</v>
      </c>
      <c r="Z545" s="489" t="s">
        <v>501</v>
      </c>
      <c r="AA545" s="489" t="s">
        <v>501</v>
      </c>
      <c r="AB545" s="489" t="s">
        <v>501</v>
      </c>
      <c r="AC545" s="585" t="s">
        <v>501</v>
      </c>
      <c r="AD545" s="585" t="s">
        <v>501</v>
      </c>
      <c r="AE545" s="585" t="s">
        <v>501</v>
      </c>
      <c r="AF545" s="585" t="s">
        <v>501</v>
      </c>
      <c r="AG545" s="585" t="s">
        <v>501</v>
      </c>
      <c r="AH545" s="585" t="s">
        <v>501</v>
      </c>
      <c r="AI545" s="585" t="s">
        <v>501</v>
      </c>
      <c r="AJ545" s="585" t="s">
        <v>501</v>
      </c>
      <c r="AK545" s="585" t="s">
        <v>501</v>
      </c>
      <c r="AL545" s="585" t="s">
        <v>501</v>
      </c>
      <c r="AM545" s="585" t="s">
        <v>501</v>
      </c>
    </row>
    <row r="546" spans="15:39" x14ac:dyDescent="0.2">
      <c r="P546" s="290"/>
      <c r="R546" s="482"/>
      <c r="S546" s="482"/>
      <c r="U546" s="482"/>
      <c r="V546" s="495"/>
      <c r="W546" s="495"/>
      <c r="X546" s="482"/>
      <c r="Z546" s="495"/>
      <c r="AA546" s="495"/>
    </row>
    <row r="547" spans="15:39" x14ac:dyDescent="0.2">
      <c r="X547" s="275"/>
    </row>
    <row r="549" spans="15:39" x14ac:dyDescent="0.2">
      <c r="P549" s="183"/>
      <c r="Q549" s="183"/>
      <c r="R549" s="183"/>
      <c r="S549" s="183"/>
      <c r="T549" s="183" t="s">
        <v>549</v>
      </c>
      <c r="U549" s="183"/>
      <c r="V549" s="183"/>
      <c r="W549" s="183"/>
      <c r="X549" s="183"/>
      <c r="Y549" s="183"/>
      <c r="Z549" s="183"/>
      <c r="AA549" s="183"/>
      <c r="AB549" s="183"/>
      <c r="AC549" s="183"/>
      <c r="AD549" s="183"/>
      <c r="AE549" s="183"/>
      <c r="AF549" s="183"/>
      <c r="AG549" s="183"/>
      <c r="AH549" s="183"/>
    </row>
    <row r="550" spans="15:39" x14ac:dyDescent="0.2">
      <c r="P550" s="183"/>
      <c r="Q550" s="183"/>
      <c r="R550" s="183" t="s">
        <v>550</v>
      </c>
      <c r="S550" s="183"/>
      <c r="T550" s="183" t="s">
        <v>551</v>
      </c>
      <c r="U550" s="183" t="s">
        <v>552</v>
      </c>
      <c r="V550" s="183" t="s">
        <v>596</v>
      </c>
      <c r="W550" s="183" t="s">
        <v>553</v>
      </c>
      <c r="X550" s="183" t="s">
        <v>554</v>
      </c>
      <c r="Y550" s="183" t="s">
        <v>555</v>
      </c>
      <c r="Z550" s="183" t="s">
        <v>556</v>
      </c>
      <c r="AA550" s="183" t="s">
        <v>557</v>
      </c>
      <c r="AB550" s="183"/>
      <c r="AC550" s="183"/>
      <c r="AD550" s="183"/>
      <c r="AE550" s="183"/>
      <c r="AF550" s="183"/>
      <c r="AG550" s="183"/>
      <c r="AH550" s="183"/>
    </row>
    <row r="551" spans="15:39" x14ac:dyDescent="0.2">
      <c r="P551" s="183"/>
      <c r="Q551" s="183"/>
      <c r="R551" s="521" t="s">
        <v>471</v>
      </c>
      <c r="S551" s="521"/>
      <c r="T551" s="521" t="s">
        <v>558</v>
      </c>
      <c r="U551" s="521" t="s">
        <v>559</v>
      </c>
      <c r="V551" s="521" t="s">
        <v>597</v>
      </c>
      <c r="W551" s="521" t="s">
        <v>560</v>
      </c>
      <c r="X551" s="521" t="s">
        <v>561</v>
      </c>
      <c r="Y551" s="521" t="s">
        <v>562</v>
      </c>
      <c r="Z551" s="521" t="s">
        <v>563</v>
      </c>
      <c r="AA551" s="521" t="s">
        <v>564</v>
      </c>
      <c r="AB551" s="521" t="s">
        <v>319</v>
      </c>
      <c r="AC551" s="523" t="s">
        <v>84</v>
      </c>
      <c r="AD551" s="183"/>
      <c r="AE551" s="183"/>
      <c r="AF551" s="183"/>
      <c r="AG551" s="183"/>
      <c r="AH551" s="183"/>
    </row>
    <row r="552" spans="15:39" x14ac:dyDescent="0.2">
      <c r="O552">
        <f>$O$69</f>
        <v>1</v>
      </c>
      <c r="P552" s="203" t="e">
        <f>#REF!</f>
        <v>#REF!</v>
      </c>
      <c r="R552" s="294"/>
      <c r="S552" s="294"/>
      <c r="T552" s="294"/>
      <c r="U552" s="294"/>
      <c r="V552" s="294"/>
      <c r="W552" s="294"/>
      <c r="X552" s="294"/>
      <c r="Y552" s="294"/>
      <c r="Z552" s="294"/>
      <c r="AC552" s="285">
        <f t="shared" ref="AC552:AC563" si="142">SUM(R552:AB552)</f>
        <v>0</v>
      </c>
    </row>
    <row r="553" spans="15:39" x14ac:dyDescent="0.2">
      <c r="P553" s="203" t="e">
        <f>#REF!</f>
        <v>#REF!</v>
      </c>
      <c r="R553" s="294"/>
      <c r="S553" s="294"/>
      <c r="T553" s="294"/>
      <c r="U553" s="294"/>
      <c r="V553" s="294"/>
      <c r="W553" s="294"/>
      <c r="X553" s="294"/>
      <c r="Y553" s="294"/>
      <c r="Z553" s="294"/>
      <c r="AC553" s="285">
        <f t="shared" si="142"/>
        <v>0</v>
      </c>
    </row>
    <row r="554" spans="15:39" x14ac:dyDescent="0.2">
      <c r="P554" s="203" t="str">
        <f>$P$69</f>
        <v>March 22</v>
      </c>
      <c r="R554" s="294"/>
      <c r="S554" s="294"/>
      <c r="T554" s="294"/>
      <c r="U554" s="294"/>
      <c r="V554" s="294"/>
      <c r="W554" s="294"/>
      <c r="X554" s="294"/>
      <c r="Y554" s="294"/>
      <c r="Z554" s="294"/>
      <c r="AC554" s="285">
        <f t="shared" si="142"/>
        <v>0</v>
      </c>
    </row>
    <row r="555" spans="15:39" x14ac:dyDescent="0.2">
      <c r="P555" s="203" t="str">
        <f>$P$70</f>
        <v>April</v>
      </c>
      <c r="R555" s="294"/>
      <c r="S555" s="294"/>
      <c r="T555" s="294"/>
      <c r="U555" s="294"/>
      <c r="V555" s="294"/>
      <c r="W555" s="294"/>
      <c r="X555" s="294"/>
      <c r="Y555" s="294"/>
      <c r="Z555" s="294"/>
      <c r="AC555" s="285">
        <f t="shared" si="142"/>
        <v>0</v>
      </c>
    </row>
    <row r="556" spans="15:39" x14ac:dyDescent="0.2">
      <c r="P556" s="203" t="str">
        <f>$P$71</f>
        <v>May</v>
      </c>
      <c r="R556" s="294"/>
      <c r="S556" s="294"/>
      <c r="T556" s="294"/>
      <c r="U556" s="294"/>
      <c r="V556" s="294"/>
      <c r="W556" s="294"/>
      <c r="X556" s="294"/>
      <c r="Y556" s="294"/>
      <c r="Z556" s="294"/>
      <c r="AC556" s="285">
        <f t="shared" si="142"/>
        <v>0</v>
      </c>
    </row>
    <row r="557" spans="15:39" x14ac:dyDescent="0.2">
      <c r="P557" s="203" t="str">
        <f>$P$72</f>
        <v>June</v>
      </c>
      <c r="R557" s="294"/>
      <c r="S557" s="294"/>
      <c r="T557" s="294"/>
      <c r="U557" s="294"/>
      <c r="V557" s="294"/>
      <c r="W557" s="294"/>
      <c r="X557" s="294"/>
      <c r="Y557" s="294"/>
      <c r="Z557" s="294"/>
      <c r="AC557" s="285">
        <f t="shared" si="142"/>
        <v>0</v>
      </c>
    </row>
    <row r="558" spans="15:39" x14ac:dyDescent="0.2">
      <c r="P558" s="203" t="str">
        <f>$P$73</f>
        <v>July</v>
      </c>
      <c r="R558" s="294"/>
      <c r="S558" s="294"/>
      <c r="T558" s="294"/>
      <c r="U558" s="294"/>
      <c r="V558" s="294"/>
      <c r="W558" s="294"/>
      <c r="X558" s="294"/>
      <c r="Y558" s="294"/>
      <c r="Z558" s="294"/>
      <c r="AC558" s="285">
        <f t="shared" si="142"/>
        <v>0</v>
      </c>
    </row>
    <row r="559" spans="15:39" x14ac:dyDescent="0.2">
      <c r="P559" s="203" t="str">
        <f>$P$74</f>
        <v>August</v>
      </c>
      <c r="R559" s="294"/>
      <c r="S559" s="294"/>
      <c r="T559" s="294"/>
      <c r="U559" s="294"/>
      <c r="V559" s="294"/>
      <c r="W559" s="294"/>
      <c r="X559" s="294"/>
      <c r="Y559" s="294"/>
      <c r="Z559" s="294"/>
      <c r="AC559" s="285">
        <f t="shared" si="142"/>
        <v>0</v>
      </c>
    </row>
    <row r="560" spans="15:39" x14ac:dyDescent="0.2">
      <c r="P560" s="203" t="str">
        <f>$P$75</f>
        <v>September</v>
      </c>
      <c r="R560" s="294"/>
      <c r="S560" s="294"/>
      <c r="T560" s="294"/>
      <c r="U560" s="294"/>
      <c r="V560" s="294"/>
      <c r="W560" s="294"/>
      <c r="X560" s="294"/>
      <c r="Y560" s="294"/>
      <c r="Z560" s="294"/>
      <c r="AC560" s="285">
        <f t="shared" si="142"/>
        <v>0</v>
      </c>
    </row>
    <row r="561" spans="12:40" x14ac:dyDescent="0.2">
      <c r="P561" s="203" t="str">
        <f>$P$76</f>
        <v>October</v>
      </c>
      <c r="R561" s="294"/>
      <c r="S561" s="294"/>
      <c r="T561" s="294"/>
      <c r="U561" s="294"/>
      <c r="V561" s="294"/>
      <c r="W561" s="294"/>
      <c r="X561" s="294"/>
      <c r="Y561" s="294"/>
      <c r="Z561" s="294"/>
      <c r="AC561" s="285">
        <f t="shared" si="142"/>
        <v>0</v>
      </c>
    </row>
    <row r="562" spans="12:40" x14ac:dyDescent="0.2">
      <c r="P562" s="203" t="str">
        <f>$P$77</f>
        <v>Novermber</v>
      </c>
      <c r="R562" s="294"/>
      <c r="S562" s="294"/>
      <c r="T562" s="294"/>
      <c r="U562" s="294"/>
      <c r="V562" s="294"/>
      <c r="W562" s="294"/>
      <c r="X562" s="294"/>
      <c r="Y562" s="294"/>
      <c r="Z562" s="294"/>
      <c r="AC562" s="285">
        <f t="shared" si="142"/>
        <v>0</v>
      </c>
    </row>
    <row r="563" spans="12:40" x14ac:dyDescent="0.2">
      <c r="O563">
        <f>$O$80</f>
        <v>12</v>
      </c>
      <c r="P563" s="203" t="str">
        <f>$P$78</f>
        <v>December</v>
      </c>
      <c r="R563" s="294"/>
      <c r="S563" s="294"/>
      <c r="T563" s="294"/>
      <c r="U563" s="294"/>
      <c r="V563" s="294"/>
      <c r="W563" s="294"/>
      <c r="X563" s="294"/>
      <c r="Y563" s="294"/>
      <c r="Z563" s="294"/>
      <c r="AC563" s="285">
        <f t="shared" si="142"/>
        <v>0</v>
      </c>
    </row>
    <row r="564" spans="12:40" x14ac:dyDescent="0.2">
      <c r="R564" s="294"/>
      <c r="S564" s="294"/>
      <c r="T564" s="294"/>
      <c r="U564" s="294"/>
      <c r="V564" s="294"/>
      <c r="W564" s="294"/>
      <c r="X564" s="294"/>
      <c r="Y564" s="294"/>
      <c r="Z564" s="294"/>
    </row>
    <row r="565" spans="12:40" ht="13.5" thickBot="1" x14ac:dyDescent="0.25">
      <c r="P565" t="s">
        <v>65</v>
      </c>
      <c r="R565" s="542">
        <f>SUM(R552:R563)</f>
        <v>0</v>
      </c>
      <c r="S565" s="542"/>
      <c r="T565" s="542">
        <f>SUM(T552:T563)</f>
        <v>0</v>
      </c>
      <c r="U565" s="542">
        <f>SUM(U552:U563)</f>
        <v>0</v>
      </c>
      <c r="V565" s="542">
        <f>SUM(V552:V563)</f>
        <v>0</v>
      </c>
      <c r="W565" s="542">
        <f>SUM(W552:W563)</f>
        <v>0</v>
      </c>
      <c r="X565" s="542">
        <f t="shared" ref="X565:AC565" si="143">SUM(X552:X563)</f>
        <v>0</v>
      </c>
      <c r="Y565" s="542">
        <f t="shared" si="143"/>
        <v>0</v>
      </c>
      <c r="Z565" s="542">
        <f t="shared" si="143"/>
        <v>0</v>
      </c>
      <c r="AA565" s="542">
        <f t="shared" si="143"/>
        <v>0</v>
      </c>
      <c r="AB565" s="542">
        <f t="shared" si="143"/>
        <v>0</v>
      </c>
      <c r="AC565" s="542">
        <f t="shared" si="143"/>
        <v>0</v>
      </c>
    </row>
    <row r="566" spans="12:40" ht="16.5" thickTop="1" x14ac:dyDescent="0.25">
      <c r="P566" s="595" t="s">
        <v>703</v>
      </c>
      <c r="Q566" s="479"/>
      <c r="AC566" s="573"/>
      <c r="AD566" s="573"/>
      <c r="AE566" s="574" t="s">
        <v>659</v>
      </c>
      <c r="AF566" s="573"/>
      <c r="AG566" s="573"/>
      <c r="AH566" s="573"/>
      <c r="AI566" s="573"/>
      <c r="AJ566" s="573"/>
      <c r="AK566" s="573"/>
      <c r="AL566" s="573"/>
      <c r="AM566" s="575"/>
    </row>
    <row r="567" spans="12:40" x14ac:dyDescent="0.2">
      <c r="R567" t="s">
        <v>569</v>
      </c>
      <c r="X567" s="183" t="s">
        <v>466</v>
      </c>
      <c r="AC567" s="575"/>
      <c r="AD567" s="573"/>
      <c r="AE567" s="574" t="s">
        <v>662</v>
      </c>
      <c r="AF567" s="573"/>
      <c r="AG567" s="573"/>
      <c r="AH567" s="575"/>
      <c r="AI567" s="573"/>
      <c r="AJ567" s="573"/>
      <c r="AK567" s="573"/>
      <c r="AL567" s="574" t="s">
        <v>663</v>
      </c>
      <c r="AM567" s="575"/>
    </row>
    <row r="568" spans="12:40" x14ac:dyDescent="0.2">
      <c r="Q568" s="183" t="s">
        <v>664</v>
      </c>
      <c r="R568" s="183" t="s">
        <v>469</v>
      </c>
      <c r="S568" s="183"/>
      <c r="T568" s="183" t="s">
        <v>470</v>
      </c>
      <c r="X568" s="183" t="s">
        <v>471</v>
      </c>
      <c r="Y568" s="183" t="s">
        <v>470</v>
      </c>
      <c r="AC568" s="574" t="s">
        <v>668</v>
      </c>
      <c r="AD568" s="573" t="s">
        <v>117</v>
      </c>
      <c r="AE568" s="574" t="s">
        <v>669</v>
      </c>
      <c r="AF568" s="574" t="s">
        <v>670</v>
      </c>
      <c r="AG568" s="574" t="s">
        <v>671</v>
      </c>
      <c r="AH568" s="574" t="s">
        <v>672</v>
      </c>
      <c r="AI568" s="574" t="s">
        <v>118</v>
      </c>
      <c r="AJ568" s="574" t="s">
        <v>673</v>
      </c>
      <c r="AK568" s="573" t="s">
        <v>284</v>
      </c>
      <c r="AL568" s="574" t="s">
        <v>674</v>
      </c>
      <c r="AM568" s="575"/>
    </row>
    <row r="569" spans="12:40" x14ac:dyDescent="0.2">
      <c r="Q569" s="183" t="s">
        <v>474</v>
      </c>
      <c r="R569" s="183" t="s">
        <v>475</v>
      </c>
      <c r="S569" s="183"/>
      <c r="T569" s="183" t="s">
        <v>475</v>
      </c>
      <c r="U569" s="183" t="s">
        <v>476</v>
      </c>
      <c r="V569" s="183" t="s">
        <v>477</v>
      </c>
      <c r="W569" s="183" t="s">
        <v>478</v>
      </c>
      <c r="X569" s="183" t="s">
        <v>479</v>
      </c>
      <c r="Y569" s="183" t="s">
        <v>480</v>
      </c>
      <c r="Z569" s="183" t="s">
        <v>481</v>
      </c>
      <c r="AA569" s="183" t="s">
        <v>482</v>
      </c>
      <c r="AB569" s="183" t="s">
        <v>483</v>
      </c>
      <c r="AC569" s="574" t="s">
        <v>606</v>
      </c>
      <c r="AD569" s="574" t="s">
        <v>676</v>
      </c>
      <c r="AE569" s="574" t="s">
        <v>668</v>
      </c>
      <c r="AF569" s="574" t="s">
        <v>117</v>
      </c>
      <c r="AG569" s="574" t="s">
        <v>117</v>
      </c>
      <c r="AH569" s="573" t="s">
        <v>677</v>
      </c>
      <c r="AI569" s="574" t="s">
        <v>669</v>
      </c>
      <c r="AJ569" s="574" t="s">
        <v>678</v>
      </c>
      <c r="AK569" s="573" t="s">
        <v>679</v>
      </c>
      <c r="AL569" s="574" t="s">
        <v>680</v>
      </c>
      <c r="AM569" s="573" t="s">
        <v>84</v>
      </c>
    </row>
    <row r="570" spans="12:40" x14ac:dyDescent="0.2">
      <c r="P570" s="481" t="s">
        <v>487</v>
      </c>
      <c r="Q570" s="481"/>
      <c r="R570" s="481" t="s">
        <v>487</v>
      </c>
      <c r="S570" s="481"/>
      <c r="T570" s="481" t="s">
        <v>487</v>
      </c>
      <c r="U570" s="481" t="s">
        <v>487</v>
      </c>
      <c r="V570" s="481" t="s">
        <v>487</v>
      </c>
      <c r="W570" s="481" t="s">
        <v>487</v>
      </c>
      <c r="X570" s="481" t="s">
        <v>487</v>
      </c>
      <c r="Y570" s="481" t="s">
        <v>487</v>
      </c>
      <c r="Z570" s="481" t="s">
        <v>487</v>
      </c>
      <c r="AA570" s="481" t="s">
        <v>487</v>
      </c>
      <c r="AB570" s="481" t="s">
        <v>487</v>
      </c>
      <c r="AC570" s="576" t="s">
        <v>487</v>
      </c>
      <c r="AD570" s="576" t="s">
        <v>487</v>
      </c>
      <c r="AE570" s="576" t="s">
        <v>487</v>
      </c>
      <c r="AF570" s="576" t="s">
        <v>487</v>
      </c>
      <c r="AG570" s="576" t="s">
        <v>487</v>
      </c>
      <c r="AH570" s="576" t="s">
        <v>487</v>
      </c>
      <c r="AI570" s="576" t="s">
        <v>487</v>
      </c>
      <c r="AJ570" s="576" t="s">
        <v>487</v>
      </c>
      <c r="AK570" s="576" t="s">
        <v>487</v>
      </c>
      <c r="AL570" s="576" t="s">
        <v>487</v>
      </c>
      <c r="AM570" s="576" t="s">
        <v>487</v>
      </c>
    </row>
    <row r="571" spans="12:40" x14ac:dyDescent="0.2">
      <c r="V571" s="483"/>
      <c r="W571" s="483"/>
      <c r="X571" s="483"/>
      <c r="Z571" s="483"/>
      <c r="AC571" s="575"/>
      <c r="AD571" s="575"/>
      <c r="AE571" s="575"/>
      <c r="AF571" s="575"/>
      <c r="AG571" s="575"/>
      <c r="AH571" s="575"/>
      <c r="AI571" s="575"/>
      <c r="AJ571" s="575"/>
      <c r="AK571" s="575">
        <v>3.0000000000000001E-3</v>
      </c>
      <c r="AL571" s="575"/>
      <c r="AM571" s="575"/>
    </row>
    <row r="572" spans="12:40" x14ac:dyDescent="0.2">
      <c r="L572" s="577" t="e">
        <f>W572/U572</f>
        <v>#DIV/0!</v>
      </c>
      <c r="M572" s="578" t="e">
        <f>N572/R572</f>
        <v>#DIV/0!</v>
      </c>
      <c r="N572" s="483">
        <f>V572-AC572</f>
        <v>0</v>
      </c>
      <c r="O572">
        <f>$O$69</f>
        <v>1</v>
      </c>
      <c r="R572" s="482"/>
      <c r="S572" s="482"/>
      <c r="T572" s="482"/>
      <c r="U572" s="482"/>
      <c r="V572" s="483"/>
      <c r="W572" s="483"/>
      <c r="X572" s="285"/>
      <c r="Y572" s="483"/>
      <c r="Z572" s="483"/>
      <c r="AA572" s="483"/>
      <c r="AB572" s="483"/>
      <c r="AC572" s="575"/>
      <c r="AD572" s="575"/>
      <c r="AE572" s="575"/>
      <c r="AF572" s="575"/>
      <c r="AG572" s="575"/>
      <c r="AH572" s="580"/>
      <c r="AI572" s="575"/>
      <c r="AJ572" s="575"/>
      <c r="AK572" s="575">
        <f>U572*AK571</f>
        <v>0</v>
      </c>
      <c r="AL572" s="575"/>
      <c r="AM572" s="575">
        <f>SUM(AI572:AL572)</f>
        <v>0</v>
      </c>
      <c r="AN572" s="285">
        <f>AM572-AB572</f>
        <v>0</v>
      </c>
    </row>
    <row r="573" spans="12:40" x14ac:dyDescent="0.2">
      <c r="L573" s="577" t="e">
        <f t="shared" ref="L573:L583" si="144">W573/U573</f>
        <v>#DIV/0!</v>
      </c>
      <c r="M573" s="578" t="e">
        <f t="shared" ref="M573:M583" si="145">N573/R573</f>
        <v>#DIV/0!</v>
      </c>
      <c r="N573" s="483">
        <f t="shared" ref="N573:N583" si="146">V573-AC573</f>
        <v>0</v>
      </c>
      <c r="R573" s="482"/>
      <c r="S573" s="482"/>
      <c r="T573" s="482"/>
      <c r="U573" s="482"/>
      <c r="V573" s="483"/>
      <c r="W573" s="483"/>
      <c r="X573" s="285"/>
      <c r="Y573" s="483"/>
      <c r="Z573" s="483"/>
      <c r="AA573" s="483"/>
      <c r="AB573" s="483"/>
      <c r="AC573" s="575"/>
      <c r="AD573" s="575"/>
      <c r="AE573" s="575"/>
      <c r="AF573" s="575"/>
      <c r="AG573" s="575"/>
      <c r="AH573" s="580"/>
      <c r="AI573" s="575"/>
      <c r="AJ573" s="575"/>
      <c r="AK573" s="575">
        <f>U573*AK571</f>
        <v>0</v>
      </c>
      <c r="AL573" s="575"/>
      <c r="AM573" s="575">
        <f t="shared" ref="AM573:AM583" si="147">SUM(AI573:AL573)</f>
        <v>0</v>
      </c>
      <c r="AN573" s="285">
        <f t="shared" ref="AN573:AN583" si="148">AM573-AB573</f>
        <v>0</v>
      </c>
    </row>
    <row r="574" spans="12:40" x14ac:dyDescent="0.2">
      <c r="L574" s="577" t="e">
        <f t="shared" si="144"/>
        <v>#DIV/0!</v>
      </c>
      <c r="M574" s="578" t="e">
        <f t="shared" si="145"/>
        <v>#DIV/0!</v>
      </c>
      <c r="N574" s="483">
        <f t="shared" si="146"/>
        <v>0</v>
      </c>
      <c r="R574" s="482"/>
      <c r="S574" s="482"/>
      <c r="T574" s="482"/>
      <c r="U574" s="482"/>
      <c r="V574" s="483"/>
      <c r="W574" s="483"/>
      <c r="X574" s="285"/>
      <c r="Y574" s="483"/>
      <c r="Z574" s="483"/>
      <c r="AA574" s="483"/>
      <c r="AB574" s="483"/>
      <c r="AC574" s="575"/>
      <c r="AD574" s="575"/>
      <c r="AE574" s="575"/>
      <c r="AF574" s="575"/>
      <c r="AG574" s="575"/>
      <c r="AH574" s="580"/>
      <c r="AI574" s="575"/>
      <c r="AJ574" s="575"/>
      <c r="AK574" s="575">
        <f>U574*AK571</f>
        <v>0</v>
      </c>
      <c r="AL574" s="575"/>
      <c r="AM574" s="575">
        <f t="shared" si="147"/>
        <v>0</v>
      </c>
      <c r="AN574" s="285">
        <f t="shared" si="148"/>
        <v>0</v>
      </c>
    </row>
    <row r="575" spans="12:40" x14ac:dyDescent="0.2">
      <c r="L575" s="577" t="e">
        <f t="shared" si="144"/>
        <v>#DIV/0!</v>
      </c>
      <c r="M575" s="578" t="e">
        <f t="shared" si="145"/>
        <v>#DIV/0!</v>
      </c>
      <c r="N575" s="483">
        <f t="shared" si="146"/>
        <v>0</v>
      </c>
      <c r="R575" s="482"/>
      <c r="S575" s="482"/>
      <c r="T575" s="482"/>
      <c r="U575" s="482"/>
      <c r="V575" s="483"/>
      <c r="W575" s="483"/>
      <c r="X575" s="285"/>
      <c r="Y575" s="483"/>
      <c r="Z575" s="483"/>
      <c r="AA575" s="483"/>
      <c r="AB575" s="483"/>
      <c r="AC575" s="575"/>
      <c r="AD575" s="575"/>
      <c r="AE575" s="575"/>
      <c r="AF575" s="575"/>
      <c r="AG575" s="575"/>
      <c r="AH575" s="580"/>
      <c r="AI575" s="575"/>
      <c r="AJ575" s="575"/>
      <c r="AK575" s="575">
        <f>U575*AK571</f>
        <v>0</v>
      </c>
      <c r="AL575" s="575"/>
      <c r="AM575" s="575">
        <f t="shared" si="147"/>
        <v>0</v>
      </c>
      <c r="AN575" s="285">
        <f t="shared" si="148"/>
        <v>0</v>
      </c>
    </row>
    <row r="576" spans="12:40" x14ac:dyDescent="0.2">
      <c r="L576" s="577" t="e">
        <f t="shared" si="144"/>
        <v>#DIV/0!</v>
      </c>
      <c r="M576" s="578" t="e">
        <f t="shared" si="145"/>
        <v>#DIV/0!</v>
      </c>
      <c r="N576" s="483">
        <f t="shared" si="146"/>
        <v>0</v>
      </c>
      <c r="R576" s="482"/>
      <c r="S576" s="482"/>
      <c r="T576" s="482"/>
      <c r="U576" s="482"/>
      <c r="V576" s="483"/>
      <c r="W576" s="483"/>
      <c r="X576" s="285"/>
      <c r="Y576" s="483"/>
      <c r="Z576" s="483"/>
      <c r="AA576" s="483"/>
      <c r="AB576" s="483"/>
      <c r="AC576" s="575"/>
      <c r="AD576" s="575"/>
      <c r="AE576" s="575"/>
      <c r="AF576" s="575"/>
      <c r="AG576" s="575"/>
      <c r="AH576" s="580"/>
      <c r="AI576" s="575"/>
      <c r="AJ576" s="575"/>
      <c r="AK576" s="575">
        <f>U576*AK571</f>
        <v>0</v>
      </c>
      <c r="AL576" s="575"/>
      <c r="AM576" s="575">
        <f t="shared" si="147"/>
        <v>0</v>
      </c>
      <c r="AN576" s="285">
        <f t="shared" si="148"/>
        <v>0</v>
      </c>
    </row>
    <row r="577" spans="12:40" x14ac:dyDescent="0.2">
      <c r="L577" s="577" t="e">
        <f t="shared" si="144"/>
        <v>#DIV/0!</v>
      </c>
      <c r="M577" s="578" t="e">
        <f t="shared" si="145"/>
        <v>#DIV/0!</v>
      </c>
      <c r="N577" s="483">
        <f t="shared" si="146"/>
        <v>0</v>
      </c>
      <c r="R577" s="482"/>
      <c r="S577" s="482"/>
      <c r="T577" s="482"/>
      <c r="U577" s="482"/>
      <c r="V577" s="483"/>
      <c r="W577" s="483"/>
      <c r="X577" s="285"/>
      <c r="Y577" s="483"/>
      <c r="Z577" s="483"/>
      <c r="AA577" s="483"/>
      <c r="AB577" s="483"/>
      <c r="AC577" s="575"/>
      <c r="AD577" s="575"/>
      <c r="AE577" s="575"/>
      <c r="AF577" s="575"/>
      <c r="AG577" s="575"/>
      <c r="AH577" s="580"/>
      <c r="AI577" s="575"/>
      <c r="AJ577" s="575"/>
      <c r="AK577" s="575">
        <f>U577*AK571</f>
        <v>0</v>
      </c>
      <c r="AL577" s="575"/>
      <c r="AM577" s="575">
        <f t="shared" si="147"/>
        <v>0</v>
      </c>
      <c r="AN577" s="285">
        <f t="shared" si="148"/>
        <v>0</v>
      </c>
    </row>
    <row r="578" spans="12:40" x14ac:dyDescent="0.2">
      <c r="L578" s="577" t="e">
        <f t="shared" si="144"/>
        <v>#DIV/0!</v>
      </c>
      <c r="M578" s="578" t="e">
        <f t="shared" si="145"/>
        <v>#DIV/0!</v>
      </c>
      <c r="N578" s="483">
        <f t="shared" si="146"/>
        <v>0</v>
      </c>
      <c r="R578" s="482"/>
      <c r="S578" s="482"/>
      <c r="T578" s="482"/>
      <c r="U578" s="482"/>
      <c r="V578" s="483"/>
      <c r="W578" s="483"/>
      <c r="X578" s="285"/>
      <c r="Y578" s="483"/>
      <c r="Z578" s="483"/>
      <c r="AA578" s="483"/>
      <c r="AB578" s="483"/>
      <c r="AC578" s="575"/>
      <c r="AD578" s="575"/>
      <c r="AE578" s="575"/>
      <c r="AF578" s="575"/>
      <c r="AG578" s="575"/>
      <c r="AH578" s="580"/>
      <c r="AI578" s="575"/>
      <c r="AJ578" s="575"/>
      <c r="AK578" s="575">
        <f>U578*AK571</f>
        <v>0</v>
      </c>
      <c r="AL578" s="575"/>
      <c r="AM578" s="575">
        <f t="shared" si="147"/>
        <v>0</v>
      </c>
      <c r="AN578" s="285">
        <f t="shared" si="148"/>
        <v>0</v>
      </c>
    </row>
    <row r="579" spans="12:40" x14ac:dyDescent="0.2">
      <c r="L579" s="577" t="e">
        <f t="shared" si="144"/>
        <v>#DIV/0!</v>
      </c>
      <c r="M579" s="578" t="e">
        <f t="shared" si="145"/>
        <v>#DIV/0!</v>
      </c>
      <c r="N579" s="483">
        <f t="shared" si="146"/>
        <v>0</v>
      </c>
      <c r="R579" s="482"/>
      <c r="S579" s="482"/>
      <c r="T579" s="482"/>
      <c r="U579" s="482"/>
      <c r="V579" s="483"/>
      <c r="W579" s="483"/>
      <c r="X579" s="285"/>
      <c r="Y579" s="483"/>
      <c r="Z579" s="483"/>
      <c r="AA579" s="483"/>
      <c r="AB579" s="483"/>
      <c r="AC579" s="575"/>
      <c r="AD579" s="575"/>
      <c r="AE579" s="575"/>
      <c r="AF579" s="575"/>
      <c r="AG579" s="575"/>
      <c r="AH579" s="580"/>
      <c r="AI579" s="575"/>
      <c r="AJ579" s="575"/>
      <c r="AK579" s="575">
        <f>U579*AK571</f>
        <v>0</v>
      </c>
      <c r="AL579" s="575"/>
      <c r="AM579" s="575">
        <f t="shared" si="147"/>
        <v>0</v>
      </c>
      <c r="AN579" s="285">
        <f t="shared" si="148"/>
        <v>0</v>
      </c>
    </row>
    <row r="580" spans="12:40" x14ac:dyDescent="0.2">
      <c r="L580" s="577" t="e">
        <f t="shared" si="144"/>
        <v>#DIV/0!</v>
      </c>
      <c r="M580" s="578" t="e">
        <f t="shared" si="145"/>
        <v>#DIV/0!</v>
      </c>
      <c r="N580" s="483">
        <f t="shared" si="146"/>
        <v>0</v>
      </c>
      <c r="R580" s="482"/>
      <c r="S580" s="482"/>
      <c r="T580" s="482"/>
      <c r="U580" s="482"/>
      <c r="V580" s="483"/>
      <c r="W580" s="483"/>
      <c r="X580" s="285"/>
      <c r="Y580" s="483"/>
      <c r="Z580" s="483"/>
      <c r="AA580" s="483"/>
      <c r="AB580" s="483"/>
      <c r="AC580" s="575"/>
      <c r="AD580" s="575"/>
      <c r="AE580" s="575"/>
      <c r="AF580" s="575"/>
      <c r="AG580" s="575"/>
      <c r="AH580" s="580"/>
      <c r="AI580" s="575"/>
      <c r="AJ580" s="575"/>
      <c r="AK580" s="575">
        <f>U580*AK571</f>
        <v>0</v>
      </c>
      <c r="AL580" s="575"/>
      <c r="AM580" s="575">
        <f t="shared" si="147"/>
        <v>0</v>
      </c>
      <c r="AN580" s="285">
        <f t="shared" si="148"/>
        <v>0</v>
      </c>
    </row>
    <row r="581" spans="12:40" x14ac:dyDescent="0.2">
      <c r="L581" s="577" t="e">
        <f t="shared" si="144"/>
        <v>#DIV/0!</v>
      </c>
      <c r="M581" s="578" t="e">
        <f t="shared" si="145"/>
        <v>#DIV/0!</v>
      </c>
      <c r="N581" s="483">
        <f t="shared" si="146"/>
        <v>0</v>
      </c>
      <c r="R581" s="482"/>
      <c r="S581" s="482"/>
      <c r="T581" s="482"/>
      <c r="U581" s="482"/>
      <c r="V581" s="483"/>
      <c r="W581" s="483"/>
      <c r="X581" s="285"/>
      <c r="Y581" s="483"/>
      <c r="Z581" s="483"/>
      <c r="AA581" s="483"/>
      <c r="AB581" s="483"/>
      <c r="AC581" s="575"/>
      <c r="AD581" s="575"/>
      <c r="AE581" s="575"/>
      <c r="AF581" s="580"/>
      <c r="AG581" s="580"/>
      <c r="AH581" s="580"/>
      <c r="AI581" s="575"/>
      <c r="AJ581" s="575"/>
      <c r="AK581" s="575">
        <f>U581*AK571</f>
        <v>0</v>
      </c>
      <c r="AL581" s="575"/>
      <c r="AM581" s="575">
        <f t="shared" si="147"/>
        <v>0</v>
      </c>
      <c r="AN581" s="285">
        <f t="shared" si="148"/>
        <v>0</v>
      </c>
    </row>
    <row r="582" spans="12:40" x14ac:dyDescent="0.2">
      <c r="L582" s="577" t="e">
        <f t="shared" si="144"/>
        <v>#DIV/0!</v>
      </c>
      <c r="M582" s="578" t="e">
        <f t="shared" si="145"/>
        <v>#DIV/0!</v>
      </c>
      <c r="N582" s="483">
        <f t="shared" si="146"/>
        <v>0</v>
      </c>
      <c r="R582" s="482"/>
      <c r="S582" s="482"/>
      <c r="T582" s="482"/>
      <c r="U582" s="482"/>
      <c r="V582" s="483"/>
      <c r="W582" s="483"/>
      <c r="X582" s="285"/>
      <c r="Y582" s="483"/>
      <c r="Z582" s="483"/>
      <c r="AA582" s="483"/>
      <c r="AB582" s="483"/>
      <c r="AC582" s="575"/>
      <c r="AD582" s="575"/>
      <c r="AE582" s="575"/>
      <c r="AF582" s="580"/>
      <c r="AG582" s="580"/>
      <c r="AH582" s="580"/>
      <c r="AI582" s="575"/>
      <c r="AJ582" s="575"/>
      <c r="AK582" s="575">
        <f>U582*AK571</f>
        <v>0</v>
      </c>
      <c r="AL582" s="575"/>
      <c r="AM582" s="575">
        <f t="shared" si="147"/>
        <v>0</v>
      </c>
      <c r="AN582" s="285">
        <f t="shared" si="148"/>
        <v>0</v>
      </c>
    </row>
    <row r="583" spans="12:40" x14ac:dyDescent="0.2">
      <c r="L583" s="577" t="e">
        <f t="shared" si="144"/>
        <v>#DIV/0!</v>
      </c>
      <c r="M583" s="578" t="e">
        <f t="shared" si="145"/>
        <v>#DIV/0!</v>
      </c>
      <c r="N583" s="483">
        <f t="shared" si="146"/>
        <v>0</v>
      </c>
      <c r="O583">
        <f>$O$80</f>
        <v>12</v>
      </c>
      <c r="R583" s="482"/>
      <c r="S583" s="482"/>
      <c r="T583" s="482"/>
      <c r="U583" s="482"/>
      <c r="V583" s="483"/>
      <c r="W583" s="483"/>
      <c r="X583" s="285"/>
      <c r="Y583" s="483"/>
      <c r="Z583" s="483"/>
      <c r="AA583" s="483"/>
      <c r="AB583" s="483"/>
      <c r="AC583" s="575"/>
      <c r="AD583" s="575"/>
      <c r="AE583" s="575"/>
      <c r="AF583" s="580"/>
      <c r="AG583" s="580"/>
      <c r="AH583" s="580"/>
      <c r="AI583" s="575"/>
      <c r="AJ583" s="575"/>
      <c r="AK583" s="575">
        <f>U583*AK571</f>
        <v>0</v>
      </c>
      <c r="AL583" s="575"/>
      <c r="AM583" s="575">
        <f t="shared" si="147"/>
        <v>0</v>
      </c>
      <c r="AN583" s="285">
        <f t="shared" si="148"/>
        <v>0</v>
      </c>
    </row>
    <row r="584" spans="12:40" x14ac:dyDescent="0.2">
      <c r="R584" s="488" t="s">
        <v>487</v>
      </c>
      <c r="S584" s="488"/>
      <c r="T584" s="488" t="s">
        <v>487</v>
      </c>
      <c r="U584" s="488" t="s">
        <v>487</v>
      </c>
      <c r="V584" s="489" t="s">
        <v>487</v>
      </c>
      <c r="W584" s="489" t="s">
        <v>487</v>
      </c>
      <c r="X584" s="489" t="s">
        <v>487</v>
      </c>
      <c r="Y584" s="481" t="s">
        <v>487</v>
      </c>
      <c r="Z584" s="489" t="s">
        <v>487</v>
      </c>
      <c r="AA584" s="489" t="s">
        <v>487</v>
      </c>
      <c r="AB584" s="489" t="s">
        <v>487</v>
      </c>
      <c r="AC584" s="575"/>
      <c r="AD584" s="575"/>
      <c r="AE584" s="575"/>
      <c r="AF584" s="575"/>
      <c r="AG584" s="575"/>
      <c r="AH584" s="575"/>
      <c r="AI584" s="575"/>
      <c r="AJ584" s="575"/>
      <c r="AK584" s="575"/>
      <c r="AL584" s="575"/>
      <c r="AM584" s="575"/>
    </row>
    <row r="585" spans="12:40" x14ac:dyDescent="0.2">
      <c r="R585" s="482"/>
      <c r="S585" s="482"/>
      <c r="T585" s="482"/>
      <c r="U585" s="482"/>
      <c r="V585" s="483"/>
      <c r="W585" s="483"/>
      <c r="X585" s="483"/>
      <c r="Z585" s="483"/>
      <c r="AA585" s="483"/>
      <c r="AB585" s="483"/>
      <c r="AC585" s="575"/>
      <c r="AD585" s="575"/>
      <c r="AE585" s="575"/>
      <c r="AF585" s="575"/>
      <c r="AG585" s="575"/>
      <c r="AH585" s="575"/>
      <c r="AI585" s="575"/>
      <c r="AJ585" s="575"/>
      <c r="AK585" s="575"/>
      <c r="AL585" s="575"/>
      <c r="AM585" s="575"/>
    </row>
    <row r="586" spans="12:40" x14ac:dyDescent="0.2">
      <c r="R586" s="482">
        <f t="shared" ref="R586:AM586" si="149">SUM(R572:R583)</f>
        <v>0</v>
      </c>
      <c r="S586" s="482"/>
      <c r="T586" s="482">
        <f t="shared" si="149"/>
        <v>0</v>
      </c>
      <c r="U586" s="482">
        <f t="shared" si="149"/>
        <v>0</v>
      </c>
      <c r="V586" s="483">
        <f t="shared" si="149"/>
        <v>0</v>
      </c>
      <c r="W586" s="483">
        <f t="shared" si="149"/>
        <v>0</v>
      </c>
      <c r="X586" s="483">
        <f t="shared" si="149"/>
        <v>0</v>
      </c>
      <c r="Y586" s="483">
        <f t="shared" si="149"/>
        <v>0</v>
      </c>
      <c r="Z586" s="483">
        <f t="shared" si="149"/>
        <v>0</v>
      </c>
      <c r="AA586" s="483">
        <f t="shared" si="149"/>
        <v>0</v>
      </c>
      <c r="AB586" s="483">
        <f t="shared" si="149"/>
        <v>0</v>
      </c>
      <c r="AC586" s="584">
        <f t="shared" si="149"/>
        <v>0</v>
      </c>
      <c r="AD586" s="584">
        <f t="shared" si="149"/>
        <v>0</v>
      </c>
      <c r="AE586" s="584">
        <f t="shared" si="149"/>
        <v>0</v>
      </c>
      <c r="AF586" s="584">
        <f t="shared" si="149"/>
        <v>0</v>
      </c>
      <c r="AG586" s="584">
        <f t="shared" si="149"/>
        <v>0</v>
      </c>
      <c r="AH586" s="584">
        <f t="shared" si="149"/>
        <v>0</v>
      </c>
      <c r="AI586" s="584">
        <f t="shared" si="149"/>
        <v>0</v>
      </c>
      <c r="AJ586" s="584">
        <f t="shared" si="149"/>
        <v>0</v>
      </c>
      <c r="AK586" s="584">
        <f t="shared" si="149"/>
        <v>0</v>
      </c>
      <c r="AL586" s="584">
        <f t="shared" si="149"/>
        <v>0</v>
      </c>
      <c r="AM586" s="584">
        <f t="shared" si="149"/>
        <v>0</v>
      </c>
    </row>
    <row r="587" spans="12:40" x14ac:dyDescent="0.2">
      <c r="R587" s="488" t="s">
        <v>501</v>
      </c>
      <c r="S587" s="488"/>
      <c r="T587" s="488" t="s">
        <v>501</v>
      </c>
      <c r="U587" s="488" t="s">
        <v>501</v>
      </c>
      <c r="V587" s="489" t="s">
        <v>501</v>
      </c>
      <c r="W587" s="489" t="s">
        <v>501</v>
      </c>
      <c r="X587" s="489" t="s">
        <v>501</v>
      </c>
      <c r="Y587" s="489" t="s">
        <v>501</v>
      </c>
      <c r="Z587" s="489" t="s">
        <v>501</v>
      </c>
      <c r="AA587" s="489" t="s">
        <v>501</v>
      </c>
      <c r="AB587" s="489" t="s">
        <v>501</v>
      </c>
      <c r="AC587" s="585" t="s">
        <v>501</v>
      </c>
      <c r="AD587" s="585" t="s">
        <v>501</v>
      </c>
      <c r="AE587" s="585" t="s">
        <v>501</v>
      </c>
      <c r="AF587" s="585" t="s">
        <v>501</v>
      </c>
      <c r="AG587" s="585" t="s">
        <v>501</v>
      </c>
      <c r="AH587" s="585" t="s">
        <v>501</v>
      </c>
      <c r="AI587" s="585" t="s">
        <v>501</v>
      </c>
      <c r="AJ587" s="585" t="s">
        <v>501</v>
      </c>
      <c r="AK587" s="585" t="s">
        <v>501</v>
      </c>
      <c r="AL587" s="585" t="s">
        <v>501</v>
      </c>
      <c r="AM587" s="585" t="s">
        <v>501</v>
      </c>
    </row>
    <row r="588" spans="12:40" x14ac:dyDescent="0.2">
      <c r="R588">
        <v>52467</v>
      </c>
      <c r="T588">
        <v>10.715</v>
      </c>
      <c r="V588">
        <f>R588*T588</f>
        <v>562183.90500000003</v>
      </c>
      <c r="X588" t="s">
        <v>593</v>
      </c>
    </row>
    <row r="590" spans="12:40" x14ac:dyDescent="0.2">
      <c r="S590" s="183" t="s">
        <v>549</v>
      </c>
    </row>
    <row r="591" spans="12:40" x14ac:dyDescent="0.2">
      <c r="P591" s="183"/>
      <c r="Q591" s="183"/>
      <c r="R591" s="183" t="s">
        <v>550</v>
      </c>
      <c r="S591" s="183" t="s">
        <v>551</v>
      </c>
      <c r="T591" s="183" t="s">
        <v>552</v>
      </c>
      <c r="U591" s="183" t="s">
        <v>555</v>
      </c>
      <c r="V591" s="183" t="s">
        <v>596</v>
      </c>
      <c r="W591" s="183" t="s">
        <v>553</v>
      </c>
      <c r="X591" s="183" t="s">
        <v>554</v>
      </c>
      <c r="Y591" s="183" t="s">
        <v>556</v>
      </c>
      <c r="Z591" s="183"/>
      <c r="AA591" s="183"/>
      <c r="AB591" s="183"/>
      <c r="AD591" s="183"/>
      <c r="AE591" s="183"/>
      <c r="AF591" s="183"/>
      <c r="AG591" s="183"/>
      <c r="AH591" s="183"/>
    </row>
    <row r="592" spans="12:40" x14ac:dyDescent="0.2">
      <c r="P592" s="183"/>
      <c r="Q592" s="183"/>
      <c r="R592" s="521" t="s">
        <v>471</v>
      </c>
      <c r="S592" s="521" t="s">
        <v>558</v>
      </c>
      <c r="T592" s="521" t="s">
        <v>559</v>
      </c>
      <c r="U592" s="521" t="s">
        <v>562</v>
      </c>
      <c r="V592" s="521" t="s">
        <v>597</v>
      </c>
      <c r="W592" s="521" t="s">
        <v>560</v>
      </c>
      <c r="X592" s="521" t="s">
        <v>561</v>
      </c>
      <c r="Y592" s="521" t="s">
        <v>563</v>
      </c>
      <c r="Z592" s="183"/>
      <c r="AA592" s="183"/>
      <c r="AB592" s="183"/>
      <c r="AD592" s="183"/>
      <c r="AE592" s="183"/>
      <c r="AF592" s="183"/>
      <c r="AG592" s="183"/>
      <c r="AH592" s="183"/>
    </row>
    <row r="593" spans="15:39" x14ac:dyDescent="0.2">
      <c r="P593" s="183"/>
      <c r="Q593" s="183"/>
      <c r="R593" s="183"/>
      <c r="S593" s="183"/>
      <c r="T593" s="183"/>
      <c r="U593" s="183"/>
      <c r="V593" s="183"/>
      <c r="W593" s="183"/>
      <c r="X593" s="183"/>
      <c r="Y593" s="183"/>
      <c r="Z593" s="183"/>
      <c r="AA593" s="183"/>
      <c r="AB593" s="523" t="s">
        <v>84</v>
      </c>
      <c r="AD593" s="183"/>
      <c r="AE593" s="183"/>
      <c r="AF593" s="183"/>
      <c r="AG593" s="183"/>
      <c r="AH593" s="183"/>
    </row>
    <row r="594" spans="15:39" x14ac:dyDescent="0.2">
      <c r="O594">
        <f>$O$69</f>
        <v>1</v>
      </c>
      <c r="P594">
        <f t="shared" ref="P594:P605" si="150">P572</f>
        <v>0</v>
      </c>
      <c r="R594" s="294"/>
      <c r="S594" s="294"/>
      <c r="T594" s="294"/>
      <c r="U594" s="294"/>
      <c r="V594" s="294"/>
      <c r="W594" s="294"/>
      <c r="X594" s="294"/>
      <c r="Z594" s="294"/>
      <c r="AA594" s="294"/>
      <c r="AB594" s="285">
        <f t="shared" ref="AB594:AB605" si="151">SUM(R594:AA594)</f>
        <v>0</v>
      </c>
    </row>
    <row r="595" spans="15:39" x14ac:dyDescent="0.2">
      <c r="P595">
        <f t="shared" si="150"/>
        <v>0</v>
      </c>
      <c r="R595" s="294"/>
      <c r="S595" s="294"/>
      <c r="T595" s="294"/>
      <c r="U595" s="294"/>
      <c r="V595" s="294"/>
      <c r="W595" s="294"/>
      <c r="X595" s="294"/>
      <c r="Z595" s="294"/>
      <c r="AA595" s="294"/>
      <c r="AB595" s="285">
        <f t="shared" si="151"/>
        <v>0</v>
      </c>
    </row>
    <row r="596" spans="15:39" x14ac:dyDescent="0.2">
      <c r="P596">
        <f t="shared" si="150"/>
        <v>0</v>
      </c>
      <c r="R596" s="294"/>
      <c r="S596" s="294"/>
      <c r="T596" s="294"/>
      <c r="U596" s="294"/>
      <c r="V596" s="294"/>
      <c r="W596" s="294"/>
      <c r="X596" s="294"/>
      <c r="Z596" s="294"/>
      <c r="AA596" s="294"/>
      <c r="AB596" s="285">
        <f t="shared" si="151"/>
        <v>0</v>
      </c>
    </row>
    <row r="597" spans="15:39" x14ac:dyDescent="0.2">
      <c r="P597">
        <f t="shared" si="150"/>
        <v>0</v>
      </c>
      <c r="R597" s="294"/>
      <c r="S597" s="294"/>
      <c r="T597" s="294"/>
      <c r="U597" s="294"/>
      <c r="V597" s="294"/>
      <c r="W597" s="294"/>
      <c r="X597" s="294"/>
      <c r="Z597" s="294"/>
      <c r="AA597" s="294"/>
      <c r="AB597" s="285">
        <f t="shared" si="151"/>
        <v>0</v>
      </c>
    </row>
    <row r="598" spans="15:39" x14ac:dyDescent="0.2">
      <c r="P598">
        <f t="shared" si="150"/>
        <v>0</v>
      </c>
      <c r="R598" s="294"/>
      <c r="S598" s="294"/>
      <c r="T598" s="294"/>
      <c r="U598" s="294"/>
      <c r="V598" s="294"/>
      <c r="W598" s="294"/>
      <c r="X598" s="294"/>
      <c r="Y598" s="294"/>
      <c r="Z598" s="294"/>
      <c r="AA598" s="294"/>
      <c r="AB598" s="285">
        <f t="shared" si="151"/>
        <v>0</v>
      </c>
    </row>
    <row r="599" spans="15:39" x14ac:dyDescent="0.2">
      <c r="P599">
        <f t="shared" si="150"/>
        <v>0</v>
      </c>
      <c r="R599" s="486"/>
      <c r="S599" s="486"/>
      <c r="T599" s="486"/>
      <c r="U599" s="486"/>
      <c r="V599" s="294"/>
      <c r="W599" s="294"/>
      <c r="X599" s="486"/>
      <c r="Y599" s="486"/>
      <c r="Z599" s="294"/>
      <c r="AA599" s="294"/>
      <c r="AB599" s="285">
        <f t="shared" si="151"/>
        <v>0</v>
      </c>
    </row>
    <row r="600" spans="15:39" x14ac:dyDescent="0.2">
      <c r="P600">
        <f t="shared" si="150"/>
        <v>0</v>
      </c>
      <c r="R600" s="486"/>
      <c r="S600" s="486"/>
      <c r="T600" s="486"/>
      <c r="U600" s="486"/>
      <c r="V600" s="486"/>
      <c r="W600" s="486"/>
      <c r="X600" s="486"/>
      <c r="Y600" s="486"/>
      <c r="Z600" s="294"/>
      <c r="AA600" s="294"/>
      <c r="AB600" s="285">
        <f t="shared" si="151"/>
        <v>0</v>
      </c>
    </row>
    <row r="601" spans="15:39" x14ac:dyDescent="0.2">
      <c r="P601">
        <f t="shared" si="150"/>
        <v>0</v>
      </c>
      <c r="R601" s="486"/>
      <c r="S601" s="486"/>
      <c r="T601" s="486"/>
      <c r="U601" s="486"/>
      <c r="V601" s="486"/>
      <c r="W601" s="486"/>
      <c r="X601" s="486"/>
      <c r="Y601" s="486"/>
      <c r="Z601" s="294"/>
      <c r="AA601" s="294"/>
      <c r="AB601" s="285">
        <f t="shared" si="151"/>
        <v>0</v>
      </c>
    </row>
    <row r="602" spans="15:39" x14ac:dyDescent="0.2">
      <c r="P602">
        <f t="shared" si="150"/>
        <v>0</v>
      </c>
      <c r="R602" s="486"/>
      <c r="S602" s="486"/>
      <c r="T602" s="486"/>
      <c r="U602" s="486"/>
      <c r="V602" s="486"/>
      <c r="W602" s="486"/>
      <c r="X602" s="486"/>
      <c r="Y602" s="486"/>
      <c r="Z602" s="294"/>
      <c r="AA602" s="294"/>
      <c r="AB602" s="285">
        <f t="shared" si="151"/>
        <v>0</v>
      </c>
    </row>
    <row r="603" spans="15:39" x14ac:dyDescent="0.2">
      <c r="P603">
        <f t="shared" si="150"/>
        <v>0</v>
      </c>
      <c r="R603" s="486"/>
      <c r="S603" s="486"/>
      <c r="T603" s="486"/>
      <c r="U603" s="486"/>
      <c r="V603" s="486"/>
      <c r="W603" s="486"/>
      <c r="X603" s="486"/>
      <c r="Y603" s="486"/>
      <c r="Z603" s="294"/>
      <c r="AA603" s="294"/>
      <c r="AB603" s="285">
        <f t="shared" si="151"/>
        <v>0</v>
      </c>
    </row>
    <row r="604" spans="15:39" x14ac:dyDescent="0.2">
      <c r="P604">
        <f t="shared" si="150"/>
        <v>0</v>
      </c>
      <c r="R604" s="294"/>
      <c r="S604" s="294"/>
      <c r="T604" s="294"/>
      <c r="U604" s="294"/>
      <c r="V604" s="294"/>
      <c r="W604" s="294"/>
      <c r="X604" s="294"/>
      <c r="Y604" s="294"/>
      <c r="Z604" s="294"/>
      <c r="AA604" s="294"/>
      <c r="AB604" s="285">
        <f t="shared" si="151"/>
        <v>0</v>
      </c>
    </row>
    <row r="605" spans="15:39" x14ac:dyDescent="0.2">
      <c r="O605">
        <f>$O$80</f>
        <v>12</v>
      </c>
      <c r="P605">
        <f t="shared" si="150"/>
        <v>0</v>
      </c>
      <c r="R605" s="294"/>
      <c r="S605" s="294"/>
      <c r="T605" s="294"/>
      <c r="U605" s="294"/>
      <c r="V605" s="294"/>
      <c r="W605" s="294"/>
      <c r="X605" s="294"/>
      <c r="Y605" s="294"/>
      <c r="Z605" s="294"/>
      <c r="AA605" s="294"/>
      <c r="AB605" s="285">
        <f t="shared" si="151"/>
        <v>0</v>
      </c>
    </row>
    <row r="606" spans="15:39" x14ac:dyDescent="0.2">
      <c r="R606" s="294"/>
      <c r="S606" s="294"/>
      <c r="T606" s="294"/>
      <c r="U606" s="294"/>
      <c r="V606" s="294"/>
      <c r="W606" s="294"/>
      <c r="X606" s="294"/>
      <c r="Y606" s="294"/>
      <c r="Z606" s="294"/>
      <c r="AA606" s="294"/>
    </row>
    <row r="607" spans="15:39" ht="13.5" thickBot="1" x14ac:dyDescent="0.25">
      <c r="P607" t="s">
        <v>65</v>
      </c>
      <c r="R607" s="542">
        <f t="shared" ref="R607:Y607" si="152">SUM(R594:R605)</f>
        <v>0</v>
      </c>
      <c r="S607" s="542">
        <f t="shared" si="152"/>
        <v>0</v>
      </c>
      <c r="T607" s="542">
        <f t="shared" si="152"/>
        <v>0</v>
      </c>
      <c r="U607" s="542">
        <f t="shared" si="152"/>
        <v>0</v>
      </c>
      <c r="V607" s="542">
        <f t="shared" si="152"/>
        <v>0</v>
      </c>
      <c r="W607" s="542">
        <f t="shared" si="152"/>
        <v>0</v>
      </c>
      <c r="X607" s="542">
        <f t="shared" si="152"/>
        <v>0</v>
      </c>
      <c r="Y607" s="542">
        <f t="shared" si="152"/>
        <v>0</v>
      </c>
      <c r="Z607" s="294"/>
      <c r="AA607" s="294"/>
      <c r="AB607" s="542">
        <f>SUM(AB594:AB605)</f>
        <v>0</v>
      </c>
    </row>
    <row r="608" spans="15:39" ht="16.5" thickTop="1" x14ac:dyDescent="0.25">
      <c r="P608" s="524" t="s">
        <v>704</v>
      </c>
      <c r="Q608" s="479"/>
      <c r="AB608" s="573"/>
      <c r="AD608" s="573"/>
      <c r="AE608" s="574" t="s">
        <v>659</v>
      </c>
      <c r="AF608" s="573"/>
      <c r="AG608" s="573"/>
      <c r="AH608" s="573"/>
      <c r="AI608" s="573"/>
      <c r="AJ608" s="573"/>
      <c r="AK608" s="573"/>
      <c r="AL608" s="573"/>
      <c r="AM608" s="575"/>
    </row>
    <row r="609" spans="12:40" x14ac:dyDescent="0.2">
      <c r="X609" s="183" t="s">
        <v>466</v>
      </c>
      <c r="AC609" s="575"/>
      <c r="AD609" s="573"/>
      <c r="AE609" s="574" t="s">
        <v>662</v>
      </c>
      <c r="AF609" s="573"/>
      <c r="AG609" s="573"/>
      <c r="AH609" s="575"/>
      <c r="AI609" s="573"/>
      <c r="AJ609" s="573"/>
      <c r="AK609" s="573"/>
      <c r="AL609" s="574" t="s">
        <v>663</v>
      </c>
      <c r="AM609" s="575"/>
    </row>
    <row r="610" spans="12:40" x14ac:dyDescent="0.2">
      <c r="Q610" s="183" t="s">
        <v>664</v>
      </c>
      <c r="R610" s="183" t="s">
        <v>469</v>
      </c>
      <c r="S610" s="183"/>
      <c r="T610" s="183" t="s">
        <v>470</v>
      </c>
      <c r="X610" s="183" t="s">
        <v>471</v>
      </c>
      <c r="Y610" s="183" t="s">
        <v>470</v>
      </c>
      <c r="AC610" s="574" t="s">
        <v>668</v>
      </c>
      <c r="AD610" s="573" t="s">
        <v>117</v>
      </c>
      <c r="AE610" s="574" t="s">
        <v>669</v>
      </c>
      <c r="AF610" s="574" t="s">
        <v>670</v>
      </c>
      <c r="AG610" s="574" t="s">
        <v>671</v>
      </c>
      <c r="AH610" s="574" t="s">
        <v>672</v>
      </c>
      <c r="AI610" s="574" t="s">
        <v>118</v>
      </c>
      <c r="AJ610" s="574" t="s">
        <v>673</v>
      </c>
      <c r="AK610" s="573" t="s">
        <v>284</v>
      </c>
      <c r="AL610" s="574" t="s">
        <v>674</v>
      </c>
      <c r="AM610" s="575"/>
    </row>
    <row r="611" spans="12:40" x14ac:dyDescent="0.2">
      <c r="Q611" s="183" t="s">
        <v>474</v>
      </c>
      <c r="R611" s="183" t="s">
        <v>475</v>
      </c>
      <c r="S611" s="183"/>
      <c r="T611" s="183" t="s">
        <v>475</v>
      </c>
      <c r="U611" s="183" t="s">
        <v>476</v>
      </c>
      <c r="V611" s="183" t="s">
        <v>477</v>
      </c>
      <c r="W611" s="183" t="s">
        <v>478</v>
      </c>
      <c r="X611" s="183" t="s">
        <v>479</v>
      </c>
      <c r="Y611" s="183" t="s">
        <v>480</v>
      </c>
      <c r="Z611" s="183" t="s">
        <v>481</v>
      </c>
      <c r="AA611" s="183" t="s">
        <v>482</v>
      </c>
      <c r="AB611" s="183" t="s">
        <v>483</v>
      </c>
      <c r="AC611" s="574" t="s">
        <v>606</v>
      </c>
      <c r="AD611" s="574" t="s">
        <v>676</v>
      </c>
      <c r="AE611" s="574" t="s">
        <v>668</v>
      </c>
      <c r="AF611" s="574" t="s">
        <v>117</v>
      </c>
      <c r="AG611" s="574" t="s">
        <v>117</v>
      </c>
      <c r="AH611" s="573" t="s">
        <v>677</v>
      </c>
      <c r="AI611" s="574" t="s">
        <v>669</v>
      </c>
      <c r="AJ611" s="574" t="s">
        <v>678</v>
      </c>
      <c r="AK611" s="573" t="s">
        <v>679</v>
      </c>
      <c r="AL611" s="574" t="s">
        <v>680</v>
      </c>
      <c r="AM611" s="573" t="s">
        <v>84</v>
      </c>
    </row>
    <row r="612" spans="12:40" x14ac:dyDescent="0.2">
      <c r="P612" s="481" t="s">
        <v>487</v>
      </c>
      <c r="Q612" s="481"/>
      <c r="R612" s="481" t="s">
        <v>487</v>
      </c>
      <c r="S612" s="481"/>
      <c r="T612" s="481" t="s">
        <v>487</v>
      </c>
      <c r="U612" s="481" t="s">
        <v>487</v>
      </c>
      <c r="V612" s="481" t="s">
        <v>487</v>
      </c>
      <c r="W612" s="481" t="s">
        <v>487</v>
      </c>
      <c r="X612" s="481" t="s">
        <v>487</v>
      </c>
      <c r="Y612" s="481" t="s">
        <v>487</v>
      </c>
      <c r="Z612" s="481" t="s">
        <v>487</v>
      </c>
      <c r="AA612" s="481" t="s">
        <v>487</v>
      </c>
      <c r="AB612" s="481" t="s">
        <v>487</v>
      </c>
      <c r="AC612" s="576" t="s">
        <v>487</v>
      </c>
      <c r="AD612" s="576" t="s">
        <v>487</v>
      </c>
      <c r="AE612" s="576" t="s">
        <v>487</v>
      </c>
      <c r="AF612" s="576" t="s">
        <v>487</v>
      </c>
      <c r="AG612" s="576" t="s">
        <v>487</v>
      </c>
      <c r="AH612" s="576" t="s">
        <v>487</v>
      </c>
      <c r="AI612" s="576" t="s">
        <v>487</v>
      </c>
      <c r="AJ612" s="576" t="s">
        <v>487</v>
      </c>
      <c r="AK612" s="576" t="s">
        <v>487</v>
      </c>
      <c r="AL612" s="576" t="s">
        <v>487</v>
      </c>
      <c r="AM612" s="576" t="s">
        <v>487</v>
      </c>
    </row>
    <row r="613" spans="12:40" x14ac:dyDescent="0.2">
      <c r="V613" s="483"/>
      <c r="W613" s="483"/>
      <c r="X613" s="483"/>
      <c r="Z613" s="483"/>
      <c r="AC613" s="575"/>
      <c r="AD613" s="575"/>
      <c r="AE613" s="575"/>
      <c r="AF613" s="575"/>
      <c r="AG613" s="575"/>
      <c r="AH613" s="575"/>
      <c r="AI613" s="575"/>
      <c r="AJ613" s="575"/>
      <c r="AK613" s="575">
        <v>3.0000000000000001E-3</v>
      </c>
      <c r="AL613" s="575"/>
      <c r="AM613" s="575"/>
    </row>
    <row r="614" spans="12:40" x14ac:dyDescent="0.2">
      <c r="L614" s="577">
        <f>W614/U614</f>
        <v>3.8050001504525276E-2</v>
      </c>
      <c r="M614" s="578">
        <f>N614/R614</f>
        <v>10.714998549463301</v>
      </c>
      <c r="N614" s="483">
        <f>V614-AC614</f>
        <v>36934.6</v>
      </c>
      <c r="O614">
        <f>$O$69</f>
        <v>1</v>
      </c>
      <c r="P614" t="s">
        <v>600</v>
      </c>
      <c r="Q614">
        <v>3150</v>
      </c>
      <c r="R614" s="482">
        <v>3447</v>
      </c>
      <c r="S614" s="482">
        <v>3447</v>
      </c>
      <c r="T614" s="482"/>
      <c r="U614" s="482">
        <v>1794586</v>
      </c>
      <c r="V614" s="483">
        <v>36934.6</v>
      </c>
      <c r="W614" s="483">
        <v>68284</v>
      </c>
      <c r="X614" s="285">
        <f t="shared" ref="X614:X623" si="153">SUM(R636:X636)</f>
        <v>37071.279999999999</v>
      </c>
      <c r="Y614" s="483"/>
      <c r="Z614" s="483">
        <f t="shared" ref="Z614:Z625" si="154">SUM(V614:Y614)</f>
        <v>142289.88</v>
      </c>
      <c r="AA614" s="483">
        <v>147773.64000000001</v>
      </c>
      <c r="AB614" s="483">
        <f t="shared" ref="AB614:AB625" si="155">AA614-Z614</f>
        <v>5483.7600000000093</v>
      </c>
      <c r="AC614" s="575"/>
      <c r="AD614" s="575"/>
      <c r="AE614" s="575"/>
      <c r="AF614" s="575"/>
      <c r="AG614" s="575"/>
      <c r="AH614" s="580"/>
      <c r="AI614" s="575">
        <v>100</v>
      </c>
      <c r="AJ614" s="575"/>
      <c r="AK614" s="575">
        <f>U614*AK613</f>
        <v>5383.7579999999998</v>
      </c>
      <c r="AL614" s="575"/>
      <c r="AM614" s="575">
        <f>SUM(AI614:AL614)</f>
        <v>5483.7579999999998</v>
      </c>
      <c r="AN614" s="285">
        <f>AM614-AB614</f>
        <v>-2.0000000095024006E-3</v>
      </c>
    </row>
    <row r="615" spans="12:40" x14ac:dyDescent="0.2">
      <c r="L615" s="577">
        <f t="shared" ref="L615:L625" si="156">W615/U615</f>
        <v>3.8049998205673938E-2</v>
      </c>
      <c r="M615" s="578">
        <f t="shared" ref="M615:M625" si="157">N615/R615</f>
        <v>10.715001479727729</v>
      </c>
      <c r="N615" s="483">
        <f t="shared" ref="N615:N625" si="158">V615-AC615</f>
        <v>36205.99</v>
      </c>
      <c r="P615" t="s">
        <v>492</v>
      </c>
      <c r="Q615">
        <v>3150</v>
      </c>
      <c r="R615" s="482">
        <v>3379</v>
      </c>
      <c r="S615" s="482">
        <v>3379</v>
      </c>
      <c r="T615" s="482"/>
      <c r="U615" s="482">
        <v>1811265</v>
      </c>
      <c r="V615" s="483">
        <v>36205.99</v>
      </c>
      <c r="W615" s="483">
        <v>68918.63</v>
      </c>
      <c r="X615" s="285">
        <f t="shared" si="153"/>
        <v>31684.750000000004</v>
      </c>
      <c r="Y615" s="483"/>
      <c r="Z615" s="483">
        <f t="shared" si="154"/>
        <v>136809.37</v>
      </c>
      <c r="AA615" s="483">
        <v>142343.17000000001</v>
      </c>
      <c r="AB615" s="483">
        <f t="shared" si="155"/>
        <v>5533.8000000000175</v>
      </c>
      <c r="AC615" s="575"/>
      <c r="AD615" s="575"/>
      <c r="AE615" s="575"/>
      <c r="AF615" s="575"/>
      <c r="AG615" s="575"/>
      <c r="AH615" s="580"/>
      <c r="AI615" s="575">
        <v>100</v>
      </c>
      <c r="AJ615" s="575"/>
      <c r="AK615" s="575">
        <f>U615*AK613</f>
        <v>5433.7950000000001</v>
      </c>
      <c r="AL615" s="575"/>
      <c r="AM615" s="575">
        <f t="shared" ref="AM615:AM625" si="159">SUM(AI615:AL615)</f>
        <v>5533.7950000000001</v>
      </c>
      <c r="AN615" s="285">
        <f t="shared" ref="AN615:AN625" si="160">AM615-AB615</f>
        <v>-5.0000000173895387E-3</v>
      </c>
    </row>
    <row r="616" spans="12:40" x14ac:dyDescent="0.2">
      <c r="L616" s="577">
        <f t="shared" si="156"/>
        <v>3.8049997646834775E-2</v>
      </c>
      <c r="M616" s="578">
        <f t="shared" si="157"/>
        <v>10.714998577524893</v>
      </c>
      <c r="N616" s="483">
        <f t="shared" si="158"/>
        <v>37663.22</v>
      </c>
      <c r="P616" t="s">
        <v>493</v>
      </c>
      <c r="Q616">
        <v>3150</v>
      </c>
      <c r="R616" s="482">
        <v>3515</v>
      </c>
      <c r="S616" s="482">
        <v>3515</v>
      </c>
      <c r="T616" s="482"/>
      <c r="U616" s="482">
        <v>1827326</v>
      </c>
      <c r="V616" s="483">
        <v>37663.22</v>
      </c>
      <c r="W616" s="483">
        <v>69529.75</v>
      </c>
      <c r="X616" s="285">
        <f t="shared" si="153"/>
        <v>34613.259999999995</v>
      </c>
      <c r="Y616" s="483"/>
      <c r="Z616" s="483">
        <f t="shared" si="154"/>
        <v>141806.22999999998</v>
      </c>
      <c r="AA616" s="483">
        <v>147388.21</v>
      </c>
      <c r="AB616" s="483">
        <f t="shared" si="155"/>
        <v>5581.9800000000105</v>
      </c>
      <c r="AC616" s="575"/>
      <c r="AD616" s="575"/>
      <c r="AE616" s="575"/>
      <c r="AF616" s="575"/>
      <c r="AG616" s="575"/>
      <c r="AH616" s="580"/>
      <c r="AI616" s="575">
        <v>100</v>
      </c>
      <c r="AJ616" s="575"/>
      <c r="AK616" s="575">
        <f>U616*AK613</f>
        <v>5481.9780000000001</v>
      </c>
      <c r="AL616" s="575"/>
      <c r="AM616" s="575">
        <f t="shared" si="159"/>
        <v>5581.9780000000001</v>
      </c>
      <c r="AN616" s="285">
        <f t="shared" si="160"/>
        <v>-2.0000000104118953E-3</v>
      </c>
    </row>
    <row r="617" spans="12:40" x14ac:dyDescent="0.2">
      <c r="L617" s="577">
        <f t="shared" si="156"/>
        <v>3.8050001440932957E-2</v>
      </c>
      <c r="M617" s="578">
        <f t="shared" si="157"/>
        <v>10.714998595900028</v>
      </c>
      <c r="N617" s="483">
        <f t="shared" si="158"/>
        <v>38156.11</v>
      </c>
      <c r="P617" t="s">
        <v>494</v>
      </c>
      <c r="Q617">
        <v>3150</v>
      </c>
      <c r="R617" s="482">
        <v>3561</v>
      </c>
      <c r="S617" s="482">
        <v>3561</v>
      </c>
      <c r="T617" s="482"/>
      <c r="U617" s="482">
        <v>1873786</v>
      </c>
      <c r="V617" s="483">
        <v>38156.11</v>
      </c>
      <c r="W617" s="483">
        <v>71297.56</v>
      </c>
      <c r="X617" s="285">
        <f t="shared" si="153"/>
        <v>15362.240000000002</v>
      </c>
      <c r="Y617" s="483"/>
      <c r="Z617" s="483">
        <f t="shared" si="154"/>
        <v>124815.91</v>
      </c>
      <c r="AA617" s="483">
        <v>130537.27</v>
      </c>
      <c r="AB617" s="483">
        <f t="shared" si="155"/>
        <v>5721.3600000000006</v>
      </c>
      <c r="AC617" s="575"/>
      <c r="AD617" s="575"/>
      <c r="AE617" s="575"/>
      <c r="AF617" s="575"/>
      <c r="AG617" s="575"/>
      <c r="AH617" s="580"/>
      <c r="AI617" s="575">
        <v>100</v>
      </c>
      <c r="AJ617" s="575"/>
      <c r="AK617" s="575">
        <f>U617*AK613</f>
        <v>5621.3580000000002</v>
      </c>
      <c r="AL617" s="575"/>
      <c r="AM617" s="575">
        <f t="shared" si="159"/>
        <v>5721.3580000000002</v>
      </c>
      <c r="AN617" s="285">
        <f t="shared" si="160"/>
        <v>-2.0000000004074536E-3</v>
      </c>
    </row>
    <row r="618" spans="12:40" x14ac:dyDescent="0.2">
      <c r="L618" s="577">
        <f t="shared" si="156"/>
        <v>3.8049999809894916E-2</v>
      </c>
      <c r="M618" s="578">
        <f t="shared" si="157"/>
        <v>10.714998577524893</v>
      </c>
      <c r="N618" s="483">
        <f t="shared" si="158"/>
        <v>37663.22</v>
      </c>
      <c r="P618" t="s">
        <v>495</v>
      </c>
      <c r="Q618">
        <v>3150</v>
      </c>
      <c r="R618" s="482">
        <v>3515</v>
      </c>
      <c r="S618" s="482">
        <v>3515</v>
      </c>
      <c r="T618" s="482"/>
      <c r="U618" s="482">
        <v>1841087</v>
      </c>
      <c r="V618" s="483">
        <v>37663.22</v>
      </c>
      <c r="W618" s="483">
        <v>70053.36</v>
      </c>
      <c r="X618" s="285">
        <f t="shared" si="153"/>
        <v>42089.350000000006</v>
      </c>
      <c r="Y618" s="483"/>
      <c r="Z618" s="483">
        <f t="shared" si="154"/>
        <v>149805.93</v>
      </c>
      <c r="AA618" s="483">
        <v>155429.19</v>
      </c>
      <c r="AB618" s="483">
        <f t="shared" si="155"/>
        <v>5623.2600000000093</v>
      </c>
      <c r="AC618" s="575"/>
      <c r="AD618" s="575"/>
      <c r="AE618" s="575"/>
      <c r="AF618" s="575"/>
      <c r="AG618" s="575"/>
      <c r="AH618" s="580"/>
      <c r="AI618" s="575">
        <v>100</v>
      </c>
      <c r="AJ618" s="575"/>
      <c r="AK618" s="575">
        <f>U618*AK613</f>
        <v>5523.2610000000004</v>
      </c>
      <c r="AL618" s="575"/>
      <c r="AM618" s="575">
        <f t="shared" si="159"/>
        <v>5623.2610000000004</v>
      </c>
      <c r="AN618" s="285">
        <f t="shared" si="160"/>
        <v>9.999999911087798E-4</v>
      </c>
    </row>
    <row r="619" spans="12:40" x14ac:dyDescent="0.2">
      <c r="L619" s="577">
        <f t="shared" si="156"/>
        <v>3.8050001493685252E-2</v>
      </c>
      <c r="M619" s="578">
        <f t="shared" si="157"/>
        <v>10.715001431434297</v>
      </c>
      <c r="N619" s="483">
        <f t="shared" si="158"/>
        <v>37427.5</v>
      </c>
      <c r="P619" t="s">
        <v>496</v>
      </c>
      <c r="Q619">
        <v>3150</v>
      </c>
      <c r="R619" s="482">
        <v>3493</v>
      </c>
      <c r="S619" s="482">
        <v>3493</v>
      </c>
      <c r="T619" s="482">
        <v>67</v>
      </c>
      <c r="U619" s="482">
        <v>1974981</v>
      </c>
      <c r="V619" s="483">
        <v>37427.5</v>
      </c>
      <c r="W619" s="483">
        <v>75148.03</v>
      </c>
      <c r="X619" s="285">
        <f t="shared" si="153"/>
        <v>47710.59</v>
      </c>
      <c r="Y619" s="483">
        <v>717.9</v>
      </c>
      <c r="Z619" s="483">
        <f t="shared" si="154"/>
        <v>161004.01999999999</v>
      </c>
      <c r="AA619" s="483">
        <v>167028.96</v>
      </c>
      <c r="AB619" s="483">
        <f t="shared" si="155"/>
        <v>6024.9400000000023</v>
      </c>
      <c r="AC619" s="575"/>
      <c r="AD619" s="575"/>
      <c r="AE619" s="575"/>
      <c r="AF619" s="575"/>
      <c r="AG619" s="575"/>
      <c r="AH619" s="580"/>
      <c r="AI619" s="575">
        <v>100</v>
      </c>
      <c r="AJ619" s="575"/>
      <c r="AK619" s="575">
        <f>U619*AK613</f>
        <v>5924.9430000000002</v>
      </c>
      <c r="AL619" s="575"/>
      <c r="AM619" s="575">
        <f t="shared" si="159"/>
        <v>6024.9430000000002</v>
      </c>
      <c r="AN619" s="285">
        <f t="shared" si="160"/>
        <v>2.9999999978826963E-3</v>
      </c>
    </row>
    <row r="620" spans="12:40" x14ac:dyDescent="0.2">
      <c r="L620" s="577">
        <f t="shared" si="156"/>
        <v>3.80500027531364E-2</v>
      </c>
      <c r="M620" s="578">
        <f t="shared" si="157"/>
        <v>10.715</v>
      </c>
      <c r="N620" s="483">
        <f t="shared" si="158"/>
        <v>37909.67</v>
      </c>
      <c r="P620" t="s">
        <v>497</v>
      </c>
      <c r="Q620">
        <v>3150</v>
      </c>
      <c r="R620" s="482">
        <v>3538</v>
      </c>
      <c r="S620" s="482">
        <v>3538</v>
      </c>
      <c r="T620" s="482"/>
      <c r="U620" s="482">
        <v>1725305</v>
      </c>
      <c r="V620" s="483">
        <v>37909.67</v>
      </c>
      <c r="W620" s="483">
        <v>65647.86</v>
      </c>
      <c r="X620" s="285">
        <f t="shared" si="153"/>
        <v>67652.949999999983</v>
      </c>
      <c r="Y620" s="483"/>
      <c r="Z620" s="483">
        <f t="shared" si="154"/>
        <v>171210.47999999998</v>
      </c>
      <c r="AA620" s="483">
        <v>176486.39</v>
      </c>
      <c r="AB620" s="483">
        <f t="shared" si="155"/>
        <v>5275.9100000000326</v>
      </c>
      <c r="AC620" s="575"/>
      <c r="AD620" s="575"/>
      <c r="AE620" s="575"/>
      <c r="AF620" s="575"/>
      <c r="AG620" s="575"/>
      <c r="AH620" s="580"/>
      <c r="AI620" s="575">
        <v>100</v>
      </c>
      <c r="AJ620" s="575"/>
      <c r="AK620" s="575">
        <f>U620*AK613</f>
        <v>5175.915</v>
      </c>
      <c r="AL620" s="575"/>
      <c r="AM620" s="575">
        <f t="shared" si="159"/>
        <v>5275.915</v>
      </c>
      <c r="AN620" s="285">
        <f t="shared" si="160"/>
        <v>4.9999999673673301E-3</v>
      </c>
    </row>
    <row r="621" spans="12:40" x14ac:dyDescent="0.2">
      <c r="L621" s="577">
        <f t="shared" si="156"/>
        <v>3.8049997632322863E-2</v>
      </c>
      <c r="M621" s="578">
        <f t="shared" si="157"/>
        <v>10.714998536728125</v>
      </c>
      <c r="N621" s="483">
        <f t="shared" si="158"/>
        <v>36613.15</v>
      </c>
      <c r="P621" t="s">
        <v>498</v>
      </c>
      <c r="Q621">
        <v>3150</v>
      </c>
      <c r="R621" s="482">
        <v>3417</v>
      </c>
      <c r="S621" s="482">
        <v>3417</v>
      </c>
      <c r="T621" s="482">
        <v>15</v>
      </c>
      <c r="U621" s="482">
        <v>1816126</v>
      </c>
      <c r="V621" s="483">
        <v>36613.15</v>
      </c>
      <c r="W621" s="483">
        <v>69103.59</v>
      </c>
      <c r="X621" s="285">
        <f t="shared" si="153"/>
        <v>62669.55</v>
      </c>
      <c r="Y621" s="483">
        <v>160.72</v>
      </c>
      <c r="Z621" s="483">
        <f t="shared" si="154"/>
        <v>168547.00999999998</v>
      </c>
      <c r="AA621" s="483">
        <v>174095.39</v>
      </c>
      <c r="AB621" s="483">
        <f t="shared" si="155"/>
        <v>5548.3800000000338</v>
      </c>
      <c r="AC621" s="575"/>
      <c r="AD621" s="575"/>
      <c r="AE621" s="575"/>
      <c r="AF621" s="575"/>
      <c r="AG621" s="575"/>
      <c r="AH621" s="580"/>
      <c r="AI621" s="575">
        <v>100</v>
      </c>
      <c r="AJ621" s="575"/>
      <c r="AK621" s="575">
        <f>U621*AK613</f>
        <v>5448.3779999999997</v>
      </c>
      <c r="AL621" s="575"/>
      <c r="AM621" s="575">
        <f t="shared" si="159"/>
        <v>5548.3779999999997</v>
      </c>
      <c r="AN621" s="285">
        <f t="shared" si="160"/>
        <v>-2.0000000340587576E-3</v>
      </c>
    </row>
    <row r="622" spans="12:40" x14ac:dyDescent="0.2">
      <c r="L622" s="577">
        <f t="shared" si="156"/>
        <v>3.804999811390878E-2</v>
      </c>
      <c r="M622" s="578">
        <f t="shared" si="157"/>
        <v>10.715000000000002</v>
      </c>
      <c r="N622" s="483">
        <f t="shared" si="158"/>
        <v>37181.050000000003</v>
      </c>
      <c r="P622" t="s">
        <v>499</v>
      </c>
      <c r="Q622">
        <v>3150</v>
      </c>
      <c r="R622" s="482">
        <v>3470</v>
      </c>
      <c r="S622" s="482">
        <v>3470</v>
      </c>
      <c r="T622" s="482">
        <v>105</v>
      </c>
      <c r="U622" s="482">
        <v>1617101</v>
      </c>
      <c r="V622" s="483">
        <v>37181.050000000003</v>
      </c>
      <c r="W622" s="483">
        <v>61530.69</v>
      </c>
      <c r="X622" s="285">
        <f t="shared" si="153"/>
        <v>44732.08</v>
      </c>
      <c r="Y622" s="483">
        <v>1125.08</v>
      </c>
      <c r="Z622" s="483">
        <f t="shared" si="154"/>
        <v>144568.9</v>
      </c>
      <c r="AA622" s="483">
        <v>149520.21</v>
      </c>
      <c r="AB622" s="483">
        <f t="shared" si="155"/>
        <v>4951.3099999999977</v>
      </c>
      <c r="AC622" s="575"/>
      <c r="AD622" s="575"/>
      <c r="AE622" s="575"/>
      <c r="AF622" s="575"/>
      <c r="AG622" s="575"/>
      <c r="AH622" s="580"/>
      <c r="AI622" s="575">
        <v>100</v>
      </c>
      <c r="AJ622" s="575"/>
      <c r="AK622" s="575">
        <f>U622*AK613</f>
        <v>4851.3029999999999</v>
      </c>
      <c r="AL622" s="575"/>
      <c r="AM622" s="575">
        <f t="shared" si="159"/>
        <v>4951.3029999999999</v>
      </c>
      <c r="AN622" s="285">
        <f t="shared" si="160"/>
        <v>-6.9999999977881089E-3</v>
      </c>
    </row>
    <row r="623" spans="12:40" x14ac:dyDescent="0.2">
      <c r="L623" s="577">
        <f t="shared" si="156"/>
        <v>3.8050001956011201E-2</v>
      </c>
      <c r="M623" s="578">
        <f t="shared" si="157"/>
        <v>10.715000000000002</v>
      </c>
      <c r="N623" s="483">
        <f t="shared" si="158"/>
        <v>37181.050000000003</v>
      </c>
      <c r="P623" t="s">
        <v>500</v>
      </c>
      <c r="Q623">
        <v>3150</v>
      </c>
      <c r="R623" s="482">
        <v>3470</v>
      </c>
      <c r="S623" s="482">
        <v>3470</v>
      </c>
      <c r="T623" s="482"/>
      <c r="U623" s="482">
        <v>1584858</v>
      </c>
      <c r="V623" s="483">
        <v>37181.050000000003</v>
      </c>
      <c r="W623" s="483">
        <v>60303.85</v>
      </c>
      <c r="X623" s="285">
        <f t="shared" si="153"/>
        <v>39910.340000000004</v>
      </c>
      <c r="Y623" s="483"/>
      <c r="Z623" s="483">
        <f t="shared" si="154"/>
        <v>137395.24</v>
      </c>
      <c r="AA623" s="483">
        <v>142249.81</v>
      </c>
      <c r="AB623" s="483">
        <f t="shared" si="155"/>
        <v>4854.570000000007</v>
      </c>
      <c r="AC623" s="575"/>
      <c r="AD623" s="575"/>
      <c r="AE623" s="575"/>
      <c r="AF623" s="580"/>
      <c r="AG623" s="580"/>
      <c r="AH623" s="580"/>
      <c r="AI623" s="575">
        <v>100</v>
      </c>
      <c r="AJ623" s="575"/>
      <c r="AK623" s="575">
        <f>U623*AK613</f>
        <v>4754.5740000000005</v>
      </c>
      <c r="AL623" s="575"/>
      <c r="AM623" s="575">
        <f t="shared" si="159"/>
        <v>4854.5740000000005</v>
      </c>
      <c r="AN623" s="285">
        <f t="shared" si="160"/>
        <v>3.9999999935389496E-3</v>
      </c>
    </row>
    <row r="624" spans="12:40" x14ac:dyDescent="0.2">
      <c r="L624" s="577">
        <f t="shared" si="156"/>
        <v>3.8049999673445349E-2</v>
      </c>
      <c r="M624" s="578">
        <f t="shared" si="157"/>
        <v>10.715</v>
      </c>
      <c r="N624" s="483">
        <f t="shared" si="158"/>
        <v>38724.01</v>
      </c>
      <c r="P624" s="327" t="s">
        <v>545</v>
      </c>
      <c r="Q624">
        <v>3150</v>
      </c>
      <c r="R624" s="482">
        <v>3614</v>
      </c>
      <c r="S624" s="482">
        <v>3614</v>
      </c>
      <c r="T624" s="482"/>
      <c r="U624" s="482">
        <v>1684251</v>
      </c>
      <c r="V624" s="483">
        <v>38724.01</v>
      </c>
      <c r="W624" s="483">
        <v>64085.75</v>
      </c>
      <c r="X624" s="285">
        <f t="shared" ref="X624:X625" si="161">SUM(R646:Y646)</f>
        <v>44036.39</v>
      </c>
      <c r="Y624" s="483"/>
      <c r="Z624" s="483">
        <f t="shared" si="154"/>
        <v>146846.15000000002</v>
      </c>
      <c r="AA624" s="483">
        <v>151998.9</v>
      </c>
      <c r="AB624" s="483">
        <f t="shared" si="155"/>
        <v>5152.7499999999709</v>
      </c>
      <c r="AC624" s="575"/>
      <c r="AD624" s="575"/>
      <c r="AE624" s="575"/>
      <c r="AF624" s="580"/>
      <c r="AG624" s="580"/>
      <c r="AH624" s="580"/>
      <c r="AI624" s="575">
        <v>100</v>
      </c>
      <c r="AJ624" s="575"/>
      <c r="AK624" s="575">
        <f>U624*AK613</f>
        <v>5052.7529999999997</v>
      </c>
      <c r="AL624" s="575"/>
      <c r="AM624" s="575">
        <f t="shared" si="159"/>
        <v>5152.7529999999997</v>
      </c>
      <c r="AN624" s="285">
        <f t="shared" si="160"/>
        <v>3.0000000288055162E-3</v>
      </c>
    </row>
    <row r="625" spans="12:40" x14ac:dyDescent="0.2">
      <c r="L625" s="577">
        <f t="shared" si="156"/>
        <v>3.8050001971922216E-2</v>
      </c>
      <c r="M625" s="578">
        <f t="shared" si="157"/>
        <v>10.715001431434297</v>
      </c>
      <c r="N625" s="483">
        <f t="shared" si="158"/>
        <v>37427.5</v>
      </c>
      <c r="O625">
        <f>$O$80</f>
        <v>12</v>
      </c>
      <c r="P625" t="s">
        <v>688</v>
      </c>
      <c r="Q625">
        <v>3150</v>
      </c>
      <c r="R625" s="482">
        <v>3493</v>
      </c>
      <c r="S625" s="482">
        <v>3493</v>
      </c>
      <c r="T625" s="482"/>
      <c r="U625" s="482">
        <v>1673494</v>
      </c>
      <c r="V625" s="483">
        <v>37427.5</v>
      </c>
      <c r="W625" s="483">
        <v>63676.45</v>
      </c>
      <c r="X625" s="285">
        <f t="shared" si="161"/>
        <v>23422.82</v>
      </c>
      <c r="Y625" s="483"/>
      <c r="Z625" s="483">
        <f t="shared" si="154"/>
        <v>124526.76999999999</v>
      </c>
      <c r="AA625" s="483">
        <v>129647.25</v>
      </c>
      <c r="AB625" s="483">
        <f t="shared" si="155"/>
        <v>5120.4800000000105</v>
      </c>
      <c r="AC625" s="575"/>
      <c r="AD625" s="575"/>
      <c r="AE625" s="575"/>
      <c r="AF625" s="580"/>
      <c r="AG625" s="580"/>
      <c r="AH625" s="580"/>
      <c r="AI625" s="575">
        <v>100</v>
      </c>
      <c r="AJ625" s="575"/>
      <c r="AK625" s="575">
        <f>U625*AK613</f>
        <v>5020.482</v>
      </c>
      <c r="AL625" s="575"/>
      <c r="AM625" s="575">
        <f t="shared" si="159"/>
        <v>5120.482</v>
      </c>
      <c r="AN625" s="285">
        <f t="shared" si="160"/>
        <v>1.9999999894935172E-3</v>
      </c>
    </row>
    <row r="626" spans="12:40" x14ac:dyDescent="0.2">
      <c r="R626" s="488" t="s">
        <v>487</v>
      </c>
      <c r="S626" s="488"/>
      <c r="T626" s="488" t="s">
        <v>487</v>
      </c>
      <c r="U626" s="488" t="s">
        <v>487</v>
      </c>
      <c r="V626" s="489" t="s">
        <v>487</v>
      </c>
      <c r="W626" s="489" t="s">
        <v>487</v>
      </c>
      <c r="X626" s="489" t="s">
        <v>487</v>
      </c>
      <c r="Y626" s="481" t="s">
        <v>487</v>
      </c>
      <c r="Z626" s="489" t="s">
        <v>487</v>
      </c>
      <c r="AA626" s="489" t="s">
        <v>487</v>
      </c>
      <c r="AB626" s="489" t="s">
        <v>487</v>
      </c>
      <c r="AC626" s="575"/>
      <c r="AD626" s="575"/>
      <c r="AE626" s="575"/>
      <c r="AF626" s="575"/>
      <c r="AG626" s="575"/>
      <c r="AH626" s="575"/>
      <c r="AI626" s="575"/>
      <c r="AJ626" s="575"/>
      <c r="AK626" s="575"/>
      <c r="AL626" s="575"/>
      <c r="AM626" s="575"/>
    </row>
    <row r="627" spans="12:40" x14ac:dyDescent="0.2">
      <c r="R627" s="482"/>
      <c r="S627" s="482"/>
      <c r="T627" s="482"/>
      <c r="U627" s="482"/>
      <c r="V627" s="483"/>
      <c r="W627" s="483"/>
      <c r="X627" s="483"/>
      <c r="Z627" s="483"/>
      <c r="AA627" s="483"/>
      <c r="AB627" s="483"/>
      <c r="AC627" s="575"/>
      <c r="AD627" s="575"/>
      <c r="AE627" s="575"/>
      <c r="AF627" s="575"/>
      <c r="AG627" s="575"/>
      <c r="AH627" s="575"/>
      <c r="AI627" s="575"/>
      <c r="AJ627" s="575"/>
      <c r="AK627" s="575"/>
      <c r="AL627" s="575"/>
      <c r="AM627" s="575"/>
    </row>
    <row r="628" spans="12:40" x14ac:dyDescent="0.2">
      <c r="R628" s="482">
        <f t="shared" ref="R628:AM628" si="162">SUM(R614:R625)</f>
        <v>41912</v>
      </c>
      <c r="S628" s="482"/>
      <c r="T628" s="482">
        <f t="shared" si="162"/>
        <v>187</v>
      </c>
      <c r="U628" s="482">
        <f t="shared" si="162"/>
        <v>21224166</v>
      </c>
      <c r="V628" s="483">
        <f t="shared" si="162"/>
        <v>449087.07</v>
      </c>
      <c r="W628" s="483">
        <f t="shared" si="162"/>
        <v>807579.5199999999</v>
      </c>
      <c r="X628" s="483">
        <f t="shared" si="162"/>
        <v>490955.60000000003</v>
      </c>
      <c r="Y628" s="483">
        <f t="shared" si="162"/>
        <v>2003.6999999999998</v>
      </c>
      <c r="Z628" s="483">
        <f t="shared" si="162"/>
        <v>1749625.8900000001</v>
      </c>
      <c r="AA628" s="483">
        <f t="shared" si="162"/>
        <v>1814498.3900000001</v>
      </c>
      <c r="AB628" s="483">
        <f t="shared" si="162"/>
        <v>64872.500000000102</v>
      </c>
      <c r="AC628" s="584">
        <f t="shared" si="162"/>
        <v>0</v>
      </c>
      <c r="AD628" s="584">
        <f t="shared" si="162"/>
        <v>0</v>
      </c>
      <c r="AE628" s="584">
        <f t="shared" si="162"/>
        <v>0</v>
      </c>
      <c r="AF628" s="584">
        <f t="shared" si="162"/>
        <v>0</v>
      </c>
      <c r="AG628" s="584">
        <f t="shared" si="162"/>
        <v>0</v>
      </c>
      <c r="AH628" s="584">
        <f t="shared" si="162"/>
        <v>0</v>
      </c>
      <c r="AI628" s="584">
        <f t="shared" si="162"/>
        <v>1200</v>
      </c>
      <c r="AJ628" s="584">
        <f t="shared" si="162"/>
        <v>0</v>
      </c>
      <c r="AK628" s="584">
        <f t="shared" si="162"/>
        <v>63672.497999999992</v>
      </c>
      <c r="AL628" s="584">
        <f t="shared" si="162"/>
        <v>0</v>
      </c>
      <c r="AM628" s="584">
        <f t="shared" si="162"/>
        <v>64872.497999999992</v>
      </c>
    </row>
    <row r="629" spans="12:40" x14ac:dyDescent="0.2">
      <c r="R629" s="488" t="s">
        <v>501</v>
      </c>
      <c r="S629" s="488"/>
      <c r="T629" s="488" t="s">
        <v>501</v>
      </c>
      <c r="U629" s="488" t="s">
        <v>501</v>
      </c>
      <c r="V629" s="489" t="s">
        <v>501</v>
      </c>
      <c r="W629" s="489" t="s">
        <v>501</v>
      </c>
      <c r="X629" s="489" t="s">
        <v>501</v>
      </c>
      <c r="Y629" s="489" t="s">
        <v>501</v>
      </c>
      <c r="Z629" s="489" t="s">
        <v>501</v>
      </c>
      <c r="AA629" s="489" t="s">
        <v>501</v>
      </c>
      <c r="AB629" s="489" t="s">
        <v>501</v>
      </c>
      <c r="AC629" s="585" t="s">
        <v>501</v>
      </c>
      <c r="AD629" s="585" t="s">
        <v>501</v>
      </c>
      <c r="AE629" s="585" t="s">
        <v>501</v>
      </c>
      <c r="AF629" s="585" t="s">
        <v>501</v>
      </c>
      <c r="AG629" s="585" t="s">
        <v>501</v>
      </c>
      <c r="AH629" s="585" t="s">
        <v>501</v>
      </c>
      <c r="AI629" s="585" t="s">
        <v>501</v>
      </c>
      <c r="AJ629" s="585" t="s">
        <v>501</v>
      </c>
      <c r="AK629" s="585" t="s">
        <v>501</v>
      </c>
      <c r="AL629" s="585" t="s">
        <v>501</v>
      </c>
      <c r="AM629" s="585" t="s">
        <v>501</v>
      </c>
    </row>
    <row r="630" spans="12:40" x14ac:dyDescent="0.2">
      <c r="R630" s="482"/>
      <c r="S630" s="482"/>
      <c r="U630" s="482"/>
      <c r="V630" s="495"/>
      <c r="W630" s="495"/>
      <c r="X630" s="495"/>
      <c r="Z630" s="495"/>
      <c r="AA630" s="495"/>
    </row>
    <row r="632" spans="12:40" x14ac:dyDescent="0.2">
      <c r="S632" s="183" t="s">
        <v>549</v>
      </c>
    </row>
    <row r="633" spans="12:40" x14ac:dyDescent="0.2">
      <c r="P633" s="183"/>
      <c r="Q633" s="183"/>
      <c r="R633" s="183" t="s">
        <v>550</v>
      </c>
      <c r="S633" s="183" t="s">
        <v>551</v>
      </c>
      <c r="T633" s="183" t="s">
        <v>552</v>
      </c>
      <c r="U633" s="183" t="s">
        <v>555</v>
      </c>
      <c r="V633" s="183" t="s">
        <v>596</v>
      </c>
      <c r="W633" s="183" t="s">
        <v>553</v>
      </c>
      <c r="X633" s="183" t="s">
        <v>554</v>
      </c>
      <c r="Y633" s="183" t="s">
        <v>556</v>
      </c>
      <c r="Z633" s="183"/>
      <c r="AA633" s="183"/>
      <c r="AB633" s="183"/>
      <c r="AD633" s="183"/>
      <c r="AE633" s="183"/>
      <c r="AF633" s="183"/>
      <c r="AG633" s="183"/>
      <c r="AH633" s="183"/>
    </row>
    <row r="634" spans="12:40" x14ac:dyDescent="0.2">
      <c r="P634" s="183"/>
      <c r="Q634" s="183"/>
      <c r="R634" s="521" t="s">
        <v>471</v>
      </c>
      <c r="S634" s="521" t="s">
        <v>558</v>
      </c>
      <c r="T634" s="521" t="s">
        <v>559</v>
      </c>
      <c r="U634" s="521" t="s">
        <v>562</v>
      </c>
      <c r="V634" s="521" t="s">
        <v>597</v>
      </c>
      <c r="W634" s="521" t="s">
        <v>560</v>
      </c>
      <c r="X634" s="521" t="s">
        <v>561</v>
      </c>
      <c r="Y634" s="521" t="s">
        <v>563</v>
      </c>
      <c r="Z634" s="183"/>
      <c r="AA634" s="183"/>
      <c r="AB634" s="183"/>
      <c r="AD634" s="183"/>
      <c r="AE634" s="183"/>
      <c r="AF634" s="183"/>
      <c r="AG634" s="183"/>
      <c r="AH634" s="183"/>
    </row>
    <row r="635" spans="12:40" x14ac:dyDescent="0.2">
      <c r="P635" s="183"/>
      <c r="Q635" s="183"/>
      <c r="R635" s="183"/>
      <c r="S635" s="183"/>
      <c r="T635" s="183"/>
      <c r="U635" s="183"/>
      <c r="V635" s="183"/>
      <c r="W635" s="183"/>
      <c r="X635" s="183"/>
      <c r="Y635" s="183"/>
      <c r="Z635" s="183"/>
      <c r="AA635" s="183"/>
      <c r="AB635" s="523" t="s">
        <v>84</v>
      </c>
      <c r="AD635" s="183"/>
      <c r="AE635" s="183"/>
      <c r="AF635" s="183"/>
      <c r="AG635" s="183"/>
      <c r="AH635" s="183"/>
    </row>
    <row r="636" spans="12:40" x14ac:dyDescent="0.2">
      <c r="O636">
        <f>$O$69</f>
        <v>1</v>
      </c>
      <c r="P636" t="str">
        <f t="shared" ref="P636:P647" si="163">P614</f>
        <v>MAR</v>
      </c>
      <c r="R636" s="294">
        <v>34409.39</v>
      </c>
      <c r="S636" s="294">
        <v>4473.8999999999996</v>
      </c>
      <c r="T636" s="294">
        <v>7723.57</v>
      </c>
      <c r="U636" s="294">
        <v>-9535.58</v>
      </c>
      <c r="V636" s="294"/>
      <c r="W636" s="294"/>
      <c r="X636" s="294"/>
      <c r="Z636" s="294"/>
      <c r="AA636" s="294"/>
      <c r="AB636" s="285">
        <f t="shared" ref="AB636:AB647" si="164">SUM(R636:AA636)</f>
        <v>37071.279999999999</v>
      </c>
    </row>
    <row r="637" spans="12:40" x14ac:dyDescent="0.2">
      <c r="P637" t="str">
        <f t="shared" si="163"/>
        <v>APR</v>
      </c>
      <c r="R637" s="294">
        <v>27580.13</v>
      </c>
      <c r="S637" s="294">
        <v>4515.4799999999996</v>
      </c>
      <c r="T637" s="294">
        <v>8937.66</v>
      </c>
      <c r="U637" s="294">
        <v>-9348.52</v>
      </c>
      <c r="V637" s="294"/>
      <c r="W637" s="294"/>
      <c r="X637" s="294"/>
      <c r="Z637" s="294"/>
      <c r="AA637" s="294"/>
      <c r="AB637" s="285">
        <f t="shared" si="164"/>
        <v>31684.750000000004</v>
      </c>
    </row>
    <row r="638" spans="12:40" x14ac:dyDescent="0.2">
      <c r="P638" t="str">
        <f t="shared" si="163"/>
        <v>MAY</v>
      </c>
      <c r="R638" s="294">
        <v>33025.26</v>
      </c>
      <c r="S638" s="294">
        <v>4555.5200000000004</v>
      </c>
      <c r="T638" s="294">
        <v>6249.96</v>
      </c>
      <c r="U638" s="294">
        <v>-9217.48</v>
      </c>
      <c r="V638" s="294"/>
      <c r="W638" s="294"/>
      <c r="X638" s="294"/>
      <c r="Z638" s="294"/>
      <c r="AA638" s="294"/>
      <c r="AB638" s="285">
        <f t="shared" si="164"/>
        <v>34613.259999999995</v>
      </c>
    </row>
    <row r="639" spans="12:40" x14ac:dyDescent="0.2">
      <c r="P639" t="str">
        <f t="shared" si="163"/>
        <v>JUN</v>
      </c>
      <c r="R639" s="486">
        <v>11606.23</v>
      </c>
      <c r="S639" s="486">
        <v>4671.3500000000004</v>
      </c>
      <c r="T639" s="486">
        <v>8028.96</v>
      </c>
      <c r="U639" s="486">
        <v>-8944.2999999999993</v>
      </c>
      <c r="V639" s="294"/>
      <c r="W639" s="294"/>
      <c r="X639" s="294"/>
      <c r="Z639" s="294"/>
      <c r="AA639" s="294"/>
      <c r="AB639" s="285">
        <f t="shared" si="164"/>
        <v>15362.240000000002</v>
      </c>
    </row>
    <row r="640" spans="12:40" x14ac:dyDescent="0.2">
      <c r="P640" t="str">
        <f t="shared" si="163"/>
        <v>JUL</v>
      </c>
      <c r="R640" s="294">
        <v>37679.69</v>
      </c>
      <c r="S640" s="294">
        <v>4589.83</v>
      </c>
      <c r="T640" s="294">
        <v>6855.18</v>
      </c>
      <c r="U640" s="294">
        <v>-7035.35</v>
      </c>
      <c r="V640" s="294"/>
      <c r="W640" s="294"/>
      <c r="X640" s="294"/>
      <c r="Y640" s="294"/>
      <c r="Z640" s="294"/>
      <c r="AA640" s="294"/>
      <c r="AB640" s="285">
        <f t="shared" si="164"/>
        <v>42089.350000000006</v>
      </c>
    </row>
    <row r="641" spans="12:40" x14ac:dyDescent="0.2">
      <c r="P641" t="str">
        <f t="shared" si="163"/>
        <v>AUG</v>
      </c>
      <c r="R641" s="486">
        <v>43878.15</v>
      </c>
      <c r="S641" s="486">
        <v>4923.63</v>
      </c>
      <c r="T641" s="486">
        <v>7664.43</v>
      </c>
      <c r="U641" s="486">
        <v>-8755.6200000000008</v>
      </c>
      <c r="V641" s="294"/>
      <c r="W641" s="294"/>
      <c r="X641" s="486"/>
      <c r="Y641" s="486"/>
      <c r="Z641" s="294"/>
      <c r="AA641" s="294"/>
      <c r="AB641" s="285">
        <f t="shared" si="164"/>
        <v>47710.59</v>
      </c>
    </row>
    <row r="642" spans="12:40" x14ac:dyDescent="0.2">
      <c r="P642" t="str">
        <f t="shared" si="163"/>
        <v>SEP</v>
      </c>
      <c r="R642" s="486">
        <v>59799.07</v>
      </c>
      <c r="S642" s="486">
        <v>10384.61</v>
      </c>
      <c r="T642" s="486">
        <v>5323.12</v>
      </c>
      <c r="U642" s="486">
        <v>-7853.85</v>
      </c>
      <c r="V642" s="294"/>
      <c r="W642" s="294"/>
      <c r="X642" s="294"/>
      <c r="Y642" s="486"/>
      <c r="Z642" s="294"/>
      <c r="AA642" s="294"/>
      <c r="AB642" s="285">
        <f t="shared" si="164"/>
        <v>67652.949999999983</v>
      </c>
    </row>
    <row r="643" spans="12:40" x14ac:dyDescent="0.2">
      <c r="P643" t="str">
        <f t="shared" si="163"/>
        <v>OCT</v>
      </c>
      <c r="R643" s="486">
        <v>52438.82</v>
      </c>
      <c r="S643" s="486">
        <v>10931.26</v>
      </c>
      <c r="T643" s="486">
        <v>7033.88</v>
      </c>
      <c r="U643" s="486">
        <v>-7734.41</v>
      </c>
      <c r="V643" s="486"/>
      <c r="W643" s="486"/>
      <c r="X643" s="486"/>
      <c r="Y643" s="486"/>
      <c r="Z643" s="294"/>
      <c r="AA643" s="294"/>
      <c r="AB643" s="285">
        <f t="shared" si="164"/>
        <v>62669.55</v>
      </c>
    </row>
    <row r="644" spans="12:40" x14ac:dyDescent="0.2">
      <c r="P644" t="str">
        <f t="shared" si="163"/>
        <v>NOV</v>
      </c>
      <c r="R644" s="294">
        <v>38001.870000000003</v>
      </c>
      <c r="S644" s="294">
        <v>9733.33</v>
      </c>
      <c r="T644" s="294">
        <v>4830.21</v>
      </c>
      <c r="U644" s="294">
        <v>-7833.33</v>
      </c>
      <c r="V644" s="486"/>
      <c r="W644" s="486"/>
      <c r="X644" s="486"/>
      <c r="Y644" s="486"/>
      <c r="Z644" s="294"/>
      <c r="AA644" s="294"/>
      <c r="AB644" s="285">
        <f t="shared" si="164"/>
        <v>44732.08</v>
      </c>
    </row>
    <row r="645" spans="12:40" x14ac:dyDescent="0.2">
      <c r="P645" t="str">
        <f t="shared" si="163"/>
        <v>DEC</v>
      </c>
      <c r="R645" s="294">
        <v>31746.29</v>
      </c>
      <c r="S645" s="294">
        <v>9539.26</v>
      </c>
      <c r="T645" s="294">
        <v>5647.79</v>
      </c>
      <c r="U645" s="294">
        <v>-7023</v>
      </c>
      <c r="V645" s="486"/>
      <c r="W645" s="486"/>
      <c r="X645" s="486"/>
      <c r="Y645" s="486"/>
      <c r="Z645" s="294"/>
      <c r="AA645" s="294"/>
      <c r="AB645" s="285">
        <f t="shared" si="164"/>
        <v>39910.340000000004</v>
      </c>
    </row>
    <row r="646" spans="12:40" x14ac:dyDescent="0.2">
      <c r="P646" t="str">
        <f t="shared" si="163"/>
        <v>Jan 2023</v>
      </c>
      <c r="R646" s="294">
        <v>24398.06</v>
      </c>
      <c r="S646" s="294">
        <v>10137.51</v>
      </c>
      <c r="T646" s="294">
        <v>14601.81</v>
      </c>
      <c r="U646" s="294">
        <v>-5100.99</v>
      </c>
      <c r="V646" s="294"/>
      <c r="W646" s="294"/>
      <c r="X646" s="294"/>
      <c r="Y646" s="294"/>
      <c r="Z646" s="294"/>
      <c r="AA646" s="294"/>
      <c r="AB646" s="285">
        <f t="shared" si="164"/>
        <v>44036.39</v>
      </c>
    </row>
    <row r="647" spans="12:40" x14ac:dyDescent="0.2">
      <c r="O647">
        <f>$O$80</f>
        <v>12</v>
      </c>
      <c r="P647" t="str">
        <f t="shared" si="163"/>
        <v>FEB</v>
      </c>
      <c r="R647" s="294">
        <v>13106.81</v>
      </c>
      <c r="S647" s="294">
        <v>10072.76</v>
      </c>
      <c r="T647" s="294">
        <v>6245.82</v>
      </c>
      <c r="U647" s="294">
        <v>-6002.57</v>
      </c>
      <c r="V647" s="294"/>
      <c r="W647" s="294"/>
      <c r="X647" s="294"/>
      <c r="Y647" s="294"/>
      <c r="Z647" s="294"/>
      <c r="AA647" s="294"/>
      <c r="AB647" s="285">
        <f t="shared" si="164"/>
        <v>23422.82</v>
      </c>
    </row>
    <row r="648" spans="12:40" x14ac:dyDescent="0.2">
      <c r="R648" s="294"/>
      <c r="S648" s="294"/>
      <c r="T648" s="294"/>
      <c r="U648" s="294"/>
      <c r="V648" s="294"/>
      <c r="W648" s="294"/>
      <c r="X648" s="294"/>
      <c r="Y648" s="294"/>
      <c r="Z648" s="294"/>
      <c r="AA648" s="294"/>
    </row>
    <row r="649" spans="12:40" ht="13.5" thickBot="1" x14ac:dyDescent="0.25">
      <c r="P649" t="s">
        <v>65</v>
      </c>
      <c r="R649" s="542">
        <f t="shared" ref="R649:Y649" si="165">SUM(R636:R647)</f>
        <v>407669.76999999996</v>
      </c>
      <c r="S649" s="542">
        <f t="shared" si="165"/>
        <v>88528.44</v>
      </c>
      <c r="T649" s="542">
        <f t="shared" si="165"/>
        <v>89142.389999999985</v>
      </c>
      <c r="U649" s="542">
        <f t="shared" si="165"/>
        <v>-94385</v>
      </c>
      <c r="V649" s="542">
        <f t="shared" si="165"/>
        <v>0</v>
      </c>
      <c r="W649" s="542">
        <f t="shared" si="165"/>
        <v>0</v>
      </c>
      <c r="X649" s="542">
        <f t="shared" si="165"/>
        <v>0</v>
      </c>
      <c r="Y649" s="542">
        <f t="shared" si="165"/>
        <v>0</v>
      </c>
      <c r="Z649" s="294"/>
      <c r="AA649" s="294"/>
      <c r="AB649" s="542">
        <f>SUM(AB636:AB647)</f>
        <v>490955.60000000003</v>
      </c>
    </row>
    <row r="650" spans="12:40" ht="16.5" thickTop="1" x14ac:dyDescent="0.25">
      <c r="P650" s="595" t="s">
        <v>705</v>
      </c>
      <c r="Q650" s="479"/>
      <c r="AC650" s="573"/>
      <c r="AD650" s="573"/>
      <c r="AE650" s="574" t="s">
        <v>659</v>
      </c>
      <c r="AF650" s="573"/>
      <c r="AG650" s="573"/>
      <c r="AH650" s="573"/>
      <c r="AI650" s="573"/>
      <c r="AJ650" s="573"/>
      <c r="AK650" s="573"/>
      <c r="AL650" s="573"/>
      <c r="AM650" s="575"/>
    </row>
    <row r="651" spans="12:40" x14ac:dyDescent="0.2">
      <c r="R651" t="s">
        <v>697</v>
      </c>
      <c r="X651" s="183" t="s">
        <v>466</v>
      </c>
      <c r="AC651" s="575"/>
      <c r="AD651" s="573"/>
      <c r="AE651" s="574" t="s">
        <v>662</v>
      </c>
      <c r="AF651" s="573"/>
      <c r="AG651" s="573"/>
      <c r="AH651" s="575"/>
      <c r="AI651" s="573"/>
      <c r="AJ651" s="573"/>
      <c r="AK651" s="573"/>
      <c r="AL651" s="574" t="s">
        <v>663</v>
      </c>
      <c r="AM651" s="575"/>
    </row>
    <row r="652" spans="12:40" x14ac:dyDescent="0.2">
      <c r="Q652" s="183" t="s">
        <v>664</v>
      </c>
      <c r="R652" s="183" t="s">
        <v>469</v>
      </c>
      <c r="S652" s="183"/>
      <c r="T652" s="183" t="s">
        <v>470</v>
      </c>
      <c r="X652" s="183" t="s">
        <v>471</v>
      </c>
      <c r="Y652" s="183" t="s">
        <v>470</v>
      </c>
      <c r="AC652" s="574" t="s">
        <v>668</v>
      </c>
      <c r="AD652" s="573" t="s">
        <v>117</v>
      </c>
      <c r="AE652" s="574" t="s">
        <v>669</v>
      </c>
      <c r="AF652" s="574" t="s">
        <v>670</v>
      </c>
      <c r="AG652" s="574" t="s">
        <v>671</v>
      </c>
      <c r="AH652" s="574" t="s">
        <v>672</v>
      </c>
      <c r="AI652" s="574" t="s">
        <v>118</v>
      </c>
      <c r="AJ652" s="574" t="s">
        <v>673</v>
      </c>
      <c r="AK652" s="573" t="s">
        <v>284</v>
      </c>
      <c r="AL652" s="574" t="s">
        <v>674</v>
      </c>
      <c r="AM652" s="575"/>
    </row>
    <row r="653" spans="12:40" x14ac:dyDescent="0.2">
      <c r="Q653" s="183" t="s">
        <v>474</v>
      </c>
      <c r="R653" s="183" t="s">
        <v>475</v>
      </c>
      <c r="S653" s="183"/>
      <c r="T653" s="183" t="s">
        <v>475</v>
      </c>
      <c r="U653" s="183" t="s">
        <v>476</v>
      </c>
      <c r="V653" s="183" t="s">
        <v>477</v>
      </c>
      <c r="W653" s="183" t="s">
        <v>478</v>
      </c>
      <c r="X653" s="183" t="s">
        <v>479</v>
      </c>
      <c r="Y653" s="183" t="s">
        <v>480</v>
      </c>
      <c r="Z653" s="183" t="s">
        <v>481</v>
      </c>
      <c r="AA653" s="183" t="s">
        <v>482</v>
      </c>
      <c r="AB653" s="183" t="s">
        <v>483</v>
      </c>
      <c r="AC653" s="574" t="s">
        <v>606</v>
      </c>
      <c r="AD653" s="574" t="s">
        <v>676</v>
      </c>
      <c r="AE653" s="574" t="s">
        <v>668</v>
      </c>
      <c r="AF653" s="574" t="s">
        <v>117</v>
      </c>
      <c r="AG653" s="574" t="s">
        <v>117</v>
      </c>
      <c r="AH653" s="573" t="s">
        <v>677</v>
      </c>
      <c r="AI653" s="574" t="s">
        <v>669</v>
      </c>
      <c r="AJ653" s="574" t="s">
        <v>678</v>
      </c>
      <c r="AK653" s="573" t="s">
        <v>679</v>
      </c>
      <c r="AL653" s="574" t="s">
        <v>680</v>
      </c>
      <c r="AM653" s="573" t="s">
        <v>84</v>
      </c>
    </row>
    <row r="654" spans="12:40" x14ac:dyDescent="0.2">
      <c r="P654" s="481" t="s">
        <v>487</v>
      </c>
      <c r="Q654" s="481"/>
      <c r="R654" s="481" t="s">
        <v>487</v>
      </c>
      <c r="S654" s="481"/>
      <c r="T654" s="481" t="s">
        <v>487</v>
      </c>
      <c r="U654" s="481" t="s">
        <v>487</v>
      </c>
      <c r="V654" s="481" t="s">
        <v>487</v>
      </c>
      <c r="W654" s="481" t="s">
        <v>487</v>
      </c>
      <c r="X654" s="481" t="s">
        <v>487</v>
      </c>
      <c r="Y654" s="481" t="s">
        <v>487</v>
      </c>
      <c r="Z654" s="481" t="s">
        <v>487</v>
      </c>
      <c r="AA654" s="481" t="s">
        <v>487</v>
      </c>
      <c r="AB654" s="481" t="s">
        <v>487</v>
      </c>
      <c r="AC654" s="576" t="s">
        <v>487</v>
      </c>
      <c r="AD654" s="576" t="s">
        <v>487</v>
      </c>
      <c r="AE654" s="576" t="s">
        <v>487</v>
      </c>
      <c r="AF654" s="576" t="s">
        <v>487</v>
      </c>
      <c r="AG654" s="576" t="s">
        <v>487</v>
      </c>
      <c r="AH654" s="576" t="s">
        <v>487</v>
      </c>
      <c r="AI654" s="576" t="s">
        <v>487</v>
      </c>
      <c r="AJ654" s="576" t="s">
        <v>487</v>
      </c>
      <c r="AK654" s="576" t="s">
        <v>487</v>
      </c>
      <c r="AL654" s="576" t="s">
        <v>487</v>
      </c>
      <c r="AM654" s="576" t="s">
        <v>487</v>
      </c>
    </row>
    <row r="655" spans="12:40" x14ac:dyDescent="0.2">
      <c r="V655" s="483"/>
      <c r="W655" s="483"/>
      <c r="X655" s="483"/>
      <c r="Z655" s="483"/>
      <c r="AC655" s="575"/>
      <c r="AD655" s="575"/>
      <c r="AE655" s="575"/>
      <c r="AF655" s="575"/>
      <c r="AG655" s="575"/>
      <c r="AH655" s="575"/>
      <c r="AI655" s="575"/>
      <c r="AJ655" s="575"/>
      <c r="AK655" s="575">
        <v>3.0000000000000001E-3</v>
      </c>
      <c r="AL655" s="575"/>
      <c r="AM655" s="575"/>
    </row>
    <row r="656" spans="12:40" x14ac:dyDescent="0.2">
      <c r="L656" s="577" t="e">
        <f>W656/U656</f>
        <v>#DIV/0!</v>
      </c>
      <c r="M656" s="578" t="e">
        <f>N656/R656</f>
        <v>#DIV/0!</v>
      </c>
      <c r="N656" s="483">
        <f>V656-AC656</f>
        <v>0</v>
      </c>
      <c r="O656">
        <f>$O$69</f>
        <v>1</v>
      </c>
      <c r="P656" s="329"/>
      <c r="R656" s="597"/>
      <c r="S656" s="597"/>
      <c r="T656" s="482"/>
      <c r="U656" s="482"/>
      <c r="V656" s="483"/>
      <c r="W656" s="483"/>
      <c r="X656" s="285"/>
      <c r="Y656" s="483"/>
      <c r="Z656" s="483"/>
      <c r="AA656" s="483"/>
      <c r="AB656" s="483"/>
      <c r="AC656" s="575"/>
      <c r="AD656" s="575"/>
      <c r="AE656" s="575"/>
      <c r="AF656" s="575"/>
      <c r="AG656" s="575"/>
      <c r="AH656" s="580"/>
      <c r="AI656" s="575"/>
      <c r="AJ656" s="575"/>
      <c r="AK656" s="575">
        <f>U656*AK655</f>
        <v>0</v>
      </c>
      <c r="AL656" s="575"/>
      <c r="AM656" s="575">
        <f>SUM(AI656:AL656)</f>
        <v>0</v>
      </c>
      <c r="AN656" s="285">
        <f>AM656-AB656</f>
        <v>0</v>
      </c>
    </row>
    <row r="657" spans="12:40" x14ac:dyDescent="0.2">
      <c r="L657" s="577" t="e">
        <f t="shared" ref="L657:L667" si="166">W657/U657</f>
        <v>#DIV/0!</v>
      </c>
      <c r="M657" s="578" t="e">
        <f t="shared" ref="M657:M667" si="167">N657/R657</f>
        <v>#DIV/0!</v>
      </c>
      <c r="N657" s="483">
        <f t="shared" ref="N657:N667" si="168">V657-AC657</f>
        <v>0</v>
      </c>
      <c r="R657" s="597"/>
      <c r="S657" s="597"/>
      <c r="T657" s="482"/>
      <c r="U657" s="482"/>
      <c r="V657" s="483"/>
      <c r="W657" s="483"/>
      <c r="X657" s="285"/>
      <c r="Y657" s="483"/>
      <c r="Z657" s="483"/>
      <c r="AA657" s="483"/>
      <c r="AB657" s="483"/>
      <c r="AC657" s="575"/>
      <c r="AD657" s="575"/>
      <c r="AE657" s="575"/>
      <c r="AF657" s="575"/>
      <c r="AG657" s="575"/>
      <c r="AH657" s="580"/>
      <c r="AI657" s="575"/>
      <c r="AJ657" s="575"/>
      <c r="AK657" s="575">
        <f>U657*AK655</f>
        <v>0</v>
      </c>
      <c r="AL657" s="575"/>
      <c r="AM657" s="575">
        <f t="shared" ref="AM657:AM667" si="169">SUM(AI657:AL657)</f>
        <v>0</v>
      </c>
      <c r="AN657" s="285">
        <f t="shared" ref="AN657:AN667" si="170">AM657-AB657</f>
        <v>0</v>
      </c>
    </row>
    <row r="658" spans="12:40" x14ac:dyDescent="0.2">
      <c r="L658" s="577" t="e">
        <f t="shared" si="166"/>
        <v>#DIV/0!</v>
      </c>
      <c r="M658" s="578" t="e">
        <f t="shared" si="167"/>
        <v>#DIV/0!</v>
      </c>
      <c r="N658" s="483">
        <f t="shared" si="168"/>
        <v>0</v>
      </c>
      <c r="R658" s="597"/>
      <c r="S658" s="597"/>
      <c r="T658" s="482"/>
      <c r="U658" s="482"/>
      <c r="V658" s="483"/>
      <c r="W658" s="483"/>
      <c r="X658" s="285"/>
      <c r="Y658" s="483"/>
      <c r="Z658" s="483"/>
      <c r="AA658" s="483"/>
      <c r="AB658" s="483"/>
      <c r="AC658" s="575"/>
      <c r="AD658" s="575"/>
      <c r="AE658" s="575"/>
      <c r="AF658" s="575"/>
      <c r="AG658" s="575"/>
      <c r="AH658" s="580"/>
      <c r="AI658" s="575"/>
      <c r="AJ658" s="575"/>
      <c r="AK658" s="575">
        <f>U658*AK655</f>
        <v>0</v>
      </c>
      <c r="AL658" s="575"/>
      <c r="AM658" s="575">
        <f t="shared" si="169"/>
        <v>0</v>
      </c>
      <c r="AN658" s="285">
        <f t="shared" si="170"/>
        <v>0</v>
      </c>
    </row>
    <row r="659" spans="12:40" x14ac:dyDescent="0.2">
      <c r="L659" s="577" t="e">
        <f t="shared" si="166"/>
        <v>#DIV/0!</v>
      </c>
      <c r="M659" s="578" t="e">
        <f t="shared" si="167"/>
        <v>#DIV/0!</v>
      </c>
      <c r="N659" s="483">
        <f t="shared" si="168"/>
        <v>0</v>
      </c>
      <c r="R659" s="597"/>
      <c r="S659" s="597"/>
      <c r="T659" s="482"/>
      <c r="U659" s="482"/>
      <c r="V659" s="483"/>
      <c r="W659" s="483"/>
      <c r="X659" s="285"/>
      <c r="Y659" s="483"/>
      <c r="Z659" s="483"/>
      <c r="AA659" s="483"/>
      <c r="AB659" s="483"/>
      <c r="AC659" s="575"/>
      <c r="AD659" s="575"/>
      <c r="AE659" s="575"/>
      <c r="AF659" s="575"/>
      <c r="AG659" s="575"/>
      <c r="AH659" s="580"/>
      <c r="AI659" s="575"/>
      <c r="AJ659" s="575"/>
      <c r="AK659" s="575">
        <f>U659*AK655</f>
        <v>0</v>
      </c>
      <c r="AL659" s="575"/>
      <c r="AM659" s="575">
        <f t="shared" si="169"/>
        <v>0</v>
      </c>
      <c r="AN659" s="285">
        <f t="shared" si="170"/>
        <v>0</v>
      </c>
    </row>
    <row r="660" spans="12:40" x14ac:dyDescent="0.2">
      <c r="L660" s="577" t="e">
        <f t="shared" si="166"/>
        <v>#DIV/0!</v>
      </c>
      <c r="M660" s="578" t="e">
        <f t="shared" si="167"/>
        <v>#DIV/0!</v>
      </c>
      <c r="N660" s="483">
        <f t="shared" si="168"/>
        <v>0</v>
      </c>
      <c r="R660" s="597"/>
      <c r="S660" s="597"/>
      <c r="T660" s="482"/>
      <c r="U660" s="482"/>
      <c r="V660" s="483"/>
      <c r="W660" s="483"/>
      <c r="X660" s="285"/>
      <c r="Y660" s="483"/>
      <c r="Z660" s="483"/>
      <c r="AA660" s="483"/>
      <c r="AB660" s="483"/>
      <c r="AC660" s="575"/>
      <c r="AD660" s="575"/>
      <c r="AE660" s="575"/>
      <c r="AF660" s="575"/>
      <c r="AG660" s="575"/>
      <c r="AH660" s="580"/>
      <c r="AI660" s="575"/>
      <c r="AJ660" s="575"/>
      <c r="AK660" s="575">
        <f>U660*AK655</f>
        <v>0</v>
      </c>
      <c r="AL660" s="575"/>
      <c r="AM660" s="575">
        <f t="shared" si="169"/>
        <v>0</v>
      </c>
      <c r="AN660" s="285">
        <f t="shared" si="170"/>
        <v>0</v>
      </c>
    </row>
    <row r="661" spans="12:40" x14ac:dyDescent="0.2">
      <c r="L661" s="577" t="e">
        <f t="shared" si="166"/>
        <v>#DIV/0!</v>
      </c>
      <c r="M661" s="578" t="e">
        <f t="shared" si="167"/>
        <v>#DIV/0!</v>
      </c>
      <c r="N661" s="483">
        <f t="shared" si="168"/>
        <v>0</v>
      </c>
      <c r="R661" s="597"/>
      <c r="S661" s="597"/>
      <c r="T661" s="482"/>
      <c r="U661" s="482"/>
      <c r="V661" s="483"/>
      <c r="W661" s="483"/>
      <c r="X661" s="285"/>
      <c r="Y661" s="483"/>
      <c r="Z661" s="483"/>
      <c r="AA661" s="483"/>
      <c r="AB661" s="483"/>
      <c r="AC661" s="575"/>
      <c r="AD661" s="575"/>
      <c r="AE661" s="575"/>
      <c r="AF661" s="575"/>
      <c r="AG661" s="575"/>
      <c r="AH661" s="580"/>
      <c r="AI661" s="575"/>
      <c r="AJ661" s="575"/>
      <c r="AK661" s="575">
        <f>U661*AK655</f>
        <v>0</v>
      </c>
      <c r="AL661" s="575"/>
      <c r="AM661" s="575">
        <f t="shared" si="169"/>
        <v>0</v>
      </c>
      <c r="AN661" s="285">
        <f t="shared" si="170"/>
        <v>0</v>
      </c>
    </row>
    <row r="662" spans="12:40" x14ac:dyDescent="0.2">
      <c r="L662" s="577" t="e">
        <f t="shared" si="166"/>
        <v>#DIV/0!</v>
      </c>
      <c r="M662" s="578" t="e">
        <f t="shared" si="167"/>
        <v>#DIV/0!</v>
      </c>
      <c r="N662" s="483">
        <f t="shared" si="168"/>
        <v>0</v>
      </c>
      <c r="R662" s="597"/>
      <c r="S662" s="597"/>
      <c r="T662" s="482"/>
      <c r="U662" s="482"/>
      <c r="V662" s="483"/>
      <c r="W662" s="483"/>
      <c r="X662" s="285"/>
      <c r="Y662" s="483"/>
      <c r="Z662" s="483"/>
      <c r="AA662" s="483"/>
      <c r="AB662" s="483"/>
      <c r="AC662" s="575"/>
      <c r="AD662" s="575"/>
      <c r="AE662" s="575"/>
      <c r="AF662" s="575"/>
      <c r="AG662" s="575"/>
      <c r="AH662" s="580"/>
      <c r="AI662" s="575"/>
      <c r="AJ662" s="575"/>
      <c r="AK662" s="575">
        <f>U662*AK655</f>
        <v>0</v>
      </c>
      <c r="AL662" s="575"/>
      <c r="AM662" s="575">
        <f t="shared" si="169"/>
        <v>0</v>
      </c>
      <c r="AN662" s="285">
        <f t="shared" si="170"/>
        <v>0</v>
      </c>
    </row>
    <row r="663" spans="12:40" x14ac:dyDescent="0.2">
      <c r="L663" s="577" t="e">
        <f t="shared" si="166"/>
        <v>#DIV/0!</v>
      </c>
      <c r="M663" s="578" t="e">
        <f t="shared" si="167"/>
        <v>#DIV/0!</v>
      </c>
      <c r="N663" s="483">
        <f t="shared" si="168"/>
        <v>0</v>
      </c>
      <c r="R663" s="597"/>
      <c r="S663" s="597"/>
      <c r="T663" s="482"/>
      <c r="U663" s="482"/>
      <c r="V663" s="483"/>
      <c r="W663" s="483"/>
      <c r="X663" s="285"/>
      <c r="Y663" s="483"/>
      <c r="Z663" s="483"/>
      <c r="AA663" s="483"/>
      <c r="AB663" s="483"/>
      <c r="AC663" s="575"/>
      <c r="AD663" s="575"/>
      <c r="AE663" s="575"/>
      <c r="AF663" s="575"/>
      <c r="AG663" s="575"/>
      <c r="AH663" s="580"/>
      <c r="AI663" s="575"/>
      <c r="AJ663" s="575"/>
      <c r="AK663" s="575">
        <f>U663*AK655</f>
        <v>0</v>
      </c>
      <c r="AL663" s="575"/>
      <c r="AM663" s="575">
        <f t="shared" si="169"/>
        <v>0</v>
      </c>
      <c r="AN663" s="285">
        <f t="shared" si="170"/>
        <v>0</v>
      </c>
    </row>
    <row r="664" spans="12:40" x14ac:dyDescent="0.2">
      <c r="L664" s="577" t="e">
        <f t="shared" si="166"/>
        <v>#DIV/0!</v>
      </c>
      <c r="M664" s="578" t="e">
        <f t="shared" si="167"/>
        <v>#DIV/0!</v>
      </c>
      <c r="N664" s="483">
        <f t="shared" si="168"/>
        <v>0</v>
      </c>
      <c r="R664" s="597"/>
      <c r="S664" s="597"/>
      <c r="T664" s="482"/>
      <c r="U664" s="482"/>
      <c r="V664" s="483"/>
      <c r="W664" s="483"/>
      <c r="X664" s="285"/>
      <c r="Y664" s="483"/>
      <c r="Z664" s="483"/>
      <c r="AA664" s="483"/>
      <c r="AB664" s="483"/>
      <c r="AC664" s="575"/>
      <c r="AD664" s="575"/>
      <c r="AE664" s="575"/>
      <c r="AF664" s="575"/>
      <c r="AG664" s="575"/>
      <c r="AH664" s="580"/>
      <c r="AI664" s="575"/>
      <c r="AJ664" s="575"/>
      <c r="AK664" s="575">
        <f>U664*AK655</f>
        <v>0</v>
      </c>
      <c r="AL664" s="575"/>
      <c r="AM664" s="575">
        <f t="shared" si="169"/>
        <v>0</v>
      </c>
      <c r="AN664" s="285">
        <f t="shared" si="170"/>
        <v>0</v>
      </c>
    </row>
    <row r="665" spans="12:40" x14ac:dyDescent="0.2">
      <c r="L665" s="577" t="e">
        <f t="shared" si="166"/>
        <v>#DIV/0!</v>
      </c>
      <c r="M665" s="578" t="e">
        <f t="shared" si="167"/>
        <v>#DIV/0!</v>
      </c>
      <c r="N665" s="483">
        <f t="shared" si="168"/>
        <v>0</v>
      </c>
      <c r="R665" s="597"/>
      <c r="S665" s="597"/>
      <c r="T665" s="482"/>
      <c r="U665" s="482"/>
      <c r="V665" s="483"/>
      <c r="W665" s="483"/>
      <c r="X665" s="285"/>
      <c r="Y665" s="483"/>
      <c r="Z665" s="483"/>
      <c r="AA665" s="483"/>
      <c r="AB665" s="483"/>
      <c r="AC665" s="575"/>
      <c r="AD665" s="575"/>
      <c r="AE665" s="575"/>
      <c r="AF665" s="580"/>
      <c r="AG665" s="580"/>
      <c r="AH665" s="580"/>
      <c r="AI665" s="575"/>
      <c r="AJ665" s="575"/>
      <c r="AK665" s="575">
        <f>U665*AK655</f>
        <v>0</v>
      </c>
      <c r="AL665" s="575"/>
      <c r="AM665" s="575">
        <f t="shared" si="169"/>
        <v>0</v>
      </c>
      <c r="AN665" s="285">
        <f t="shared" si="170"/>
        <v>0</v>
      </c>
    </row>
    <row r="666" spans="12:40" x14ac:dyDescent="0.2">
      <c r="L666" s="577" t="e">
        <f t="shared" si="166"/>
        <v>#DIV/0!</v>
      </c>
      <c r="M666" s="578" t="e">
        <f t="shared" si="167"/>
        <v>#DIV/0!</v>
      </c>
      <c r="N666" s="483">
        <f t="shared" si="168"/>
        <v>0</v>
      </c>
      <c r="R666" s="597"/>
      <c r="S666" s="597"/>
      <c r="T666" s="482"/>
      <c r="U666" s="482"/>
      <c r="V666" s="483"/>
      <c r="W666" s="483"/>
      <c r="X666" s="285"/>
      <c r="Y666" s="483"/>
      <c r="Z666" s="483"/>
      <c r="AA666" s="483"/>
      <c r="AB666" s="483"/>
      <c r="AC666" s="575"/>
      <c r="AD666" s="575"/>
      <c r="AE666" s="575"/>
      <c r="AF666" s="580"/>
      <c r="AG666" s="580"/>
      <c r="AH666" s="580"/>
      <c r="AI666" s="575"/>
      <c r="AJ666" s="575"/>
      <c r="AK666" s="575">
        <f>U666*AK655</f>
        <v>0</v>
      </c>
      <c r="AL666" s="575"/>
      <c r="AM666" s="575">
        <f t="shared" si="169"/>
        <v>0</v>
      </c>
      <c r="AN666" s="285">
        <f t="shared" si="170"/>
        <v>0</v>
      </c>
    </row>
    <row r="667" spans="12:40" x14ac:dyDescent="0.2">
      <c r="L667" s="577" t="e">
        <f t="shared" si="166"/>
        <v>#DIV/0!</v>
      </c>
      <c r="M667" s="578" t="e">
        <f t="shared" si="167"/>
        <v>#DIV/0!</v>
      </c>
      <c r="N667" s="483">
        <f t="shared" si="168"/>
        <v>0</v>
      </c>
      <c r="O667">
        <f>$O$80</f>
        <v>12</v>
      </c>
      <c r="R667" s="597"/>
      <c r="S667" s="597"/>
      <c r="T667" s="482"/>
      <c r="U667" s="482"/>
      <c r="V667" s="483"/>
      <c r="W667" s="483"/>
      <c r="X667" s="285"/>
      <c r="Y667" s="483"/>
      <c r="Z667" s="483"/>
      <c r="AA667" s="483"/>
      <c r="AB667" s="483"/>
      <c r="AC667" s="575"/>
      <c r="AD667" s="575"/>
      <c r="AE667" s="575"/>
      <c r="AF667" s="580"/>
      <c r="AG667" s="580"/>
      <c r="AH667" s="580"/>
      <c r="AI667" s="575"/>
      <c r="AJ667" s="575"/>
      <c r="AK667" s="575">
        <f>U667*AK655</f>
        <v>0</v>
      </c>
      <c r="AL667" s="575"/>
      <c r="AM667" s="575">
        <f t="shared" si="169"/>
        <v>0</v>
      </c>
      <c r="AN667" s="285">
        <f t="shared" si="170"/>
        <v>0</v>
      </c>
    </row>
    <row r="668" spans="12:40" x14ac:dyDescent="0.2">
      <c r="R668" s="488" t="s">
        <v>487</v>
      </c>
      <c r="S668" s="488"/>
      <c r="T668" s="488" t="s">
        <v>487</v>
      </c>
      <c r="U668" s="488" t="s">
        <v>487</v>
      </c>
      <c r="V668" s="489" t="s">
        <v>487</v>
      </c>
      <c r="W668" s="489" t="s">
        <v>487</v>
      </c>
      <c r="X668" s="489" t="s">
        <v>487</v>
      </c>
      <c r="Y668" s="481" t="s">
        <v>487</v>
      </c>
      <c r="Z668" s="489" t="s">
        <v>487</v>
      </c>
      <c r="AA668" s="489" t="s">
        <v>487</v>
      </c>
      <c r="AB668" s="489" t="s">
        <v>487</v>
      </c>
      <c r="AC668" s="575"/>
      <c r="AD668" s="575"/>
      <c r="AE668" s="575"/>
      <c r="AF668" s="575"/>
      <c r="AG668" s="575"/>
      <c r="AH668" s="575"/>
      <c r="AI668" s="575"/>
      <c r="AJ668" s="575"/>
      <c r="AK668" s="575"/>
      <c r="AL668" s="575"/>
      <c r="AM668" s="575"/>
    </row>
    <row r="669" spans="12:40" x14ac:dyDescent="0.2">
      <c r="R669" s="482"/>
      <c r="S669" s="482"/>
      <c r="T669" s="482"/>
      <c r="U669" s="482"/>
      <c r="V669" s="483"/>
      <c r="W669" s="483"/>
      <c r="X669" s="483"/>
      <c r="Z669" s="483"/>
      <c r="AA669" s="483"/>
      <c r="AB669" s="483"/>
      <c r="AC669" s="575"/>
      <c r="AD669" s="575"/>
      <c r="AE669" s="575"/>
      <c r="AF669" s="575"/>
      <c r="AG669" s="575"/>
      <c r="AH669" s="575"/>
      <c r="AI669" s="575"/>
      <c r="AJ669" s="575"/>
      <c r="AK669" s="575"/>
      <c r="AL669" s="575"/>
      <c r="AM669" s="575"/>
    </row>
    <row r="670" spans="12:40" x14ac:dyDescent="0.2">
      <c r="R670" s="482">
        <f t="shared" ref="R670:AM670" si="171">SUM(R656:R667)</f>
        <v>0</v>
      </c>
      <c r="S670" s="482"/>
      <c r="T670" s="482">
        <f t="shared" si="171"/>
        <v>0</v>
      </c>
      <c r="U670" s="482">
        <f t="shared" si="171"/>
        <v>0</v>
      </c>
      <c r="V670" s="483">
        <f t="shared" si="171"/>
        <v>0</v>
      </c>
      <c r="W670" s="483">
        <f t="shared" si="171"/>
        <v>0</v>
      </c>
      <c r="X670" s="483">
        <f t="shared" si="171"/>
        <v>0</v>
      </c>
      <c r="Y670" s="483">
        <f t="shared" si="171"/>
        <v>0</v>
      </c>
      <c r="Z670" s="483">
        <f t="shared" si="171"/>
        <v>0</v>
      </c>
      <c r="AA670" s="483">
        <f t="shared" si="171"/>
        <v>0</v>
      </c>
      <c r="AB670" s="483">
        <f t="shared" si="171"/>
        <v>0</v>
      </c>
      <c r="AC670" s="584">
        <f t="shared" si="171"/>
        <v>0</v>
      </c>
      <c r="AD670" s="584">
        <f t="shared" si="171"/>
        <v>0</v>
      </c>
      <c r="AE670" s="584">
        <f t="shared" si="171"/>
        <v>0</v>
      </c>
      <c r="AF670" s="584">
        <f t="shared" si="171"/>
        <v>0</v>
      </c>
      <c r="AG670" s="584">
        <f t="shared" si="171"/>
        <v>0</v>
      </c>
      <c r="AH670" s="584">
        <f t="shared" si="171"/>
        <v>0</v>
      </c>
      <c r="AI670" s="584">
        <f t="shared" si="171"/>
        <v>0</v>
      </c>
      <c r="AJ670" s="584">
        <f t="shared" si="171"/>
        <v>0</v>
      </c>
      <c r="AK670" s="584">
        <f t="shared" si="171"/>
        <v>0</v>
      </c>
      <c r="AL670" s="584">
        <f t="shared" si="171"/>
        <v>0</v>
      </c>
      <c r="AM670" s="584">
        <f t="shared" si="171"/>
        <v>0</v>
      </c>
    </row>
    <row r="671" spans="12:40" x14ac:dyDescent="0.2">
      <c r="R671" s="488" t="s">
        <v>501</v>
      </c>
      <c r="S671" s="488"/>
      <c r="T671" s="488" t="s">
        <v>501</v>
      </c>
      <c r="U671" s="488" t="s">
        <v>501</v>
      </c>
      <c r="V671" s="489" t="s">
        <v>501</v>
      </c>
      <c r="W671" s="489" t="s">
        <v>501</v>
      </c>
      <c r="X671" s="489" t="s">
        <v>501</v>
      </c>
      <c r="Y671" s="489" t="s">
        <v>501</v>
      </c>
      <c r="Z671" s="489" t="s">
        <v>501</v>
      </c>
      <c r="AA671" s="489" t="s">
        <v>501</v>
      </c>
      <c r="AB671" s="489" t="s">
        <v>501</v>
      </c>
      <c r="AC671" s="585" t="s">
        <v>501</v>
      </c>
      <c r="AD671" s="585" t="s">
        <v>501</v>
      </c>
      <c r="AE671" s="585" t="s">
        <v>501</v>
      </c>
      <c r="AF671" s="585" t="s">
        <v>501</v>
      </c>
      <c r="AG671" s="585" t="s">
        <v>501</v>
      </c>
      <c r="AH671" s="585" t="s">
        <v>501</v>
      </c>
      <c r="AI671" s="585" t="s">
        <v>501</v>
      </c>
      <c r="AJ671" s="585" t="s">
        <v>501</v>
      </c>
      <c r="AK671" s="585" t="s">
        <v>501</v>
      </c>
      <c r="AL671" s="585" t="s">
        <v>501</v>
      </c>
      <c r="AM671" s="585" t="s">
        <v>501</v>
      </c>
    </row>
    <row r="672" spans="12:40" x14ac:dyDescent="0.2">
      <c r="X672" t="s">
        <v>593</v>
      </c>
    </row>
    <row r="674" spans="15:34" x14ac:dyDescent="0.2">
      <c r="S674" s="183" t="s">
        <v>549</v>
      </c>
    </row>
    <row r="675" spans="15:34" x14ac:dyDescent="0.2">
      <c r="P675" s="183"/>
      <c r="Q675" s="183"/>
      <c r="R675" s="183" t="s">
        <v>550</v>
      </c>
      <c r="S675" s="183" t="s">
        <v>551</v>
      </c>
      <c r="T675" s="183" t="s">
        <v>552</v>
      </c>
      <c r="U675" s="183" t="s">
        <v>555</v>
      </c>
      <c r="V675" s="183" t="s">
        <v>596</v>
      </c>
      <c r="W675" s="183" t="s">
        <v>553</v>
      </c>
      <c r="X675" s="183" t="s">
        <v>554</v>
      </c>
      <c r="Y675" s="183" t="s">
        <v>556</v>
      </c>
      <c r="Z675" s="183"/>
      <c r="AA675" s="183"/>
      <c r="AB675" s="183"/>
      <c r="AD675" s="183"/>
      <c r="AE675" s="183"/>
      <c r="AF675" s="183"/>
      <c r="AG675" s="183"/>
      <c r="AH675" s="183"/>
    </row>
    <row r="676" spans="15:34" x14ac:dyDescent="0.2">
      <c r="P676" s="183"/>
      <c r="Q676" s="183"/>
      <c r="R676" s="521" t="s">
        <v>471</v>
      </c>
      <c r="S676" s="521" t="s">
        <v>558</v>
      </c>
      <c r="T676" s="521" t="s">
        <v>559</v>
      </c>
      <c r="U676" s="521" t="s">
        <v>562</v>
      </c>
      <c r="V676" s="521" t="s">
        <v>597</v>
      </c>
      <c r="W676" s="521" t="s">
        <v>560</v>
      </c>
      <c r="X676" s="521" t="s">
        <v>561</v>
      </c>
      <c r="Y676" s="521" t="s">
        <v>563</v>
      </c>
      <c r="Z676" s="183"/>
      <c r="AA676" s="183"/>
      <c r="AB676" s="183"/>
      <c r="AD676" s="183"/>
      <c r="AE676" s="183"/>
      <c r="AF676" s="183"/>
      <c r="AG676" s="183"/>
      <c r="AH676" s="183"/>
    </row>
    <row r="677" spans="15:34" x14ac:dyDescent="0.2">
      <c r="P677" s="183"/>
      <c r="Q677" s="183"/>
      <c r="R677" s="183"/>
      <c r="S677" s="183"/>
      <c r="T677" s="183"/>
      <c r="U677" s="183"/>
      <c r="V677" s="183"/>
      <c r="W677" s="183"/>
      <c r="X677" s="183"/>
      <c r="Y677" s="183"/>
      <c r="Z677" s="183"/>
      <c r="AA677" s="183"/>
      <c r="AB677" s="523" t="s">
        <v>84</v>
      </c>
      <c r="AD677" s="183"/>
      <c r="AE677" s="183"/>
      <c r="AF677" s="183"/>
      <c r="AG677" s="183"/>
      <c r="AH677" s="183"/>
    </row>
    <row r="678" spans="15:34" x14ac:dyDescent="0.2">
      <c r="O678">
        <f>$O$69</f>
        <v>1</v>
      </c>
      <c r="P678" s="598">
        <f t="shared" ref="P678:P689" si="172">P656</f>
        <v>0</v>
      </c>
      <c r="R678" s="294"/>
      <c r="S678" s="294"/>
      <c r="T678" s="294"/>
      <c r="U678" s="294"/>
      <c r="V678" s="294"/>
      <c r="W678" s="294"/>
      <c r="X678" s="294"/>
      <c r="Z678" s="294"/>
      <c r="AA678" s="294"/>
      <c r="AB678" s="285">
        <f t="shared" ref="AB678:AB689" si="173">SUM(R678:AA678)</f>
        <v>0</v>
      </c>
    </row>
    <row r="679" spans="15:34" x14ac:dyDescent="0.2">
      <c r="P679">
        <f t="shared" si="172"/>
        <v>0</v>
      </c>
      <c r="R679" s="294"/>
      <c r="S679" s="294"/>
      <c r="T679" s="294"/>
      <c r="U679" s="294"/>
      <c r="V679" s="294"/>
      <c r="W679" s="294"/>
      <c r="X679" s="294"/>
      <c r="Z679" s="294"/>
      <c r="AA679" s="294"/>
      <c r="AB679" s="285">
        <f t="shared" si="173"/>
        <v>0</v>
      </c>
    </row>
    <row r="680" spans="15:34" x14ac:dyDescent="0.2">
      <c r="P680">
        <f t="shared" si="172"/>
        <v>0</v>
      </c>
      <c r="R680" s="294"/>
      <c r="S680" s="294"/>
      <c r="T680" s="294"/>
      <c r="U680" s="294"/>
      <c r="V680" s="294"/>
      <c r="W680" s="294"/>
      <c r="X680" s="294"/>
      <c r="Z680" s="294"/>
      <c r="AA680" s="294"/>
      <c r="AB680" s="285">
        <f t="shared" si="173"/>
        <v>0</v>
      </c>
    </row>
    <row r="681" spans="15:34" x14ac:dyDescent="0.2">
      <c r="P681">
        <f t="shared" si="172"/>
        <v>0</v>
      </c>
      <c r="R681" s="294"/>
      <c r="S681" s="294"/>
      <c r="T681" s="294"/>
      <c r="U681" s="294"/>
      <c r="V681" s="294"/>
      <c r="W681" s="294"/>
      <c r="X681" s="294"/>
      <c r="Z681" s="294"/>
      <c r="AA681" s="294"/>
      <c r="AB681" s="285">
        <f t="shared" si="173"/>
        <v>0</v>
      </c>
    </row>
    <row r="682" spans="15:34" x14ac:dyDescent="0.2">
      <c r="P682">
        <f t="shared" si="172"/>
        <v>0</v>
      </c>
      <c r="R682" s="294"/>
      <c r="S682" s="294"/>
      <c r="T682" s="294"/>
      <c r="U682" s="294"/>
      <c r="V682" s="294"/>
      <c r="W682" s="294"/>
      <c r="X682" s="294"/>
      <c r="Y682" s="294"/>
      <c r="Z682" s="294"/>
      <c r="AA682" s="294"/>
      <c r="AB682" s="285">
        <f t="shared" si="173"/>
        <v>0</v>
      </c>
    </row>
    <row r="683" spans="15:34" x14ac:dyDescent="0.2">
      <c r="P683">
        <f t="shared" si="172"/>
        <v>0</v>
      </c>
      <c r="R683" s="486"/>
      <c r="S683" s="486"/>
      <c r="T683" s="486"/>
      <c r="U683" s="486"/>
      <c r="V683" s="294"/>
      <c r="W683" s="294"/>
      <c r="X683" s="486"/>
      <c r="Y683" s="486"/>
      <c r="Z683" s="294"/>
      <c r="AA683" s="294"/>
      <c r="AB683" s="285">
        <f t="shared" si="173"/>
        <v>0</v>
      </c>
    </row>
    <row r="684" spans="15:34" x14ac:dyDescent="0.2">
      <c r="P684">
        <f t="shared" si="172"/>
        <v>0</v>
      </c>
      <c r="R684" s="486"/>
      <c r="S684" s="486"/>
      <c r="T684" s="486"/>
      <c r="U684" s="486"/>
      <c r="V684" s="486"/>
      <c r="W684" s="486"/>
      <c r="X684" s="486"/>
      <c r="Y684" s="486"/>
      <c r="Z684" s="294"/>
      <c r="AA684" s="294"/>
      <c r="AB684" s="285">
        <f t="shared" si="173"/>
        <v>0</v>
      </c>
    </row>
    <row r="685" spans="15:34" x14ac:dyDescent="0.2">
      <c r="P685">
        <f t="shared" si="172"/>
        <v>0</v>
      </c>
      <c r="R685" s="486"/>
      <c r="S685" s="486"/>
      <c r="T685" s="486"/>
      <c r="U685" s="486"/>
      <c r="V685" s="486"/>
      <c r="W685" s="486"/>
      <c r="X685" s="486"/>
      <c r="Y685" s="486"/>
      <c r="Z685" s="294"/>
      <c r="AA685" s="294"/>
      <c r="AB685" s="285">
        <f t="shared" si="173"/>
        <v>0</v>
      </c>
    </row>
    <row r="686" spans="15:34" x14ac:dyDescent="0.2">
      <c r="P686">
        <f t="shared" si="172"/>
        <v>0</v>
      </c>
      <c r="R686" s="486"/>
      <c r="S686" s="486"/>
      <c r="T686" s="486"/>
      <c r="U686" s="486"/>
      <c r="V686" s="486"/>
      <c r="W686" s="486"/>
      <c r="X686" s="486"/>
      <c r="Y686" s="486"/>
      <c r="Z686" s="294"/>
      <c r="AA686" s="294"/>
      <c r="AB686" s="285">
        <f t="shared" si="173"/>
        <v>0</v>
      </c>
    </row>
    <row r="687" spans="15:34" x14ac:dyDescent="0.2">
      <c r="P687">
        <f t="shared" si="172"/>
        <v>0</v>
      </c>
      <c r="R687" s="486"/>
      <c r="S687" s="486"/>
      <c r="T687" s="486"/>
      <c r="U687" s="486"/>
      <c r="V687" s="486"/>
      <c r="W687" s="486"/>
      <c r="X687" s="486"/>
      <c r="Y687" s="486"/>
      <c r="Z687" s="294"/>
      <c r="AA687" s="294"/>
      <c r="AB687" s="285">
        <f t="shared" si="173"/>
        <v>0</v>
      </c>
    </row>
    <row r="688" spans="15:34" x14ac:dyDescent="0.2">
      <c r="P688">
        <f t="shared" si="172"/>
        <v>0</v>
      </c>
      <c r="R688" s="294"/>
      <c r="S688" s="294"/>
      <c r="T688" s="294"/>
      <c r="U688" s="294"/>
      <c r="V688" s="294"/>
      <c r="W688" s="294"/>
      <c r="X688" s="294"/>
      <c r="Y688" s="294"/>
      <c r="Z688" s="294"/>
      <c r="AA688" s="294"/>
      <c r="AB688" s="285">
        <f t="shared" si="173"/>
        <v>0</v>
      </c>
    </row>
    <row r="689" spans="12:40" x14ac:dyDescent="0.2">
      <c r="O689">
        <f>$O$80</f>
        <v>12</v>
      </c>
      <c r="P689">
        <f t="shared" si="172"/>
        <v>0</v>
      </c>
      <c r="R689" s="294"/>
      <c r="S689" s="294"/>
      <c r="T689" s="294"/>
      <c r="U689" s="294"/>
      <c r="V689" s="294"/>
      <c r="W689" s="294"/>
      <c r="X689" s="294"/>
      <c r="Y689" s="294"/>
      <c r="Z689" s="294"/>
      <c r="AA689" s="294"/>
      <c r="AB689" s="285">
        <f t="shared" si="173"/>
        <v>0</v>
      </c>
    </row>
    <row r="690" spans="12:40" x14ac:dyDescent="0.2">
      <c r="R690" s="294"/>
      <c r="S690" s="294"/>
      <c r="T690" s="294"/>
      <c r="U690" s="294"/>
      <c r="V690" s="294"/>
      <c r="W690" s="294"/>
      <c r="X690" s="294"/>
      <c r="Y690" s="294"/>
      <c r="Z690" s="294"/>
      <c r="AA690" s="294"/>
    </row>
    <row r="691" spans="12:40" ht="13.5" thickBot="1" x14ac:dyDescent="0.25">
      <c r="P691" t="s">
        <v>65</v>
      </c>
      <c r="R691" s="542">
        <f t="shared" ref="R691:Y691" si="174">SUM(R678:R689)</f>
        <v>0</v>
      </c>
      <c r="S691" s="542">
        <f t="shared" si="174"/>
        <v>0</v>
      </c>
      <c r="T691" s="542">
        <f t="shared" si="174"/>
        <v>0</v>
      </c>
      <c r="U691" s="542">
        <f t="shared" si="174"/>
        <v>0</v>
      </c>
      <c r="V691" s="542">
        <f t="shared" si="174"/>
        <v>0</v>
      </c>
      <c r="W691" s="542">
        <f t="shared" si="174"/>
        <v>0</v>
      </c>
      <c r="X691" s="542">
        <f t="shared" si="174"/>
        <v>0</v>
      </c>
      <c r="Y691" s="542">
        <f t="shared" si="174"/>
        <v>0</v>
      </c>
      <c r="Z691" s="294"/>
      <c r="AA691" s="294"/>
      <c r="AB691" s="542">
        <f>SUM(AB678:AB689)</f>
        <v>0</v>
      </c>
    </row>
    <row r="692" spans="12:40" ht="16.5" thickTop="1" x14ac:dyDescent="0.25">
      <c r="P692" s="595" t="s">
        <v>706</v>
      </c>
      <c r="Q692" s="479"/>
      <c r="R692" s="479"/>
      <c r="S692" s="479"/>
      <c r="T692">
        <f>2678.75</f>
        <v>2678.75</v>
      </c>
      <c r="U692">
        <v>10.715</v>
      </c>
      <c r="V692">
        <f>T692/U692</f>
        <v>250</v>
      </c>
      <c r="AC692" s="573"/>
      <c r="AD692" s="573"/>
      <c r="AE692" s="574" t="s">
        <v>659</v>
      </c>
      <c r="AF692" s="573"/>
      <c r="AG692" s="573"/>
      <c r="AH692" s="573"/>
      <c r="AI692" s="573"/>
      <c r="AJ692" s="573"/>
      <c r="AK692" s="573"/>
      <c r="AL692" s="573"/>
      <c r="AM692" s="575"/>
    </row>
    <row r="693" spans="12:40" x14ac:dyDescent="0.2">
      <c r="R693" t="s">
        <v>694</v>
      </c>
      <c r="X693" s="183" t="s">
        <v>466</v>
      </c>
      <c r="AC693" s="575"/>
      <c r="AD693" s="573"/>
      <c r="AE693" s="574" t="s">
        <v>662</v>
      </c>
      <c r="AF693" s="573"/>
      <c r="AG693" s="573"/>
      <c r="AH693" s="575"/>
      <c r="AI693" s="573"/>
      <c r="AJ693" s="573"/>
      <c r="AK693" s="573"/>
      <c r="AL693" s="574" t="s">
        <v>663</v>
      </c>
      <c r="AM693" s="575"/>
    </row>
    <row r="694" spans="12:40" x14ac:dyDescent="0.2">
      <c r="Q694" s="183" t="s">
        <v>664</v>
      </c>
      <c r="R694" s="183" t="s">
        <v>469</v>
      </c>
      <c r="S694" s="183"/>
      <c r="T694" s="183" t="s">
        <v>470</v>
      </c>
      <c r="X694" s="183" t="s">
        <v>471</v>
      </c>
      <c r="Y694" s="183" t="s">
        <v>470</v>
      </c>
      <c r="AC694" s="574" t="s">
        <v>668</v>
      </c>
      <c r="AD694" s="573" t="s">
        <v>117</v>
      </c>
      <c r="AE694" s="574" t="s">
        <v>669</v>
      </c>
      <c r="AF694" s="574" t="s">
        <v>670</v>
      </c>
      <c r="AG694" s="574" t="s">
        <v>671</v>
      </c>
      <c r="AH694" s="574" t="s">
        <v>672</v>
      </c>
      <c r="AI694" s="574" t="s">
        <v>118</v>
      </c>
      <c r="AJ694" s="574" t="s">
        <v>673</v>
      </c>
      <c r="AK694" s="573" t="s">
        <v>284</v>
      </c>
      <c r="AL694" s="574" t="s">
        <v>674</v>
      </c>
      <c r="AM694" s="575"/>
    </row>
    <row r="695" spans="12:40" x14ac:dyDescent="0.2">
      <c r="Q695" s="183" t="s">
        <v>474</v>
      </c>
      <c r="R695" s="183" t="s">
        <v>475</v>
      </c>
      <c r="S695" s="183"/>
      <c r="T695" s="183" t="s">
        <v>475</v>
      </c>
      <c r="U695" s="183" t="s">
        <v>476</v>
      </c>
      <c r="V695" s="183" t="s">
        <v>477</v>
      </c>
      <c r="W695" s="183" t="s">
        <v>478</v>
      </c>
      <c r="X695" s="183" t="s">
        <v>479</v>
      </c>
      <c r="Y695" s="183" t="s">
        <v>480</v>
      </c>
      <c r="Z695" s="183" t="s">
        <v>481</v>
      </c>
      <c r="AA695" s="183" t="s">
        <v>482</v>
      </c>
      <c r="AB695" s="183" t="s">
        <v>483</v>
      </c>
      <c r="AC695" s="574" t="s">
        <v>606</v>
      </c>
      <c r="AD695" s="574" t="s">
        <v>676</v>
      </c>
      <c r="AE695" s="574" t="s">
        <v>668</v>
      </c>
      <c r="AF695" s="574" t="s">
        <v>117</v>
      </c>
      <c r="AG695" s="574" t="s">
        <v>117</v>
      </c>
      <c r="AH695" s="573" t="s">
        <v>677</v>
      </c>
      <c r="AI695" s="574" t="s">
        <v>669</v>
      </c>
      <c r="AJ695" s="574" t="s">
        <v>678</v>
      </c>
      <c r="AK695" s="573" t="s">
        <v>679</v>
      </c>
      <c r="AL695" s="574" t="s">
        <v>680</v>
      </c>
      <c r="AM695" s="573" t="s">
        <v>84</v>
      </c>
    </row>
    <row r="696" spans="12:40" x14ac:dyDescent="0.2">
      <c r="P696" s="481" t="s">
        <v>487</v>
      </c>
      <c r="Q696" s="481"/>
      <c r="R696" s="481" t="s">
        <v>487</v>
      </c>
      <c r="S696" s="481"/>
      <c r="T696" s="481" t="s">
        <v>487</v>
      </c>
      <c r="U696" s="481" t="s">
        <v>487</v>
      </c>
      <c r="V696" s="481" t="s">
        <v>487</v>
      </c>
      <c r="W696" s="481" t="s">
        <v>487</v>
      </c>
      <c r="X696" s="481" t="s">
        <v>487</v>
      </c>
      <c r="Y696" s="481" t="s">
        <v>487</v>
      </c>
      <c r="Z696" s="481" t="s">
        <v>487</v>
      </c>
      <c r="AA696" s="481" t="s">
        <v>487</v>
      </c>
      <c r="AB696" s="481" t="s">
        <v>487</v>
      </c>
      <c r="AC696" s="576" t="s">
        <v>487</v>
      </c>
      <c r="AD696" s="576" t="s">
        <v>487</v>
      </c>
      <c r="AE696" s="576" t="s">
        <v>487</v>
      </c>
      <c r="AF696" s="576" t="s">
        <v>487</v>
      </c>
      <c r="AG696" s="576" t="s">
        <v>487</v>
      </c>
      <c r="AH696" s="576" t="s">
        <v>487</v>
      </c>
      <c r="AI696" s="576" t="s">
        <v>487</v>
      </c>
      <c r="AJ696" s="576" t="s">
        <v>487</v>
      </c>
      <c r="AK696" s="576" t="s">
        <v>487</v>
      </c>
      <c r="AL696" s="576" t="s">
        <v>487</v>
      </c>
      <c r="AM696" s="576" t="s">
        <v>487</v>
      </c>
    </row>
    <row r="697" spans="12:40" x14ac:dyDescent="0.2">
      <c r="V697" s="483"/>
      <c r="W697" s="483"/>
      <c r="X697" s="483"/>
      <c r="Z697" s="483"/>
      <c r="AC697" s="575"/>
      <c r="AD697" s="575"/>
      <c r="AE697" s="575"/>
      <c r="AF697" s="575"/>
      <c r="AG697" s="575"/>
      <c r="AH697" s="575"/>
      <c r="AI697" s="575"/>
      <c r="AJ697" s="575"/>
      <c r="AK697" s="575">
        <v>3.0000000000000001E-3</v>
      </c>
      <c r="AL697" s="575"/>
      <c r="AM697" s="575"/>
    </row>
    <row r="698" spans="12:40" x14ac:dyDescent="0.2">
      <c r="L698" s="577" t="e">
        <f>W698/U698</f>
        <v>#DIV/0!</v>
      </c>
      <c r="M698" s="578" t="e">
        <f>N698/R698</f>
        <v>#DIV/0!</v>
      </c>
      <c r="N698" s="483">
        <f>V698-AC698</f>
        <v>0</v>
      </c>
      <c r="O698">
        <f>$O$69</f>
        <v>1</v>
      </c>
      <c r="P698" s="329"/>
      <c r="R698" s="560"/>
      <c r="S698" s="560"/>
      <c r="T698" s="482"/>
      <c r="U698" s="482"/>
      <c r="V698" s="483"/>
      <c r="W698" s="483"/>
      <c r="X698" s="285"/>
      <c r="Y698" s="483"/>
      <c r="Z698" s="483"/>
      <c r="AA698" s="483"/>
      <c r="AB698" s="483"/>
      <c r="AC698" s="575"/>
      <c r="AD698" s="575"/>
      <c r="AE698" s="575"/>
      <c r="AF698" s="575"/>
      <c r="AG698" s="575"/>
      <c r="AH698" s="580"/>
      <c r="AI698" s="575"/>
      <c r="AJ698" s="575"/>
      <c r="AK698" s="575">
        <f>U698*AK697</f>
        <v>0</v>
      </c>
      <c r="AL698" s="575"/>
      <c r="AM698" s="575">
        <f>SUM(AI698:AL698)</f>
        <v>0</v>
      </c>
      <c r="AN698" s="285">
        <f>AM698-AB698</f>
        <v>0</v>
      </c>
    </row>
    <row r="699" spans="12:40" x14ac:dyDescent="0.2">
      <c r="L699" s="577" t="e">
        <f t="shared" ref="L699:L709" si="175">W699/U699</f>
        <v>#DIV/0!</v>
      </c>
      <c r="M699" s="578" t="e">
        <f t="shared" ref="M699:M709" si="176">N699/R699</f>
        <v>#DIV/0!</v>
      </c>
      <c r="N699" s="483">
        <f t="shared" ref="N699:N709" si="177">V699-AC699</f>
        <v>0</v>
      </c>
      <c r="R699" s="560"/>
      <c r="S699" s="560"/>
      <c r="T699" s="482"/>
      <c r="U699" s="482"/>
      <c r="V699" s="483"/>
      <c r="W699" s="483"/>
      <c r="X699" s="285"/>
      <c r="Y699" s="483"/>
      <c r="Z699" s="483"/>
      <c r="AA699" s="483"/>
      <c r="AB699" s="483"/>
      <c r="AC699" s="575"/>
      <c r="AD699" s="575"/>
      <c r="AE699" s="575"/>
      <c r="AF699" s="575"/>
      <c r="AG699" s="575"/>
      <c r="AH699" s="580"/>
      <c r="AI699" s="575"/>
      <c r="AJ699" s="575"/>
      <c r="AK699" s="575">
        <f>U699*AK697</f>
        <v>0</v>
      </c>
      <c r="AL699" s="575"/>
      <c r="AM699" s="575">
        <f t="shared" ref="AM699:AM709" si="178">SUM(AI699:AL699)</f>
        <v>0</v>
      </c>
      <c r="AN699" s="285">
        <f t="shared" ref="AN699:AN709" si="179">AM699-AB699</f>
        <v>0</v>
      </c>
    </row>
    <row r="700" spans="12:40" x14ac:dyDescent="0.2">
      <c r="L700" s="577" t="e">
        <f t="shared" si="175"/>
        <v>#DIV/0!</v>
      </c>
      <c r="M700" s="578" t="e">
        <f t="shared" si="176"/>
        <v>#DIV/0!</v>
      </c>
      <c r="N700" s="483">
        <f t="shared" si="177"/>
        <v>0</v>
      </c>
      <c r="R700" s="560"/>
      <c r="S700" s="560"/>
      <c r="T700" s="482"/>
      <c r="U700" s="482"/>
      <c r="V700" s="483"/>
      <c r="W700" s="483"/>
      <c r="X700" s="285"/>
      <c r="Y700" s="483"/>
      <c r="Z700" s="483"/>
      <c r="AA700" s="483"/>
      <c r="AB700" s="483"/>
      <c r="AC700" s="575"/>
      <c r="AD700" s="575"/>
      <c r="AE700" s="575"/>
      <c r="AF700" s="575"/>
      <c r="AG700" s="575"/>
      <c r="AH700" s="580"/>
      <c r="AI700" s="575"/>
      <c r="AJ700" s="575"/>
      <c r="AK700" s="575">
        <f>U700*AK697</f>
        <v>0</v>
      </c>
      <c r="AL700" s="575"/>
      <c r="AM700" s="575">
        <f t="shared" si="178"/>
        <v>0</v>
      </c>
      <c r="AN700" s="285">
        <f t="shared" si="179"/>
        <v>0</v>
      </c>
    </row>
    <row r="701" spans="12:40" x14ac:dyDescent="0.2">
      <c r="L701" s="577" t="e">
        <f t="shared" si="175"/>
        <v>#DIV/0!</v>
      </c>
      <c r="M701" s="578" t="e">
        <f t="shared" si="176"/>
        <v>#DIV/0!</v>
      </c>
      <c r="N701" s="483">
        <f t="shared" si="177"/>
        <v>0</v>
      </c>
      <c r="R701" s="560"/>
      <c r="S701" s="560"/>
      <c r="T701" s="482"/>
      <c r="U701" s="482"/>
      <c r="V701" s="483"/>
      <c r="W701" s="483"/>
      <c r="X701" s="285"/>
      <c r="Y701" s="483"/>
      <c r="Z701" s="483"/>
      <c r="AA701" s="483"/>
      <c r="AB701" s="483"/>
      <c r="AC701" s="575"/>
      <c r="AD701" s="575"/>
      <c r="AE701" s="575"/>
      <c r="AF701" s="575"/>
      <c r="AG701" s="575"/>
      <c r="AH701" s="580"/>
      <c r="AI701" s="575"/>
      <c r="AJ701" s="575"/>
      <c r="AK701" s="575">
        <f>U701*AK697</f>
        <v>0</v>
      </c>
      <c r="AL701" s="575"/>
      <c r="AM701" s="575">
        <f t="shared" si="178"/>
        <v>0</v>
      </c>
      <c r="AN701" s="285">
        <f t="shared" si="179"/>
        <v>0</v>
      </c>
    </row>
    <row r="702" spans="12:40" x14ac:dyDescent="0.2">
      <c r="L702" s="577" t="e">
        <f t="shared" si="175"/>
        <v>#DIV/0!</v>
      </c>
      <c r="M702" s="578" t="e">
        <f t="shared" si="176"/>
        <v>#DIV/0!</v>
      </c>
      <c r="N702" s="483">
        <f t="shared" si="177"/>
        <v>0</v>
      </c>
      <c r="R702" s="560"/>
      <c r="S702" s="560"/>
      <c r="T702" s="482"/>
      <c r="U702" s="482"/>
      <c r="V702" s="483"/>
      <c r="W702" s="483"/>
      <c r="X702" s="285"/>
      <c r="Y702" s="483"/>
      <c r="Z702" s="483"/>
      <c r="AA702" s="483"/>
      <c r="AB702" s="483"/>
      <c r="AC702" s="575"/>
      <c r="AD702" s="575"/>
      <c r="AE702" s="575"/>
      <c r="AF702" s="575"/>
      <c r="AG702" s="575"/>
      <c r="AH702" s="580"/>
      <c r="AI702" s="575"/>
      <c r="AJ702" s="575"/>
      <c r="AK702" s="575">
        <f>U702*AK697</f>
        <v>0</v>
      </c>
      <c r="AL702" s="575"/>
      <c r="AM702" s="575">
        <f t="shared" si="178"/>
        <v>0</v>
      </c>
      <c r="AN702" s="285">
        <f t="shared" si="179"/>
        <v>0</v>
      </c>
    </row>
    <row r="703" spans="12:40" x14ac:dyDescent="0.2">
      <c r="L703" s="577" t="e">
        <f t="shared" si="175"/>
        <v>#DIV/0!</v>
      </c>
      <c r="M703" s="578" t="e">
        <f t="shared" si="176"/>
        <v>#DIV/0!</v>
      </c>
      <c r="N703" s="483">
        <f t="shared" si="177"/>
        <v>0</v>
      </c>
      <c r="R703" s="560"/>
      <c r="S703" s="560"/>
      <c r="T703" s="482"/>
      <c r="U703" s="482"/>
      <c r="V703" s="483"/>
      <c r="W703" s="483"/>
      <c r="X703" s="285"/>
      <c r="Y703" s="483"/>
      <c r="Z703" s="483"/>
      <c r="AA703" s="483"/>
      <c r="AB703" s="483"/>
      <c r="AC703" s="575"/>
      <c r="AD703" s="575"/>
      <c r="AE703" s="575"/>
      <c r="AF703" s="575"/>
      <c r="AG703" s="575"/>
      <c r="AH703" s="580"/>
      <c r="AI703" s="575"/>
      <c r="AJ703" s="575"/>
      <c r="AK703" s="575">
        <f>U703*AK697</f>
        <v>0</v>
      </c>
      <c r="AL703" s="575"/>
      <c r="AM703" s="575">
        <f t="shared" si="178"/>
        <v>0</v>
      </c>
      <c r="AN703" s="285">
        <f t="shared" si="179"/>
        <v>0</v>
      </c>
    </row>
    <row r="704" spans="12:40" x14ac:dyDescent="0.2">
      <c r="L704" s="577" t="e">
        <f t="shared" si="175"/>
        <v>#DIV/0!</v>
      </c>
      <c r="M704" s="578" t="e">
        <f t="shared" si="176"/>
        <v>#DIV/0!</v>
      </c>
      <c r="N704" s="483">
        <f t="shared" si="177"/>
        <v>0</v>
      </c>
      <c r="R704" s="560"/>
      <c r="S704" s="560"/>
      <c r="T704" s="482"/>
      <c r="U704" s="482"/>
      <c r="V704" s="483"/>
      <c r="W704" s="483"/>
      <c r="X704" s="285"/>
      <c r="Y704" s="483"/>
      <c r="Z704" s="483"/>
      <c r="AA704" s="483"/>
      <c r="AB704" s="483"/>
      <c r="AC704" s="575"/>
      <c r="AD704" s="575"/>
      <c r="AE704" s="575"/>
      <c r="AF704" s="575"/>
      <c r="AG704" s="575"/>
      <c r="AH704" s="580"/>
      <c r="AI704" s="575"/>
      <c r="AJ704" s="575"/>
      <c r="AK704" s="575">
        <f>U704*AK697</f>
        <v>0</v>
      </c>
      <c r="AL704" s="575"/>
      <c r="AM704" s="575">
        <f t="shared" si="178"/>
        <v>0</v>
      </c>
      <c r="AN704" s="285">
        <f t="shared" si="179"/>
        <v>0</v>
      </c>
    </row>
    <row r="705" spans="12:40" x14ac:dyDescent="0.2">
      <c r="L705" s="577" t="e">
        <f t="shared" si="175"/>
        <v>#DIV/0!</v>
      </c>
      <c r="M705" s="578" t="e">
        <f t="shared" si="176"/>
        <v>#DIV/0!</v>
      </c>
      <c r="N705" s="483">
        <f t="shared" si="177"/>
        <v>0</v>
      </c>
      <c r="R705" s="560"/>
      <c r="S705" s="560"/>
      <c r="T705" s="482"/>
      <c r="U705" s="482"/>
      <c r="V705" s="483"/>
      <c r="W705" s="483"/>
      <c r="X705" s="285"/>
      <c r="Y705" s="483"/>
      <c r="Z705" s="483"/>
      <c r="AA705" s="483"/>
      <c r="AB705" s="483"/>
      <c r="AC705" s="575"/>
      <c r="AD705" s="575"/>
      <c r="AE705" s="575"/>
      <c r="AF705" s="575"/>
      <c r="AG705" s="575"/>
      <c r="AH705" s="580"/>
      <c r="AI705" s="575"/>
      <c r="AJ705" s="575"/>
      <c r="AK705" s="575">
        <f>U705*AK697</f>
        <v>0</v>
      </c>
      <c r="AL705" s="575"/>
      <c r="AM705" s="575">
        <f t="shared" si="178"/>
        <v>0</v>
      </c>
      <c r="AN705" s="285">
        <f t="shared" si="179"/>
        <v>0</v>
      </c>
    </row>
    <row r="706" spans="12:40" x14ac:dyDescent="0.2">
      <c r="L706" s="577" t="e">
        <f t="shared" si="175"/>
        <v>#DIV/0!</v>
      </c>
      <c r="M706" s="578" t="e">
        <f t="shared" si="176"/>
        <v>#DIV/0!</v>
      </c>
      <c r="N706" s="483">
        <f t="shared" si="177"/>
        <v>0</v>
      </c>
      <c r="R706" s="560"/>
      <c r="S706" s="560"/>
      <c r="T706" s="482"/>
      <c r="U706" s="482"/>
      <c r="V706" s="483"/>
      <c r="W706" s="483"/>
      <c r="X706" s="285"/>
      <c r="Y706" s="483"/>
      <c r="Z706" s="483"/>
      <c r="AA706" s="483"/>
      <c r="AB706" s="483"/>
      <c r="AC706" s="575"/>
      <c r="AD706" s="575"/>
      <c r="AE706" s="575"/>
      <c r="AF706" s="575"/>
      <c r="AG706" s="575"/>
      <c r="AH706" s="580"/>
      <c r="AI706" s="575"/>
      <c r="AJ706" s="575"/>
      <c r="AK706" s="575">
        <f>U706*AK697</f>
        <v>0</v>
      </c>
      <c r="AL706" s="575"/>
      <c r="AM706" s="575">
        <f t="shared" si="178"/>
        <v>0</v>
      </c>
      <c r="AN706" s="285">
        <f t="shared" si="179"/>
        <v>0</v>
      </c>
    </row>
    <row r="707" spans="12:40" x14ac:dyDescent="0.2">
      <c r="L707" s="577" t="e">
        <f t="shared" si="175"/>
        <v>#DIV/0!</v>
      </c>
      <c r="M707" s="578" t="e">
        <f t="shared" si="176"/>
        <v>#DIV/0!</v>
      </c>
      <c r="N707" s="483">
        <f t="shared" si="177"/>
        <v>0</v>
      </c>
      <c r="R707" s="560"/>
      <c r="S707" s="560"/>
      <c r="T707" s="482"/>
      <c r="U707" s="482"/>
      <c r="V707" s="483"/>
      <c r="W707" s="483"/>
      <c r="X707" s="285"/>
      <c r="Y707" s="483"/>
      <c r="Z707" s="483"/>
      <c r="AA707" s="483"/>
      <c r="AB707" s="483"/>
      <c r="AC707" s="575"/>
      <c r="AD707" s="575"/>
      <c r="AE707" s="575"/>
      <c r="AF707" s="580"/>
      <c r="AG707" s="580"/>
      <c r="AH707" s="580"/>
      <c r="AI707" s="575"/>
      <c r="AJ707" s="575"/>
      <c r="AK707" s="575">
        <f>U707*AK697</f>
        <v>0</v>
      </c>
      <c r="AL707" s="575"/>
      <c r="AM707" s="575">
        <f t="shared" si="178"/>
        <v>0</v>
      </c>
      <c r="AN707" s="285">
        <f t="shared" si="179"/>
        <v>0</v>
      </c>
    </row>
    <row r="708" spans="12:40" x14ac:dyDescent="0.2">
      <c r="L708" s="577" t="e">
        <f t="shared" si="175"/>
        <v>#DIV/0!</v>
      </c>
      <c r="M708" s="578" t="e">
        <f t="shared" si="176"/>
        <v>#DIV/0!</v>
      </c>
      <c r="N708" s="483">
        <f t="shared" si="177"/>
        <v>0</v>
      </c>
      <c r="R708" s="560"/>
      <c r="S708" s="560"/>
      <c r="T708" s="482"/>
      <c r="U708" s="482"/>
      <c r="V708" s="483"/>
      <c r="W708" s="483"/>
      <c r="X708" s="285"/>
      <c r="Y708" s="483"/>
      <c r="Z708" s="483"/>
      <c r="AA708" s="483"/>
      <c r="AB708" s="483"/>
      <c r="AC708" s="575"/>
      <c r="AD708" s="575"/>
      <c r="AE708" s="575"/>
      <c r="AF708" s="580"/>
      <c r="AG708" s="580"/>
      <c r="AH708" s="580"/>
      <c r="AI708" s="575"/>
      <c r="AJ708" s="575"/>
      <c r="AK708" s="575">
        <f>U708*AK697</f>
        <v>0</v>
      </c>
      <c r="AL708" s="575"/>
      <c r="AM708" s="575">
        <f t="shared" si="178"/>
        <v>0</v>
      </c>
      <c r="AN708" s="285">
        <f t="shared" si="179"/>
        <v>0</v>
      </c>
    </row>
    <row r="709" spans="12:40" x14ac:dyDescent="0.2">
      <c r="L709" s="577" t="e">
        <f t="shared" si="175"/>
        <v>#DIV/0!</v>
      </c>
      <c r="M709" s="578" t="e">
        <f t="shared" si="176"/>
        <v>#DIV/0!</v>
      </c>
      <c r="N709" s="483">
        <f t="shared" si="177"/>
        <v>0</v>
      </c>
      <c r="O709">
        <f>$O$80</f>
        <v>12</v>
      </c>
      <c r="R709" s="560"/>
      <c r="S709" s="560"/>
      <c r="T709" s="482"/>
      <c r="U709" s="482"/>
      <c r="V709" s="483"/>
      <c r="W709" s="483"/>
      <c r="X709" s="285"/>
      <c r="Y709" s="483"/>
      <c r="Z709" s="483"/>
      <c r="AA709" s="483"/>
      <c r="AB709" s="483"/>
      <c r="AC709" s="575"/>
      <c r="AD709" s="575"/>
      <c r="AE709" s="575"/>
      <c r="AF709" s="580"/>
      <c r="AG709" s="580"/>
      <c r="AH709" s="580"/>
      <c r="AI709" s="575"/>
      <c r="AJ709" s="575"/>
      <c r="AK709" s="575">
        <f>U709*AK697</f>
        <v>0</v>
      </c>
      <c r="AL709" s="575"/>
      <c r="AM709" s="575">
        <f t="shared" si="178"/>
        <v>0</v>
      </c>
      <c r="AN709" s="285">
        <f t="shared" si="179"/>
        <v>0</v>
      </c>
    </row>
    <row r="710" spans="12:40" x14ac:dyDescent="0.2">
      <c r="R710" s="488" t="s">
        <v>487</v>
      </c>
      <c r="S710" s="488"/>
      <c r="T710" s="488" t="s">
        <v>487</v>
      </c>
      <c r="U710" s="488" t="s">
        <v>487</v>
      </c>
      <c r="V710" s="489" t="s">
        <v>487</v>
      </c>
      <c r="W710" s="489" t="s">
        <v>487</v>
      </c>
      <c r="X710" s="489" t="s">
        <v>487</v>
      </c>
      <c r="Y710" s="481" t="s">
        <v>487</v>
      </c>
      <c r="Z710" s="489" t="s">
        <v>487</v>
      </c>
      <c r="AA710" s="489" t="s">
        <v>487</v>
      </c>
      <c r="AB710" s="489" t="s">
        <v>487</v>
      </c>
      <c r="AC710" s="575"/>
      <c r="AD710" s="575"/>
      <c r="AE710" s="575"/>
      <c r="AF710" s="575"/>
      <c r="AG710" s="575"/>
      <c r="AH710" s="575"/>
      <c r="AI710" s="575"/>
      <c r="AJ710" s="575"/>
      <c r="AK710" s="575"/>
      <c r="AL710" s="575"/>
      <c r="AM710" s="575"/>
    </row>
    <row r="711" spans="12:40" x14ac:dyDescent="0.2">
      <c r="R711" s="482"/>
      <c r="S711" s="482"/>
      <c r="T711" s="482"/>
      <c r="U711" s="482"/>
      <c r="V711" s="483"/>
      <c r="W711" s="483"/>
      <c r="X711" s="483"/>
      <c r="Z711" s="483"/>
      <c r="AA711" s="483"/>
      <c r="AB711" s="483"/>
      <c r="AC711" s="575"/>
      <c r="AD711" s="575"/>
      <c r="AE711" s="575"/>
      <c r="AF711" s="575"/>
      <c r="AG711" s="575"/>
      <c r="AH711" s="575"/>
      <c r="AI711" s="575"/>
      <c r="AJ711" s="575"/>
      <c r="AK711" s="575"/>
      <c r="AL711" s="575"/>
      <c r="AM711" s="575"/>
    </row>
    <row r="712" spans="12:40" x14ac:dyDescent="0.2">
      <c r="R712" s="482">
        <f t="shared" ref="R712:AM712" si="180">SUM(R698:R709)</f>
        <v>0</v>
      </c>
      <c r="S712" s="482"/>
      <c r="T712" s="482">
        <f t="shared" si="180"/>
        <v>0</v>
      </c>
      <c r="U712" s="482">
        <f t="shared" si="180"/>
        <v>0</v>
      </c>
      <c r="V712" s="483">
        <f t="shared" si="180"/>
        <v>0</v>
      </c>
      <c r="W712" s="483">
        <f t="shared" si="180"/>
        <v>0</v>
      </c>
      <c r="X712" s="483">
        <f t="shared" si="180"/>
        <v>0</v>
      </c>
      <c r="Y712" s="483">
        <f t="shared" si="180"/>
        <v>0</v>
      </c>
      <c r="Z712" s="483">
        <f t="shared" si="180"/>
        <v>0</v>
      </c>
      <c r="AA712" s="483">
        <f t="shared" si="180"/>
        <v>0</v>
      </c>
      <c r="AB712" s="483">
        <f t="shared" si="180"/>
        <v>0</v>
      </c>
      <c r="AC712" s="584">
        <f t="shared" si="180"/>
        <v>0</v>
      </c>
      <c r="AD712" s="584">
        <f t="shared" si="180"/>
        <v>0</v>
      </c>
      <c r="AE712" s="584">
        <f t="shared" si="180"/>
        <v>0</v>
      </c>
      <c r="AF712" s="584">
        <f t="shared" si="180"/>
        <v>0</v>
      </c>
      <c r="AG712" s="584">
        <f t="shared" si="180"/>
        <v>0</v>
      </c>
      <c r="AH712" s="584">
        <f t="shared" si="180"/>
        <v>0</v>
      </c>
      <c r="AI712" s="584">
        <f t="shared" si="180"/>
        <v>0</v>
      </c>
      <c r="AJ712" s="584">
        <f t="shared" si="180"/>
        <v>0</v>
      </c>
      <c r="AK712" s="584">
        <f t="shared" si="180"/>
        <v>0</v>
      </c>
      <c r="AL712" s="584">
        <f t="shared" si="180"/>
        <v>0</v>
      </c>
      <c r="AM712" s="584">
        <f t="shared" si="180"/>
        <v>0</v>
      </c>
    </row>
    <row r="713" spans="12:40" x14ac:dyDescent="0.2">
      <c r="R713" s="488" t="s">
        <v>501</v>
      </c>
      <c r="S713" s="488"/>
      <c r="T713" s="488" t="s">
        <v>501</v>
      </c>
      <c r="U713" s="488" t="s">
        <v>501</v>
      </c>
      <c r="V713" s="489" t="s">
        <v>501</v>
      </c>
      <c r="W713" s="489" t="s">
        <v>501</v>
      </c>
      <c r="X713" s="489" t="s">
        <v>501</v>
      </c>
      <c r="Y713" s="489" t="s">
        <v>501</v>
      </c>
      <c r="Z713" s="489" t="s">
        <v>501</v>
      </c>
      <c r="AA713" s="489" t="s">
        <v>501</v>
      </c>
      <c r="AB713" s="489" t="s">
        <v>501</v>
      </c>
      <c r="AC713" s="585" t="s">
        <v>501</v>
      </c>
      <c r="AD713" s="585" t="s">
        <v>501</v>
      </c>
      <c r="AE713" s="585" t="s">
        <v>501</v>
      </c>
      <c r="AF713" s="585" t="s">
        <v>501</v>
      </c>
      <c r="AG713" s="585" t="s">
        <v>501</v>
      </c>
      <c r="AH713" s="585" t="s">
        <v>501</v>
      </c>
      <c r="AI713" s="585" t="s">
        <v>501</v>
      </c>
      <c r="AJ713" s="585" t="s">
        <v>501</v>
      </c>
      <c r="AK713" s="585" t="s">
        <v>501</v>
      </c>
      <c r="AL713" s="585" t="s">
        <v>501</v>
      </c>
      <c r="AM713" s="585" t="s">
        <v>501</v>
      </c>
    </row>
    <row r="716" spans="12:40" x14ac:dyDescent="0.2">
      <c r="S716" s="183" t="s">
        <v>549</v>
      </c>
    </row>
    <row r="717" spans="12:40" x14ac:dyDescent="0.2">
      <c r="P717" s="183"/>
      <c r="Q717" s="183"/>
      <c r="R717" s="183" t="s">
        <v>550</v>
      </c>
      <c r="S717" s="183" t="s">
        <v>551</v>
      </c>
      <c r="T717" s="183" t="s">
        <v>552</v>
      </c>
      <c r="U717" s="183" t="s">
        <v>555</v>
      </c>
      <c r="V717" s="183" t="s">
        <v>596</v>
      </c>
      <c r="W717" s="183" t="s">
        <v>553</v>
      </c>
      <c r="X717" s="183" t="s">
        <v>554</v>
      </c>
      <c r="Y717" s="183" t="s">
        <v>556</v>
      </c>
      <c r="Z717" s="183"/>
      <c r="AA717" s="183"/>
      <c r="AB717" s="183"/>
      <c r="AD717" s="183"/>
      <c r="AE717" s="183"/>
      <c r="AF717" s="183"/>
      <c r="AG717" s="183"/>
      <c r="AH717" s="183"/>
    </row>
    <row r="718" spans="12:40" x14ac:dyDescent="0.2">
      <c r="P718" s="183"/>
      <c r="Q718" s="183"/>
      <c r="R718" s="521" t="s">
        <v>471</v>
      </c>
      <c r="S718" s="521" t="s">
        <v>558</v>
      </c>
      <c r="T718" s="521" t="s">
        <v>559</v>
      </c>
      <c r="U718" s="521" t="s">
        <v>562</v>
      </c>
      <c r="V718" s="521" t="s">
        <v>597</v>
      </c>
      <c r="W718" s="521" t="s">
        <v>560</v>
      </c>
      <c r="X718" s="521" t="s">
        <v>561</v>
      </c>
      <c r="Y718" s="521" t="s">
        <v>563</v>
      </c>
      <c r="Z718" s="183"/>
      <c r="AA718" s="183"/>
      <c r="AB718" s="183"/>
      <c r="AD718" s="183"/>
      <c r="AE718" s="183"/>
      <c r="AF718" s="183"/>
      <c r="AG718" s="183"/>
      <c r="AH718" s="183"/>
    </row>
    <row r="719" spans="12:40" x14ac:dyDescent="0.2">
      <c r="P719" s="183"/>
      <c r="Q719" s="183"/>
      <c r="R719" s="183"/>
      <c r="S719" s="183"/>
      <c r="T719" s="183"/>
      <c r="U719" s="183"/>
      <c r="V719" s="183"/>
      <c r="W719" s="183"/>
      <c r="X719" s="183"/>
      <c r="Y719" s="183"/>
      <c r="Z719" s="183"/>
      <c r="AA719" s="183"/>
      <c r="AB719" s="523" t="s">
        <v>84</v>
      </c>
      <c r="AD719" s="183"/>
      <c r="AE719" s="183"/>
      <c r="AF719" s="183"/>
      <c r="AG719" s="183"/>
      <c r="AH719" s="183"/>
    </row>
    <row r="720" spans="12:40" x14ac:dyDescent="0.2">
      <c r="O720">
        <f>$O$69</f>
        <v>1</v>
      </c>
      <c r="P720" s="329">
        <f t="shared" ref="P720:P731" si="181">P698</f>
        <v>0</v>
      </c>
      <c r="R720" s="294"/>
      <c r="S720" s="294"/>
      <c r="T720" s="294"/>
      <c r="U720" s="294"/>
      <c r="V720" s="294"/>
      <c r="W720" s="294"/>
      <c r="X720" s="294"/>
      <c r="Z720" s="294"/>
      <c r="AA720" s="294"/>
      <c r="AB720" s="285">
        <f t="shared" ref="AB720:AB731" si="182">SUM(R720:AA720)</f>
        <v>0</v>
      </c>
    </row>
    <row r="721" spans="15:39" x14ac:dyDescent="0.2">
      <c r="P721">
        <f t="shared" si="181"/>
        <v>0</v>
      </c>
      <c r="R721" s="294"/>
      <c r="S721" s="294"/>
      <c r="T721" s="294"/>
      <c r="U721" s="294"/>
      <c r="V721" s="294"/>
      <c r="W721" s="294"/>
      <c r="X721" s="294"/>
      <c r="Z721" s="294"/>
      <c r="AA721" s="294"/>
      <c r="AB721" s="285">
        <f t="shared" si="182"/>
        <v>0</v>
      </c>
    </row>
    <row r="722" spans="15:39" x14ac:dyDescent="0.2">
      <c r="P722">
        <f t="shared" si="181"/>
        <v>0</v>
      </c>
      <c r="R722" s="294"/>
      <c r="S722" s="294"/>
      <c r="T722" s="294"/>
      <c r="U722" s="294"/>
      <c r="V722" s="294"/>
      <c r="W722" s="294"/>
      <c r="X722" s="294"/>
      <c r="Z722" s="294"/>
      <c r="AA722" s="294"/>
      <c r="AB722" s="285">
        <f t="shared" si="182"/>
        <v>0</v>
      </c>
    </row>
    <row r="723" spans="15:39" x14ac:dyDescent="0.2">
      <c r="P723">
        <f t="shared" si="181"/>
        <v>0</v>
      </c>
      <c r="R723" s="294"/>
      <c r="S723" s="294"/>
      <c r="T723" s="294"/>
      <c r="U723" s="294"/>
      <c r="V723" s="294"/>
      <c r="W723" s="294"/>
      <c r="X723" s="294"/>
      <c r="Z723" s="294"/>
      <c r="AA723" s="294"/>
      <c r="AB723" s="285">
        <f t="shared" si="182"/>
        <v>0</v>
      </c>
    </row>
    <row r="724" spans="15:39" x14ac:dyDescent="0.2">
      <c r="P724">
        <f t="shared" si="181"/>
        <v>0</v>
      </c>
      <c r="R724" s="294"/>
      <c r="S724" s="294"/>
      <c r="T724" s="294"/>
      <c r="U724" s="294"/>
      <c r="V724" s="294"/>
      <c r="W724" s="294"/>
      <c r="X724" s="294"/>
      <c r="Y724" s="294"/>
      <c r="Z724" s="294"/>
      <c r="AA724" s="294"/>
      <c r="AB724" s="285">
        <f t="shared" si="182"/>
        <v>0</v>
      </c>
    </row>
    <row r="725" spans="15:39" x14ac:dyDescent="0.2">
      <c r="P725">
        <f t="shared" si="181"/>
        <v>0</v>
      </c>
      <c r="R725" s="486"/>
      <c r="S725" s="486"/>
      <c r="T725" s="486"/>
      <c r="U725" s="486"/>
      <c r="V725" s="294"/>
      <c r="W725" s="294"/>
      <c r="X725" s="486"/>
      <c r="Y725" s="486"/>
      <c r="Z725" s="294"/>
      <c r="AA725" s="294"/>
      <c r="AB725" s="285">
        <f t="shared" si="182"/>
        <v>0</v>
      </c>
    </row>
    <row r="726" spans="15:39" x14ac:dyDescent="0.2">
      <c r="P726">
        <f t="shared" si="181"/>
        <v>0</v>
      </c>
      <c r="R726" s="486"/>
      <c r="S726" s="486"/>
      <c r="T726" s="486"/>
      <c r="U726" s="486"/>
      <c r="V726" s="486"/>
      <c r="W726" s="486"/>
      <c r="X726" s="486"/>
      <c r="Y726" s="486"/>
      <c r="Z726" s="294"/>
      <c r="AA726" s="294"/>
      <c r="AB726" s="285">
        <f t="shared" si="182"/>
        <v>0</v>
      </c>
    </row>
    <row r="727" spans="15:39" x14ac:dyDescent="0.2">
      <c r="P727">
        <f t="shared" si="181"/>
        <v>0</v>
      </c>
      <c r="R727" s="486"/>
      <c r="S727" s="486"/>
      <c r="T727" s="486"/>
      <c r="U727" s="486"/>
      <c r="V727" s="486"/>
      <c r="W727" s="486"/>
      <c r="X727" s="486"/>
      <c r="Y727" s="486"/>
      <c r="Z727" s="294"/>
      <c r="AA727" s="294"/>
      <c r="AB727" s="285">
        <f t="shared" si="182"/>
        <v>0</v>
      </c>
    </row>
    <row r="728" spans="15:39" x14ac:dyDescent="0.2">
      <c r="P728">
        <f t="shared" si="181"/>
        <v>0</v>
      </c>
      <c r="R728" s="486"/>
      <c r="S728" s="486"/>
      <c r="T728" s="486"/>
      <c r="U728" s="486"/>
      <c r="V728" s="486"/>
      <c r="W728" s="486"/>
      <c r="X728" s="486"/>
      <c r="Y728" s="486"/>
      <c r="Z728" s="294"/>
      <c r="AA728" s="294"/>
      <c r="AB728" s="285">
        <f t="shared" si="182"/>
        <v>0</v>
      </c>
    </row>
    <row r="729" spans="15:39" x14ac:dyDescent="0.2">
      <c r="P729">
        <f t="shared" si="181"/>
        <v>0</v>
      </c>
      <c r="R729" s="486"/>
      <c r="S729" s="486"/>
      <c r="T729" s="486"/>
      <c r="U729" s="486"/>
      <c r="V729" s="486"/>
      <c r="W729" s="486"/>
      <c r="X729" s="486"/>
      <c r="Y729" s="486"/>
      <c r="Z729" s="294"/>
      <c r="AA729" s="294"/>
      <c r="AB729" s="285">
        <f t="shared" si="182"/>
        <v>0</v>
      </c>
    </row>
    <row r="730" spans="15:39" x14ac:dyDescent="0.2">
      <c r="P730">
        <f t="shared" si="181"/>
        <v>0</v>
      </c>
      <c r="R730" s="294"/>
      <c r="S730" s="294"/>
      <c r="T730" s="294"/>
      <c r="U730" s="294"/>
      <c r="V730" s="294"/>
      <c r="W730" s="294"/>
      <c r="X730" s="294"/>
      <c r="Y730" s="294"/>
      <c r="Z730" s="294"/>
      <c r="AA730" s="294"/>
      <c r="AB730" s="285">
        <f t="shared" si="182"/>
        <v>0</v>
      </c>
    </row>
    <row r="731" spans="15:39" x14ac:dyDescent="0.2">
      <c r="O731">
        <f>$O$80</f>
        <v>12</v>
      </c>
      <c r="P731">
        <f t="shared" si="181"/>
        <v>0</v>
      </c>
      <c r="R731" s="294"/>
      <c r="S731" s="294"/>
      <c r="T731" s="294"/>
      <c r="U731" s="294"/>
      <c r="V731" s="294"/>
      <c r="W731" s="294"/>
      <c r="X731" s="294"/>
      <c r="Y731" s="294"/>
      <c r="Z731" s="294"/>
      <c r="AA731" s="294"/>
      <c r="AB731" s="285">
        <f t="shared" si="182"/>
        <v>0</v>
      </c>
    </row>
    <row r="732" spans="15:39" x14ac:dyDescent="0.2">
      <c r="R732" s="294"/>
      <c r="S732" s="294"/>
      <c r="T732" s="294"/>
      <c r="U732" s="294"/>
      <c r="V732" s="294"/>
      <c r="W732" s="294"/>
      <c r="X732" s="294"/>
      <c r="Y732" s="294"/>
      <c r="Z732" s="294"/>
      <c r="AA732" s="294"/>
      <c r="AB732" s="285"/>
    </row>
    <row r="733" spans="15:39" ht="13.5" thickBot="1" x14ac:dyDescent="0.25">
      <c r="P733" t="s">
        <v>65</v>
      </c>
      <c r="R733" s="542">
        <f t="shared" ref="R733:Y733" si="183">SUM(R720:R731)</f>
        <v>0</v>
      </c>
      <c r="S733" s="542">
        <f t="shared" si="183"/>
        <v>0</v>
      </c>
      <c r="T733" s="542">
        <f t="shared" si="183"/>
        <v>0</v>
      </c>
      <c r="U733" s="542">
        <f t="shared" si="183"/>
        <v>0</v>
      </c>
      <c r="V733" s="542">
        <f t="shared" si="183"/>
        <v>0</v>
      </c>
      <c r="W733" s="542">
        <f t="shared" si="183"/>
        <v>0</v>
      </c>
      <c r="X733" s="542">
        <f t="shared" si="183"/>
        <v>0</v>
      </c>
      <c r="Y733" s="542">
        <f t="shared" si="183"/>
        <v>0</v>
      </c>
      <c r="Z733" s="294"/>
      <c r="AA733" s="294"/>
      <c r="AB733" s="542">
        <f>SUM(AB720:AB731)</f>
        <v>0</v>
      </c>
    </row>
    <row r="734" spans="15:39" ht="16.5" thickTop="1" x14ac:dyDescent="0.25">
      <c r="P734" s="524" t="s">
        <v>707</v>
      </c>
      <c r="Q734" s="479"/>
      <c r="AC734" s="573"/>
      <c r="AD734" s="573"/>
      <c r="AE734" s="574" t="s">
        <v>659</v>
      </c>
      <c r="AF734" s="573"/>
      <c r="AG734" s="573"/>
      <c r="AH734" s="573"/>
      <c r="AI734" s="573"/>
      <c r="AJ734" s="573"/>
      <c r="AK734" s="573"/>
      <c r="AL734" s="573"/>
      <c r="AM734" s="575"/>
    </row>
    <row r="735" spans="15:39" x14ac:dyDescent="0.2">
      <c r="X735" s="183" t="s">
        <v>466</v>
      </c>
      <c r="AC735" s="575"/>
      <c r="AD735" s="573"/>
      <c r="AE735" s="574" t="s">
        <v>662</v>
      </c>
      <c r="AF735" s="573"/>
      <c r="AG735" s="573"/>
      <c r="AH735" s="575"/>
      <c r="AI735" s="573"/>
      <c r="AJ735" s="573"/>
      <c r="AK735" s="573"/>
      <c r="AL735" s="574" t="s">
        <v>663</v>
      </c>
      <c r="AM735" s="575"/>
    </row>
    <row r="736" spans="15:39" x14ac:dyDescent="0.2">
      <c r="Q736" s="183" t="s">
        <v>664</v>
      </c>
      <c r="R736" s="183" t="s">
        <v>469</v>
      </c>
      <c r="S736" s="183"/>
      <c r="T736" s="183" t="s">
        <v>470</v>
      </c>
      <c r="X736" s="183" t="s">
        <v>471</v>
      </c>
      <c r="Y736" s="183" t="s">
        <v>470</v>
      </c>
      <c r="AC736" s="574" t="s">
        <v>668</v>
      </c>
      <c r="AD736" s="573" t="s">
        <v>117</v>
      </c>
      <c r="AE736" s="574" t="s">
        <v>669</v>
      </c>
      <c r="AF736" s="574" t="s">
        <v>670</v>
      </c>
      <c r="AG736" s="574" t="s">
        <v>671</v>
      </c>
      <c r="AH736" s="574" t="s">
        <v>672</v>
      </c>
      <c r="AI736" s="574" t="s">
        <v>118</v>
      </c>
      <c r="AJ736" s="574" t="s">
        <v>673</v>
      </c>
      <c r="AK736" s="573" t="s">
        <v>284</v>
      </c>
      <c r="AL736" s="574" t="s">
        <v>674</v>
      </c>
      <c r="AM736" s="575"/>
    </row>
    <row r="737" spans="12:42" x14ac:dyDescent="0.2">
      <c r="Q737" s="183" t="s">
        <v>474</v>
      </c>
      <c r="R737" s="183" t="s">
        <v>475</v>
      </c>
      <c r="S737" s="183"/>
      <c r="T737" s="183" t="s">
        <v>475</v>
      </c>
      <c r="U737" s="183" t="s">
        <v>476</v>
      </c>
      <c r="V737" s="183" t="s">
        <v>477</v>
      </c>
      <c r="W737" s="183" t="s">
        <v>478</v>
      </c>
      <c r="X737" s="183" t="s">
        <v>479</v>
      </c>
      <c r="Y737" s="183" t="s">
        <v>480</v>
      </c>
      <c r="Z737" s="183" t="s">
        <v>481</v>
      </c>
      <c r="AA737" s="183" t="s">
        <v>482</v>
      </c>
      <c r="AB737" s="183" t="s">
        <v>483</v>
      </c>
      <c r="AC737" s="574" t="s">
        <v>606</v>
      </c>
      <c r="AD737" s="574" t="s">
        <v>676</v>
      </c>
      <c r="AE737" s="574" t="s">
        <v>668</v>
      </c>
      <c r="AF737" s="574" t="s">
        <v>117</v>
      </c>
      <c r="AG737" s="574" t="s">
        <v>117</v>
      </c>
      <c r="AH737" s="573" t="s">
        <v>677</v>
      </c>
      <c r="AI737" s="574" t="s">
        <v>669</v>
      </c>
      <c r="AJ737" s="574" t="s">
        <v>678</v>
      </c>
      <c r="AK737" s="573" t="s">
        <v>679</v>
      </c>
      <c r="AL737" s="574" t="s">
        <v>680</v>
      </c>
      <c r="AM737" s="573" t="s">
        <v>84</v>
      </c>
    </row>
    <row r="738" spans="12:42" x14ac:dyDescent="0.2">
      <c r="P738" s="481" t="s">
        <v>487</v>
      </c>
      <c r="Q738" s="481"/>
      <c r="R738" s="481" t="s">
        <v>487</v>
      </c>
      <c r="S738" s="481"/>
      <c r="T738" s="481" t="s">
        <v>487</v>
      </c>
      <c r="U738" s="481" t="s">
        <v>487</v>
      </c>
      <c r="V738" s="481" t="s">
        <v>487</v>
      </c>
      <c r="W738" s="481" t="s">
        <v>487</v>
      </c>
      <c r="X738" s="481" t="s">
        <v>487</v>
      </c>
      <c r="Y738" s="481" t="s">
        <v>487</v>
      </c>
      <c r="Z738" s="481" t="s">
        <v>487</v>
      </c>
      <c r="AA738" s="481" t="s">
        <v>487</v>
      </c>
      <c r="AB738" s="481" t="s">
        <v>487</v>
      </c>
      <c r="AC738" s="576" t="s">
        <v>487</v>
      </c>
      <c r="AD738" s="576" t="s">
        <v>487</v>
      </c>
      <c r="AE738" s="576" t="s">
        <v>487</v>
      </c>
      <c r="AF738" s="576" t="s">
        <v>487</v>
      </c>
      <c r="AG738" s="576" t="s">
        <v>487</v>
      </c>
      <c r="AH738" s="576" t="s">
        <v>487</v>
      </c>
      <c r="AI738" s="576" t="s">
        <v>487</v>
      </c>
      <c r="AJ738" s="576" t="s">
        <v>487</v>
      </c>
      <c r="AK738" s="576" t="s">
        <v>487</v>
      </c>
      <c r="AL738" s="576" t="s">
        <v>487</v>
      </c>
      <c r="AM738" s="576" t="s">
        <v>487</v>
      </c>
    </row>
    <row r="739" spans="12:42" x14ac:dyDescent="0.2">
      <c r="V739" s="483"/>
      <c r="W739" s="483"/>
      <c r="X739" s="483"/>
      <c r="Z739" s="483"/>
      <c r="AC739" s="575"/>
      <c r="AD739" s="575"/>
      <c r="AE739" s="575"/>
      <c r="AF739" s="575"/>
      <c r="AG739" s="575"/>
      <c r="AH739" s="575"/>
      <c r="AI739" s="575"/>
      <c r="AJ739" s="575"/>
      <c r="AK739" s="575">
        <v>3.0000000000000001E-3</v>
      </c>
      <c r="AL739" s="575"/>
      <c r="AM739" s="575"/>
    </row>
    <row r="740" spans="12:42" x14ac:dyDescent="0.2">
      <c r="L740" s="577">
        <f>W740/U740</f>
        <v>3.8050000627882892E-2</v>
      </c>
      <c r="M740" s="578">
        <f>N740/R740</f>
        <v>10.715</v>
      </c>
      <c r="N740" s="483">
        <f>V740-AC740</f>
        <v>81819.740000000005</v>
      </c>
      <c r="O740">
        <f>$O$69</f>
        <v>1</v>
      </c>
      <c r="P740" t="s">
        <v>600</v>
      </c>
      <c r="Q740">
        <v>4080</v>
      </c>
      <c r="R740" s="482">
        <v>7636</v>
      </c>
      <c r="S740" s="482">
        <v>7636</v>
      </c>
      <c r="T740" s="482"/>
      <c r="U740" s="482">
        <v>4539063</v>
      </c>
      <c r="V740" s="483">
        <v>81819.740000000005</v>
      </c>
      <c r="W740" s="483">
        <v>172711.35</v>
      </c>
      <c r="X740" s="285">
        <f t="shared" ref="X740:X749" si="184">SUM(R762:X762)</f>
        <v>93143.02</v>
      </c>
      <c r="Y740" s="483"/>
      <c r="Z740" s="483">
        <f t="shared" ref="Z740:Z751" si="185">SUM(V740:Y740)</f>
        <v>347674.11000000004</v>
      </c>
      <c r="AA740" s="483">
        <v>362162.17</v>
      </c>
      <c r="AB740" s="483">
        <f t="shared" ref="AB740:AB751" si="186">AA740-Z740</f>
        <v>14488.059999999939</v>
      </c>
      <c r="AC740" s="575"/>
      <c r="AD740" s="575"/>
      <c r="AE740" s="575"/>
      <c r="AF740" s="575"/>
      <c r="AG740" s="575"/>
      <c r="AH740" s="580"/>
      <c r="AI740" s="575">
        <v>100</v>
      </c>
      <c r="AJ740">
        <v>770.87</v>
      </c>
      <c r="AK740" s="575">
        <f>U740*AK739</f>
        <v>13617.189</v>
      </c>
      <c r="AL740" s="575"/>
      <c r="AM740" s="575">
        <f>SUM(AI740:AL740)</f>
        <v>14488.059000000001</v>
      </c>
      <c r="AN740" s="285">
        <f>AM740-AB740</f>
        <v>-9.9999993835808709E-4</v>
      </c>
      <c r="AP740" s="483"/>
    </row>
    <row r="741" spans="12:42" x14ac:dyDescent="0.2">
      <c r="L741" s="577">
        <f t="shared" ref="L741:L751" si="187">W741/U741</f>
        <v>3.8050000917066611E-2</v>
      </c>
      <c r="M741" s="578">
        <f t="shared" ref="M741:M751" si="188">N741/R741</f>
        <v>10.714999301578432</v>
      </c>
      <c r="N741" s="483">
        <f t="shared" ref="N741:N751" si="189">V741-AC741</f>
        <v>76708.679999999993</v>
      </c>
      <c r="P741" t="s">
        <v>492</v>
      </c>
      <c r="Q741">
        <v>4080</v>
      </c>
      <c r="R741" s="482">
        <v>7159</v>
      </c>
      <c r="S741" s="482">
        <v>7159</v>
      </c>
      <c r="T741" s="482"/>
      <c r="U741" s="482">
        <v>4089125</v>
      </c>
      <c r="V741" s="483">
        <v>76708.679999999993</v>
      </c>
      <c r="W741" s="483">
        <v>155591.21</v>
      </c>
      <c r="X741" s="285">
        <f t="shared" si="184"/>
        <v>71204.12</v>
      </c>
      <c r="Y741" s="483"/>
      <c r="Z741" s="483">
        <f t="shared" si="185"/>
        <v>303504.01</v>
      </c>
      <c r="AA741" s="483">
        <v>316642.25</v>
      </c>
      <c r="AB741" s="483">
        <f t="shared" si="186"/>
        <v>13138.239999999991</v>
      </c>
      <c r="AC741" s="575"/>
      <c r="AD741" s="575"/>
      <c r="AE741" s="575"/>
      <c r="AF741" s="575"/>
      <c r="AG741" s="575"/>
      <c r="AH741" s="580"/>
      <c r="AI741" s="575">
        <v>100</v>
      </c>
      <c r="AJ741">
        <v>770.87</v>
      </c>
      <c r="AK741" s="575">
        <f>U741*AK739</f>
        <v>12267.375</v>
      </c>
      <c r="AL741" s="575"/>
      <c r="AM741" s="575">
        <f t="shared" ref="AM741:AM751" si="190">SUM(AI741:AL741)</f>
        <v>13138.245000000001</v>
      </c>
      <c r="AN741" s="285">
        <f t="shared" ref="AN741:AN751" si="191">AM741-AB741</f>
        <v>5.0000000101135811E-3</v>
      </c>
      <c r="AP741" s="483"/>
    </row>
    <row r="742" spans="12:42" x14ac:dyDescent="0.2">
      <c r="L742" s="577">
        <f t="shared" si="187"/>
        <v>3.8050000355896584E-2</v>
      </c>
      <c r="M742" s="578">
        <f t="shared" si="188"/>
        <v>10.714999330566341</v>
      </c>
      <c r="N742" s="483">
        <f t="shared" si="189"/>
        <v>80030.33</v>
      </c>
      <c r="P742" t="s">
        <v>493</v>
      </c>
      <c r="Q742">
        <v>4080</v>
      </c>
      <c r="R742" s="482">
        <v>7469</v>
      </c>
      <c r="S742" s="482">
        <v>7469</v>
      </c>
      <c r="T742" s="482"/>
      <c r="U742" s="482">
        <v>4495688</v>
      </c>
      <c r="V742" s="483">
        <v>80030.33</v>
      </c>
      <c r="W742" s="483">
        <v>171060.93</v>
      </c>
      <c r="X742" s="285">
        <f t="shared" si="184"/>
        <v>84602.74</v>
      </c>
      <c r="Y742" s="483"/>
      <c r="Z742" s="483">
        <f t="shared" si="185"/>
        <v>335694</v>
      </c>
      <c r="AA742" s="483">
        <v>350051.93</v>
      </c>
      <c r="AB742" s="483">
        <f t="shared" si="186"/>
        <v>14357.929999999993</v>
      </c>
      <c r="AC742" s="575"/>
      <c r="AD742" s="575"/>
      <c r="AE742" s="575"/>
      <c r="AF742" s="575"/>
      <c r="AG742" s="575"/>
      <c r="AH742" s="580"/>
      <c r="AI742" s="575">
        <v>100</v>
      </c>
      <c r="AJ742">
        <v>770.87</v>
      </c>
      <c r="AK742" s="575">
        <f>U742*AK739</f>
        <v>13487.064</v>
      </c>
      <c r="AL742" s="575"/>
      <c r="AM742" s="575">
        <f t="shared" si="190"/>
        <v>14357.934000000001</v>
      </c>
      <c r="AN742" s="285">
        <f t="shared" si="191"/>
        <v>4.0000000080908649E-3</v>
      </c>
      <c r="AP742" s="483"/>
    </row>
    <row r="743" spans="12:42" x14ac:dyDescent="0.2">
      <c r="L743" s="577">
        <f t="shared" si="187"/>
        <v>3.805E-2</v>
      </c>
      <c r="M743" s="578">
        <f t="shared" si="188"/>
        <v>10.715000663393925</v>
      </c>
      <c r="N743" s="483">
        <f t="shared" si="189"/>
        <v>80758.960000000006</v>
      </c>
      <c r="P743" t="s">
        <v>494</v>
      </c>
      <c r="Q743">
        <v>4080</v>
      </c>
      <c r="R743" s="482">
        <v>7537</v>
      </c>
      <c r="S743" s="482">
        <v>7537</v>
      </c>
      <c r="T743" s="482"/>
      <c r="U743" s="482">
        <v>4608000</v>
      </c>
      <c r="V743" s="483">
        <v>80758.960000000006</v>
      </c>
      <c r="W743" s="483">
        <v>175334.39999999999</v>
      </c>
      <c r="X743" s="285">
        <f t="shared" si="184"/>
        <v>36943.78</v>
      </c>
      <c r="Y743" s="483"/>
      <c r="Z743" s="483">
        <f t="shared" si="185"/>
        <v>293037.14</v>
      </c>
      <c r="AA743" s="483">
        <v>307732.01</v>
      </c>
      <c r="AB743" s="483">
        <f t="shared" si="186"/>
        <v>14694.869999999995</v>
      </c>
      <c r="AC743" s="575"/>
      <c r="AD743" s="575"/>
      <c r="AE743" s="575"/>
      <c r="AF743" s="575"/>
      <c r="AG743" s="575"/>
      <c r="AH743" s="580"/>
      <c r="AI743" s="575">
        <v>100</v>
      </c>
      <c r="AJ743">
        <v>770.87</v>
      </c>
      <c r="AK743" s="575">
        <f>U743*AK739</f>
        <v>13824</v>
      </c>
      <c r="AL743" s="575"/>
      <c r="AM743" s="575">
        <f t="shared" si="190"/>
        <v>14694.87</v>
      </c>
      <c r="AN743" s="285">
        <f t="shared" si="191"/>
        <v>0</v>
      </c>
      <c r="AP743" s="483"/>
    </row>
    <row r="744" spans="12:42" x14ac:dyDescent="0.2">
      <c r="L744" s="577">
        <f t="shared" si="187"/>
        <v>3.8050000781229658E-2</v>
      </c>
      <c r="M744" s="578">
        <f t="shared" si="188"/>
        <v>10.714999362813815</v>
      </c>
      <c r="N744" s="483">
        <f t="shared" si="189"/>
        <v>84080.6</v>
      </c>
      <c r="P744" t="s">
        <v>495</v>
      </c>
      <c r="Q744">
        <v>4080</v>
      </c>
      <c r="R744" s="482">
        <v>7847</v>
      </c>
      <c r="S744" s="482">
        <v>7847</v>
      </c>
      <c r="T744" s="482"/>
      <c r="U744" s="482">
        <v>4800125</v>
      </c>
      <c r="V744" s="483">
        <v>84080.6</v>
      </c>
      <c r="W744" s="483">
        <v>182644.76</v>
      </c>
      <c r="X744" s="285">
        <f t="shared" si="184"/>
        <v>109090.06000000001</v>
      </c>
      <c r="Y744" s="483"/>
      <c r="Z744" s="483">
        <f t="shared" si="185"/>
        <v>375815.42</v>
      </c>
      <c r="AA744" s="483">
        <v>391086.66</v>
      </c>
      <c r="AB744" s="483">
        <f t="shared" si="186"/>
        <v>15271.239999999991</v>
      </c>
      <c r="AC744" s="575"/>
      <c r="AD744" s="575"/>
      <c r="AE744" s="575"/>
      <c r="AF744" s="575"/>
      <c r="AG744" s="575"/>
      <c r="AH744" s="580"/>
      <c r="AI744" s="575">
        <v>100</v>
      </c>
      <c r="AJ744">
        <v>770.87</v>
      </c>
      <c r="AK744" s="575">
        <f>U744*AK739</f>
        <v>14400.375</v>
      </c>
      <c r="AL744" s="575"/>
      <c r="AM744" s="575">
        <f t="shared" si="190"/>
        <v>15271.245000000001</v>
      </c>
      <c r="AN744" s="285">
        <f t="shared" si="191"/>
        <v>5.0000000101135811E-3</v>
      </c>
      <c r="AP744" s="483"/>
    </row>
    <row r="745" spans="12:42" x14ac:dyDescent="0.2">
      <c r="L745" s="577">
        <f t="shared" si="187"/>
        <v>3.8050000694471113E-2</v>
      </c>
      <c r="M745" s="578">
        <f t="shared" si="188"/>
        <v>10.715000648424327</v>
      </c>
      <c r="N745" s="483">
        <f t="shared" si="189"/>
        <v>82623.37</v>
      </c>
      <c r="P745" t="s">
        <v>496</v>
      </c>
      <c r="Q745">
        <v>4080</v>
      </c>
      <c r="R745" s="482">
        <v>7711</v>
      </c>
      <c r="S745" s="482">
        <v>7711</v>
      </c>
      <c r="T745" s="482"/>
      <c r="U745" s="482">
        <v>4895812</v>
      </c>
      <c r="V745" s="483">
        <v>82623.37</v>
      </c>
      <c r="W745" s="483">
        <v>186285.65</v>
      </c>
      <c r="X745" s="285">
        <f t="shared" si="184"/>
        <v>117738.25</v>
      </c>
      <c r="Y745" s="483"/>
      <c r="Z745" s="483">
        <f t="shared" si="185"/>
        <v>386647.27</v>
      </c>
      <c r="AA745" s="483">
        <v>402205.57</v>
      </c>
      <c r="AB745" s="483">
        <f t="shared" si="186"/>
        <v>15558.299999999988</v>
      </c>
      <c r="AC745" s="575"/>
      <c r="AD745" s="575"/>
      <c r="AE745" s="575"/>
      <c r="AF745" s="575"/>
      <c r="AG745" s="575"/>
      <c r="AH745" s="580"/>
      <c r="AI745" s="575">
        <v>100</v>
      </c>
      <c r="AJ745">
        <v>770.87</v>
      </c>
      <c r="AK745" s="575">
        <f>U745*AK739</f>
        <v>14687.436</v>
      </c>
      <c r="AL745" s="575"/>
      <c r="AM745" s="575">
        <f t="shared" si="190"/>
        <v>15558.306</v>
      </c>
      <c r="AN745" s="285">
        <f t="shared" si="191"/>
        <v>6.0000000121362973E-3</v>
      </c>
      <c r="AP745" s="483"/>
    </row>
    <row r="746" spans="12:42" x14ac:dyDescent="0.2">
      <c r="L746" s="577">
        <f t="shared" si="187"/>
        <v>3.8049999546275949E-2</v>
      </c>
      <c r="M746" s="578">
        <f t="shared" si="188"/>
        <v>10.715000000000002</v>
      </c>
      <c r="N746" s="483">
        <f t="shared" si="189"/>
        <v>85698.57</v>
      </c>
      <c r="P746" t="s">
        <v>497</v>
      </c>
      <c r="Q746">
        <v>4080</v>
      </c>
      <c r="R746" s="482">
        <v>7998</v>
      </c>
      <c r="S746" s="482">
        <v>7998</v>
      </c>
      <c r="T746" s="482"/>
      <c r="U746" s="482">
        <v>4738563</v>
      </c>
      <c r="V746" s="483">
        <v>85698.57</v>
      </c>
      <c r="W746" s="483">
        <v>180302.32</v>
      </c>
      <c r="X746" s="285">
        <f t="shared" si="184"/>
        <v>185244.94</v>
      </c>
      <c r="Y746" s="483"/>
      <c r="Z746" s="483">
        <f t="shared" si="185"/>
        <v>451245.83</v>
      </c>
      <c r="AA746" s="483">
        <v>466332.39</v>
      </c>
      <c r="AB746" s="483">
        <f t="shared" si="186"/>
        <v>15086.559999999998</v>
      </c>
      <c r="AC746" s="575"/>
      <c r="AD746" s="575"/>
      <c r="AE746" s="575"/>
      <c r="AF746" s="575"/>
      <c r="AG746" s="575"/>
      <c r="AH746" s="580"/>
      <c r="AI746" s="575">
        <v>100</v>
      </c>
      <c r="AJ746">
        <v>770.87</v>
      </c>
      <c r="AK746" s="575">
        <f>U746*AK739</f>
        <v>14215.689</v>
      </c>
      <c r="AL746" s="575"/>
      <c r="AM746" s="575">
        <f t="shared" si="190"/>
        <v>15086.559000000001</v>
      </c>
      <c r="AN746" s="285">
        <f t="shared" si="191"/>
        <v>-9.9999999656574801E-4</v>
      </c>
      <c r="AP746" s="483"/>
    </row>
    <row r="747" spans="12:42" x14ac:dyDescent="0.2">
      <c r="L747" s="577">
        <f t="shared" si="187"/>
        <v>3.8050000261103424E-2</v>
      </c>
      <c r="M747" s="578">
        <f t="shared" si="188"/>
        <v>10.715</v>
      </c>
      <c r="N747" s="483">
        <f t="shared" si="189"/>
        <v>80683.95</v>
      </c>
      <c r="P747" t="s">
        <v>498</v>
      </c>
      <c r="Q747">
        <v>4080</v>
      </c>
      <c r="R747" s="482">
        <v>7530</v>
      </c>
      <c r="S747" s="482">
        <v>7530</v>
      </c>
      <c r="T747" s="482"/>
      <c r="U747" s="482">
        <v>4787375</v>
      </c>
      <c r="V747" s="483">
        <v>80683.95</v>
      </c>
      <c r="W747" s="483">
        <v>182159.62</v>
      </c>
      <c r="X747" s="285">
        <f t="shared" si="184"/>
        <v>164540.76</v>
      </c>
      <c r="Y747" s="483"/>
      <c r="Z747" s="483">
        <f t="shared" si="185"/>
        <v>427384.33</v>
      </c>
      <c r="AA747" s="483">
        <v>442617.32</v>
      </c>
      <c r="AB747" s="483">
        <f t="shared" si="186"/>
        <v>15232.989999999991</v>
      </c>
      <c r="AC747" s="575"/>
      <c r="AD747" s="575"/>
      <c r="AE747" s="575"/>
      <c r="AF747" s="575"/>
      <c r="AG747" s="575"/>
      <c r="AH747" s="580"/>
      <c r="AI747" s="575">
        <v>100</v>
      </c>
      <c r="AJ747">
        <v>770.87</v>
      </c>
      <c r="AK747" s="575">
        <f>U747*AK739</f>
        <v>14362.125</v>
      </c>
      <c r="AL747" s="575"/>
      <c r="AM747" s="575">
        <f t="shared" si="190"/>
        <v>15232.995000000001</v>
      </c>
      <c r="AN747" s="285">
        <f t="shared" si="191"/>
        <v>5.0000000101135811E-3</v>
      </c>
      <c r="AP747" s="483"/>
    </row>
    <row r="748" spans="12:42" x14ac:dyDescent="0.2">
      <c r="L748" s="577">
        <f t="shared" si="187"/>
        <v>3.805000088419936E-2</v>
      </c>
      <c r="M748" s="578">
        <f t="shared" si="188"/>
        <v>10.715</v>
      </c>
      <c r="N748" s="483">
        <f t="shared" si="189"/>
        <v>82548.36</v>
      </c>
      <c r="P748" t="s">
        <v>499</v>
      </c>
      <c r="Q748">
        <v>4080</v>
      </c>
      <c r="R748" s="482">
        <v>7704</v>
      </c>
      <c r="S748" s="482">
        <v>7704</v>
      </c>
      <c r="T748" s="482"/>
      <c r="U748" s="482">
        <v>4241125</v>
      </c>
      <c r="V748" s="483">
        <v>82548.36</v>
      </c>
      <c r="W748" s="483">
        <v>161374.81</v>
      </c>
      <c r="X748" s="285">
        <f t="shared" si="184"/>
        <v>116824.17000000001</v>
      </c>
      <c r="Y748" s="483"/>
      <c r="Z748" s="483">
        <f t="shared" si="185"/>
        <v>360747.33999999997</v>
      </c>
      <c r="AA748" s="483">
        <v>374341.58</v>
      </c>
      <c r="AB748" s="483">
        <f t="shared" si="186"/>
        <v>13594.240000000049</v>
      </c>
      <c r="AC748" s="575"/>
      <c r="AD748" s="575"/>
      <c r="AE748" s="575"/>
      <c r="AF748" s="575"/>
      <c r="AG748" s="575"/>
      <c r="AH748" s="580"/>
      <c r="AI748" s="575">
        <v>100</v>
      </c>
      <c r="AJ748">
        <v>770.87</v>
      </c>
      <c r="AK748" s="575">
        <f>U748*AK739</f>
        <v>12723.375</v>
      </c>
      <c r="AL748" s="575"/>
      <c r="AM748" s="575">
        <f t="shared" si="190"/>
        <v>13594.245000000001</v>
      </c>
      <c r="AN748" s="285">
        <f t="shared" si="191"/>
        <v>4.9999999519059202E-3</v>
      </c>
      <c r="AP748" s="483"/>
    </row>
    <row r="749" spans="12:42" x14ac:dyDescent="0.2">
      <c r="L749" s="577">
        <f t="shared" si="187"/>
        <v>3.8049999400946506E-2</v>
      </c>
      <c r="M749" s="578">
        <f t="shared" si="188"/>
        <v>10.714999360368427</v>
      </c>
      <c r="N749" s="483">
        <f t="shared" si="189"/>
        <v>83759.149999999994</v>
      </c>
      <c r="P749" t="s">
        <v>500</v>
      </c>
      <c r="Q749">
        <v>4080</v>
      </c>
      <c r="R749" s="482">
        <v>7817</v>
      </c>
      <c r="S749" s="482">
        <v>7817</v>
      </c>
      <c r="T749" s="482"/>
      <c r="U749" s="482">
        <v>4173250</v>
      </c>
      <c r="V749" s="483">
        <v>83759.149999999994</v>
      </c>
      <c r="W749" s="483">
        <v>158792.16</v>
      </c>
      <c r="X749" s="285">
        <f t="shared" si="184"/>
        <v>104516.25</v>
      </c>
      <c r="Y749" s="483"/>
      <c r="Z749" s="483">
        <f t="shared" si="185"/>
        <v>347067.56</v>
      </c>
      <c r="AA749" s="483">
        <v>360458.18</v>
      </c>
      <c r="AB749" s="483">
        <f t="shared" si="186"/>
        <v>13390.619999999995</v>
      </c>
      <c r="AC749" s="575"/>
      <c r="AD749" s="575"/>
      <c r="AE749" s="575"/>
      <c r="AF749" s="580"/>
      <c r="AG749" s="580"/>
      <c r="AH749" s="580"/>
      <c r="AI749" s="575">
        <v>100</v>
      </c>
      <c r="AJ749">
        <v>770.87</v>
      </c>
      <c r="AK749" s="575">
        <f>U749*AK739</f>
        <v>12519.75</v>
      </c>
      <c r="AL749" s="575"/>
      <c r="AM749" s="575">
        <f t="shared" si="190"/>
        <v>13390.62</v>
      </c>
      <c r="AN749" s="285">
        <f t="shared" si="191"/>
        <v>0</v>
      </c>
      <c r="AP749" s="483"/>
    </row>
    <row r="750" spans="12:42" x14ac:dyDescent="0.2">
      <c r="L750" s="577">
        <f t="shared" si="187"/>
        <v>3.8049999210339289E-2</v>
      </c>
      <c r="M750" s="578">
        <f t="shared" si="188"/>
        <v>10.715000644579089</v>
      </c>
      <c r="N750" s="483">
        <f t="shared" si="189"/>
        <v>83116.259999999995</v>
      </c>
      <c r="P750" s="327" t="s">
        <v>545</v>
      </c>
      <c r="Q750">
        <v>4080</v>
      </c>
      <c r="R750" s="482">
        <v>7757</v>
      </c>
      <c r="S750" s="482">
        <v>7757</v>
      </c>
      <c r="T750" s="482"/>
      <c r="U750" s="482">
        <v>4748875</v>
      </c>
      <c r="V750" s="483">
        <v>83116.259999999995</v>
      </c>
      <c r="W750" s="483">
        <v>180694.69</v>
      </c>
      <c r="X750" s="285">
        <f t="shared" ref="X750:X751" si="192">SUM(R772:Y772)</f>
        <v>121392.45999999999</v>
      </c>
      <c r="Y750" s="483"/>
      <c r="Z750" s="483">
        <f t="shared" si="185"/>
        <v>385203.41000000003</v>
      </c>
      <c r="AA750" s="483">
        <v>400320.91</v>
      </c>
      <c r="AB750" s="483">
        <f t="shared" si="186"/>
        <v>15117.499999999942</v>
      </c>
      <c r="AC750" s="575"/>
      <c r="AD750" s="575"/>
      <c r="AE750" s="575"/>
      <c r="AF750" s="580"/>
      <c r="AG750" s="580"/>
      <c r="AH750" s="580"/>
      <c r="AI750" s="575">
        <v>100</v>
      </c>
      <c r="AJ750">
        <v>770.87</v>
      </c>
      <c r="AK750" s="575">
        <f>U750*AK739</f>
        <v>14246.625</v>
      </c>
      <c r="AL750" s="575"/>
      <c r="AM750" s="575">
        <f t="shared" si="190"/>
        <v>15117.495000000001</v>
      </c>
      <c r="AN750" s="285">
        <f t="shared" si="191"/>
        <v>-4.9999999409919837E-3</v>
      </c>
      <c r="AP750" s="483"/>
    </row>
    <row r="751" spans="12:42" x14ac:dyDescent="0.2">
      <c r="L751" s="577">
        <f t="shared" si="187"/>
        <v>3.8050000504643071E-2</v>
      </c>
      <c r="M751" s="578">
        <f t="shared" si="188"/>
        <v>10.715000628693574</v>
      </c>
      <c r="N751" s="483">
        <f t="shared" si="189"/>
        <v>85216.4</v>
      </c>
      <c r="O751">
        <f>$O$80</f>
        <v>12</v>
      </c>
      <c r="P751" t="s">
        <v>688</v>
      </c>
      <c r="Q751">
        <v>4080</v>
      </c>
      <c r="R751" s="482">
        <v>7953</v>
      </c>
      <c r="S751" s="482">
        <v>7953</v>
      </c>
      <c r="T751" s="482"/>
      <c r="U751" s="482">
        <v>4260437</v>
      </c>
      <c r="V751" s="483">
        <v>85216.4</v>
      </c>
      <c r="W751" s="483">
        <v>162109.63</v>
      </c>
      <c r="X751" s="285">
        <f t="shared" si="192"/>
        <v>59124.639999999992</v>
      </c>
      <c r="Y751" s="483"/>
      <c r="Z751" s="483">
        <f t="shared" si="185"/>
        <v>306450.67</v>
      </c>
      <c r="AA751" s="483">
        <v>320102.84999999998</v>
      </c>
      <c r="AB751" s="483">
        <f t="shared" si="186"/>
        <v>13652.179999999993</v>
      </c>
      <c r="AC751" s="575"/>
      <c r="AD751" s="575"/>
      <c r="AE751" s="575"/>
      <c r="AF751" s="580"/>
      <c r="AG751" s="580"/>
      <c r="AH751" s="580"/>
      <c r="AI751" s="575">
        <v>100</v>
      </c>
      <c r="AJ751">
        <v>770.87</v>
      </c>
      <c r="AK751" s="575">
        <f>U751*AK739</f>
        <v>12781.311</v>
      </c>
      <c r="AL751" s="575"/>
      <c r="AM751" s="575">
        <f t="shared" si="190"/>
        <v>13652.181</v>
      </c>
      <c r="AN751" s="285">
        <f t="shared" si="191"/>
        <v>1.0000000074796844E-3</v>
      </c>
      <c r="AP751" s="483"/>
    </row>
    <row r="752" spans="12:42" x14ac:dyDescent="0.2">
      <c r="R752" s="488" t="s">
        <v>487</v>
      </c>
      <c r="S752" s="488"/>
      <c r="T752" s="488" t="s">
        <v>487</v>
      </c>
      <c r="U752" s="488" t="s">
        <v>487</v>
      </c>
      <c r="V752" s="489" t="s">
        <v>487</v>
      </c>
      <c r="W752" s="489" t="s">
        <v>487</v>
      </c>
      <c r="X752" s="489" t="s">
        <v>487</v>
      </c>
      <c r="Y752" s="481" t="s">
        <v>487</v>
      </c>
      <c r="Z752" s="489" t="s">
        <v>487</v>
      </c>
      <c r="AA752" s="489" t="s">
        <v>487</v>
      </c>
      <c r="AB752" s="489" t="s">
        <v>487</v>
      </c>
      <c r="AC752" s="575"/>
      <c r="AD752" s="575"/>
      <c r="AE752" s="575"/>
      <c r="AF752" s="575"/>
      <c r="AG752" s="575"/>
      <c r="AH752" s="575"/>
      <c r="AI752" s="575"/>
      <c r="AJ752" s="575"/>
      <c r="AK752" s="575"/>
      <c r="AL752" s="575"/>
      <c r="AM752" s="575"/>
    </row>
    <row r="753" spans="15:42" x14ac:dyDescent="0.2">
      <c r="R753" s="482"/>
      <c r="S753" s="482"/>
      <c r="T753" s="482"/>
      <c r="U753" s="482"/>
      <c r="V753" s="483"/>
      <c r="W753" s="483"/>
      <c r="X753" s="483"/>
      <c r="Z753" s="483"/>
      <c r="AA753" s="483"/>
      <c r="AB753" s="483"/>
      <c r="AC753" s="575"/>
      <c r="AD753" s="575"/>
      <c r="AE753" s="575"/>
      <c r="AF753" s="575"/>
      <c r="AG753" s="575"/>
      <c r="AH753" s="575"/>
      <c r="AI753" s="575"/>
      <c r="AJ753" s="575"/>
      <c r="AK753" s="575"/>
      <c r="AL753" s="575"/>
      <c r="AM753" s="575"/>
    </row>
    <row r="754" spans="15:42" x14ac:dyDescent="0.2">
      <c r="R754" s="482">
        <f t="shared" ref="R754:AM754" si="193">SUM(R740:R751)</f>
        <v>92118</v>
      </c>
      <c r="S754" s="482">
        <f t="shared" si="193"/>
        <v>92118</v>
      </c>
      <c r="T754" s="482">
        <f t="shared" si="193"/>
        <v>0</v>
      </c>
      <c r="U754" s="482">
        <f t="shared" si="193"/>
        <v>54377438</v>
      </c>
      <c r="V754" s="483">
        <f t="shared" si="193"/>
        <v>987044.37</v>
      </c>
      <c r="W754" s="483">
        <f t="shared" si="193"/>
        <v>2069061.5300000003</v>
      </c>
      <c r="X754" s="483">
        <f t="shared" si="193"/>
        <v>1264365.19</v>
      </c>
      <c r="Y754" s="483">
        <f t="shared" si="193"/>
        <v>0</v>
      </c>
      <c r="Z754" s="483">
        <f t="shared" si="193"/>
        <v>4320471.0900000008</v>
      </c>
      <c r="AA754" s="483">
        <f t="shared" si="193"/>
        <v>4494053.82</v>
      </c>
      <c r="AB754" s="483">
        <f t="shared" si="193"/>
        <v>173582.72999999986</v>
      </c>
      <c r="AC754" s="584">
        <f t="shared" si="193"/>
        <v>0</v>
      </c>
      <c r="AD754" s="584">
        <f t="shared" si="193"/>
        <v>0</v>
      </c>
      <c r="AE754" s="584">
        <f t="shared" si="193"/>
        <v>0</v>
      </c>
      <c r="AF754" s="584">
        <f t="shared" si="193"/>
        <v>0</v>
      </c>
      <c r="AG754" s="584">
        <f t="shared" si="193"/>
        <v>0</v>
      </c>
      <c r="AH754" s="584">
        <f t="shared" si="193"/>
        <v>0</v>
      </c>
      <c r="AI754" s="584">
        <f t="shared" si="193"/>
        <v>1200</v>
      </c>
      <c r="AJ754" s="584">
        <f t="shared" si="193"/>
        <v>9250.44</v>
      </c>
      <c r="AK754" s="584">
        <f t="shared" si="193"/>
        <v>163132.31399999998</v>
      </c>
      <c r="AL754" s="584">
        <f t="shared" si="193"/>
        <v>0</v>
      </c>
      <c r="AM754" s="584">
        <f t="shared" si="193"/>
        <v>173582.75399999999</v>
      </c>
      <c r="AN754" s="483"/>
      <c r="AO754" s="483"/>
      <c r="AP754" s="483"/>
    </row>
    <row r="755" spans="15:42" x14ac:dyDescent="0.2">
      <c r="R755" s="488" t="s">
        <v>501</v>
      </c>
      <c r="S755" s="488"/>
      <c r="T755" s="488" t="s">
        <v>501</v>
      </c>
      <c r="U755" s="488" t="s">
        <v>501</v>
      </c>
      <c r="V755" s="489" t="s">
        <v>501</v>
      </c>
      <c r="W755" s="489" t="s">
        <v>501</v>
      </c>
      <c r="X755" s="489" t="s">
        <v>501</v>
      </c>
      <c r="Y755" s="489" t="s">
        <v>501</v>
      </c>
      <c r="Z755" s="489" t="s">
        <v>501</v>
      </c>
      <c r="AA755" s="489" t="s">
        <v>501</v>
      </c>
      <c r="AB755" s="489" t="s">
        <v>501</v>
      </c>
      <c r="AC755" s="585" t="s">
        <v>501</v>
      </c>
      <c r="AD755" s="585" t="s">
        <v>501</v>
      </c>
      <c r="AE755" s="585" t="s">
        <v>501</v>
      </c>
      <c r="AF755" s="585" t="s">
        <v>501</v>
      </c>
      <c r="AG755" s="585" t="s">
        <v>501</v>
      </c>
      <c r="AH755" s="585" t="s">
        <v>501</v>
      </c>
      <c r="AI755" s="585" t="s">
        <v>501</v>
      </c>
      <c r="AJ755" s="585" t="s">
        <v>501</v>
      </c>
      <c r="AK755" s="585" t="s">
        <v>501</v>
      </c>
      <c r="AL755" s="585" t="s">
        <v>501</v>
      </c>
      <c r="AM755" s="585" t="s">
        <v>501</v>
      </c>
    </row>
    <row r="758" spans="15:42" x14ac:dyDescent="0.2">
      <c r="S758" s="183" t="s">
        <v>549</v>
      </c>
    </row>
    <row r="759" spans="15:42" x14ac:dyDescent="0.2">
      <c r="P759" s="183"/>
      <c r="Q759" s="183"/>
      <c r="R759" s="183" t="s">
        <v>550</v>
      </c>
      <c r="S759" s="183" t="s">
        <v>551</v>
      </c>
      <c r="T759" s="183" t="s">
        <v>552</v>
      </c>
      <c r="U759" s="183" t="s">
        <v>555</v>
      </c>
      <c r="V759" s="183" t="s">
        <v>596</v>
      </c>
      <c r="W759" s="183" t="s">
        <v>553</v>
      </c>
      <c r="X759" s="183" t="s">
        <v>554</v>
      </c>
      <c r="Y759" s="183" t="s">
        <v>556</v>
      </c>
      <c r="Z759" s="183"/>
      <c r="AA759" s="183"/>
      <c r="AB759" s="183"/>
      <c r="AD759" s="183"/>
      <c r="AE759" s="183"/>
      <c r="AF759" s="183"/>
      <c r="AG759" s="183"/>
      <c r="AH759" s="183"/>
    </row>
    <row r="760" spans="15:42" x14ac:dyDescent="0.2">
      <c r="P760" s="183"/>
      <c r="Q760" s="183"/>
      <c r="R760" s="521" t="s">
        <v>471</v>
      </c>
      <c r="S760" s="521" t="s">
        <v>558</v>
      </c>
      <c r="T760" s="521" t="s">
        <v>559</v>
      </c>
      <c r="U760" s="521" t="s">
        <v>562</v>
      </c>
      <c r="V760" s="521" t="s">
        <v>597</v>
      </c>
      <c r="W760" s="521" t="s">
        <v>560</v>
      </c>
      <c r="X760" s="521" t="s">
        <v>561</v>
      </c>
      <c r="Y760" s="521" t="s">
        <v>563</v>
      </c>
      <c r="Z760" s="183"/>
      <c r="AA760" s="183"/>
      <c r="AB760" s="183"/>
      <c r="AD760" s="183"/>
      <c r="AE760" s="183"/>
      <c r="AF760" s="183"/>
      <c r="AG760" s="183"/>
      <c r="AH760" s="183"/>
    </row>
    <row r="761" spans="15:42" x14ac:dyDescent="0.2">
      <c r="P761" s="183"/>
      <c r="Q761" s="183"/>
      <c r="R761" s="183"/>
      <c r="S761" s="183"/>
      <c r="T761" s="183"/>
      <c r="U761" s="183"/>
      <c r="V761" s="183"/>
      <c r="W761" s="183"/>
      <c r="X761" s="183"/>
      <c r="Y761" s="183"/>
      <c r="Z761" s="183"/>
      <c r="AA761" s="183"/>
      <c r="AB761" s="523" t="s">
        <v>84</v>
      </c>
      <c r="AD761" s="183"/>
      <c r="AE761" s="183"/>
      <c r="AF761" s="183"/>
      <c r="AG761" s="183"/>
      <c r="AH761" s="183"/>
    </row>
    <row r="762" spans="15:42" x14ac:dyDescent="0.2">
      <c r="O762">
        <f>$O$69</f>
        <v>1</v>
      </c>
      <c r="P762" t="str">
        <f t="shared" ref="P762:P773" si="194">P740</f>
        <v>MAR</v>
      </c>
      <c r="R762" s="294">
        <v>87031.99</v>
      </c>
      <c r="S762" s="294">
        <v>11315.88</v>
      </c>
      <c r="T762" s="294">
        <v>18913.59</v>
      </c>
      <c r="U762" s="294">
        <v>-24118.44</v>
      </c>
      <c r="V762" s="294"/>
      <c r="W762" s="294"/>
      <c r="X762" s="294"/>
      <c r="Z762" s="294"/>
      <c r="AA762" s="294"/>
      <c r="AB762" s="285">
        <f t="shared" ref="AB762:AB773" si="195">SUM(R762:AA762)</f>
        <v>93143.02</v>
      </c>
    </row>
    <row r="763" spans="15:42" x14ac:dyDescent="0.2">
      <c r="P763" t="str">
        <f t="shared" si="194"/>
        <v>APR</v>
      </c>
      <c r="R763" s="294">
        <v>62265.11</v>
      </c>
      <c r="S763" s="294">
        <v>10194.19</v>
      </c>
      <c r="T763" s="294">
        <v>19850.099999999999</v>
      </c>
      <c r="U763" s="294">
        <v>-21105.279999999999</v>
      </c>
      <c r="V763" s="294"/>
      <c r="W763" s="294"/>
      <c r="X763" s="294"/>
      <c r="Z763" s="294"/>
      <c r="AA763" s="294"/>
      <c r="AB763" s="285">
        <f t="shared" si="195"/>
        <v>71204.12</v>
      </c>
    </row>
    <row r="764" spans="15:42" x14ac:dyDescent="0.2">
      <c r="P764" t="str">
        <f t="shared" si="194"/>
        <v>MAY</v>
      </c>
      <c r="R764" s="294">
        <v>81250.570000000007</v>
      </c>
      <c r="S764" s="294">
        <v>11207.75</v>
      </c>
      <c r="T764" s="294">
        <v>14831.22</v>
      </c>
      <c r="U764" s="294">
        <v>-22686.799999999999</v>
      </c>
      <c r="V764" s="294"/>
      <c r="W764" s="294"/>
      <c r="X764" s="294"/>
      <c r="Z764" s="294"/>
      <c r="AA764" s="294"/>
      <c r="AB764" s="285">
        <f t="shared" si="195"/>
        <v>84602.74</v>
      </c>
    </row>
    <row r="765" spans="15:42" x14ac:dyDescent="0.2">
      <c r="P765" t="str">
        <f t="shared" si="194"/>
        <v>JUN</v>
      </c>
      <c r="R765" s="486">
        <v>28541.95</v>
      </c>
      <c r="S765" s="486">
        <v>11487.74</v>
      </c>
      <c r="T765" s="486">
        <v>18909.849999999999</v>
      </c>
      <c r="U765" s="486">
        <v>-21995.759999999998</v>
      </c>
      <c r="V765" s="294"/>
      <c r="W765" s="294"/>
      <c r="X765" s="294"/>
      <c r="Z765" s="294"/>
      <c r="AA765" s="294"/>
      <c r="AB765" s="285">
        <f t="shared" si="195"/>
        <v>36943.78</v>
      </c>
    </row>
    <row r="766" spans="15:42" x14ac:dyDescent="0.2">
      <c r="P766" t="str">
        <f t="shared" si="194"/>
        <v>JUL</v>
      </c>
      <c r="R766" s="486">
        <v>98239.360000000001</v>
      </c>
      <c r="S766" s="486">
        <v>11966.71</v>
      </c>
      <c r="T766" s="486">
        <v>17227.82</v>
      </c>
      <c r="U766" s="486">
        <v>-18343.830000000002</v>
      </c>
      <c r="V766" s="294"/>
      <c r="W766" s="294"/>
      <c r="X766" s="294"/>
      <c r="Y766" s="294"/>
      <c r="Z766" s="294"/>
      <c r="AA766" s="294"/>
      <c r="AB766" s="285">
        <f t="shared" si="195"/>
        <v>109090.06000000001</v>
      </c>
    </row>
    <row r="767" spans="15:42" x14ac:dyDescent="0.2">
      <c r="P767" t="str">
        <f t="shared" si="194"/>
        <v>AUG</v>
      </c>
      <c r="R767" s="486">
        <v>108770.26</v>
      </c>
      <c r="S767" s="486">
        <v>12205.26</v>
      </c>
      <c r="T767" s="486">
        <v>18517.13</v>
      </c>
      <c r="U767" s="486">
        <v>-21754.400000000001</v>
      </c>
      <c r="V767" s="294"/>
      <c r="W767" s="294"/>
      <c r="X767" s="486"/>
      <c r="Y767" s="486"/>
      <c r="Z767" s="294"/>
      <c r="AA767" s="294"/>
      <c r="AB767" s="285">
        <f t="shared" si="195"/>
        <v>117738.25</v>
      </c>
    </row>
    <row r="768" spans="15:42" x14ac:dyDescent="0.2">
      <c r="P768" t="str">
        <f t="shared" si="194"/>
        <v>SEP</v>
      </c>
      <c r="R768" s="486">
        <v>164238.59</v>
      </c>
      <c r="S768" s="486">
        <v>28521.41</v>
      </c>
      <c r="T768" s="486">
        <v>14055.6</v>
      </c>
      <c r="U768" s="486">
        <v>-21570.66</v>
      </c>
      <c r="V768" s="486"/>
      <c r="W768" s="486"/>
      <c r="X768" s="486"/>
      <c r="Y768" s="486"/>
      <c r="Z768" s="294"/>
      <c r="AA768" s="294"/>
      <c r="AB768" s="285">
        <f t="shared" si="195"/>
        <v>185244.94</v>
      </c>
    </row>
    <row r="769" spans="12:40" x14ac:dyDescent="0.2">
      <c r="P769" t="str">
        <f t="shared" si="194"/>
        <v>OCT</v>
      </c>
      <c r="R769" s="486">
        <v>138230.67000000001</v>
      </c>
      <c r="S769" s="486">
        <v>28815.21</v>
      </c>
      <c r="T769" s="486">
        <v>17883.07</v>
      </c>
      <c r="U769" s="486">
        <v>-20388.189999999999</v>
      </c>
      <c r="V769" s="486"/>
      <c r="W769" s="486"/>
      <c r="X769" s="486"/>
      <c r="Y769" s="486"/>
      <c r="Z769" s="294"/>
      <c r="AA769" s="294"/>
      <c r="AB769" s="285">
        <f t="shared" si="195"/>
        <v>164540.76</v>
      </c>
    </row>
    <row r="770" spans="12:40" x14ac:dyDescent="0.2">
      <c r="P770" t="str">
        <f t="shared" si="194"/>
        <v>NOV</v>
      </c>
      <c r="R770" s="294">
        <v>99666.44</v>
      </c>
      <c r="S770" s="294">
        <v>25527.33</v>
      </c>
      <c r="T770" s="294">
        <v>12174.46</v>
      </c>
      <c r="U770" s="294">
        <v>-20544.060000000001</v>
      </c>
      <c r="V770" s="486"/>
      <c r="W770" s="486"/>
      <c r="X770" s="486"/>
      <c r="Y770" s="486"/>
      <c r="Z770" s="294"/>
      <c r="AA770" s="294"/>
      <c r="AB770" s="285">
        <f t="shared" si="195"/>
        <v>116824.17000000001</v>
      </c>
    </row>
    <row r="771" spans="12:40" x14ac:dyDescent="0.2">
      <c r="P771" t="str">
        <f t="shared" si="194"/>
        <v>DEC</v>
      </c>
      <c r="R771" s="294">
        <v>83594.37</v>
      </c>
      <c r="S771" s="294">
        <v>25118.79</v>
      </c>
      <c r="T771" s="294">
        <v>14296.05</v>
      </c>
      <c r="U771" s="294">
        <v>-18492.96</v>
      </c>
      <c r="V771" s="486"/>
      <c r="W771" s="486"/>
      <c r="X771" s="486"/>
      <c r="Y771" s="486"/>
      <c r="Z771" s="294"/>
      <c r="AA771" s="294"/>
      <c r="AB771" s="285">
        <f t="shared" si="195"/>
        <v>104516.25</v>
      </c>
    </row>
    <row r="772" spans="12:40" x14ac:dyDescent="0.2">
      <c r="P772" t="str">
        <f t="shared" si="194"/>
        <v>Jan 2023</v>
      </c>
      <c r="R772" s="294">
        <v>68792.2</v>
      </c>
      <c r="S772" s="294">
        <v>28583.48</v>
      </c>
      <c r="T772" s="294">
        <v>38399.4</v>
      </c>
      <c r="U772" s="294">
        <v>-14382.62</v>
      </c>
      <c r="V772" s="294"/>
      <c r="W772" s="294"/>
      <c r="X772" s="294"/>
      <c r="Y772" s="294"/>
      <c r="Z772" s="294"/>
      <c r="AA772" s="294"/>
      <c r="AB772" s="285">
        <f t="shared" si="195"/>
        <v>121392.45999999999</v>
      </c>
    </row>
    <row r="773" spans="12:40" x14ac:dyDescent="0.2">
      <c r="O773">
        <f>$O$80</f>
        <v>12</v>
      </c>
      <c r="P773" t="str">
        <f t="shared" si="194"/>
        <v>FEB</v>
      </c>
      <c r="R773" s="294">
        <v>33367.74</v>
      </c>
      <c r="S773" s="294">
        <v>25643.57</v>
      </c>
      <c r="T773" s="294">
        <v>15394.87</v>
      </c>
      <c r="U773" s="294">
        <v>-15281.54</v>
      </c>
      <c r="V773" s="294"/>
      <c r="W773" s="294"/>
      <c r="X773" s="294"/>
      <c r="Y773" s="294"/>
      <c r="Z773" s="294"/>
      <c r="AA773" s="294"/>
      <c r="AB773" s="285">
        <f t="shared" si="195"/>
        <v>59124.639999999992</v>
      </c>
    </row>
    <row r="774" spans="12:40" x14ac:dyDescent="0.2">
      <c r="R774" s="294"/>
      <c r="S774" s="294"/>
      <c r="T774" s="294"/>
      <c r="U774" s="294"/>
      <c r="V774" s="294"/>
      <c r="W774" s="294"/>
      <c r="X774" s="294"/>
      <c r="Y774" s="294"/>
      <c r="Z774" s="294"/>
      <c r="AA774" s="294"/>
      <c r="AB774" s="285"/>
    </row>
    <row r="775" spans="12:40" ht="13.5" thickBot="1" x14ac:dyDescent="0.25">
      <c r="P775" t="s">
        <v>65</v>
      </c>
      <c r="R775" s="542">
        <f t="shared" ref="R775:Y775" si="196">SUM(R762:R773)</f>
        <v>1053989.2500000002</v>
      </c>
      <c r="S775" s="542">
        <f t="shared" si="196"/>
        <v>230587.32</v>
      </c>
      <c r="T775" s="542">
        <f t="shared" si="196"/>
        <v>220453.16</v>
      </c>
      <c r="U775" s="542">
        <f t="shared" si="196"/>
        <v>-240664.54</v>
      </c>
      <c r="V775" s="542">
        <f t="shared" si="196"/>
        <v>0</v>
      </c>
      <c r="W775" s="542">
        <f t="shared" si="196"/>
        <v>0</v>
      </c>
      <c r="X775" s="542">
        <f t="shared" si="196"/>
        <v>0</v>
      </c>
      <c r="Y775" s="542">
        <f t="shared" si="196"/>
        <v>0</v>
      </c>
      <c r="Z775" s="294"/>
      <c r="AA775" s="294"/>
      <c r="AB775" s="542">
        <f>SUM(AB762:AB773)</f>
        <v>1264365.19</v>
      </c>
    </row>
    <row r="776" spans="12:40" ht="16.5" thickTop="1" x14ac:dyDescent="0.25">
      <c r="P776" s="524" t="s">
        <v>708</v>
      </c>
      <c r="Q776" s="479"/>
      <c r="AC776" s="573"/>
      <c r="AD776" s="573"/>
      <c r="AE776" s="574" t="s">
        <v>659</v>
      </c>
      <c r="AF776" s="573"/>
      <c r="AG776" s="573"/>
      <c r="AH776" s="573"/>
      <c r="AI776" s="573"/>
      <c r="AJ776" s="573"/>
      <c r="AK776" s="573"/>
      <c r="AL776" s="573"/>
      <c r="AM776" s="575"/>
    </row>
    <row r="777" spans="12:40" x14ac:dyDescent="0.2">
      <c r="X777" s="183" t="s">
        <v>466</v>
      </c>
      <c r="AC777" s="575"/>
      <c r="AD777" s="573"/>
      <c r="AE777" s="574" t="s">
        <v>662</v>
      </c>
      <c r="AF777" s="573"/>
      <c r="AG777" s="573"/>
      <c r="AH777" s="575"/>
      <c r="AI777" s="573"/>
      <c r="AJ777" s="573"/>
      <c r="AK777" s="573"/>
      <c r="AL777" s="574" t="s">
        <v>663</v>
      </c>
      <c r="AM777" s="575"/>
    </row>
    <row r="778" spans="12:40" x14ac:dyDescent="0.2">
      <c r="Q778" s="183" t="s">
        <v>468</v>
      </c>
      <c r="R778" s="183" t="s">
        <v>469</v>
      </c>
      <c r="S778" s="183"/>
      <c r="T778" s="183" t="s">
        <v>470</v>
      </c>
      <c r="X778" s="183" t="s">
        <v>471</v>
      </c>
      <c r="Y778" s="183" t="s">
        <v>470</v>
      </c>
      <c r="AC778" s="574" t="s">
        <v>668</v>
      </c>
      <c r="AD778" s="573" t="s">
        <v>117</v>
      </c>
      <c r="AE778" s="574" t="s">
        <v>669</v>
      </c>
      <c r="AF778" s="574" t="s">
        <v>670</v>
      </c>
      <c r="AG778" s="574" t="s">
        <v>671</v>
      </c>
      <c r="AH778" s="574" t="s">
        <v>672</v>
      </c>
      <c r="AI778" s="574" t="s">
        <v>118</v>
      </c>
      <c r="AJ778" s="574" t="s">
        <v>673</v>
      </c>
      <c r="AK778" s="573" t="s">
        <v>284</v>
      </c>
      <c r="AL778" s="574" t="s">
        <v>674</v>
      </c>
      <c r="AM778" s="575"/>
    </row>
    <row r="779" spans="12:40" x14ac:dyDescent="0.2">
      <c r="Q779" s="183" t="s">
        <v>474</v>
      </c>
      <c r="R779" s="183" t="s">
        <v>475</v>
      </c>
      <c r="S779" s="183"/>
      <c r="T779" s="183" t="s">
        <v>475</v>
      </c>
      <c r="U779" s="183" t="s">
        <v>476</v>
      </c>
      <c r="V779" s="183" t="s">
        <v>477</v>
      </c>
      <c r="W779" s="183" t="s">
        <v>478</v>
      </c>
      <c r="X779" s="183" t="s">
        <v>479</v>
      </c>
      <c r="Y779" s="183" t="s">
        <v>480</v>
      </c>
      <c r="Z779" s="183" t="s">
        <v>481</v>
      </c>
      <c r="AA779" s="183" t="s">
        <v>482</v>
      </c>
      <c r="AB779" s="183" t="s">
        <v>483</v>
      </c>
      <c r="AC779" s="574" t="s">
        <v>606</v>
      </c>
      <c r="AD779" s="574" t="s">
        <v>676</v>
      </c>
      <c r="AE779" s="574" t="s">
        <v>668</v>
      </c>
      <c r="AF779" s="574" t="s">
        <v>117</v>
      </c>
      <c r="AG779" s="574" t="s">
        <v>117</v>
      </c>
      <c r="AH779" s="573" t="s">
        <v>677</v>
      </c>
      <c r="AI779" s="574" t="s">
        <v>669</v>
      </c>
      <c r="AJ779" s="574" t="s">
        <v>678</v>
      </c>
      <c r="AK779" s="573" t="s">
        <v>679</v>
      </c>
      <c r="AL779" s="574" t="s">
        <v>680</v>
      </c>
      <c r="AM779" s="573" t="s">
        <v>84</v>
      </c>
    </row>
    <row r="780" spans="12:40" x14ac:dyDescent="0.2">
      <c r="P780" s="481" t="s">
        <v>487</v>
      </c>
      <c r="Q780" s="481"/>
      <c r="R780" s="481" t="s">
        <v>487</v>
      </c>
      <c r="S780" s="481"/>
      <c r="T780" s="481" t="s">
        <v>487</v>
      </c>
      <c r="U780" s="481" t="s">
        <v>487</v>
      </c>
      <c r="V780" s="481" t="s">
        <v>487</v>
      </c>
      <c r="W780" s="481" t="s">
        <v>487</v>
      </c>
      <c r="X780" s="481" t="s">
        <v>487</v>
      </c>
      <c r="Y780" s="481" t="s">
        <v>487</v>
      </c>
      <c r="Z780" s="481" t="s">
        <v>487</v>
      </c>
      <c r="AA780" s="481" t="s">
        <v>487</v>
      </c>
      <c r="AB780" s="481" t="s">
        <v>487</v>
      </c>
      <c r="AC780" s="576" t="s">
        <v>487</v>
      </c>
      <c r="AD780" s="576" t="s">
        <v>487</v>
      </c>
      <c r="AE780" s="576" t="s">
        <v>487</v>
      </c>
      <c r="AF780" s="576" t="s">
        <v>487</v>
      </c>
      <c r="AG780" s="576" t="s">
        <v>487</v>
      </c>
      <c r="AH780" s="576" t="s">
        <v>487</v>
      </c>
      <c r="AI780" s="576" t="s">
        <v>487</v>
      </c>
      <c r="AJ780" s="576" t="s">
        <v>487</v>
      </c>
      <c r="AK780" s="576" t="s">
        <v>487</v>
      </c>
      <c r="AL780" s="576" t="s">
        <v>487</v>
      </c>
      <c r="AM780" s="576" t="s">
        <v>487</v>
      </c>
    </row>
    <row r="781" spans="12:40" x14ac:dyDescent="0.2">
      <c r="V781" s="483"/>
      <c r="W781" s="483"/>
      <c r="X781" s="483"/>
      <c r="Z781" s="483"/>
      <c r="AC781" s="575"/>
      <c r="AD781" s="575"/>
      <c r="AE781" s="575"/>
      <c r="AF781" s="575"/>
      <c r="AG781" s="575"/>
      <c r="AH781" s="575"/>
      <c r="AI781" s="575"/>
      <c r="AJ781" s="575"/>
      <c r="AK781" s="575">
        <v>3.0000000000000001E-3</v>
      </c>
      <c r="AL781" s="575"/>
      <c r="AM781" s="575"/>
    </row>
    <row r="782" spans="12:40" x14ac:dyDescent="0.2">
      <c r="L782" s="577">
        <f>W782/U782</f>
        <v>3.8049999837084549E-2</v>
      </c>
      <c r="M782" s="578">
        <f>N782/R782</f>
        <v>10.714999513476696</v>
      </c>
      <c r="N782" s="483">
        <f>V782-AC782</f>
        <v>110118.05</v>
      </c>
      <c r="O782">
        <f>$O$69</f>
        <v>1</v>
      </c>
      <c r="P782" t="s">
        <v>600</v>
      </c>
      <c r="Q782">
        <v>8400</v>
      </c>
      <c r="R782" s="482">
        <v>10277</v>
      </c>
      <c r="S782" s="482">
        <v>10277</v>
      </c>
      <c r="T782" s="482"/>
      <c r="U782" s="482">
        <v>5524338</v>
      </c>
      <c r="V782" s="483">
        <v>110118.05</v>
      </c>
      <c r="W782" s="483">
        <v>210201.06</v>
      </c>
      <c r="X782" s="285">
        <f>AB804</f>
        <v>113926.01000000001</v>
      </c>
      <c r="Y782" s="483"/>
      <c r="Z782" s="483">
        <f t="shared" ref="Z782:Z793" si="197">SUM(V782:Y782)</f>
        <v>434245.12</v>
      </c>
      <c r="AA782" s="483">
        <v>464650.54</v>
      </c>
      <c r="AB782" s="483">
        <f t="shared" ref="AB782:AB793" si="198">AA782-Z782</f>
        <v>30405.419999999984</v>
      </c>
      <c r="AC782" s="575"/>
      <c r="AD782" s="575"/>
      <c r="AE782" s="575"/>
      <c r="AF782" s="575"/>
      <c r="AG782" s="575"/>
      <c r="AH782" s="580"/>
      <c r="AI782" s="575">
        <v>100</v>
      </c>
      <c r="AJ782">
        <v>13732.41</v>
      </c>
      <c r="AK782" s="575">
        <f>U782*AK781</f>
        <v>16573.013999999999</v>
      </c>
      <c r="AM782" s="581">
        <f t="shared" ref="AM782:AM793" si="199">SUM(AI782:AK782)</f>
        <v>30405.423999999999</v>
      </c>
      <c r="AN782" s="285">
        <f>AM782-AB782</f>
        <v>4.0000000153668225E-3</v>
      </c>
    </row>
    <row r="783" spans="12:40" x14ac:dyDescent="0.2">
      <c r="L783" s="577">
        <f t="shared" ref="L783:L793" si="200">W783/U783</f>
        <v>3.8050000886178471E-2</v>
      </c>
      <c r="M783" s="578">
        <f t="shared" ref="M783:M793" si="201">N783/R783</f>
        <v>10.714999544253031</v>
      </c>
      <c r="N783" s="483">
        <f t="shared" ref="N783:N793" si="202">V783-AC783</f>
        <v>117554.26</v>
      </c>
      <c r="P783" t="s">
        <v>492</v>
      </c>
      <c r="Q783">
        <v>8400</v>
      </c>
      <c r="R783" s="482">
        <v>10971</v>
      </c>
      <c r="S783" s="482">
        <v>10971</v>
      </c>
      <c r="T783" s="482"/>
      <c r="U783" s="482">
        <v>5190828</v>
      </c>
      <c r="V783" s="483">
        <v>117554.26</v>
      </c>
      <c r="W783" s="483">
        <v>197511.01</v>
      </c>
      <c r="X783" s="285">
        <f t="shared" ref="X783:X791" si="203">AB805</f>
        <v>91702.42</v>
      </c>
      <c r="Y783" s="483"/>
      <c r="Z783" s="483">
        <f t="shared" si="197"/>
        <v>406767.69</v>
      </c>
      <c r="AA783" s="483">
        <v>436172.58</v>
      </c>
      <c r="AB783" s="483">
        <f t="shared" si="198"/>
        <v>29404.890000000014</v>
      </c>
      <c r="AC783" s="575"/>
      <c r="AD783" s="575"/>
      <c r="AE783" s="575"/>
      <c r="AF783" s="575"/>
      <c r="AG783" s="575"/>
      <c r="AH783" s="580"/>
      <c r="AI783" s="575">
        <v>100</v>
      </c>
      <c r="AJ783">
        <v>13732.41</v>
      </c>
      <c r="AK783" s="575">
        <f>U783*AK781</f>
        <v>15572.484</v>
      </c>
      <c r="AM783" s="581">
        <f t="shared" si="199"/>
        <v>29404.894</v>
      </c>
      <c r="AN783" s="285">
        <f t="shared" ref="AN783:AN793" si="204">AM783-AB783</f>
        <v>3.999999986262992E-3</v>
      </c>
    </row>
    <row r="784" spans="12:40" x14ac:dyDescent="0.2">
      <c r="L784" s="577">
        <f t="shared" si="200"/>
        <v>3.804999952953006E-2</v>
      </c>
      <c r="M784" s="578">
        <f t="shared" si="201"/>
        <v>10.715</v>
      </c>
      <c r="N784" s="483">
        <f t="shared" si="202"/>
        <v>128730.01</v>
      </c>
      <c r="P784" t="s">
        <v>493</v>
      </c>
      <c r="Q784">
        <v>8400</v>
      </c>
      <c r="R784" s="482">
        <v>12014</v>
      </c>
      <c r="S784" s="482">
        <v>12014</v>
      </c>
      <c r="T784" s="482"/>
      <c r="U784" s="482">
        <v>5951496</v>
      </c>
      <c r="V784" s="483">
        <v>128730.01</v>
      </c>
      <c r="W784" s="483">
        <v>226454.42</v>
      </c>
      <c r="X784" s="285">
        <f t="shared" si="203"/>
        <v>112976.96000000001</v>
      </c>
      <c r="Y784" s="483"/>
      <c r="Z784" s="483">
        <f t="shared" si="197"/>
        <v>468161.39</v>
      </c>
      <c r="AA784" s="483">
        <v>499848.29</v>
      </c>
      <c r="AB784" s="483">
        <f t="shared" si="198"/>
        <v>31686.899999999965</v>
      </c>
      <c r="AC784" s="575"/>
      <c r="AD784" s="575"/>
      <c r="AE784" s="575"/>
      <c r="AF784" s="575"/>
      <c r="AG784" s="575"/>
      <c r="AH784" s="580"/>
      <c r="AI784" s="575">
        <v>100</v>
      </c>
      <c r="AJ784">
        <v>13732.41</v>
      </c>
      <c r="AK784" s="575">
        <f>U784*AK781</f>
        <v>17854.488000000001</v>
      </c>
      <c r="AM784" s="581">
        <f t="shared" si="199"/>
        <v>31686.898000000001</v>
      </c>
      <c r="AN784" s="285">
        <f t="shared" si="204"/>
        <v>-1.9999999640276656E-3</v>
      </c>
    </row>
    <row r="785" spans="12:40" x14ac:dyDescent="0.2">
      <c r="L785" s="577">
        <f t="shared" si="200"/>
        <v>3.805000054091396E-2</v>
      </c>
      <c r="M785" s="578">
        <f t="shared" si="201"/>
        <v>10.715000396919901</v>
      </c>
      <c r="N785" s="483">
        <f t="shared" si="202"/>
        <v>134976.85999999999</v>
      </c>
      <c r="P785" t="s">
        <v>494</v>
      </c>
      <c r="Q785">
        <v>8400</v>
      </c>
      <c r="R785" s="482">
        <v>12597</v>
      </c>
      <c r="S785" s="482">
        <v>12597</v>
      </c>
      <c r="T785" s="482"/>
      <c r="U785" s="482">
        <v>6470530</v>
      </c>
      <c r="V785" s="483">
        <v>134976.85999999999</v>
      </c>
      <c r="W785" s="483">
        <v>246203.67</v>
      </c>
      <c r="X785" s="285">
        <f t="shared" si="203"/>
        <v>53254.040000000008</v>
      </c>
      <c r="Y785" s="483"/>
      <c r="Z785" s="483">
        <f t="shared" si="197"/>
        <v>434434.57000000007</v>
      </c>
      <c r="AA785" s="483">
        <v>467678.57</v>
      </c>
      <c r="AB785" s="483">
        <f t="shared" si="198"/>
        <v>33243.999999999942</v>
      </c>
      <c r="AC785" s="575"/>
      <c r="AD785" s="575"/>
      <c r="AE785" s="575"/>
      <c r="AF785" s="575"/>
      <c r="AG785" s="575"/>
      <c r="AH785" s="580"/>
      <c r="AI785" s="575">
        <v>100</v>
      </c>
      <c r="AJ785">
        <v>13732.41</v>
      </c>
      <c r="AK785" s="575">
        <f>U785*AK781</f>
        <v>19411.59</v>
      </c>
      <c r="AM785" s="581">
        <f t="shared" si="199"/>
        <v>33244</v>
      </c>
      <c r="AN785" s="285">
        <f t="shared" si="204"/>
        <v>5.8207660913467407E-11</v>
      </c>
    </row>
    <row r="786" spans="12:40" x14ac:dyDescent="0.2">
      <c r="L786" s="577">
        <f t="shared" si="200"/>
        <v>3.8049999739800063E-2</v>
      </c>
      <c r="M786" s="578">
        <f t="shared" si="201"/>
        <v>10.714999617649307</v>
      </c>
      <c r="N786" s="483">
        <f t="shared" si="202"/>
        <v>140120.04999999999</v>
      </c>
      <c r="P786" t="s">
        <v>495</v>
      </c>
      <c r="Q786">
        <v>8400</v>
      </c>
      <c r="R786" s="482">
        <v>13077</v>
      </c>
      <c r="S786" s="482">
        <v>13077</v>
      </c>
      <c r="T786" s="482"/>
      <c r="U786" s="482">
        <v>7109917</v>
      </c>
      <c r="V786" s="483">
        <v>140120.04999999999</v>
      </c>
      <c r="W786" s="483">
        <v>270532.34000000003</v>
      </c>
      <c r="X786" s="285">
        <f t="shared" si="203"/>
        <v>162294.21</v>
      </c>
      <c r="Y786" s="483"/>
      <c r="Z786" s="483">
        <f t="shared" si="197"/>
        <v>572946.6</v>
      </c>
      <c r="AA786" s="483">
        <v>608108.76</v>
      </c>
      <c r="AB786" s="483">
        <f t="shared" si="198"/>
        <v>35162.160000000033</v>
      </c>
      <c r="AC786" s="575"/>
      <c r="AD786" s="575"/>
      <c r="AE786" s="575"/>
      <c r="AF786" s="575"/>
      <c r="AG786" s="575"/>
      <c r="AH786" s="580"/>
      <c r="AI786" s="575">
        <v>100</v>
      </c>
      <c r="AJ786">
        <v>13732.41</v>
      </c>
      <c r="AK786" s="575">
        <f>U786*AK781</f>
        <v>21329.751</v>
      </c>
      <c r="AM786" s="581">
        <f t="shared" si="199"/>
        <v>35162.161</v>
      </c>
      <c r="AN786" s="285">
        <f t="shared" si="204"/>
        <v>9.9999996746191755E-4</v>
      </c>
    </row>
    <row r="787" spans="12:40" x14ac:dyDescent="0.2">
      <c r="L787" s="577">
        <f t="shared" si="200"/>
        <v>3.8050000420784512E-2</v>
      </c>
      <c r="M787" s="578">
        <f t="shared" si="201"/>
        <v>10.714999610500897</v>
      </c>
      <c r="N787" s="483">
        <f t="shared" si="202"/>
        <v>137548.45000000001</v>
      </c>
      <c r="P787" t="s">
        <v>496</v>
      </c>
      <c r="Q787">
        <v>8400</v>
      </c>
      <c r="R787" s="482">
        <v>12837</v>
      </c>
      <c r="S787" s="482">
        <v>12837</v>
      </c>
      <c r="T787" s="482"/>
      <c r="U787" s="482">
        <v>7129540</v>
      </c>
      <c r="V787" s="483">
        <v>137548.45000000001</v>
      </c>
      <c r="W787" s="483">
        <v>271279</v>
      </c>
      <c r="X787" s="285">
        <f t="shared" si="203"/>
        <v>172249.56</v>
      </c>
      <c r="Y787" s="483"/>
      <c r="Z787" s="483">
        <f t="shared" si="197"/>
        <v>581077.01</v>
      </c>
      <c r="AA787" s="483">
        <v>616298.04</v>
      </c>
      <c r="AB787" s="483">
        <f t="shared" si="198"/>
        <v>35221.030000000028</v>
      </c>
      <c r="AC787" s="575"/>
      <c r="AD787" s="575"/>
      <c r="AE787" s="575"/>
      <c r="AF787" s="575"/>
      <c r="AG787" s="575"/>
      <c r="AH787" s="580"/>
      <c r="AI787" s="575">
        <v>100</v>
      </c>
      <c r="AJ787">
        <v>13732.41</v>
      </c>
      <c r="AK787" s="575">
        <f>U787*AK781</f>
        <v>21388.62</v>
      </c>
      <c r="AM787" s="581">
        <f t="shared" si="199"/>
        <v>35221.03</v>
      </c>
      <c r="AN787" s="285">
        <f t="shared" si="204"/>
        <v>0</v>
      </c>
    </row>
    <row r="788" spans="12:40" x14ac:dyDescent="0.2">
      <c r="L788" s="577">
        <f t="shared" si="200"/>
        <v>3.8050000509037084E-2</v>
      </c>
      <c r="M788" s="578">
        <f t="shared" si="201"/>
        <v>10.71500038618985</v>
      </c>
      <c r="N788" s="483">
        <f t="shared" si="202"/>
        <v>138727.10999999999</v>
      </c>
      <c r="P788" t="s">
        <v>497</v>
      </c>
      <c r="Q788">
        <v>8400</v>
      </c>
      <c r="R788" s="482">
        <v>12947</v>
      </c>
      <c r="S788" s="482">
        <v>12947</v>
      </c>
      <c r="T788" s="482"/>
      <c r="U788" s="482">
        <v>6581053</v>
      </c>
      <c r="V788" s="483">
        <v>138727.10999999999</v>
      </c>
      <c r="W788" s="483">
        <v>250409.07</v>
      </c>
      <c r="X788" s="285">
        <f t="shared" si="203"/>
        <v>257877.29999999996</v>
      </c>
      <c r="Y788" s="483"/>
      <c r="Z788" s="483">
        <f t="shared" si="197"/>
        <v>647013.48</v>
      </c>
      <c r="AA788" s="483">
        <v>680589.05</v>
      </c>
      <c r="AB788" s="483">
        <f t="shared" si="198"/>
        <v>33575.570000000065</v>
      </c>
      <c r="AC788" s="575"/>
      <c r="AD788" s="575"/>
      <c r="AE788" s="575"/>
      <c r="AF788" s="575"/>
      <c r="AG788" s="575"/>
      <c r="AH788" s="580"/>
      <c r="AI788" s="575">
        <v>100</v>
      </c>
      <c r="AJ788">
        <v>13732.41</v>
      </c>
      <c r="AK788" s="575">
        <f>U788*AK781</f>
        <v>19743.159</v>
      </c>
      <c r="AM788" s="581">
        <f t="shared" si="199"/>
        <v>33575.569000000003</v>
      </c>
      <c r="AN788" s="285">
        <f t="shared" si="204"/>
        <v>-1.0000000620493665E-3</v>
      </c>
    </row>
    <row r="789" spans="12:40" x14ac:dyDescent="0.2">
      <c r="L789" s="577">
        <f t="shared" si="200"/>
        <v>3.8049999278296831E-2</v>
      </c>
      <c r="M789" s="578">
        <f t="shared" si="201"/>
        <v>10.715000433238021</v>
      </c>
      <c r="N789" s="483">
        <f t="shared" si="202"/>
        <v>123661.82</v>
      </c>
      <c r="P789" t="s">
        <v>498</v>
      </c>
      <c r="Q789">
        <v>8400</v>
      </c>
      <c r="R789" s="482">
        <v>11541</v>
      </c>
      <c r="S789" s="482">
        <v>11541</v>
      </c>
      <c r="T789" s="482"/>
      <c r="U789" s="482">
        <v>6304531</v>
      </c>
      <c r="V789" s="483">
        <v>123661.82</v>
      </c>
      <c r="W789" s="483">
        <v>239887.4</v>
      </c>
      <c r="X789" s="285">
        <f t="shared" si="203"/>
        <v>217409.16999999998</v>
      </c>
      <c r="Y789" s="483"/>
      <c r="Z789" s="483">
        <f t="shared" si="197"/>
        <v>580958.3899999999</v>
      </c>
      <c r="AA789" s="483">
        <v>613704.4</v>
      </c>
      <c r="AB789" s="483">
        <f t="shared" si="198"/>
        <v>32746.010000000126</v>
      </c>
      <c r="AC789" s="575"/>
      <c r="AD789" s="575"/>
      <c r="AE789" s="575"/>
      <c r="AF789" s="575"/>
      <c r="AG789" s="575"/>
      <c r="AH789" s="580"/>
      <c r="AI789" s="575">
        <v>100</v>
      </c>
      <c r="AJ789">
        <v>13732.41</v>
      </c>
      <c r="AK789" s="575">
        <f>U789*AK781</f>
        <v>18913.593000000001</v>
      </c>
      <c r="AM789" s="581">
        <f t="shared" si="199"/>
        <v>32746.003000000001</v>
      </c>
      <c r="AN789" s="285">
        <f t="shared" si="204"/>
        <v>-7.0000001251173671E-3</v>
      </c>
    </row>
    <row r="790" spans="12:40" x14ac:dyDescent="0.2">
      <c r="L790" s="577">
        <f t="shared" si="200"/>
        <v>3.8050000320765838E-2</v>
      </c>
      <c r="M790" s="578">
        <f t="shared" si="201"/>
        <v>10.715</v>
      </c>
      <c r="N790" s="483">
        <f t="shared" si="202"/>
        <v>119150.8</v>
      </c>
      <c r="P790" t="s">
        <v>499</v>
      </c>
      <c r="Q790">
        <v>8400</v>
      </c>
      <c r="R790" s="482">
        <v>11120</v>
      </c>
      <c r="S790" s="482">
        <v>11120</v>
      </c>
      <c r="T790" s="482"/>
      <c r="U790" s="482">
        <v>6079201</v>
      </c>
      <c r="V790" s="483">
        <v>119150.8</v>
      </c>
      <c r="W790" s="483">
        <v>231313.6</v>
      </c>
      <c r="X790" s="285">
        <f t="shared" si="203"/>
        <v>167477.69999999998</v>
      </c>
      <c r="Y790" s="483"/>
      <c r="Z790" s="483">
        <f t="shared" si="197"/>
        <v>517942.1</v>
      </c>
      <c r="AA790" s="483">
        <v>550012.11</v>
      </c>
      <c r="AB790" s="483">
        <f t="shared" si="198"/>
        <v>32070.010000000009</v>
      </c>
      <c r="AC790" s="575"/>
      <c r="AD790" s="575"/>
      <c r="AE790" s="575"/>
      <c r="AF790" s="575"/>
      <c r="AG790" s="575"/>
      <c r="AH790" s="580"/>
      <c r="AI790" s="575">
        <v>100</v>
      </c>
      <c r="AJ790">
        <v>13732.41</v>
      </c>
      <c r="AK790" s="575">
        <f>U790*AK781</f>
        <v>18237.602999999999</v>
      </c>
      <c r="AM790" s="581">
        <f t="shared" si="199"/>
        <v>32070.012999999999</v>
      </c>
      <c r="AN790" s="285">
        <f t="shared" si="204"/>
        <v>2.999999989697244E-3</v>
      </c>
    </row>
    <row r="791" spans="12:40" x14ac:dyDescent="0.2">
      <c r="L791" s="577">
        <f t="shared" si="200"/>
        <v>3.8049999353545805E-2</v>
      </c>
      <c r="M791" s="578">
        <f t="shared" si="201"/>
        <v>10.715</v>
      </c>
      <c r="N791" s="483">
        <f t="shared" si="202"/>
        <v>113171.83</v>
      </c>
      <c r="P791" t="s">
        <v>500</v>
      </c>
      <c r="Q791">
        <v>8400</v>
      </c>
      <c r="R791" s="482">
        <v>10562</v>
      </c>
      <c r="S791" s="482">
        <v>10562</v>
      </c>
      <c r="T791" s="482"/>
      <c r="U791" s="482">
        <v>5800875</v>
      </c>
      <c r="V791" s="483">
        <v>113171.83</v>
      </c>
      <c r="W791" s="483">
        <v>220723.29</v>
      </c>
      <c r="X791" s="285">
        <f t="shared" si="203"/>
        <v>145146.57999999999</v>
      </c>
      <c r="Y791" s="483"/>
      <c r="Z791" s="483">
        <f t="shared" si="197"/>
        <v>479041.69999999995</v>
      </c>
      <c r="AA791" s="483">
        <v>510276.74</v>
      </c>
      <c r="AB791" s="483">
        <f t="shared" si="198"/>
        <v>31235.040000000037</v>
      </c>
      <c r="AC791" s="575"/>
      <c r="AD791" s="575"/>
      <c r="AE791" s="575"/>
      <c r="AF791" s="580"/>
      <c r="AG791" s="580"/>
      <c r="AH791" s="580"/>
      <c r="AI791" s="575">
        <v>100</v>
      </c>
      <c r="AJ791">
        <v>13732.41</v>
      </c>
      <c r="AK791" s="575">
        <f>U791*AK781</f>
        <v>17402.625</v>
      </c>
      <c r="AM791" s="581">
        <f t="shared" si="199"/>
        <v>31235.035</v>
      </c>
      <c r="AN791" s="285">
        <f t="shared" si="204"/>
        <v>-5.0000000373984221E-3</v>
      </c>
    </row>
    <row r="792" spans="12:40" x14ac:dyDescent="0.2">
      <c r="L792" s="577">
        <f t="shared" si="200"/>
        <v>3.8050000818202881E-2</v>
      </c>
      <c r="M792" s="578">
        <f t="shared" si="201"/>
        <v>10.715</v>
      </c>
      <c r="N792" s="483">
        <f t="shared" si="202"/>
        <v>116364.9</v>
      </c>
      <c r="P792" t="s">
        <v>591</v>
      </c>
      <c r="Q792">
        <v>8400</v>
      </c>
      <c r="R792" s="482">
        <v>10860</v>
      </c>
      <c r="S792" s="482">
        <v>10860</v>
      </c>
      <c r="U792" s="482">
        <v>5683187</v>
      </c>
      <c r="V792" s="483">
        <v>116364.9</v>
      </c>
      <c r="W792" s="483">
        <v>216245.27</v>
      </c>
      <c r="X792" s="285">
        <f t="shared" ref="X792:X793" si="205">SUM(R814:Y814)</f>
        <v>147071.97999999998</v>
      </c>
      <c r="Y792" s="483"/>
      <c r="Z792" s="483">
        <f t="shared" si="197"/>
        <v>479682.14999999997</v>
      </c>
      <c r="AA792" s="483">
        <v>510564.12</v>
      </c>
      <c r="AB792" s="483">
        <f t="shared" si="198"/>
        <v>30881.97000000003</v>
      </c>
      <c r="AC792" s="575"/>
      <c r="AD792" s="575"/>
      <c r="AE792" s="575"/>
      <c r="AF792" s="580"/>
      <c r="AG792" s="580"/>
      <c r="AH792" s="580"/>
      <c r="AI792" s="575">
        <v>100</v>
      </c>
      <c r="AJ792">
        <v>13732.41</v>
      </c>
      <c r="AK792" s="575">
        <f>U792*AK781</f>
        <v>17049.561000000002</v>
      </c>
      <c r="AM792" s="581">
        <f t="shared" si="199"/>
        <v>30881.971000000001</v>
      </c>
      <c r="AN792" s="594">
        <f t="shared" si="204"/>
        <v>9.9999997109989636E-4</v>
      </c>
    </row>
    <row r="793" spans="12:40" x14ac:dyDescent="0.2">
      <c r="L793" s="577">
        <f t="shared" si="200"/>
        <v>3.8049999872358131E-2</v>
      </c>
      <c r="M793" s="578">
        <f t="shared" si="201"/>
        <v>10.715</v>
      </c>
      <c r="N793" s="483">
        <f t="shared" si="202"/>
        <v>125258.35</v>
      </c>
      <c r="O793">
        <f>$O$80</f>
        <v>12</v>
      </c>
      <c r="P793" t="s">
        <v>688</v>
      </c>
      <c r="Q793">
        <v>8400</v>
      </c>
      <c r="R793" s="482">
        <v>11690</v>
      </c>
      <c r="S793" s="482">
        <v>11690</v>
      </c>
      <c r="T793" s="482"/>
      <c r="U793" s="482">
        <v>5875815</v>
      </c>
      <c r="V793" s="483">
        <v>125258.35</v>
      </c>
      <c r="W793" s="483">
        <v>223574.76</v>
      </c>
      <c r="X793" s="285">
        <f t="shared" si="205"/>
        <v>81930.75</v>
      </c>
      <c r="Y793" s="483"/>
      <c r="Z793" s="483">
        <f t="shared" si="197"/>
        <v>430763.86</v>
      </c>
      <c r="AA793" s="483">
        <v>462223.72</v>
      </c>
      <c r="AB793" s="483">
        <f t="shared" si="198"/>
        <v>31459.859999999986</v>
      </c>
      <c r="AC793" s="575"/>
      <c r="AD793" s="575"/>
      <c r="AE793" s="575"/>
      <c r="AF793" s="580"/>
      <c r="AG793" s="580"/>
      <c r="AH793" s="580"/>
      <c r="AI793" s="575">
        <v>100</v>
      </c>
      <c r="AJ793">
        <v>13732.41</v>
      </c>
      <c r="AK793" s="575">
        <f>U793*AK781</f>
        <v>17627.445</v>
      </c>
      <c r="AM793" s="581">
        <f t="shared" si="199"/>
        <v>31459.855</v>
      </c>
      <c r="AN793" s="285">
        <f t="shared" si="204"/>
        <v>-4.9999999864667188E-3</v>
      </c>
    </row>
    <row r="794" spans="12:40" x14ac:dyDescent="0.2">
      <c r="R794" s="488" t="s">
        <v>487</v>
      </c>
      <c r="S794" s="488"/>
      <c r="T794" s="488" t="s">
        <v>487</v>
      </c>
      <c r="U794" s="488" t="s">
        <v>487</v>
      </c>
      <c r="V794" s="489" t="s">
        <v>487</v>
      </c>
      <c r="W794" s="489" t="s">
        <v>487</v>
      </c>
      <c r="X794" s="489" t="s">
        <v>487</v>
      </c>
      <c r="Y794" s="481" t="s">
        <v>487</v>
      </c>
      <c r="Z794" s="489" t="s">
        <v>487</v>
      </c>
      <c r="AA794" s="489" t="s">
        <v>487</v>
      </c>
      <c r="AB794" s="489" t="s">
        <v>487</v>
      </c>
      <c r="AC794" s="575"/>
      <c r="AD794" s="575"/>
      <c r="AE794" s="575"/>
      <c r="AF794" s="575"/>
      <c r="AG794" s="575"/>
      <c r="AH794" s="575"/>
      <c r="AI794" s="575"/>
      <c r="AJ794" s="575"/>
      <c r="AK794" s="575"/>
      <c r="AL794" s="575"/>
      <c r="AM794" s="575"/>
    </row>
    <row r="795" spans="12:40" x14ac:dyDescent="0.2">
      <c r="R795" s="482"/>
      <c r="S795" s="482"/>
      <c r="T795" s="482"/>
      <c r="U795" s="482"/>
      <c r="V795" s="483"/>
      <c r="W795" s="483"/>
      <c r="X795" s="483"/>
      <c r="Z795" s="483"/>
      <c r="AA795" s="483"/>
      <c r="AB795" s="483"/>
      <c r="AC795" s="575"/>
      <c r="AD795" s="575"/>
      <c r="AE795" s="575"/>
      <c r="AF795" s="575"/>
      <c r="AG795" s="575"/>
      <c r="AH795" s="575"/>
      <c r="AI795" s="575"/>
      <c r="AJ795" s="575"/>
      <c r="AK795" s="575"/>
      <c r="AL795" s="575"/>
      <c r="AM795" s="575"/>
    </row>
    <row r="796" spans="12:40" x14ac:dyDescent="0.2">
      <c r="R796" s="482">
        <f>SUM(R782:R793)</f>
        <v>140493</v>
      </c>
      <c r="S796" s="482"/>
      <c r="T796" s="482">
        <f>SUM(T783:T793)</f>
        <v>0</v>
      </c>
      <c r="U796" s="482">
        <f>SUM(U782:U793)</f>
        <v>73701311</v>
      </c>
      <c r="V796" s="483">
        <f>SUM(V782:V793)</f>
        <v>1505382.49</v>
      </c>
      <c r="W796" s="483">
        <f t="shared" ref="W796:AM796" si="206">SUM(W782:W793)</f>
        <v>2804334.8899999997</v>
      </c>
      <c r="X796" s="483">
        <f t="shared" si="206"/>
        <v>1723316.68</v>
      </c>
      <c r="Y796" s="483">
        <f t="shared" si="206"/>
        <v>0</v>
      </c>
      <c r="Z796" s="483">
        <f t="shared" si="206"/>
        <v>6033034.0600000005</v>
      </c>
      <c r="AA796" s="483">
        <f t="shared" si="206"/>
        <v>6420126.9200000009</v>
      </c>
      <c r="AB796" s="483">
        <f t="shared" si="206"/>
        <v>387092.86000000022</v>
      </c>
      <c r="AC796" s="584">
        <f t="shared" si="206"/>
        <v>0</v>
      </c>
      <c r="AD796" s="584">
        <f t="shared" si="206"/>
        <v>0</v>
      </c>
      <c r="AE796" s="584">
        <f t="shared" si="206"/>
        <v>0</v>
      </c>
      <c r="AF796" s="584">
        <f t="shared" si="206"/>
        <v>0</v>
      </c>
      <c r="AG796" s="584">
        <f t="shared" si="206"/>
        <v>0</v>
      </c>
      <c r="AH796" s="584">
        <f t="shared" si="206"/>
        <v>0</v>
      </c>
      <c r="AI796" s="584">
        <f t="shared" si="206"/>
        <v>1200</v>
      </c>
      <c r="AJ796" s="584">
        <f>SUM(AJ782:AJ793)</f>
        <v>164788.92000000001</v>
      </c>
      <c r="AK796" s="584">
        <f t="shared" si="206"/>
        <v>221103.93300000002</v>
      </c>
      <c r="AL796" s="584"/>
      <c r="AM796" s="584">
        <f t="shared" si="206"/>
        <v>387092.853</v>
      </c>
    </row>
    <row r="797" spans="12:40" x14ac:dyDescent="0.2">
      <c r="R797" s="488" t="s">
        <v>501</v>
      </c>
      <c r="S797" s="488"/>
      <c r="T797" s="488" t="s">
        <v>501</v>
      </c>
      <c r="U797" s="488" t="s">
        <v>501</v>
      </c>
      <c r="V797" s="489" t="s">
        <v>501</v>
      </c>
      <c r="W797" s="489" t="s">
        <v>501</v>
      </c>
      <c r="X797" s="489" t="s">
        <v>501</v>
      </c>
      <c r="Y797" s="489" t="s">
        <v>501</v>
      </c>
      <c r="Z797" s="489" t="s">
        <v>501</v>
      </c>
      <c r="AA797" s="489" t="s">
        <v>501</v>
      </c>
      <c r="AB797" s="489" t="s">
        <v>501</v>
      </c>
      <c r="AC797" s="585" t="s">
        <v>501</v>
      </c>
      <c r="AD797" s="585" t="s">
        <v>501</v>
      </c>
      <c r="AE797" s="585" t="s">
        <v>501</v>
      </c>
      <c r="AF797" s="585" t="s">
        <v>501</v>
      </c>
      <c r="AG797" s="585" t="s">
        <v>501</v>
      </c>
      <c r="AH797" s="585" t="s">
        <v>501</v>
      </c>
      <c r="AI797" s="585" t="s">
        <v>501</v>
      </c>
      <c r="AJ797" s="585" t="s">
        <v>501</v>
      </c>
      <c r="AK797" s="585" t="s">
        <v>501</v>
      </c>
      <c r="AL797" s="585" t="s">
        <v>501</v>
      </c>
      <c r="AM797" s="585" t="s">
        <v>501</v>
      </c>
    </row>
    <row r="798" spans="12:40" x14ac:dyDescent="0.2">
      <c r="R798" s="482"/>
      <c r="S798" s="482"/>
      <c r="U798" s="482"/>
      <c r="V798" s="495"/>
      <c r="W798" s="495"/>
      <c r="X798" s="495"/>
      <c r="Z798" s="495"/>
      <c r="AA798" s="495"/>
    </row>
    <row r="800" spans="12:40" x14ac:dyDescent="0.2">
      <c r="S800" s="183" t="s">
        <v>549</v>
      </c>
    </row>
    <row r="801" spans="15:28" x14ac:dyDescent="0.2">
      <c r="P801" s="183"/>
      <c r="Q801" s="183"/>
      <c r="R801" s="183" t="s">
        <v>550</v>
      </c>
      <c r="S801" s="183" t="s">
        <v>551</v>
      </c>
      <c r="T801" s="183" t="s">
        <v>552</v>
      </c>
      <c r="U801" s="183" t="s">
        <v>555</v>
      </c>
      <c r="V801" s="183" t="s">
        <v>596</v>
      </c>
      <c r="W801" s="183" t="s">
        <v>553</v>
      </c>
      <c r="X801" s="183" t="s">
        <v>554</v>
      </c>
      <c r="Y801" s="183" t="s">
        <v>556</v>
      </c>
      <c r="Z801" s="183"/>
      <c r="AA801" s="183"/>
      <c r="AB801" s="183"/>
    </row>
    <row r="802" spans="15:28" x14ac:dyDescent="0.2">
      <c r="P802" s="183"/>
      <c r="Q802" s="183"/>
      <c r="R802" s="521" t="s">
        <v>471</v>
      </c>
      <c r="S802" s="521" t="s">
        <v>558</v>
      </c>
      <c r="T802" s="521" t="s">
        <v>559</v>
      </c>
      <c r="U802" s="521" t="s">
        <v>562</v>
      </c>
      <c r="V802" s="521" t="s">
        <v>597</v>
      </c>
      <c r="W802" s="521" t="s">
        <v>560</v>
      </c>
      <c r="X802" s="521" t="s">
        <v>561</v>
      </c>
      <c r="Y802" s="521" t="s">
        <v>563</v>
      </c>
      <c r="Z802" s="183"/>
      <c r="AA802" s="183"/>
      <c r="AB802" s="183"/>
    </row>
    <row r="803" spans="15:28" x14ac:dyDescent="0.2">
      <c r="P803" s="183"/>
      <c r="Q803" s="183"/>
      <c r="R803" s="183"/>
      <c r="S803" s="183"/>
      <c r="T803" s="183"/>
      <c r="U803" s="183"/>
      <c r="V803" s="183"/>
      <c r="W803" s="183"/>
      <c r="X803" s="183"/>
      <c r="Y803" s="183"/>
      <c r="Z803" s="183"/>
      <c r="AA803" s="183"/>
      <c r="AB803" s="523" t="s">
        <v>84</v>
      </c>
    </row>
    <row r="804" spans="15:28" x14ac:dyDescent="0.2">
      <c r="O804">
        <f>$O$69</f>
        <v>1</v>
      </c>
      <c r="P804" t="str">
        <f>[3]Tyson!A9</f>
        <v>MAR</v>
      </c>
      <c r="R804" s="294">
        <v>105923.66</v>
      </c>
      <c r="S804" s="294">
        <v>13772.17</v>
      </c>
      <c r="T804" s="294">
        <v>23583.9</v>
      </c>
      <c r="U804" s="294">
        <v>-29353.72</v>
      </c>
      <c r="V804" s="294"/>
      <c r="W804" s="294"/>
      <c r="X804" s="294"/>
      <c r="Z804" s="294"/>
      <c r="AA804" s="294"/>
      <c r="AB804" s="285">
        <f t="shared" ref="AB804:AB813" si="207">SUM(R804:AA804)</f>
        <v>113926.01000000001</v>
      </c>
    </row>
    <row r="805" spans="15:28" x14ac:dyDescent="0.2">
      <c r="P805" t="str">
        <f>[3]Tyson!A10</f>
        <v>APR</v>
      </c>
      <c r="R805" s="294">
        <v>79040.740000000005</v>
      </c>
      <c r="S805" s="294">
        <v>12940.73</v>
      </c>
      <c r="T805" s="294">
        <v>26512.47</v>
      </c>
      <c r="U805" s="294">
        <v>-26791.52</v>
      </c>
      <c r="V805" s="294"/>
      <c r="W805" s="294"/>
      <c r="X805" s="294"/>
      <c r="Z805" s="294"/>
      <c r="AA805" s="294"/>
      <c r="AB805" s="285">
        <f t="shared" si="207"/>
        <v>91702.42</v>
      </c>
    </row>
    <row r="806" spans="15:28" x14ac:dyDescent="0.2">
      <c r="P806" t="str">
        <f>[3]Tyson!A11</f>
        <v>MAY</v>
      </c>
      <c r="R806" s="294">
        <v>107561.39</v>
      </c>
      <c r="S806" s="294">
        <v>14837.08</v>
      </c>
      <c r="T806" s="294">
        <v>20617.509999999998</v>
      </c>
      <c r="U806" s="294">
        <v>-30039.02</v>
      </c>
      <c r="V806" s="294"/>
      <c r="W806" s="294"/>
      <c r="X806" s="294"/>
      <c r="Z806" s="294"/>
      <c r="AA806" s="294"/>
      <c r="AB806" s="285">
        <f t="shared" si="207"/>
        <v>112976.96000000001</v>
      </c>
    </row>
    <row r="807" spans="15:28" x14ac:dyDescent="0.2">
      <c r="P807" t="str">
        <f>[3]Tyson!A12</f>
        <v>JUN</v>
      </c>
      <c r="R807" s="486">
        <v>40078.46</v>
      </c>
      <c r="S807" s="486">
        <v>16131.03</v>
      </c>
      <c r="T807" s="486">
        <v>27930.89</v>
      </c>
      <c r="U807" s="486">
        <v>-30886.34</v>
      </c>
      <c r="V807" s="294"/>
      <c r="W807" s="294"/>
      <c r="X807" s="294"/>
      <c r="Z807" s="294"/>
      <c r="AA807" s="294"/>
      <c r="AB807" s="285">
        <f t="shared" si="207"/>
        <v>53254.040000000008</v>
      </c>
    </row>
    <row r="808" spans="15:28" x14ac:dyDescent="0.2">
      <c r="P808" t="str">
        <f>[3]Tyson!A13</f>
        <v>JUL</v>
      </c>
      <c r="R808" s="486">
        <v>145511.56</v>
      </c>
      <c r="S808" s="486">
        <v>17725.02</v>
      </c>
      <c r="T808" s="486">
        <v>26229.85</v>
      </c>
      <c r="U808" s="486">
        <v>-27172.22</v>
      </c>
      <c r="V808" s="294"/>
      <c r="W808" s="294"/>
      <c r="X808" s="294"/>
      <c r="Y808" s="294"/>
      <c r="Z808" s="294"/>
      <c r="AA808" s="294"/>
      <c r="AB808" s="285">
        <f t="shared" si="207"/>
        <v>162294.21</v>
      </c>
    </row>
    <row r="809" spans="15:28" x14ac:dyDescent="0.2">
      <c r="P809" t="str">
        <f>[3]Tyson!A14</f>
        <v>AUG</v>
      </c>
      <c r="R809" s="486">
        <v>158396.99</v>
      </c>
      <c r="S809" s="486">
        <v>17773.939999999999</v>
      </c>
      <c r="T809" s="486">
        <v>27783.84</v>
      </c>
      <c r="U809" s="486">
        <v>-31705.21</v>
      </c>
      <c r="V809" s="294"/>
      <c r="W809" s="294"/>
      <c r="X809" s="486"/>
      <c r="Y809" s="486"/>
      <c r="Z809" s="294"/>
      <c r="AA809" s="294"/>
      <c r="AB809" s="285">
        <f t="shared" si="207"/>
        <v>172249.56</v>
      </c>
    </row>
    <row r="810" spans="15:28" x14ac:dyDescent="0.2">
      <c r="P810" t="str">
        <f>[3]Tyson!A15</f>
        <v>SEP</v>
      </c>
      <c r="R810" s="486">
        <v>228099.3</v>
      </c>
      <c r="S810" s="486">
        <v>39611.360000000001</v>
      </c>
      <c r="T810" s="486">
        <v>20124.599999999999</v>
      </c>
      <c r="U810" s="486">
        <v>-29957.96</v>
      </c>
      <c r="V810" s="486"/>
      <c r="W810" s="486"/>
      <c r="X810" s="486"/>
      <c r="Y810" s="486"/>
      <c r="Z810" s="294"/>
      <c r="AA810" s="294"/>
      <c r="AB810" s="285">
        <f t="shared" si="207"/>
        <v>257877.29999999996</v>
      </c>
    </row>
    <row r="811" spans="15:28" x14ac:dyDescent="0.2">
      <c r="P811" t="str">
        <f>[3]Tyson!A16</f>
        <v>OCT</v>
      </c>
      <c r="R811" s="486">
        <v>182037.03</v>
      </c>
      <c r="S811" s="486">
        <v>37946.97</v>
      </c>
      <c r="T811" s="486">
        <v>24274.53</v>
      </c>
      <c r="U811" s="486">
        <v>-26849.360000000001</v>
      </c>
      <c r="V811" s="486"/>
      <c r="W811" s="486"/>
      <c r="X811" s="486"/>
      <c r="Y811" s="486"/>
      <c r="Z811" s="294"/>
      <c r="AA811" s="294"/>
      <c r="AB811" s="285">
        <f t="shared" si="207"/>
        <v>217409.16999999998</v>
      </c>
    </row>
    <row r="812" spans="15:28" x14ac:dyDescent="0.2">
      <c r="P812" t="str">
        <f>[3]Tyson!A17</f>
        <v>NOV</v>
      </c>
      <c r="R812" s="294">
        <v>142861.22</v>
      </c>
      <c r="S812" s="294">
        <v>36590.71</v>
      </c>
      <c r="T812" s="294">
        <v>17478.05</v>
      </c>
      <c r="U812" s="294">
        <v>-29452.28</v>
      </c>
      <c r="V812" s="486"/>
      <c r="W812" s="486"/>
      <c r="X812" s="486"/>
      <c r="Y812" s="486"/>
      <c r="Z812" s="294"/>
      <c r="AA812" s="294"/>
      <c r="AB812" s="285">
        <f t="shared" si="207"/>
        <v>167477.69999999998</v>
      </c>
    </row>
    <row r="813" spans="15:28" x14ac:dyDescent="0.2">
      <c r="P813" t="str">
        <f>[3]Tyson!A18</f>
        <v>DEC</v>
      </c>
      <c r="R813" s="294">
        <v>116197.33</v>
      </c>
      <c r="S813" s="294">
        <v>34915.47</v>
      </c>
      <c r="T813" s="294">
        <v>19739.25</v>
      </c>
      <c r="U813" s="294">
        <v>-25705.47</v>
      </c>
      <c r="V813" s="486"/>
      <c r="W813" s="486"/>
      <c r="X813" s="486"/>
      <c r="Y813" s="486"/>
      <c r="Z813" s="294"/>
      <c r="AA813" s="294"/>
      <c r="AB813" s="285">
        <f t="shared" si="207"/>
        <v>145146.57999999999</v>
      </c>
    </row>
    <row r="814" spans="15:28" x14ac:dyDescent="0.2">
      <c r="P814" t="str">
        <f t="shared" ref="P814:P815" si="208">P792</f>
        <v>JAN 2023</v>
      </c>
      <c r="R814" s="294">
        <v>82326.649999999994</v>
      </c>
      <c r="S814" s="294">
        <v>34207.1</v>
      </c>
      <c r="T814" s="294">
        <v>47750.55</v>
      </c>
      <c r="U814" s="294">
        <v>-17212.32</v>
      </c>
      <c r="V814" s="294"/>
      <c r="W814" s="294"/>
      <c r="X814" s="294"/>
      <c r="Y814" s="294"/>
      <c r="Z814" s="294"/>
      <c r="AA814" s="294"/>
      <c r="AB814" s="285">
        <f>SUM(R814:AA814)</f>
        <v>147071.97999999998</v>
      </c>
    </row>
    <row r="815" spans="15:28" x14ac:dyDescent="0.2">
      <c r="O815">
        <f>$O$80</f>
        <v>12</v>
      </c>
      <c r="P815" t="str">
        <f t="shared" si="208"/>
        <v>FEB</v>
      </c>
      <c r="R815" s="294">
        <v>46019.38</v>
      </c>
      <c r="S815" s="294">
        <v>35366.53</v>
      </c>
      <c r="T815" s="294">
        <v>21620.5</v>
      </c>
      <c r="U815" s="294">
        <v>-21075.66</v>
      </c>
      <c r="V815" s="294"/>
      <c r="W815" s="294"/>
      <c r="X815" s="294"/>
      <c r="Y815" s="294"/>
      <c r="Z815" s="294"/>
      <c r="AA815" s="294"/>
      <c r="AB815" s="285">
        <f>SUM(R815:AA815)</f>
        <v>81930.75</v>
      </c>
    </row>
    <row r="816" spans="15:28" x14ac:dyDescent="0.2">
      <c r="R816" s="294"/>
      <c r="S816" s="294"/>
      <c r="T816" s="294"/>
      <c r="U816" s="294"/>
      <c r="V816" s="294"/>
      <c r="W816" s="294"/>
      <c r="X816" s="294"/>
      <c r="Y816" s="294"/>
      <c r="Z816" s="294"/>
      <c r="AA816" s="294"/>
      <c r="AB816" s="285"/>
    </row>
    <row r="817" spans="12:40" ht="13.5" thickBot="1" x14ac:dyDescent="0.25">
      <c r="P817" t="s">
        <v>65</v>
      </c>
      <c r="R817" s="542">
        <f t="shared" ref="R817:Y817" si="209">SUM(R804:R815)</f>
        <v>1434053.71</v>
      </c>
      <c r="S817" s="542">
        <f t="shared" si="209"/>
        <v>311818.11</v>
      </c>
      <c r="T817" s="542">
        <f t="shared" si="209"/>
        <v>303645.94</v>
      </c>
      <c r="U817" s="542">
        <f t="shared" si="209"/>
        <v>-326201.07999999996</v>
      </c>
      <c r="V817" s="542">
        <f t="shared" si="209"/>
        <v>0</v>
      </c>
      <c r="W817" s="542">
        <f t="shared" si="209"/>
        <v>0</v>
      </c>
      <c r="X817" s="542">
        <f t="shared" si="209"/>
        <v>0</v>
      </c>
      <c r="Y817" s="542">
        <f t="shared" si="209"/>
        <v>0</v>
      </c>
      <c r="Z817" s="294"/>
      <c r="AA817" s="294"/>
      <c r="AB817" s="542">
        <f>SUM(AB804:AB815)</f>
        <v>1723316.68</v>
      </c>
    </row>
    <row r="818" spans="12:40" ht="16.5" thickTop="1" x14ac:dyDescent="0.25">
      <c r="P818" s="524" t="s">
        <v>709</v>
      </c>
      <c r="Q818" s="479"/>
      <c r="AC818" s="573"/>
      <c r="AD818" s="573"/>
      <c r="AE818" s="574" t="s">
        <v>659</v>
      </c>
      <c r="AF818" s="573"/>
      <c r="AG818" s="573"/>
      <c r="AH818" s="573"/>
      <c r="AI818" s="573"/>
      <c r="AJ818" s="573"/>
      <c r="AK818" s="573"/>
      <c r="AL818" s="573"/>
      <c r="AM818" s="575"/>
    </row>
    <row r="819" spans="12:40" x14ac:dyDescent="0.2">
      <c r="X819" s="183" t="s">
        <v>466</v>
      </c>
      <c r="AC819" s="575"/>
      <c r="AD819" s="573"/>
      <c r="AE819" s="574" t="s">
        <v>662</v>
      </c>
      <c r="AF819" s="573"/>
      <c r="AG819" s="573"/>
      <c r="AH819" s="575"/>
      <c r="AI819" s="573"/>
      <c r="AJ819" s="573"/>
      <c r="AK819" s="573"/>
      <c r="AL819" s="574" t="s">
        <v>663</v>
      </c>
      <c r="AM819" s="575"/>
    </row>
    <row r="820" spans="12:40" x14ac:dyDescent="0.2">
      <c r="P820" t="s">
        <v>593</v>
      </c>
      <c r="Q820" s="183" t="s">
        <v>664</v>
      </c>
      <c r="R820" s="183" t="s">
        <v>469</v>
      </c>
      <c r="S820" s="183"/>
      <c r="T820" s="183" t="s">
        <v>470</v>
      </c>
      <c r="X820" s="183" t="s">
        <v>471</v>
      </c>
      <c r="Y820" s="183" t="s">
        <v>470</v>
      </c>
      <c r="AC820" s="574" t="s">
        <v>668</v>
      </c>
      <c r="AD820" s="573" t="s">
        <v>117</v>
      </c>
      <c r="AE820" s="574" t="s">
        <v>669</v>
      </c>
      <c r="AF820" s="574" t="s">
        <v>670</v>
      </c>
      <c r="AG820" s="574" t="s">
        <v>671</v>
      </c>
      <c r="AH820" s="574" t="s">
        <v>672</v>
      </c>
      <c r="AI820" s="574" t="s">
        <v>118</v>
      </c>
      <c r="AJ820" s="574" t="s">
        <v>673</v>
      </c>
      <c r="AK820" s="573" t="s">
        <v>284</v>
      </c>
      <c r="AL820" s="574" t="s">
        <v>674</v>
      </c>
      <c r="AM820" s="575"/>
    </row>
    <row r="821" spans="12:40" x14ac:dyDescent="0.2">
      <c r="Q821" s="183" t="s">
        <v>474</v>
      </c>
      <c r="R821" s="183" t="s">
        <v>475</v>
      </c>
      <c r="S821" s="183"/>
      <c r="T821" s="183" t="s">
        <v>475</v>
      </c>
      <c r="U821" s="183" t="s">
        <v>476</v>
      </c>
      <c r="V821" s="183" t="s">
        <v>477</v>
      </c>
      <c r="W821" s="183" t="s">
        <v>478</v>
      </c>
      <c r="X821" s="183" t="s">
        <v>479</v>
      </c>
      <c r="Y821" s="183" t="s">
        <v>480</v>
      </c>
      <c r="Z821" s="183" t="s">
        <v>481</v>
      </c>
      <c r="AA821" s="183" t="s">
        <v>482</v>
      </c>
      <c r="AB821" s="183" t="s">
        <v>483</v>
      </c>
      <c r="AC821" s="574" t="s">
        <v>606</v>
      </c>
      <c r="AD821" s="574" t="s">
        <v>676</v>
      </c>
      <c r="AE821" s="574" t="s">
        <v>668</v>
      </c>
      <c r="AF821" s="574" t="s">
        <v>117</v>
      </c>
      <c r="AG821" s="574" t="s">
        <v>117</v>
      </c>
      <c r="AH821" s="573" t="s">
        <v>677</v>
      </c>
      <c r="AI821" s="574" t="s">
        <v>669</v>
      </c>
      <c r="AJ821" s="574" t="s">
        <v>678</v>
      </c>
      <c r="AK821" s="573" t="s">
        <v>679</v>
      </c>
      <c r="AL821" s="574" t="s">
        <v>680</v>
      </c>
      <c r="AM821" s="573" t="s">
        <v>84</v>
      </c>
    </row>
    <row r="822" spans="12:40" x14ac:dyDescent="0.2">
      <c r="P822" s="481" t="s">
        <v>487</v>
      </c>
      <c r="Q822" s="481"/>
      <c r="R822" s="481" t="s">
        <v>487</v>
      </c>
      <c r="S822" s="481"/>
      <c r="T822" s="481" t="s">
        <v>487</v>
      </c>
      <c r="U822" s="481" t="s">
        <v>487</v>
      </c>
      <c r="V822" s="481" t="s">
        <v>487</v>
      </c>
      <c r="W822" s="481" t="s">
        <v>487</v>
      </c>
      <c r="X822" s="481" t="s">
        <v>487</v>
      </c>
      <c r="Y822" s="481" t="s">
        <v>487</v>
      </c>
      <c r="Z822" s="481" t="s">
        <v>487</v>
      </c>
      <c r="AA822" s="481" t="s">
        <v>487</v>
      </c>
      <c r="AB822" s="481" t="s">
        <v>487</v>
      </c>
      <c r="AC822" s="576" t="s">
        <v>487</v>
      </c>
      <c r="AD822" s="576" t="s">
        <v>487</v>
      </c>
      <c r="AE822" s="576" t="s">
        <v>487</v>
      </c>
      <c r="AF822" s="576" t="s">
        <v>487</v>
      </c>
      <c r="AG822" s="576" t="s">
        <v>487</v>
      </c>
      <c r="AH822" s="576" t="s">
        <v>487</v>
      </c>
      <c r="AI822" s="576" t="s">
        <v>487</v>
      </c>
      <c r="AJ822" s="576" t="s">
        <v>487</v>
      </c>
      <c r="AK822" s="576" t="s">
        <v>487</v>
      </c>
      <c r="AL822" s="576" t="s">
        <v>487</v>
      </c>
      <c r="AM822" s="576" t="s">
        <v>487</v>
      </c>
    </row>
    <row r="823" spans="12:40" x14ac:dyDescent="0.2">
      <c r="V823" s="483"/>
      <c r="W823" s="483"/>
      <c r="X823" s="483"/>
      <c r="Z823" s="483"/>
      <c r="AC823" s="575"/>
      <c r="AD823" s="575"/>
      <c r="AE823" s="575"/>
      <c r="AF823" s="575"/>
      <c r="AG823" s="575"/>
      <c r="AH823" s="575"/>
      <c r="AI823" s="575"/>
      <c r="AJ823" s="575"/>
      <c r="AK823" s="575">
        <v>3.0000000000000001E-3</v>
      </c>
      <c r="AL823" s="575"/>
      <c r="AM823" s="575"/>
    </row>
    <row r="824" spans="12:40" x14ac:dyDescent="0.2">
      <c r="L824" s="577">
        <f>W824/U824</f>
        <v>3.8050003024878744E-2</v>
      </c>
      <c r="M824" s="578">
        <f>N824/R824</f>
        <v>10.715002221235007</v>
      </c>
      <c r="N824" s="483">
        <f>V824-AC824</f>
        <v>24119.47</v>
      </c>
      <c r="O824">
        <f>$O$69</f>
        <v>1</v>
      </c>
      <c r="P824" t="s">
        <v>600</v>
      </c>
      <c r="Q824">
        <v>1200</v>
      </c>
      <c r="R824" s="482">
        <v>2251</v>
      </c>
      <c r="S824" s="482">
        <v>2251</v>
      </c>
      <c r="T824" s="482"/>
      <c r="U824" s="482">
        <v>1124012</v>
      </c>
      <c r="V824" s="483">
        <v>24119.47</v>
      </c>
      <c r="W824" s="483">
        <v>42768.66</v>
      </c>
      <c r="X824" s="285">
        <f t="shared" ref="X824:X833" si="210">SUM(R846:X846)</f>
        <v>23271.89</v>
      </c>
      <c r="Y824" s="483"/>
      <c r="Z824" s="483">
        <f t="shared" ref="Z824:Z832" si="211">SUM(V824:Y824)</f>
        <v>90160.02</v>
      </c>
      <c r="AA824" s="483">
        <v>95487.41</v>
      </c>
      <c r="AB824" s="483">
        <f t="shared" ref="AB824:AB835" si="212">AA824-Z824</f>
        <v>5327.3899999999994</v>
      </c>
      <c r="AC824" s="575"/>
      <c r="AD824" s="575"/>
      <c r="AE824" s="575"/>
      <c r="AF824" s="575"/>
      <c r="AG824" s="575"/>
      <c r="AH824" s="580"/>
      <c r="AI824" s="575">
        <v>100</v>
      </c>
      <c r="AJ824">
        <v>1855.36</v>
      </c>
      <c r="AK824" s="575">
        <f>U824*AK823</f>
        <v>3372.0360000000001</v>
      </c>
      <c r="AL824" s="575"/>
      <c r="AM824" s="581">
        <f>SUM(AI824:AL824)</f>
        <v>5327.3959999999997</v>
      </c>
      <c r="AN824" s="285">
        <f>AM824-AB824</f>
        <v>6.0000000003128662E-3</v>
      </c>
    </row>
    <row r="825" spans="12:40" x14ac:dyDescent="0.2">
      <c r="L825" s="577">
        <f t="shared" ref="L825:L835" si="213">W825/U825</f>
        <v>3.8050001771929715E-2</v>
      </c>
      <c r="M825" s="578">
        <f t="shared" ref="M825:M835" si="214">N825/R825</f>
        <v>10.715</v>
      </c>
      <c r="N825" s="483">
        <f t="shared" ref="N825:N835" si="215">V825-AC825</f>
        <v>21965.75</v>
      </c>
      <c r="P825" t="s">
        <v>492</v>
      </c>
      <c r="Q825">
        <v>1200</v>
      </c>
      <c r="R825" s="482">
        <v>2050</v>
      </c>
      <c r="S825" s="482">
        <v>2050</v>
      </c>
      <c r="T825" s="482"/>
      <c r="U825" s="482">
        <v>959406</v>
      </c>
      <c r="V825" s="483">
        <v>21965.75</v>
      </c>
      <c r="W825" s="483">
        <v>36505.4</v>
      </c>
      <c r="X825" s="285">
        <f t="shared" si="210"/>
        <v>16964.640000000003</v>
      </c>
      <c r="Y825" s="483"/>
      <c r="Z825" s="483">
        <f t="shared" si="211"/>
        <v>75435.790000000008</v>
      </c>
      <c r="AA825" s="483">
        <v>80269.37</v>
      </c>
      <c r="AB825" s="483">
        <f t="shared" si="212"/>
        <v>4833.5799999999872</v>
      </c>
      <c r="AC825" s="575"/>
      <c r="AD825" s="575"/>
      <c r="AE825" s="575"/>
      <c r="AF825" s="575"/>
      <c r="AG825" s="575"/>
      <c r="AH825" s="580"/>
      <c r="AI825" s="575">
        <v>100</v>
      </c>
      <c r="AJ825">
        <v>1855.36</v>
      </c>
      <c r="AK825" s="575">
        <f>U825*AK823</f>
        <v>2878.2179999999998</v>
      </c>
      <c r="AL825" s="575"/>
      <c r="AM825" s="581">
        <f t="shared" ref="AM825:AM835" si="216">SUM(AI825:AL825)</f>
        <v>4833.5779999999995</v>
      </c>
      <c r="AN825" s="285">
        <f t="shared" ref="AN825:AN835" si="217">AM825-AB825</f>
        <v>-1.9999999876745278E-3</v>
      </c>
    </row>
    <row r="826" spans="12:40" x14ac:dyDescent="0.2">
      <c r="L826" s="577">
        <f t="shared" si="213"/>
        <v>3.8049999055867124E-2</v>
      </c>
      <c r="M826" s="578">
        <f t="shared" si="214"/>
        <v>10.715</v>
      </c>
      <c r="N826" s="483">
        <f t="shared" si="215"/>
        <v>20915.68</v>
      </c>
      <c r="P826" t="s">
        <v>493</v>
      </c>
      <c r="Q826">
        <v>1200</v>
      </c>
      <c r="R826" s="482">
        <v>1952</v>
      </c>
      <c r="S826" s="482">
        <v>1952</v>
      </c>
      <c r="T826" s="482"/>
      <c r="U826" s="482">
        <v>900297</v>
      </c>
      <c r="V826" s="483">
        <v>20915.68</v>
      </c>
      <c r="W826" s="483">
        <v>34256.300000000003</v>
      </c>
      <c r="X826" s="285">
        <f t="shared" si="210"/>
        <v>17157.03</v>
      </c>
      <c r="Y826" s="483"/>
      <c r="Z826" s="483">
        <f t="shared" si="211"/>
        <v>72329.010000000009</v>
      </c>
      <c r="AA826" s="483">
        <v>76985.259999999995</v>
      </c>
      <c r="AB826" s="483">
        <f t="shared" si="212"/>
        <v>4656.2499999999854</v>
      </c>
      <c r="AC826" s="575"/>
      <c r="AD826" s="575"/>
      <c r="AE826" s="575"/>
      <c r="AF826" s="575"/>
      <c r="AG826" s="575"/>
      <c r="AH826" s="580"/>
      <c r="AI826" s="575">
        <v>100</v>
      </c>
      <c r="AJ826">
        <v>1855.36</v>
      </c>
      <c r="AK826" s="575">
        <f>U826*AK823</f>
        <v>2700.8910000000001</v>
      </c>
      <c r="AL826" s="575"/>
      <c r="AM826" s="581">
        <f t="shared" si="216"/>
        <v>4656.2510000000002</v>
      </c>
      <c r="AN826" s="285">
        <f t="shared" si="217"/>
        <v>1.000000014755642E-3</v>
      </c>
    </row>
    <row r="827" spans="12:40" x14ac:dyDescent="0.2">
      <c r="L827" s="577">
        <f t="shared" si="213"/>
        <v>3.8049997422704811E-2</v>
      </c>
      <c r="M827" s="578">
        <f t="shared" si="214"/>
        <v>10.715</v>
      </c>
      <c r="N827" s="483">
        <f t="shared" si="215"/>
        <v>21494.29</v>
      </c>
      <c r="P827" t="s">
        <v>494</v>
      </c>
      <c r="Q827">
        <v>1200</v>
      </c>
      <c r="R827" s="482">
        <v>2006</v>
      </c>
      <c r="S827" s="482">
        <v>2006</v>
      </c>
      <c r="T827" s="482"/>
      <c r="U827" s="482">
        <v>950609</v>
      </c>
      <c r="V827" s="483">
        <v>21494.29</v>
      </c>
      <c r="W827" s="483">
        <v>36170.67</v>
      </c>
      <c r="X827" s="285">
        <f t="shared" si="210"/>
        <v>7930.0299999999979</v>
      </c>
      <c r="Y827" s="483"/>
      <c r="Z827" s="483">
        <f t="shared" si="211"/>
        <v>65594.989999999991</v>
      </c>
      <c r="AA827" s="483">
        <v>70402.179999999993</v>
      </c>
      <c r="AB827" s="483">
        <f t="shared" si="212"/>
        <v>4807.1900000000023</v>
      </c>
      <c r="AC827" s="575"/>
      <c r="AD827" s="575"/>
      <c r="AE827" s="575"/>
      <c r="AF827" s="575"/>
      <c r="AG827" s="575"/>
      <c r="AH827" s="580"/>
      <c r="AI827" s="575">
        <v>100</v>
      </c>
      <c r="AJ827">
        <v>1855.36</v>
      </c>
      <c r="AK827" s="575">
        <f>U827*AK823</f>
        <v>2851.8270000000002</v>
      </c>
      <c r="AL827" s="575"/>
      <c r="AM827" s="581">
        <f t="shared" si="216"/>
        <v>4807.1869999999999</v>
      </c>
      <c r="AN827" s="285">
        <f t="shared" si="217"/>
        <v>-3.0000000024301698E-3</v>
      </c>
    </row>
    <row r="828" spans="12:40" x14ac:dyDescent="0.2">
      <c r="L828" s="577">
        <f t="shared" si="213"/>
        <v>3.8049996453326303E-2</v>
      </c>
      <c r="M828" s="578">
        <f t="shared" si="214"/>
        <v>10.714997513674788</v>
      </c>
      <c r="N828" s="483">
        <f t="shared" si="215"/>
        <v>21547.86</v>
      </c>
      <c r="P828" t="s">
        <v>495</v>
      </c>
      <c r="Q828">
        <v>1200</v>
      </c>
      <c r="R828" s="482">
        <v>2011</v>
      </c>
      <c r="S828" s="482">
        <v>2011</v>
      </c>
      <c r="T828" s="482"/>
      <c r="U828" s="482">
        <v>944547</v>
      </c>
      <c r="V828" s="483">
        <v>21547.86</v>
      </c>
      <c r="W828" s="483">
        <v>35940.01</v>
      </c>
      <c r="X828" s="285">
        <f t="shared" si="210"/>
        <v>21695.09</v>
      </c>
      <c r="Y828" s="483"/>
      <c r="Z828" s="483">
        <f t="shared" si="211"/>
        <v>79182.960000000006</v>
      </c>
      <c r="AA828" s="483">
        <v>83971.96</v>
      </c>
      <c r="AB828" s="483">
        <f t="shared" si="212"/>
        <v>4789</v>
      </c>
      <c r="AC828" s="575"/>
      <c r="AD828" s="575"/>
      <c r="AE828" s="575"/>
      <c r="AF828" s="575"/>
      <c r="AG828" s="575"/>
      <c r="AH828" s="580"/>
      <c r="AI828" s="575">
        <v>100</v>
      </c>
      <c r="AJ828">
        <v>1855.36</v>
      </c>
      <c r="AK828" s="575">
        <f>U828*AK823</f>
        <v>2833.6410000000001</v>
      </c>
      <c r="AL828" s="575"/>
      <c r="AM828" s="581">
        <f t="shared" si="216"/>
        <v>4789.0010000000002</v>
      </c>
      <c r="AN828" s="285">
        <f t="shared" si="217"/>
        <v>1.0000000002037268E-3</v>
      </c>
    </row>
    <row r="829" spans="12:40" x14ac:dyDescent="0.2">
      <c r="L829" s="577">
        <f t="shared" si="213"/>
        <v>3.8049999271855262E-2</v>
      </c>
      <c r="M829" s="578">
        <f t="shared" si="214"/>
        <v>10.715</v>
      </c>
      <c r="N829" s="483">
        <f t="shared" si="215"/>
        <v>23272.98</v>
      </c>
      <c r="P829" t="s">
        <v>496</v>
      </c>
      <c r="Q829">
        <v>1200</v>
      </c>
      <c r="R829" s="482">
        <v>2172</v>
      </c>
      <c r="S829" s="482">
        <v>2172</v>
      </c>
      <c r="T829" s="482"/>
      <c r="U829" s="482">
        <v>1030015</v>
      </c>
      <c r="V829" s="483">
        <v>23272.98</v>
      </c>
      <c r="W829" s="483">
        <v>39192.07</v>
      </c>
      <c r="X829" s="285">
        <f t="shared" si="210"/>
        <v>25064.15</v>
      </c>
      <c r="Y829" s="483"/>
      <c r="Z829" s="483">
        <f t="shared" si="211"/>
        <v>87529.200000000012</v>
      </c>
      <c r="AA829" s="483">
        <v>92574.61</v>
      </c>
      <c r="AB829" s="483">
        <f t="shared" si="212"/>
        <v>5045.4099999999889</v>
      </c>
      <c r="AC829" s="575"/>
      <c r="AD829" s="575"/>
      <c r="AE829" s="575"/>
      <c r="AF829" s="575"/>
      <c r="AG829" s="575"/>
      <c r="AH829" s="580"/>
      <c r="AI829" s="575">
        <v>100</v>
      </c>
      <c r="AJ829">
        <v>1855.36</v>
      </c>
      <c r="AK829" s="575">
        <f>U829*AK823</f>
        <v>3090.0450000000001</v>
      </c>
      <c r="AL829" s="575"/>
      <c r="AM829" s="581">
        <f t="shared" si="216"/>
        <v>5045.4049999999997</v>
      </c>
      <c r="AN829" s="285">
        <f t="shared" si="217"/>
        <v>-4.9999999891952029E-3</v>
      </c>
    </row>
    <row r="830" spans="12:40" x14ac:dyDescent="0.2">
      <c r="L830" s="577">
        <f t="shared" si="213"/>
        <v>3.8049996468163823E-2</v>
      </c>
      <c r="M830" s="578">
        <f t="shared" si="214"/>
        <v>10.715</v>
      </c>
      <c r="N830" s="483">
        <f t="shared" si="215"/>
        <v>23744.44</v>
      </c>
      <c r="P830" t="s">
        <v>497</v>
      </c>
      <c r="Q830">
        <v>1200</v>
      </c>
      <c r="R830" s="482">
        <v>2216</v>
      </c>
      <c r="S830" s="482">
        <v>2216</v>
      </c>
      <c r="T830" s="482"/>
      <c r="U830" s="482">
        <v>976829</v>
      </c>
      <c r="V830" s="483">
        <v>23744.44</v>
      </c>
      <c r="W830" s="483">
        <v>37168.339999999997</v>
      </c>
      <c r="X830" s="285">
        <f t="shared" si="210"/>
        <v>38373.449999999997</v>
      </c>
      <c r="Y830" s="483"/>
      <c r="Z830" s="483">
        <f t="shared" si="211"/>
        <v>99286.23</v>
      </c>
      <c r="AA830" s="483">
        <v>104172.08</v>
      </c>
      <c r="AB830" s="483">
        <f t="shared" si="212"/>
        <v>4885.8500000000058</v>
      </c>
      <c r="AC830" s="575"/>
      <c r="AD830" s="575"/>
      <c r="AE830" s="575"/>
      <c r="AF830" s="575"/>
      <c r="AG830" s="575"/>
      <c r="AH830" s="580"/>
      <c r="AI830" s="575">
        <v>100</v>
      </c>
      <c r="AJ830">
        <v>1855.36</v>
      </c>
      <c r="AK830" s="575">
        <f>U830*AK823</f>
        <v>2930.4870000000001</v>
      </c>
      <c r="AL830" s="575"/>
      <c r="AM830" s="581">
        <f t="shared" si="216"/>
        <v>4885.8469999999998</v>
      </c>
      <c r="AN830" s="285">
        <f t="shared" si="217"/>
        <v>-3.0000000060681487E-3</v>
      </c>
    </row>
    <row r="831" spans="12:40" x14ac:dyDescent="0.2">
      <c r="L831" s="577">
        <f t="shared" si="213"/>
        <v>3.8049997753548705E-2</v>
      </c>
      <c r="M831" s="578">
        <f t="shared" si="214"/>
        <v>10.714997973246859</v>
      </c>
      <c r="N831" s="483">
        <f t="shared" si="215"/>
        <v>26433.9</v>
      </c>
      <c r="P831" t="s">
        <v>498</v>
      </c>
      <c r="Q831">
        <v>1200</v>
      </c>
      <c r="R831" s="482">
        <v>2467</v>
      </c>
      <c r="S831" s="482">
        <v>2467</v>
      </c>
      <c r="T831" s="482"/>
      <c r="U831" s="482">
        <v>1090609</v>
      </c>
      <c r="V831" s="483">
        <v>26433.9</v>
      </c>
      <c r="W831" s="483">
        <v>41497.67</v>
      </c>
      <c r="X831" s="285">
        <f t="shared" si="210"/>
        <v>37818.94</v>
      </c>
      <c r="Y831" s="483"/>
      <c r="Z831" s="483">
        <f>SUM(V831:Y831)</f>
        <v>105750.51000000001</v>
      </c>
      <c r="AA831" s="483">
        <v>110977.7</v>
      </c>
      <c r="AB831" s="483">
        <f t="shared" si="212"/>
        <v>5227.1899999999878</v>
      </c>
      <c r="AC831" s="575"/>
      <c r="AD831" s="575"/>
      <c r="AE831" s="575"/>
      <c r="AF831" s="575"/>
      <c r="AG831" s="575"/>
      <c r="AH831" s="580"/>
      <c r="AI831" s="575">
        <v>100</v>
      </c>
      <c r="AJ831">
        <v>1855.36</v>
      </c>
      <c r="AK831" s="575">
        <f>U831*AK823</f>
        <v>3271.8270000000002</v>
      </c>
      <c r="AL831" s="575"/>
      <c r="AM831" s="581">
        <f t="shared" si="216"/>
        <v>5227.1869999999999</v>
      </c>
      <c r="AN831" s="285">
        <f t="shared" si="217"/>
        <v>-2.9999999878782546E-3</v>
      </c>
    </row>
    <row r="832" spans="12:40" x14ac:dyDescent="0.2">
      <c r="L832" s="577">
        <f t="shared" si="213"/>
        <v>3.8050005426792571E-2</v>
      </c>
      <c r="M832" s="578">
        <f t="shared" si="214"/>
        <v>10.715</v>
      </c>
      <c r="N832" s="483">
        <f t="shared" si="215"/>
        <v>24451.63</v>
      </c>
      <c r="P832" t="s">
        <v>499</v>
      </c>
      <c r="Q832">
        <v>1200</v>
      </c>
      <c r="R832" s="482">
        <v>2282</v>
      </c>
      <c r="S832" s="482">
        <v>2282</v>
      </c>
      <c r="T832" s="482"/>
      <c r="U832" s="482">
        <v>912141</v>
      </c>
      <c r="V832" s="483">
        <v>24451.63</v>
      </c>
      <c r="W832" s="483">
        <v>34706.97</v>
      </c>
      <c r="X832" s="285">
        <f t="shared" si="210"/>
        <v>25346.85</v>
      </c>
      <c r="Y832" s="483"/>
      <c r="Z832" s="483">
        <f t="shared" si="211"/>
        <v>84505.450000000012</v>
      </c>
      <c r="AA832" s="483">
        <v>89197.23</v>
      </c>
      <c r="AB832" s="483">
        <f t="shared" si="212"/>
        <v>4691.7799999999843</v>
      </c>
      <c r="AC832" s="575"/>
      <c r="AD832" s="575"/>
      <c r="AE832" s="575"/>
      <c r="AF832" s="575"/>
      <c r="AG832" s="575"/>
      <c r="AH832" s="580"/>
      <c r="AI832" s="575">
        <v>100</v>
      </c>
      <c r="AJ832">
        <v>1855.36</v>
      </c>
      <c r="AK832" s="575">
        <f>U832*AK823</f>
        <v>2736.4230000000002</v>
      </c>
      <c r="AL832" s="575"/>
      <c r="AM832" s="581">
        <f t="shared" si="216"/>
        <v>4691.7830000000004</v>
      </c>
      <c r="AN832" s="285">
        <f t="shared" si="217"/>
        <v>3.0000000160725904E-3</v>
      </c>
    </row>
    <row r="833" spans="12:40" x14ac:dyDescent="0.2">
      <c r="L833" s="577">
        <f t="shared" si="213"/>
        <v>3.8050004180951585E-2</v>
      </c>
      <c r="M833" s="578">
        <f t="shared" si="214"/>
        <v>10.714997776789684</v>
      </c>
      <c r="N833" s="483">
        <f t="shared" si="215"/>
        <v>24098.03</v>
      </c>
      <c r="P833" t="s">
        <v>500</v>
      </c>
      <c r="Q833">
        <v>1200</v>
      </c>
      <c r="R833" s="482">
        <v>2249</v>
      </c>
      <c r="S833" s="482">
        <v>2249</v>
      </c>
      <c r="T833" s="482"/>
      <c r="U833" s="482">
        <v>920843</v>
      </c>
      <c r="V833" s="483">
        <v>24098.03</v>
      </c>
      <c r="W833" s="483">
        <v>35038.080000000002</v>
      </c>
      <c r="X833" s="285">
        <f t="shared" si="210"/>
        <v>23290.469999999998</v>
      </c>
      <c r="Y833" s="483"/>
      <c r="Z833" s="483">
        <f>SUM(V833:Y833)</f>
        <v>82426.58</v>
      </c>
      <c r="AA833" s="483">
        <v>87144.47</v>
      </c>
      <c r="AB833" s="483">
        <f t="shared" si="212"/>
        <v>4717.8899999999994</v>
      </c>
      <c r="AC833" s="575"/>
      <c r="AD833" s="575"/>
      <c r="AE833" s="575"/>
      <c r="AF833" s="580"/>
      <c r="AG833" s="580"/>
      <c r="AH833" s="580"/>
      <c r="AI833" s="575">
        <v>100</v>
      </c>
      <c r="AJ833">
        <v>1855.36</v>
      </c>
      <c r="AK833" s="575">
        <f>U833*AK823</f>
        <v>2762.529</v>
      </c>
      <c r="AL833" s="575"/>
      <c r="AM833" s="581">
        <f t="shared" si="216"/>
        <v>4717.8890000000001</v>
      </c>
      <c r="AN833" s="285">
        <f t="shared" si="217"/>
        <v>-9.9999999929423211E-4</v>
      </c>
    </row>
    <row r="834" spans="12:40" x14ac:dyDescent="0.2">
      <c r="L834" s="577">
        <f t="shared" si="213"/>
        <v>3.8049997053591668E-2</v>
      </c>
      <c r="M834" s="578">
        <f t="shared" si="214"/>
        <v>10.714997740623588</v>
      </c>
      <c r="N834" s="483">
        <f t="shared" si="215"/>
        <v>23712.29</v>
      </c>
      <c r="P834" s="327" t="s">
        <v>545</v>
      </c>
      <c r="Q834">
        <v>1200</v>
      </c>
      <c r="R834" s="482">
        <v>2213</v>
      </c>
      <c r="S834" s="482">
        <v>2213</v>
      </c>
      <c r="T834" s="527"/>
      <c r="U834" s="482">
        <v>1001219</v>
      </c>
      <c r="V834" s="483">
        <v>23712.29</v>
      </c>
      <c r="W834" s="483">
        <v>38096.379999999997</v>
      </c>
      <c r="X834" s="285">
        <f t="shared" ref="X834:X835" si="218">SUM(R856:Y856)</f>
        <v>26251.47</v>
      </c>
      <c r="Y834" s="483"/>
      <c r="Z834" s="483">
        <f t="shared" ref="Z834:Z835" si="219">SUM(V834:Y834)</f>
        <v>88060.14</v>
      </c>
      <c r="AA834" s="483">
        <v>93019.16</v>
      </c>
      <c r="AB834" s="483">
        <f t="shared" si="212"/>
        <v>4959.0200000000041</v>
      </c>
      <c r="AC834" s="575"/>
      <c r="AD834" s="575"/>
      <c r="AE834" s="575"/>
      <c r="AF834" s="580"/>
      <c r="AG834" s="580"/>
      <c r="AH834" s="580"/>
      <c r="AI834" s="575">
        <v>100</v>
      </c>
      <c r="AJ834">
        <v>1855.36</v>
      </c>
      <c r="AK834" s="575">
        <f>U834*AK823</f>
        <v>3003.6570000000002</v>
      </c>
      <c r="AL834" s="575"/>
      <c r="AM834" s="581">
        <f t="shared" si="216"/>
        <v>4959.0169999999998</v>
      </c>
      <c r="AN834" s="285">
        <f t="shared" si="217"/>
        <v>-3.0000000042491592E-3</v>
      </c>
    </row>
    <row r="835" spans="12:40" x14ac:dyDescent="0.2">
      <c r="L835" s="577">
        <f t="shared" si="213"/>
        <v>3.8050000399332318E-2</v>
      </c>
      <c r="M835" s="578">
        <f t="shared" si="214"/>
        <v>10.715</v>
      </c>
      <c r="N835" s="483">
        <f t="shared" si="215"/>
        <v>24537.35</v>
      </c>
      <c r="O835">
        <f>$O$80</f>
        <v>12</v>
      </c>
      <c r="P835" t="s">
        <v>688</v>
      </c>
      <c r="Q835">
        <v>1200</v>
      </c>
      <c r="R835" s="482">
        <v>2290</v>
      </c>
      <c r="S835" s="482">
        <v>2290</v>
      </c>
      <c r="T835" s="527"/>
      <c r="U835" s="482">
        <v>1001672</v>
      </c>
      <c r="V835" s="483">
        <v>24537.35</v>
      </c>
      <c r="W835" s="483">
        <v>38113.620000000003</v>
      </c>
      <c r="X835" s="285">
        <f t="shared" si="218"/>
        <v>14127.050000000001</v>
      </c>
      <c r="Y835" s="483"/>
      <c r="Z835" s="483">
        <f t="shared" si="219"/>
        <v>76778.02</v>
      </c>
      <c r="AA835" s="483">
        <v>81738.399999999994</v>
      </c>
      <c r="AB835" s="483">
        <f t="shared" si="212"/>
        <v>4960.3799999999901</v>
      </c>
      <c r="AC835" s="575"/>
      <c r="AD835" s="575"/>
      <c r="AE835" s="575"/>
      <c r="AF835" s="580"/>
      <c r="AG835" s="580"/>
      <c r="AH835" s="580"/>
      <c r="AI835" s="575">
        <v>100</v>
      </c>
      <c r="AJ835">
        <v>1855.36</v>
      </c>
      <c r="AK835" s="575">
        <f>U835*AK823</f>
        <v>3005.0160000000001</v>
      </c>
      <c r="AL835" s="575"/>
      <c r="AM835" s="581">
        <f t="shared" si="216"/>
        <v>4960.3760000000002</v>
      </c>
      <c r="AN835" s="285">
        <f t="shared" si="217"/>
        <v>-3.9999999899009708E-3</v>
      </c>
    </row>
    <row r="836" spans="12:40" x14ac:dyDescent="0.2">
      <c r="R836" s="488" t="s">
        <v>487</v>
      </c>
      <c r="S836" s="488"/>
      <c r="T836" s="488" t="s">
        <v>487</v>
      </c>
      <c r="U836" s="488" t="s">
        <v>487</v>
      </c>
      <c r="V836" s="489" t="s">
        <v>487</v>
      </c>
      <c r="W836" s="489" t="s">
        <v>487</v>
      </c>
      <c r="X836" s="489" t="s">
        <v>487</v>
      </c>
      <c r="Y836" s="481" t="s">
        <v>487</v>
      </c>
      <c r="Z836" s="489" t="s">
        <v>487</v>
      </c>
      <c r="AA836" s="489" t="s">
        <v>487</v>
      </c>
      <c r="AB836" s="489" t="s">
        <v>487</v>
      </c>
      <c r="AC836" s="575"/>
      <c r="AD836" s="575"/>
      <c r="AE836" s="575"/>
      <c r="AF836" s="575"/>
      <c r="AG836" s="575"/>
      <c r="AH836" s="575"/>
      <c r="AI836" s="575"/>
      <c r="AJ836" s="575"/>
      <c r="AK836" s="575"/>
      <c r="AL836" s="575"/>
      <c r="AM836" s="575"/>
    </row>
    <row r="837" spans="12:40" x14ac:dyDescent="0.2">
      <c r="R837" s="482"/>
      <c r="S837" s="482"/>
      <c r="T837" s="482"/>
      <c r="U837" s="482"/>
      <c r="V837" s="483"/>
      <c r="W837" s="483"/>
      <c r="X837" s="483"/>
      <c r="Z837" s="483"/>
      <c r="AA837" s="483"/>
      <c r="AB837" s="483"/>
      <c r="AC837" s="575"/>
      <c r="AD837" s="575"/>
      <c r="AE837" s="575"/>
      <c r="AF837" s="575"/>
      <c r="AG837" s="575"/>
      <c r="AH837" s="575"/>
      <c r="AI837" s="575"/>
      <c r="AJ837" s="575"/>
      <c r="AK837" s="575"/>
      <c r="AL837" s="575"/>
      <c r="AM837" s="575"/>
    </row>
    <row r="838" spans="12:40" x14ac:dyDescent="0.2">
      <c r="R838" s="482">
        <f t="shared" ref="R838:AM838" si="220">SUM(R824:R835)</f>
        <v>26159</v>
      </c>
      <c r="S838" s="482"/>
      <c r="T838" s="482">
        <f t="shared" si="220"/>
        <v>0</v>
      </c>
      <c r="U838" s="482">
        <f t="shared" si="220"/>
        <v>11812199</v>
      </c>
      <c r="V838" s="483">
        <f t="shared" si="220"/>
        <v>280293.67</v>
      </c>
      <c r="W838" s="483">
        <f t="shared" si="220"/>
        <v>449454.17</v>
      </c>
      <c r="X838" s="483">
        <f t="shared" si="220"/>
        <v>277291.06</v>
      </c>
      <c r="Y838" s="483">
        <f t="shared" si="220"/>
        <v>0</v>
      </c>
      <c r="Z838" s="483">
        <f t="shared" si="220"/>
        <v>1007038.9000000001</v>
      </c>
      <c r="AA838" s="483">
        <f t="shared" si="220"/>
        <v>1065939.8299999998</v>
      </c>
      <c r="AB838" s="483">
        <f t="shared" si="220"/>
        <v>58900.929999999935</v>
      </c>
      <c r="AC838" s="584">
        <f t="shared" si="220"/>
        <v>0</v>
      </c>
      <c r="AD838" s="584">
        <f t="shared" si="220"/>
        <v>0</v>
      </c>
      <c r="AE838" s="584">
        <f t="shared" si="220"/>
        <v>0</v>
      </c>
      <c r="AF838" s="584">
        <f t="shared" si="220"/>
        <v>0</v>
      </c>
      <c r="AG838" s="584">
        <f t="shared" si="220"/>
        <v>0</v>
      </c>
      <c r="AH838" s="584">
        <f t="shared" si="220"/>
        <v>0</v>
      </c>
      <c r="AI838" s="584">
        <f t="shared" si="220"/>
        <v>1200</v>
      </c>
      <c r="AJ838" s="584">
        <f t="shared" si="220"/>
        <v>22264.320000000003</v>
      </c>
      <c r="AK838" s="584">
        <f t="shared" si="220"/>
        <v>35436.597000000002</v>
      </c>
      <c r="AL838" s="584">
        <f t="shared" si="220"/>
        <v>0</v>
      </c>
      <c r="AM838" s="584">
        <f t="shared" si="220"/>
        <v>58900.917000000001</v>
      </c>
    </row>
    <row r="839" spans="12:40" x14ac:dyDescent="0.2">
      <c r="R839" s="488" t="s">
        <v>501</v>
      </c>
      <c r="S839" s="488"/>
      <c r="T839" s="488" t="s">
        <v>501</v>
      </c>
      <c r="U839" s="488" t="s">
        <v>501</v>
      </c>
      <c r="V839" s="489" t="s">
        <v>501</v>
      </c>
      <c r="W839" s="489" t="s">
        <v>501</v>
      </c>
      <c r="X839" s="489" t="s">
        <v>501</v>
      </c>
      <c r="Y839" s="489" t="s">
        <v>501</v>
      </c>
      <c r="Z839" s="489" t="s">
        <v>501</v>
      </c>
      <c r="AA839" s="489" t="s">
        <v>501</v>
      </c>
      <c r="AB839" s="489" t="s">
        <v>501</v>
      </c>
      <c r="AC839" s="585" t="s">
        <v>501</v>
      </c>
      <c r="AD839" s="585" t="s">
        <v>501</v>
      </c>
      <c r="AE839" s="585" t="s">
        <v>501</v>
      </c>
      <c r="AF839" s="585" t="s">
        <v>501</v>
      </c>
      <c r="AG839" s="585" t="s">
        <v>501</v>
      </c>
      <c r="AH839" s="585" t="s">
        <v>501</v>
      </c>
      <c r="AI839" s="585" t="s">
        <v>501</v>
      </c>
      <c r="AJ839" s="585" t="s">
        <v>501</v>
      </c>
      <c r="AK839" s="585" t="s">
        <v>501</v>
      </c>
      <c r="AL839" s="585" t="s">
        <v>501</v>
      </c>
      <c r="AM839" s="585" t="s">
        <v>501</v>
      </c>
    </row>
    <row r="842" spans="12:40" x14ac:dyDescent="0.2">
      <c r="S842" s="183" t="s">
        <v>549</v>
      </c>
    </row>
    <row r="843" spans="12:40" x14ac:dyDescent="0.2">
      <c r="P843" s="183"/>
      <c r="Q843" s="183"/>
      <c r="R843" s="183" t="s">
        <v>550</v>
      </c>
      <c r="S843" s="183" t="s">
        <v>551</v>
      </c>
      <c r="T843" s="183" t="s">
        <v>552</v>
      </c>
      <c r="U843" s="183" t="s">
        <v>555</v>
      </c>
      <c r="V843" s="183" t="s">
        <v>596</v>
      </c>
      <c r="W843" s="183" t="s">
        <v>553</v>
      </c>
      <c r="X843" s="183" t="s">
        <v>554</v>
      </c>
      <c r="Y843" s="183" t="s">
        <v>556</v>
      </c>
      <c r="Z843" s="183"/>
      <c r="AA843" s="183"/>
      <c r="AB843" s="183"/>
    </row>
    <row r="844" spans="12:40" x14ac:dyDescent="0.2">
      <c r="P844" s="183"/>
      <c r="Q844" s="183"/>
      <c r="R844" s="521" t="s">
        <v>471</v>
      </c>
      <c r="S844" s="521" t="s">
        <v>558</v>
      </c>
      <c r="T844" s="521" t="s">
        <v>559</v>
      </c>
      <c r="U844" s="521" t="s">
        <v>562</v>
      </c>
      <c r="V844" s="521" t="s">
        <v>597</v>
      </c>
      <c r="W844" s="521" t="s">
        <v>560</v>
      </c>
      <c r="X844" s="521" t="s">
        <v>561</v>
      </c>
      <c r="Y844" s="521" t="s">
        <v>563</v>
      </c>
      <c r="Z844" s="183"/>
      <c r="AA844" s="183"/>
      <c r="AB844" s="183"/>
    </row>
    <row r="845" spans="12:40" x14ac:dyDescent="0.2">
      <c r="P845" s="183"/>
      <c r="Q845" s="183"/>
      <c r="R845" s="183"/>
      <c r="S845" s="183"/>
      <c r="T845" s="183"/>
      <c r="U845" s="183"/>
      <c r="V845" s="183"/>
      <c r="W845" s="183"/>
      <c r="X845" s="183"/>
      <c r="Y845" s="183"/>
      <c r="Z845" s="183"/>
      <c r="AA845" s="183"/>
      <c r="AB845" s="523" t="s">
        <v>84</v>
      </c>
    </row>
    <row r="846" spans="12:40" x14ac:dyDescent="0.2">
      <c r="O846">
        <f>$O$69</f>
        <v>1</v>
      </c>
      <c r="P846" t="str">
        <f t="shared" ref="P846:P857" si="221">P824</f>
        <v>MAR</v>
      </c>
      <c r="R846" s="294">
        <v>21551.81</v>
      </c>
      <c r="S846" s="294">
        <v>2802.16</v>
      </c>
      <c r="T846" s="294">
        <v>4890.3900000000003</v>
      </c>
      <c r="U846" s="294">
        <v>-5972.47</v>
      </c>
      <c r="V846" s="294"/>
      <c r="W846" s="294"/>
      <c r="X846" s="294"/>
      <c r="Z846" s="294"/>
      <c r="AA846" s="294"/>
      <c r="AB846" s="285">
        <f t="shared" ref="AB846:AB857" si="222">SUM(R846:AA846)</f>
        <v>23271.89</v>
      </c>
    </row>
    <row r="847" spans="12:40" x14ac:dyDescent="0.2">
      <c r="P847" t="str">
        <f t="shared" si="221"/>
        <v>APR</v>
      </c>
      <c r="R847" s="294">
        <v>14608.88</v>
      </c>
      <c r="S847" s="294">
        <v>2391.8000000000002</v>
      </c>
      <c r="T847" s="294">
        <v>4915.76</v>
      </c>
      <c r="U847" s="294">
        <v>-4951.8</v>
      </c>
      <c r="V847" s="294"/>
      <c r="W847" s="294"/>
      <c r="X847" s="294"/>
      <c r="Z847" s="294"/>
      <c r="AA847" s="294"/>
      <c r="AB847" s="285">
        <f t="shared" si="222"/>
        <v>16964.640000000003</v>
      </c>
    </row>
    <row r="848" spans="12:40" x14ac:dyDescent="0.2">
      <c r="P848" t="str">
        <f t="shared" si="221"/>
        <v>MAY</v>
      </c>
      <c r="R848" s="294">
        <v>16271.07</v>
      </c>
      <c r="S848" s="294">
        <v>2244.44</v>
      </c>
      <c r="T848" s="294">
        <v>3181.13</v>
      </c>
      <c r="U848" s="294">
        <v>-4539.6099999999997</v>
      </c>
      <c r="V848" s="294"/>
      <c r="W848" s="294"/>
      <c r="X848" s="294"/>
      <c r="Z848" s="294"/>
      <c r="AA848" s="294"/>
      <c r="AB848" s="285">
        <f t="shared" si="222"/>
        <v>17157.03</v>
      </c>
    </row>
    <row r="849" spans="15:28" x14ac:dyDescent="0.2">
      <c r="P849" t="str">
        <f t="shared" si="221"/>
        <v>JUN</v>
      </c>
      <c r="R849" s="486">
        <v>5888.07</v>
      </c>
      <c r="S849" s="486">
        <v>2369.87</v>
      </c>
      <c r="T849" s="486">
        <v>4209.71</v>
      </c>
      <c r="U849" s="486">
        <v>-4537.62</v>
      </c>
      <c r="V849" s="294"/>
      <c r="W849" s="294"/>
      <c r="X849" s="294"/>
      <c r="Z849" s="294"/>
      <c r="AA849" s="294"/>
      <c r="AB849" s="285">
        <f t="shared" si="222"/>
        <v>7930.0299999999979</v>
      </c>
    </row>
    <row r="850" spans="15:28" x14ac:dyDescent="0.2">
      <c r="P850" t="str">
        <f t="shared" si="221"/>
        <v>JUL</v>
      </c>
      <c r="R850" s="486">
        <v>19331.099999999999</v>
      </c>
      <c r="S850" s="486">
        <v>2354.7600000000002</v>
      </c>
      <c r="T850" s="486">
        <v>3618.67</v>
      </c>
      <c r="U850" s="486">
        <v>-3609.44</v>
      </c>
      <c r="V850" s="294"/>
      <c r="W850" s="294"/>
      <c r="X850" s="294"/>
      <c r="Y850" s="294"/>
      <c r="Z850" s="294"/>
      <c r="AA850" s="294"/>
      <c r="AB850" s="285">
        <f t="shared" si="222"/>
        <v>21695.09</v>
      </c>
    </row>
    <row r="851" spans="15:28" x14ac:dyDescent="0.2">
      <c r="P851" t="str">
        <f t="shared" si="221"/>
        <v>AUG</v>
      </c>
      <c r="R851" s="486">
        <v>22883.84</v>
      </c>
      <c r="S851" s="486">
        <v>2567.83</v>
      </c>
      <c r="T851" s="486">
        <v>4175.51</v>
      </c>
      <c r="U851" s="486">
        <v>-4563.03</v>
      </c>
      <c r="V851" s="294"/>
      <c r="W851" s="294"/>
      <c r="X851" s="486"/>
      <c r="Y851" s="486"/>
      <c r="Z851" s="294"/>
      <c r="AA851" s="294"/>
      <c r="AB851" s="285">
        <f t="shared" si="222"/>
        <v>25064.15</v>
      </c>
    </row>
    <row r="852" spans="15:28" x14ac:dyDescent="0.2">
      <c r="P852" t="str">
        <f t="shared" si="221"/>
        <v>SEP</v>
      </c>
      <c r="R852" s="486">
        <v>33856.89</v>
      </c>
      <c r="S852" s="486">
        <v>5879.53</v>
      </c>
      <c r="T852" s="486">
        <v>3083.71</v>
      </c>
      <c r="U852" s="486">
        <v>-4446.68</v>
      </c>
      <c r="V852" s="486"/>
      <c r="W852" s="486"/>
      <c r="X852" s="486"/>
      <c r="Y852" s="486"/>
      <c r="Z852" s="294"/>
      <c r="AA852" s="294"/>
      <c r="AB852" s="285">
        <f t="shared" si="222"/>
        <v>38373.449999999997</v>
      </c>
    </row>
    <row r="853" spans="15:28" x14ac:dyDescent="0.2">
      <c r="P853" t="str">
        <f t="shared" si="221"/>
        <v>OCT</v>
      </c>
      <c r="R853" s="486">
        <v>31490.240000000002</v>
      </c>
      <c r="S853" s="486">
        <v>6564.38</v>
      </c>
      <c r="T853" s="486">
        <v>4408.9399999999996</v>
      </c>
      <c r="U853" s="486">
        <v>-4644.62</v>
      </c>
      <c r="V853" s="486"/>
      <c r="W853" s="486"/>
      <c r="X853" s="486"/>
      <c r="Y853" s="486"/>
      <c r="Z853" s="294"/>
      <c r="AA853" s="294"/>
      <c r="AB853" s="285">
        <f t="shared" si="222"/>
        <v>37818.94</v>
      </c>
    </row>
    <row r="854" spans="15:28" x14ac:dyDescent="0.2">
      <c r="P854" t="str">
        <f t="shared" si="221"/>
        <v>NOV</v>
      </c>
      <c r="R854" s="294">
        <v>21435.31</v>
      </c>
      <c r="S854" s="294">
        <v>5490.18</v>
      </c>
      <c r="T854" s="294">
        <v>2839.28</v>
      </c>
      <c r="U854" s="294">
        <v>-4417.92</v>
      </c>
      <c r="V854" s="486"/>
      <c r="W854" s="486"/>
      <c r="X854" s="486"/>
      <c r="Y854" s="486"/>
      <c r="Z854" s="294"/>
      <c r="AA854" s="294"/>
      <c r="AB854" s="285">
        <f t="shared" si="222"/>
        <v>25346.85</v>
      </c>
    </row>
    <row r="855" spans="15:28" x14ac:dyDescent="0.2">
      <c r="P855" t="str">
        <f t="shared" si="221"/>
        <v>DEC</v>
      </c>
      <c r="R855" s="294">
        <v>18445.41</v>
      </c>
      <c r="S855" s="294">
        <v>5542.55</v>
      </c>
      <c r="T855" s="294">
        <v>3383.05</v>
      </c>
      <c r="U855" s="294">
        <v>-4080.54</v>
      </c>
      <c r="V855" s="486"/>
      <c r="W855" s="486"/>
      <c r="X855" s="486"/>
      <c r="Y855" s="486"/>
      <c r="Z855" s="294"/>
      <c r="AA855" s="294"/>
      <c r="AB855" s="285">
        <f t="shared" si="222"/>
        <v>23290.469999999998</v>
      </c>
    </row>
    <row r="856" spans="15:28" x14ac:dyDescent="0.2">
      <c r="P856" t="str">
        <f t="shared" si="221"/>
        <v>Jan 2023</v>
      </c>
      <c r="R856" s="294">
        <v>14503.66</v>
      </c>
      <c r="S856" s="294">
        <v>6026.34</v>
      </c>
      <c r="T856" s="294">
        <v>8753.7999999999993</v>
      </c>
      <c r="U856" s="294">
        <v>-3032.33</v>
      </c>
      <c r="V856" s="294"/>
      <c r="W856" s="294"/>
      <c r="X856" s="294"/>
      <c r="Y856" s="294"/>
      <c r="Z856" s="294"/>
      <c r="AA856" s="294"/>
      <c r="AB856" s="285">
        <f t="shared" si="222"/>
        <v>26251.47</v>
      </c>
    </row>
    <row r="857" spans="15:28" x14ac:dyDescent="0.2">
      <c r="O857">
        <f>$O$80</f>
        <v>12</v>
      </c>
      <c r="P857" t="str">
        <f t="shared" si="221"/>
        <v>FEB</v>
      </c>
      <c r="R857" s="294">
        <v>7845.1</v>
      </c>
      <c r="S857" s="294">
        <v>6029.06</v>
      </c>
      <c r="T857" s="294">
        <v>3845.74</v>
      </c>
      <c r="U857" s="294">
        <v>-3592.85</v>
      </c>
      <c r="V857" s="294"/>
      <c r="W857" s="294"/>
      <c r="X857" s="294"/>
      <c r="Y857" s="294"/>
      <c r="Z857" s="294"/>
      <c r="AA857" s="294"/>
      <c r="AB857" s="285">
        <f t="shared" si="222"/>
        <v>14127.050000000001</v>
      </c>
    </row>
    <row r="858" spans="15:28" x14ac:dyDescent="0.2">
      <c r="R858" s="294"/>
      <c r="S858" s="294"/>
      <c r="T858" s="294"/>
      <c r="U858" s="294"/>
      <c r="V858" s="294"/>
      <c r="W858" s="294"/>
      <c r="X858" s="294"/>
      <c r="Y858" s="294"/>
      <c r="Z858" s="294"/>
      <c r="AA858" s="294"/>
      <c r="AB858" s="285"/>
    </row>
    <row r="859" spans="15:28" ht="13.5" thickBot="1" x14ac:dyDescent="0.25">
      <c r="P859" t="s">
        <v>65</v>
      </c>
      <c r="R859" s="542">
        <f t="shared" ref="R859:Y859" si="223">SUM(R846:R857)</f>
        <v>228111.37999999998</v>
      </c>
      <c r="S859" s="542">
        <f t="shared" si="223"/>
        <v>50262.899999999994</v>
      </c>
      <c r="T859" s="542">
        <f t="shared" si="223"/>
        <v>51305.69000000001</v>
      </c>
      <c r="U859" s="542">
        <f t="shared" si="223"/>
        <v>-52388.909999999996</v>
      </c>
      <c r="V859" s="542">
        <f t="shared" si="223"/>
        <v>0</v>
      </c>
      <c r="W859" s="542">
        <f t="shared" si="223"/>
        <v>0</v>
      </c>
      <c r="X859" s="542">
        <f t="shared" si="223"/>
        <v>0</v>
      </c>
      <c r="Y859" s="542">
        <f t="shared" si="223"/>
        <v>0</v>
      </c>
      <c r="Z859" s="294"/>
      <c r="AA859" s="294"/>
      <c r="AB859" s="542">
        <f>SUM(AB846:AB857)</f>
        <v>277291.06</v>
      </c>
    </row>
    <row r="860" spans="15:28" ht="13.5" thickTop="1" x14ac:dyDescent="0.2"/>
  </sheetData>
  <mergeCells count="6">
    <mergeCell ref="A1:M1"/>
    <mergeCell ref="A2:M2"/>
    <mergeCell ref="A3:M3"/>
    <mergeCell ref="C8:E8"/>
    <mergeCell ref="G8:J8"/>
    <mergeCell ref="K8:M8"/>
  </mergeCells>
  <pageMargins left="0.7" right="0.7" top="0.75" bottom="0.75" header="0.3" footer="0.3"/>
  <pageSetup scale="74" orientation="landscape" r:id="rId1"/>
  <headerFooter>
    <oddFooter>&amp;RExhibit JW-9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37"/>
  <sheetViews>
    <sheetView view="pageBreakPreview" zoomScale="85" zoomScaleNormal="75" zoomScaleSheetLayoutView="85" workbookViewId="0">
      <selection activeCell="N24" sqref="N24"/>
    </sheetView>
  </sheetViews>
  <sheetFormatPr defaultColWidth="9.140625" defaultRowHeight="15.75" x14ac:dyDescent="0.25"/>
  <cols>
    <col min="1" max="1" width="34.7109375" style="2" bestFit="1" customWidth="1"/>
    <col min="2" max="2" width="11.85546875" style="54" bestFit="1" customWidth="1"/>
    <col min="3" max="3" width="17" style="2" customWidth="1"/>
    <col min="4" max="4" width="17.140625" style="2" customWidth="1"/>
    <col min="5" max="5" width="19.140625" style="2" customWidth="1"/>
    <col min="6" max="6" width="14.7109375" style="2" customWidth="1"/>
    <col min="7" max="7" width="12.5703125" style="2" bestFit="1" customWidth="1"/>
    <col min="8" max="8" width="19.140625" style="2" hidden="1" customWidth="1"/>
    <col min="9" max="9" width="15.85546875" style="2" hidden="1" customWidth="1"/>
    <col min="10" max="10" width="15.7109375" style="2" hidden="1" customWidth="1"/>
    <col min="11" max="11" width="4.5703125" style="2" customWidth="1"/>
    <col min="12" max="12" width="20" style="2" customWidth="1"/>
    <col min="13" max="13" width="13.7109375" style="2" bestFit="1" customWidth="1"/>
    <col min="14" max="16384" width="9.140625" style="2"/>
  </cols>
  <sheetData>
    <row r="1" spans="1:12" ht="18.75" x14ac:dyDescent="0.3">
      <c r="A1" s="1" t="str">
        <f>'Present and Proposed Rates'!A1</f>
        <v>KENERGY CORP.</v>
      </c>
      <c r="B1" s="92"/>
    </row>
    <row r="2" spans="1:12" x14ac:dyDescent="0.25">
      <c r="A2" s="2" t="s">
        <v>110</v>
      </c>
    </row>
    <row r="5" spans="1:12" ht="57" customHeight="1" x14ac:dyDescent="0.25">
      <c r="A5" s="29" t="s">
        <v>14</v>
      </c>
      <c r="B5" s="81" t="s">
        <v>81</v>
      </c>
      <c r="C5" s="311" t="s">
        <v>8</v>
      </c>
      <c r="D5" s="311" t="s">
        <v>19</v>
      </c>
      <c r="E5" s="311" t="s">
        <v>33</v>
      </c>
      <c r="F5" s="311" t="s">
        <v>13</v>
      </c>
      <c r="G5" s="311" t="s">
        <v>20</v>
      </c>
      <c r="H5" s="30" t="s">
        <v>15</v>
      </c>
      <c r="I5" s="30" t="s">
        <v>13</v>
      </c>
      <c r="J5" s="30" t="s">
        <v>20</v>
      </c>
    </row>
    <row r="7" spans="1:12" x14ac:dyDescent="0.25">
      <c r="A7" s="2" t="str">
        <f>'Res-1'!A2</f>
        <v>Residential (Single and Three Phase)</v>
      </c>
      <c r="B7" s="54">
        <f>'Res-1'!A3</f>
        <v>1</v>
      </c>
      <c r="C7" s="38">
        <f>'Res-1'!D17</f>
        <v>678749459</v>
      </c>
      <c r="D7" s="83">
        <f>'Res-1'!G28</f>
        <v>98694369.561486989</v>
      </c>
      <c r="E7" s="84">
        <f>'Res-1'!G26</f>
        <v>98694060.169236988</v>
      </c>
      <c r="F7" s="84">
        <f t="shared" ref="F7:F10" si="0">E7-D7</f>
        <v>-309.39225000143051</v>
      </c>
      <c r="G7" s="85">
        <f t="shared" ref="G7:G10" si="1">F7/D7</f>
        <v>-3.1348520830124753E-6</v>
      </c>
      <c r="H7" s="84">
        <v>0</v>
      </c>
      <c r="I7" s="84">
        <f t="shared" ref="I7:I11" si="2">H7-E7</f>
        <v>-98694060.169236988</v>
      </c>
      <c r="J7" s="85">
        <f t="shared" ref="J7:J12" si="3">I7/E7</f>
        <v>-1</v>
      </c>
    </row>
    <row r="8" spans="1:12" x14ac:dyDescent="0.25">
      <c r="A8" s="2" t="str">
        <f>'Com1Ph-3'!A2</f>
        <v>Commercial &amp; All Other Single Phase</v>
      </c>
      <c r="B8" s="54">
        <f>'Com1Ph-3'!A3</f>
        <v>3</v>
      </c>
      <c r="C8" s="38">
        <f>'Com1Ph-3'!D17</f>
        <v>119304695</v>
      </c>
      <c r="D8" s="63">
        <f>'Com1Ph-3'!G28</f>
        <v>17531432.782079998</v>
      </c>
      <c r="E8" s="45">
        <f>'Com1Ph-3'!G26</f>
        <v>17531432.782079998</v>
      </c>
      <c r="F8" s="45">
        <f t="shared" si="0"/>
        <v>0</v>
      </c>
      <c r="G8" s="85">
        <f t="shared" si="1"/>
        <v>0</v>
      </c>
      <c r="H8" s="45">
        <v>0</v>
      </c>
      <c r="I8" s="45">
        <f t="shared" si="2"/>
        <v>-17531432.782079998</v>
      </c>
      <c r="J8" s="85">
        <f t="shared" si="3"/>
        <v>-1</v>
      </c>
    </row>
    <row r="9" spans="1:12" x14ac:dyDescent="0.25">
      <c r="A9" s="2" t="str">
        <f>'Com3Ph&lt;1000-5'!A2</f>
        <v>Commercial &amp; Public Bldgs Three Phase (&lt; 1000 kW)</v>
      </c>
      <c r="B9" s="54">
        <f>'Com3Ph&lt;1000-5'!A3</f>
        <v>5</v>
      </c>
      <c r="C9" s="38">
        <f>'Com3Ph&lt;1000-5'!D16</f>
        <v>108577767</v>
      </c>
      <c r="D9" s="63">
        <f>'Com3Ph&lt;1000-5'!G37</f>
        <v>22276447.574455999</v>
      </c>
      <c r="E9" s="45">
        <f>'Com3Ph&lt;1000-5'!G35</f>
        <v>22276431.539656002</v>
      </c>
      <c r="F9" s="45">
        <f>E9-D9</f>
        <v>-16.034799996763468</v>
      </c>
      <c r="G9" s="85">
        <f>F9/D9</f>
        <v>-7.1980956313475599E-7</v>
      </c>
      <c r="H9" s="45">
        <v>0</v>
      </c>
      <c r="I9" s="45">
        <f>H9-E9</f>
        <v>-22276431.539656002</v>
      </c>
      <c r="J9" s="85">
        <f>I9/E9</f>
        <v>-1</v>
      </c>
    </row>
    <row r="10" spans="1:12" x14ac:dyDescent="0.25">
      <c r="A10" s="2" t="str">
        <f>'Com3Ph1000-7'!A2</f>
        <v>Commercial Three Phase (1001 kW +)</v>
      </c>
      <c r="B10" s="54">
        <f>'Com3Ph1000-7'!A3</f>
        <v>7</v>
      </c>
      <c r="C10" s="38">
        <f>'Com3Ph1000-7'!D21+'Com3Ph1000-7'!D24</f>
        <v>87711720</v>
      </c>
      <c r="D10" s="62">
        <f>'Com3Ph1000-7'!G53</f>
        <v>9055348.3657600023</v>
      </c>
      <c r="E10" s="46">
        <f>'Com3Ph1000-7'!G51</f>
        <v>9055348.3657599986</v>
      </c>
      <c r="F10" s="46">
        <f t="shared" si="0"/>
        <v>0</v>
      </c>
      <c r="G10" s="47">
        <f t="shared" si="1"/>
        <v>0</v>
      </c>
      <c r="H10" s="46">
        <v>0</v>
      </c>
      <c r="I10" s="46">
        <f t="shared" si="2"/>
        <v>-9055348.3657599986</v>
      </c>
      <c r="J10" s="47">
        <f t="shared" si="3"/>
        <v>-1</v>
      </c>
    </row>
    <row r="11" spans="1:12" x14ac:dyDescent="0.25">
      <c r="A11" s="2" t="str">
        <f>Lighting!A2</f>
        <v>Unmetered Lighting</v>
      </c>
      <c r="B11" s="54">
        <f>Lighting!A3</f>
        <v>15</v>
      </c>
      <c r="C11" s="38">
        <f>Lighting!D108</f>
        <v>8253325</v>
      </c>
      <c r="D11" s="62">
        <f>Lighting!H112</f>
        <v>2370924.19</v>
      </c>
      <c r="E11" s="46">
        <f>Lighting!H110</f>
        <v>2370924.1800000006</v>
      </c>
      <c r="F11" s="46">
        <f t="shared" ref="F11" si="4">E11-D11</f>
        <v>-9.9999993108212948E-3</v>
      </c>
      <c r="G11" s="47">
        <f t="shared" ref="G11" si="5">F11/D11</f>
        <v>-4.2177642596076824E-9</v>
      </c>
      <c r="H11" s="46">
        <v>0</v>
      </c>
      <c r="I11" s="46">
        <f t="shared" si="2"/>
        <v>-2370924.1800000006</v>
      </c>
      <c r="J11" s="47">
        <f t="shared" si="3"/>
        <v>-1</v>
      </c>
    </row>
    <row r="12" spans="1:12" ht="16.5" thickBot="1" x14ac:dyDescent="0.3">
      <c r="A12" s="199" t="s">
        <v>65</v>
      </c>
      <c r="B12" s="200"/>
      <c r="C12" s="57">
        <f>SUM(C7:C11)</f>
        <v>1002596966</v>
      </c>
      <c r="D12" s="59">
        <f>SUM(D7:D11)</f>
        <v>149928522.47378299</v>
      </c>
      <c r="E12" s="197">
        <f>SUM(E7:E11)</f>
        <v>149928197.036733</v>
      </c>
      <c r="F12" s="24">
        <f>SUM(F7:F11)</f>
        <v>-325.4370499975048</v>
      </c>
      <c r="G12" s="58">
        <f>F12/D12</f>
        <v>-2.1706146677621788E-6</v>
      </c>
      <c r="H12" s="59">
        <f>SUM(H7:H11)</f>
        <v>0</v>
      </c>
      <c r="I12" s="24">
        <f>SUM(I7:I11)</f>
        <v>-149928197.036733</v>
      </c>
      <c r="J12" s="58">
        <f t="shared" si="3"/>
        <v>-1</v>
      </c>
      <c r="L12" s="226"/>
    </row>
    <row r="13" spans="1:12" ht="16.5" thickTop="1" x14ac:dyDescent="0.25">
      <c r="E13" s="11"/>
      <c r="H13" s="11"/>
    </row>
    <row r="14" spans="1:12" ht="15.75" customHeight="1" x14ac:dyDescent="0.25">
      <c r="C14" s="45"/>
      <c r="D14" s="14"/>
      <c r="E14" s="44"/>
      <c r="H14" s="44"/>
    </row>
    <row r="15" spans="1:12" ht="15.75" customHeight="1" x14ac:dyDescent="0.25">
      <c r="C15" s="45"/>
      <c r="D15" s="14"/>
      <c r="E15" s="44"/>
      <c r="G15" s="19"/>
      <c r="H15" s="74"/>
    </row>
    <row r="16" spans="1:12" ht="15.75" customHeight="1" x14ac:dyDescent="0.25">
      <c r="C16" s="45"/>
      <c r="D16" s="14"/>
      <c r="E16" s="44"/>
      <c r="F16" s="19"/>
      <c r="H16" s="75"/>
    </row>
    <row r="17" spans="1:10" ht="15.75" customHeight="1" x14ac:dyDescent="0.25">
      <c r="C17" s="25"/>
      <c r="D17" s="25"/>
      <c r="F17" s="73"/>
      <c r="G17" s="25"/>
      <c r="H17" s="8"/>
    </row>
    <row r="18" spans="1:10" ht="15.75" customHeight="1" x14ac:dyDescent="0.25">
      <c r="F18" s="19"/>
    </row>
    <row r="19" spans="1:10" x14ac:dyDescent="0.25">
      <c r="A19" s="41"/>
      <c r="C19" s="45"/>
      <c r="D19" s="45"/>
      <c r="E19" s="44"/>
    </row>
    <row r="20" spans="1:10" x14ac:dyDescent="0.25">
      <c r="A20" s="1"/>
      <c r="B20" s="3"/>
      <c r="C20" s="68"/>
      <c r="D20" s="68"/>
      <c r="E20" s="68"/>
      <c r="F20" s="68"/>
      <c r="G20" s="68"/>
      <c r="H20" s="68"/>
      <c r="I20" s="68"/>
      <c r="J20" s="68"/>
    </row>
    <row r="21" spans="1:10" x14ac:dyDescent="0.25">
      <c r="C21" s="4"/>
      <c r="D21" s="4"/>
      <c r="E21" s="4"/>
      <c r="F21" s="4"/>
      <c r="G21" s="4"/>
      <c r="H21" s="4"/>
    </row>
    <row r="22" spans="1:10" x14ac:dyDescent="0.25">
      <c r="A22" s="41"/>
      <c r="C22" s="38"/>
      <c r="D22" s="40"/>
      <c r="E22" s="23"/>
      <c r="F22" s="39"/>
      <c r="G22" s="39"/>
      <c r="H22" s="23"/>
      <c r="I22" s="39"/>
      <c r="J22" s="23"/>
    </row>
    <row r="23" spans="1:10" x14ac:dyDescent="0.25">
      <c r="A23" s="41"/>
      <c r="C23" s="38"/>
      <c r="D23" s="35"/>
      <c r="E23" s="46"/>
      <c r="F23" s="52"/>
      <c r="G23" s="47"/>
      <c r="H23" s="46"/>
      <c r="I23" s="52"/>
      <c r="J23" s="47"/>
    </row>
    <row r="24" spans="1:10" x14ac:dyDescent="0.25">
      <c r="A24" s="41"/>
      <c r="C24" s="38"/>
      <c r="D24" s="40"/>
      <c r="E24" s="23"/>
      <c r="F24" s="46"/>
      <c r="G24" s="46"/>
      <c r="H24" s="23"/>
      <c r="I24" s="52"/>
      <c r="J24" s="47"/>
    </row>
    <row r="25" spans="1:10" x14ac:dyDescent="0.25">
      <c r="A25" s="41"/>
      <c r="C25" s="38"/>
      <c r="D25" s="35"/>
      <c r="E25" s="46"/>
      <c r="F25" s="46"/>
      <c r="G25" s="46"/>
      <c r="H25" s="46"/>
      <c r="I25" s="52"/>
      <c r="J25" s="47"/>
    </row>
    <row r="26" spans="1:10" x14ac:dyDescent="0.25">
      <c r="A26" s="41"/>
      <c r="C26" s="38"/>
      <c r="D26" s="40"/>
      <c r="E26" s="23"/>
      <c r="F26" s="46"/>
      <c r="G26" s="46"/>
      <c r="H26" s="23"/>
      <c r="I26" s="52"/>
      <c r="J26" s="47"/>
    </row>
    <row r="27" spans="1:10" x14ac:dyDescent="0.25">
      <c r="A27" s="41"/>
      <c r="C27" s="38"/>
      <c r="D27" s="35"/>
      <c r="E27" s="46"/>
      <c r="F27" s="46"/>
      <c r="G27" s="46"/>
      <c r="H27" s="46"/>
      <c r="I27" s="52"/>
      <c r="J27" s="47"/>
    </row>
    <row r="28" spans="1:10" x14ac:dyDescent="0.25">
      <c r="A28" s="41"/>
      <c r="C28" s="40"/>
      <c r="D28" s="40"/>
      <c r="E28" s="23"/>
      <c r="F28" s="46"/>
      <c r="G28" s="46"/>
      <c r="H28" s="23"/>
      <c r="I28" s="52"/>
      <c r="J28" s="47"/>
    </row>
    <row r="29" spans="1:10" x14ac:dyDescent="0.25">
      <c r="A29" s="41"/>
      <c r="C29" s="8"/>
      <c r="D29" s="33"/>
      <c r="E29" s="34"/>
      <c r="F29" s="36"/>
      <c r="G29" s="36"/>
      <c r="H29" s="34"/>
      <c r="I29" s="11"/>
      <c r="J29" s="23"/>
    </row>
    <row r="30" spans="1:10" x14ac:dyDescent="0.25">
      <c r="A30" s="41"/>
      <c r="C30" s="8"/>
      <c r="D30" s="40"/>
      <c r="E30" s="23"/>
      <c r="F30" s="14"/>
      <c r="G30" s="14"/>
      <c r="H30" s="23"/>
    </row>
    <row r="31" spans="1:10" x14ac:dyDescent="0.25">
      <c r="C31" s="8"/>
      <c r="E31" s="26"/>
      <c r="F31" s="20"/>
      <c r="H31" s="51"/>
    </row>
    <row r="32" spans="1:10" x14ac:dyDescent="0.25">
      <c r="C32" s="8"/>
      <c r="F32" s="8"/>
      <c r="G32" s="8"/>
    </row>
    <row r="34" spans="1:7" x14ac:dyDescent="0.25">
      <c r="G34" s="25"/>
    </row>
    <row r="36" spans="1:7" x14ac:dyDescent="0.25">
      <c r="A36" s="41"/>
      <c r="C36" s="9"/>
    </row>
    <row r="37" spans="1:7" x14ac:dyDescent="0.25">
      <c r="A37" s="41"/>
    </row>
  </sheetData>
  <phoneticPr fontId="0" type="noConversion"/>
  <pageMargins left="0.75" right="0.35" top="1" bottom="1" header="0.5" footer="0.5"/>
  <pageSetup scale="97" orientation="landscape" r:id="rId1"/>
  <headerFooter alignWithMargins="0">
    <oddFooter>&amp;RExhibit JW-9
Page &amp;P of &amp;N</oddFooter>
  </headerFooter>
  <ignoredErrors>
    <ignoredError sqref="G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L40"/>
  <sheetViews>
    <sheetView view="pageBreakPreview" zoomScaleNormal="100" zoomScaleSheetLayoutView="100" workbookViewId="0">
      <selection activeCell="Q11" sqref="Q11"/>
    </sheetView>
  </sheetViews>
  <sheetFormatPr defaultRowHeight="12.75" x14ac:dyDescent="0.2"/>
  <cols>
    <col min="1" max="1" width="3.42578125" style="123" customWidth="1"/>
    <col min="2" max="2" width="5.28515625" style="122" customWidth="1"/>
    <col min="3" max="3" width="9.140625" style="123"/>
    <col min="4" max="4" width="10.7109375" style="123" customWidth="1"/>
    <col min="5" max="5" width="10.28515625" style="123" bestFit="1" customWidth="1"/>
    <col min="6" max="6" width="9.5703125" style="123" bestFit="1" customWidth="1"/>
    <col min="7" max="7" width="10.5703125" style="123" customWidth="1"/>
    <col min="8" max="8" width="10.5703125" style="123" bestFit="1" customWidth="1"/>
    <col min="9" max="9" width="9.5703125" style="123" bestFit="1" customWidth="1"/>
    <col min="10" max="10" width="10.42578125" style="123" customWidth="1"/>
    <col min="11" max="11" width="7.7109375" style="123" customWidth="1"/>
    <col min="12" max="12" width="9.140625" style="123"/>
  </cols>
  <sheetData>
    <row r="1" spans="1:12" ht="18.75" x14ac:dyDescent="0.3">
      <c r="A1" s="121" t="str">
        <f>'Present and Proposed Rates'!A1</f>
        <v>KENERGY CORP.</v>
      </c>
    </row>
    <row r="2" spans="1:12" ht="18.75" x14ac:dyDescent="0.3">
      <c r="A2" s="95" t="s">
        <v>438</v>
      </c>
      <c r="H2" s="124"/>
    </row>
    <row r="3" spans="1:12" ht="18.75" x14ac:dyDescent="0.3">
      <c r="A3" s="121" t="s">
        <v>119</v>
      </c>
    </row>
    <row r="4" spans="1:12" ht="24" customHeight="1" thickBot="1" x14ac:dyDescent="0.25"/>
    <row r="5" spans="1:12" ht="13.5" thickTop="1" x14ac:dyDescent="0.2">
      <c r="B5" s="125"/>
      <c r="C5" s="126" t="s">
        <v>111</v>
      </c>
      <c r="D5" s="618" t="s">
        <v>120</v>
      </c>
      <c r="E5" s="618"/>
      <c r="F5" s="619"/>
      <c r="G5" s="620" t="s">
        <v>121</v>
      </c>
      <c r="H5" s="618"/>
      <c r="I5" s="619"/>
      <c r="J5" s="620" t="s">
        <v>58</v>
      </c>
      <c r="K5" s="621"/>
    </row>
    <row r="6" spans="1:12" x14ac:dyDescent="0.2">
      <c r="B6" s="127" t="s">
        <v>122</v>
      </c>
      <c r="C6" s="128" t="s">
        <v>8</v>
      </c>
      <c r="D6" s="129" t="s">
        <v>118</v>
      </c>
      <c r="E6" s="129" t="s">
        <v>123</v>
      </c>
      <c r="F6" s="129" t="s">
        <v>84</v>
      </c>
      <c r="G6" s="129" t="s">
        <v>116</v>
      </c>
      <c r="H6" s="129" t="s">
        <v>117</v>
      </c>
      <c r="I6" s="129" t="s">
        <v>84</v>
      </c>
      <c r="J6" s="129" t="s">
        <v>63</v>
      </c>
      <c r="K6" s="130" t="s">
        <v>64</v>
      </c>
    </row>
    <row r="7" spans="1:12" ht="18" customHeight="1" thickBot="1" x14ac:dyDescent="0.25">
      <c r="A7" s="131"/>
      <c r="B7" s="132"/>
      <c r="C7" s="133"/>
      <c r="D7" s="134">
        <f>'Present and Proposed Rates'!G10</f>
        <v>18.2</v>
      </c>
      <c r="E7" s="135">
        <f>'Present and Proposed Rates'!G11</f>
        <v>0.107543</v>
      </c>
      <c r="F7" s="136"/>
      <c r="G7" s="134">
        <f>'Present and Proposed Rates'!H10</f>
        <v>21.95</v>
      </c>
      <c r="H7" s="135">
        <f>'Present and Proposed Rates'!H11</f>
        <v>0.111511</v>
      </c>
      <c r="I7" s="133"/>
      <c r="J7" s="222"/>
      <c r="K7" s="137"/>
      <c r="L7" s="131"/>
    </row>
    <row r="8" spans="1:12" ht="13.5" thickTop="1" x14ac:dyDescent="0.2">
      <c r="B8" s="138">
        <v>1</v>
      </c>
      <c r="C8" s="139">
        <v>0</v>
      </c>
      <c r="D8" s="140">
        <f>D$7</f>
        <v>18.2</v>
      </c>
      <c r="E8" s="141">
        <f>$E$7*C8</f>
        <v>0</v>
      </c>
      <c r="F8" s="142">
        <f>E8+D8</f>
        <v>18.2</v>
      </c>
      <c r="G8" s="143">
        <f>$G$7</f>
        <v>21.95</v>
      </c>
      <c r="H8" s="141">
        <f>$H$7*C8</f>
        <v>0</v>
      </c>
      <c r="I8" s="144">
        <f>G8+H8</f>
        <v>21.95</v>
      </c>
      <c r="J8" s="143">
        <f t="shared" ref="J8:J39" si="0">I8-F8</f>
        <v>3.75</v>
      </c>
      <c r="K8" s="145">
        <f t="shared" ref="K8:K39" si="1">J8/F8</f>
        <v>0.20604395604395606</v>
      </c>
    </row>
    <row r="9" spans="1:12" x14ac:dyDescent="0.2">
      <c r="B9" s="138">
        <v>2</v>
      </c>
      <c r="C9" s="139">
        <f t="shared" ref="C9:C38" si="2">C8+100</f>
        <v>100</v>
      </c>
      <c r="D9" s="140">
        <f t="shared" ref="D9:D39" si="3">D$7</f>
        <v>18.2</v>
      </c>
      <c r="E9" s="141">
        <f t="shared" ref="E9:E39" si="4">$E$7*C9</f>
        <v>10.754300000000001</v>
      </c>
      <c r="F9" s="142">
        <f t="shared" ref="F9:F39" si="5">E9+D9</f>
        <v>28.9543</v>
      </c>
      <c r="G9" s="143">
        <f t="shared" ref="G9:G39" si="6">$G$7</f>
        <v>21.95</v>
      </c>
      <c r="H9" s="141">
        <f t="shared" ref="H9:H39" si="7">$H$7*C9</f>
        <v>11.1511</v>
      </c>
      <c r="I9" s="144">
        <f t="shared" ref="I9:I39" si="8">G9+H9</f>
        <v>33.101100000000002</v>
      </c>
      <c r="J9" s="143">
        <f t="shared" si="0"/>
        <v>4.1468000000000025</v>
      </c>
      <c r="K9" s="145">
        <f t="shared" si="1"/>
        <v>0.1432187965172704</v>
      </c>
    </row>
    <row r="10" spans="1:12" x14ac:dyDescent="0.2">
      <c r="B10" s="138">
        <v>2</v>
      </c>
      <c r="C10" s="139">
        <f t="shared" si="2"/>
        <v>200</v>
      </c>
      <c r="D10" s="140">
        <f t="shared" si="3"/>
        <v>18.2</v>
      </c>
      <c r="E10" s="141">
        <f t="shared" si="4"/>
        <v>21.508600000000001</v>
      </c>
      <c r="F10" s="142">
        <f t="shared" si="5"/>
        <v>39.708600000000004</v>
      </c>
      <c r="G10" s="143">
        <f t="shared" si="6"/>
        <v>21.95</v>
      </c>
      <c r="H10" s="141">
        <f t="shared" si="7"/>
        <v>22.302199999999999</v>
      </c>
      <c r="I10" s="144">
        <f t="shared" si="8"/>
        <v>44.252200000000002</v>
      </c>
      <c r="J10" s="143">
        <f t="shared" si="0"/>
        <v>4.5435999999999979</v>
      </c>
      <c r="K10" s="145">
        <f t="shared" si="1"/>
        <v>0.11442357574933383</v>
      </c>
    </row>
    <row r="11" spans="1:12" x14ac:dyDescent="0.2">
      <c r="B11" s="138">
        <v>3</v>
      </c>
      <c r="C11" s="139">
        <f t="shared" si="2"/>
        <v>300</v>
      </c>
      <c r="D11" s="140">
        <f t="shared" si="3"/>
        <v>18.2</v>
      </c>
      <c r="E11" s="141">
        <f t="shared" si="4"/>
        <v>32.262900000000002</v>
      </c>
      <c r="F11" s="142">
        <f t="shared" si="5"/>
        <v>50.462900000000005</v>
      </c>
      <c r="G11" s="143">
        <f t="shared" si="6"/>
        <v>21.95</v>
      </c>
      <c r="H11" s="141">
        <f t="shared" si="7"/>
        <v>33.453299999999999</v>
      </c>
      <c r="I11" s="144">
        <f t="shared" si="8"/>
        <v>55.403300000000002</v>
      </c>
      <c r="J11" s="143">
        <f t="shared" si="0"/>
        <v>4.9403999999999968</v>
      </c>
      <c r="K11" s="145">
        <f t="shared" si="1"/>
        <v>9.7901626739644296E-2</v>
      </c>
    </row>
    <row r="12" spans="1:12" x14ac:dyDescent="0.2">
      <c r="B12" s="138">
        <v>4</v>
      </c>
      <c r="C12" s="139">
        <f t="shared" si="2"/>
        <v>400</v>
      </c>
      <c r="D12" s="140">
        <f t="shared" si="3"/>
        <v>18.2</v>
      </c>
      <c r="E12" s="141">
        <f t="shared" si="4"/>
        <v>43.017200000000003</v>
      </c>
      <c r="F12" s="142">
        <f t="shared" si="5"/>
        <v>61.217200000000005</v>
      </c>
      <c r="G12" s="143">
        <f t="shared" si="6"/>
        <v>21.95</v>
      </c>
      <c r="H12" s="141">
        <f t="shared" si="7"/>
        <v>44.604399999999998</v>
      </c>
      <c r="I12" s="144">
        <f t="shared" si="8"/>
        <v>66.554400000000001</v>
      </c>
      <c r="J12" s="143">
        <f t="shared" si="0"/>
        <v>5.3371999999999957</v>
      </c>
      <c r="K12" s="145">
        <f t="shared" si="1"/>
        <v>8.7184647452023215E-2</v>
      </c>
    </row>
    <row r="13" spans="1:12" x14ac:dyDescent="0.2">
      <c r="B13" s="138">
        <v>2</v>
      </c>
      <c r="C13" s="139">
        <f t="shared" si="2"/>
        <v>500</v>
      </c>
      <c r="D13" s="140">
        <f t="shared" si="3"/>
        <v>18.2</v>
      </c>
      <c r="E13" s="141">
        <f t="shared" si="4"/>
        <v>53.771500000000003</v>
      </c>
      <c r="F13" s="142">
        <f t="shared" si="5"/>
        <v>71.971500000000006</v>
      </c>
      <c r="G13" s="143">
        <f t="shared" si="6"/>
        <v>21.95</v>
      </c>
      <c r="H13" s="141">
        <f t="shared" si="7"/>
        <v>55.755499999999998</v>
      </c>
      <c r="I13" s="144">
        <f t="shared" si="8"/>
        <v>77.705500000000001</v>
      </c>
      <c r="J13" s="143">
        <f t="shared" si="0"/>
        <v>5.7339999999999947</v>
      </c>
      <c r="K13" s="145">
        <f t="shared" si="1"/>
        <v>7.9670425098823758E-2</v>
      </c>
    </row>
    <row r="14" spans="1:12" x14ac:dyDescent="0.2">
      <c r="B14" s="138">
        <v>3</v>
      </c>
      <c r="C14" s="139">
        <f t="shared" si="2"/>
        <v>600</v>
      </c>
      <c r="D14" s="140">
        <f t="shared" si="3"/>
        <v>18.2</v>
      </c>
      <c r="E14" s="141">
        <f t="shared" si="4"/>
        <v>64.525800000000004</v>
      </c>
      <c r="F14" s="142">
        <f t="shared" si="5"/>
        <v>82.725800000000007</v>
      </c>
      <c r="G14" s="143">
        <f t="shared" si="6"/>
        <v>21.95</v>
      </c>
      <c r="H14" s="141">
        <f t="shared" si="7"/>
        <v>66.906599999999997</v>
      </c>
      <c r="I14" s="144">
        <f t="shared" si="8"/>
        <v>88.8566</v>
      </c>
      <c r="J14" s="143">
        <f t="shared" si="0"/>
        <v>6.1307999999999936</v>
      </c>
      <c r="K14" s="145">
        <f t="shared" si="1"/>
        <v>7.4109890747505527E-2</v>
      </c>
    </row>
    <row r="15" spans="1:12" x14ac:dyDescent="0.2">
      <c r="B15" s="138">
        <v>4</v>
      </c>
      <c r="C15" s="139">
        <f t="shared" si="2"/>
        <v>700</v>
      </c>
      <c r="D15" s="140">
        <f t="shared" si="3"/>
        <v>18.2</v>
      </c>
      <c r="E15" s="141">
        <f t="shared" si="4"/>
        <v>75.280100000000004</v>
      </c>
      <c r="F15" s="142">
        <f t="shared" si="5"/>
        <v>93.480100000000007</v>
      </c>
      <c r="G15" s="143">
        <f t="shared" si="6"/>
        <v>21.95</v>
      </c>
      <c r="H15" s="141">
        <f t="shared" si="7"/>
        <v>78.057699999999997</v>
      </c>
      <c r="I15" s="144">
        <f t="shared" si="8"/>
        <v>100.0077</v>
      </c>
      <c r="J15" s="143">
        <f t="shared" si="0"/>
        <v>6.5275999999999925</v>
      </c>
      <c r="K15" s="145">
        <f t="shared" si="1"/>
        <v>6.9828765694516709E-2</v>
      </c>
    </row>
    <row r="16" spans="1:12" x14ac:dyDescent="0.2">
      <c r="B16" s="138">
        <v>5</v>
      </c>
      <c r="C16" s="139">
        <f t="shared" si="2"/>
        <v>800</v>
      </c>
      <c r="D16" s="140">
        <f t="shared" si="3"/>
        <v>18.2</v>
      </c>
      <c r="E16" s="141">
        <f t="shared" si="4"/>
        <v>86.034400000000005</v>
      </c>
      <c r="F16" s="142">
        <f t="shared" si="5"/>
        <v>104.23440000000001</v>
      </c>
      <c r="G16" s="143">
        <f t="shared" si="6"/>
        <v>21.95</v>
      </c>
      <c r="H16" s="141">
        <f t="shared" si="7"/>
        <v>89.208799999999997</v>
      </c>
      <c r="I16" s="144">
        <f t="shared" si="8"/>
        <v>111.1588</v>
      </c>
      <c r="J16" s="143">
        <f t="shared" si="0"/>
        <v>6.9243999999999915</v>
      </c>
      <c r="K16" s="145">
        <f t="shared" si="1"/>
        <v>6.6431043878028659E-2</v>
      </c>
    </row>
    <row r="17" spans="2:11" x14ac:dyDescent="0.2">
      <c r="B17" s="138">
        <v>6</v>
      </c>
      <c r="C17" s="139">
        <f t="shared" si="2"/>
        <v>900</v>
      </c>
      <c r="D17" s="140">
        <f t="shared" si="3"/>
        <v>18.2</v>
      </c>
      <c r="E17" s="141">
        <f t="shared" si="4"/>
        <v>96.788700000000006</v>
      </c>
      <c r="F17" s="142">
        <f t="shared" si="5"/>
        <v>114.98870000000001</v>
      </c>
      <c r="G17" s="143">
        <f t="shared" si="6"/>
        <v>21.95</v>
      </c>
      <c r="H17" s="141">
        <f t="shared" si="7"/>
        <v>100.3599</v>
      </c>
      <c r="I17" s="144">
        <f t="shared" si="8"/>
        <v>122.3099</v>
      </c>
      <c r="J17" s="143">
        <f t="shared" si="0"/>
        <v>7.3211999999999904</v>
      </c>
      <c r="K17" s="145">
        <f t="shared" si="1"/>
        <v>6.3668864853676843E-2</v>
      </c>
    </row>
    <row r="18" spans="2:11" x14ac:dyDescent="0.2">
      <c r="B18" s="138">
        <v>7</v>
      </c>
      <c r="C18" s="139">
        <f t="shared" si="2"/>
        <v>1000</v>
      </c>
      <c r="D18" s="140">
        <f t="shared" si="3"/>
        <v>18.2</v>
      </c>
      <c r="E18" s="141">
        <f t="shared" si="4"/>
        <v>107.54300000000001</v>
      </c>
      <c r="F18" s="142">
        <f t="shared" si="5"/>
        <v>125.74300000000001</v>
      </c>
      <c r="G18" s="143">
        <f t="shared" si="6"/>
        <v>21.95</v>
      </c>
      <c r="H18" s="141">
        <f t="shared" si="7"/>
        <v>111.511</v>
      </c>
      <c r="I18" s="144">
        <f t="shared" si="8"/>
        <v>133.46099999999998</v>
      </c>
      <c r="J18" s="143">
        <f t="shared" si="0"/>
        <v>7.7179999999999751</v>
      </c>
      <c r="K18" s="145">
        <f t="shared" si="1"/>
        <v>6.1379162259529156E-2</v>
      </c>
    </row>
    <row r="19" spans="2:11" x14ac:dyDescent="0.2">
      <c r="B19" s="138">
        <v>8</v>
      </c>
      <c r="C19" s="139">
        <f t="shared" si="2"/>
        <v>1100</v>
      </c>
      <c r="D19" s="140">
        <f t="shared" si="3"/>
        <v>18.2</v>
      </c>
      <c r="E19" s="141">
        <f t="shared" si="4"/>
        <v>118.29729999999999</v>
      </c>
      <c r="F19" s="142">
        <f t="shared" si="5"/>
        <v>136.4973</v>
      </c>
      <c r="G19" s="143">
        <f t="shared" si="6"/>
        <v>21.95</v>
      </c>
      <c r="H19" s="141">
        <f t="shared" si="7"/>
        <v>122.6621</v>
      </c>
      <c r="I19" s="144">
        <f t="shared" si="8"/>
        <v>144.6121</v>
      </c>
      <c r="J19" s="143">
        <f t="shared" si="0"/>
        <v>8.1148000000000025</v>
      </c>
      <c r="K19" s="145">
        <f t="shared" si="1"/>
        <v>5.9450260188296786E-2</v>
      </c>
    </row>
    <row r="20" spans="2:11" x14ac:dyDescent="0.2">
      <c r="B20" s="138">
        <v>9</v>
      </c>
      <c r="C20" s="139">
        <f t="shared" si="2"/>
        <v>1200</v>
      </c>
      <c r="D20" s="140">
        <f t="shared" si="3"/>
        <v>18.2</v>
      </c>
      <c r="E20" s="141">
        <f t="shared" si="4"/>
        <v>129.05160000000001</v>
      </c>
      <c r="F20" s="142">
        <f t="shared" si="5"/>
        <v>147.2516</v>
      </c>
      <c r="G20" s="143">
        <f t="shared" si="6"/>
        <v>21.95</v>
      </c>
      <c r="H20" s="141">
        <f t="shared" si="7"/>
        <v>133.81319999999999</v>
      </c>
      <c r="I20" s="144">
        <f t="shared" si="8"/>
        <v>155.76319999999998</v>
      </c>
      <c r="J20" s="143">
        <f t="shared" si="0"/>
        <v>8.5115999999999872</v>
      </c>
      <c r="K20" s="145">
        <f t="shared" si="1"/>
        <v>5.780310706301315E-2</v>
      </c>
    </row>
    <row r="21" spans="2:11" x14ac:dyDescent="0.2">
      <c r="B21" s="138">
        <v>10</v>
      </c>
      <c r="C21" s="139">
        <f t="shared" si="2"/>
        <v>1300</v>
      </c>
      <c r="D21" s="140">
        <f t="shared" si="3"/>
        <v>18.2</v>
      </c>
      <c r="E21" s="141">
        <f t="shared" si="4"/>
        <v>139.80590000000001</v>
      </c>
      <c r="F21" s="142">
        <f t="shared" si="5"/>
        <v>158.0059</v>
      </c>
      <c r="G21" s="143">
        <f t="shared" si="6"/>
        <v>21.95</v>
      </c>
      <c r="H21" s="141">
        <f t="shared" si="7"/>
        <v>144.96430000000001</v>
      </c>
      <c r="I21" s="144">
        <f t="shared" si="8"/>
        <v>166.9143</v>
      </c>
      <c r="J21" s="143">
        <f t="shared" si="0"/>
        <v>8.9084000000000003</v>
      </c>
      <c r="K21" s="145">
        <f t="shared" si="1"/>
        <v>5.6380173145433178E-2</v>
      </c>
    </row>
    <row r="22" spans="2:11" x14ac:dyDescent="0.2">
      <c r="B22" s="138">
        <v>11</v>
      </c>
      <c r="C22" s="139">
        <f t="shared" si="2"/>
        <v>1400</v>
      </c>
      <c r="D22" s="140">
        <f t="shared" si="3"/>
        <v>18.2</v>
      </c>
      <c r="E22" s="141">
        <f t="shared" si="4"/>
        <v>150.56020000000001</v>
      </c>
      <c r="F22" s="142">
        <f t="shared" si="5"/>
        <v>168.7602</v>
      </c>
      <c r="G22" s="143">
        <f t="shared" si="6"/>
        <v>21.95</v>
      </c>
      <c r="H22" s="141">
        <f t="shared" si="7"/>
        <v>156.11539999999999</v>
      </c>
      <c r="I22" s="144">
        <f t="shared" si="8"/>
        <v>178.06539999999998</v>
      </c>
      <c r="J22" s="143">
        <f t="shared" si="0"/>
        <v>9.305199999999985</v>
      </c>
      <c r="K22" s="145">
        <f t="shared" si="1"/>
        <v>5.5138593104298202E-2</v>
      </c>
    </row>
    <row r="23" spans="2:11" x14ac:dyDescent="0.2">
      <c r="B23" s="138">
        <v>12</v>
      </c>
      <c r="C23" s="139">
        <f t="shared" si="2"/>
        <v>1500</v>
      </c>
      <c r="D23" s="140">
        <f t="shared" si="3"/>
        <v>18.2</v>
      </c>
      <c r="E23" s="141">
        <f t="shared" si="4"/>
        <v>161.31450000000001</v>
      </c>
      <c r="F23" s="142">
        <f t="shared" si="5"/>
        <v>179.5145</v>
      </c>
      <c r="G23" s="143">
        <f t="shared" si="6"/>
        <v>21.95</v>
      </c>
      <c r="H23" s="141">
        <f t="shared" si="7"/>
        <v>167.26650000000001</v>
      </c>
      <c r="I23" s="144">
        <f t="shared" si="8"/>
        <v>189.2165</v>
      </c>
      <c r="J23" s="143">
        <f t="shared" si="0"/>
        <v>9.7019999999999982</v>
      </c>
      <c r="K23" s="145">
        <f t="shared" si="1"/>
        <v>5.4045773461196718E-2</v>
      </c>
    </row>
    <row r="24" spans="2:11" x14ac:dyDescent="0.2">
      <c r="B24" s="138">
        <v>13</v>
      </c>
      <c r="C24" s="139">
        <f t="shared" si="2"/>
        <v>1600</v>
      </c>
      <c r="D24" s="140">
        <f t="shared" si="3"/>
        <v>18.2</v>
      </c>
      <c r="E24" s="141">
        <f t="shared" si="4"/>
        <v>172.06880000000001</v>
      </c>
      <c r="F24" s="142">
        <f t="shared" si="5"/>
        <v>190.2688</v>
      </c>
      <c r="G24" s="143">
        <f t="shared" si="6"/>
        <v>21.95</v>
      </c>
      <c r="H24" s="141">
        <f t="shared" si="7"/>
        <v>178.41759999999999</v>
      </c>
      <c r="I24" s="144">
        <f t="shared" si="8"/>
        <v>200.36759999999998</v>
      </c>
      <c r="J24" s="143">
        <f t="shared" si="0"/>
        <v>10.098799999999983</v>
      </c>
      <c r="K24" s="145">
        <f t="shared" si="1"/>
        <v>5.3076489681965634E-2</v>
      </c>
    </row>
    <row r="25" spans="2:11" x14ac:dyDescent="0.2">
      <c r="B25" s="138">
        <v>14</v>
      </c>
      <c r="C25" s="139">
        <f t="shared" si="2"/>
        <v>1700</v>
      </c>
      <c r="D25" s="140">
        <f t="shared" si="3"/>
        <v>18.2</v>
      </c>
      <c r="E25" s="141">
        <f t="shared" si="4"/>
        <v>182.82310000000001</v>
      </c>
      <c r="F25" s="142">
        <f t="shared" si="5"/>
        <v>201.0231</v>
      </c>
      <c r="G25" s="143">
        <f t="shared" si="6"/>
        <v>21.95</v>
      </c>
      <c r="H25" s="141">
        <f t="shared" si="7"/>
        <v>189.56870000000001</v>
      </c>
      <c r="I25" s="144">
        <f t="shared" si="8"/>
        <v>211.5187</v>
      </c>
      <c r="J25" s="143">
        <f t="shared" si="0"/>
        <v>10.495599999999996</v>
      </c>
      <c r="K25" s="145">
        <f t="shared" si="1"/>
        <v>5.2210915063990136E-2</v>
      </c>
    </row>
    <row r="26" spans="2:11" x14ac:dyDescent="0.2">
      <c r="B26" s="138">
        <v>15</v>
      </c>
      <c r="C26" s="139">
        <f t="shared" si="2"/>
        <v>1800</v>
      </c>
      <c r="D26" s="140">
        <f t="shared" si="3"/>
        <v>18.2</v>
      </c>
      <c r="E26" s="141">
        <f t="shared" si="4"/>
        <v>193.57740000000001</v>
      </c>
      <c r="F26" s="142">
        <f t="shared" si="5"/>
        <v>211.7774</v>
      </c>
      <c r="G26" s="143">
        <f t="shared" si="6"/>
        <v>21.95</v>
      </c>
      <c r="H26" s="141">
        <f t="shared" si="7"/>
        <v>200.71979999999999</v>
      </c>
      <c r="I26" s="144">
        <f t="shared" si="8"/>
        <v>222.66979999999998</v>
      </c>
      <c r="J26" s="143">
        <f t="shared" si="0"/>
        <v>10.892399999999981</v>
      </c>
      <c r="K26" s="145">
        <f t="shared" si="1"/>
        <v>5.1433250195724291E-2</v>
      </c>
    </row>
    <row r="27" spans="2:11" x14ac:dyDescent="0.2">
      <c r="B27" s="138">
        <v>16</v>
      </c>
      <c r="C27" s="139">
        <f t="shared" si="2"/>
        <v>1900</v>
      </c>
      <c r="D27" s="140">
        <f t="shared" si="3"/>
        <v>18.2</v>
      </c>
      <c r="E27" s="141">
        <f t="shared" si="4"/>
        <v>204.33170000000001</v>
      </c>
      <c r="F27" s="142">
        <f t="shared" si="5"/>
        <v>222.5317</v>
      </c>
      <c r="G27" s="143">
        <f t="shared" si="6"/>
        <v>21.95</v>
      </c>
      <c r="H27" s="141">
        <f t="shared" si="7"/>
        <v>211.87090000000001</v>
      </c>
      <c r="I27" s="144">
        <f t="shared" si="8"/>
        <v>233.82089999999999</v>
      </c>
      <c r="J27" s="143">
        <f t="shared" si="0"/>
        <v>11.289199999999994</v>
      </c>
      <c r="K27" s="145">
        <f t="shared" si="1"/>
        <v>5.0730749821261391E-2</v>
      </c>
    </row>
    <row r="28" spans="2:11" x14ac:dyDescent="0.2">
      <c r="B28" s="138">
        <v>17</v>
      </c>
      <c r="C28" s="139">
        <f t="shared" si="2"/>
        <v>2000</v>
      </c>
      <c r="D28" s="140">
        <f t="shared" si="3"/>
        <v>18.2</v>
      </c>
      <c r="E28" s="141">
        <f t="shared" si="4"/>
        <v>215.08600000000001</v>
      </c>
      <c r="F28" s="142">
        <f t="shared" si="5"/>
        <v>233.286</v>
      </c>
      <c r="G28" s="143">
        <f t="shared" si="6"/>
        <v>21.95</v>
      </c>
      <c r="H28" s="141">
        <f t="shared" si="7"/>
        <v>223.02199999999999</v>
      </c>
      <c r="I28" s="144">
        <f t="shared" si="8"/>
        <v>244.97199999999998</v>
      </c>
      <c r="J28" s="143">
        <f t="shared" si="0"/>
        <v>11.685999999999979</v>
      </c>
      <c r="K28" s="145">
        <f t="shared" si="1"/>
        <v>5.0093018869542018E-2</v>
      </c>
    </row>
    <row r="29" spans="2:11" x14ac:dyDescent="0.2">
      <c r="B29" s="138">
        <v>18</v>
      </c>
      <c r="C29" s="139">
        <f t="shared" si="2"/>
        <v>2100</v>
      </c>
      <c r="D29" s="140">
        <f t="shared" si="3"/>
        <v>18.2</v>
      </c>
      <c r="E29" s="141">
        <f t="shared" si="4"/>
        <v>225.84030000000001</v>
      </c>
      <c r="F29" s="142">
        <f t="shared" si="5"/>
        <v>244.0403</v>
      </c>
      <c r="G29" s="143">
        <f t="shared" si="6"/>
        <v>21.95</v>
      </c>
      <c r="H29" s="141">
        <f t="shared" si="7"/>
        <v>234.17310000000001</v>
      </c>
      <c r="I29" s="144">
        <f t="shared" si="8"/>
        <v>256.12310000000002</v>
      </c>
      <c r="J29" s="143">
        <f t="shared" si="0"/>
        <v>12.08280000000002</v>
      </c>
      <c r="K29" s="145">
        <f t="shared" si="1"/>
        <v>4.9511494617897209E-2</v>
      </c>
    </row>
    <row r="30" spans="2:11" x14ac:dyDescent="0.2">
      <c r="B30" s="138">
        <v>19</v>
      </c>
      <c r="C30" s="139">
        <f t="shared" si="2"/>
        <v>2200</v>
      </c>
      <c r="D30" s="140">
        <f t="shared" si="3"/>
        <v>18.2</v>
      </c>
      <c r="E30" s="141">
        <f t="shared" si="4"/>
        <v>236.59459999999999</v>
      </c>
      <c r="F30" s="142">
        <f t="shared" si="5"/>
        <v>254.79459999999997</v>
      </c>
      <c r="G30" s="143">
        <f t="shared" si="6"/>
        <v>21.95</v>
      </c>
      <c r="H30" s="141">
        <f t="shared" si="7"/>
        <v>245.32419999999999</v>
      </c>
      <c r="I30" s="144">
        <f t="shared" si="8"/>
        <v>267.27420000000001</v>
      </c>
      <c r="J30" s="143">
        <f t="shared" si="0"/>
        <v>12.479600000000033</v>
      </c>
      <c r="K30" s="145">
        <f t="shared" si="1"/>
        <v>4.8979059995777126E-2</v>
      </c>
    </row>
    <row r="31" spans="2:11" x14ac:dyDescent="0.2">
      <c r="B31" s="138">
        <v>20</v>
      </c>
      <c r="C31" s="139">
        <f t="shared" si="2"/>
        <v>2300</v>
      </c>
      <c r="D31" s="140">
        <f t="shared" si="3"/>
        <v>18.2</v>
      </c>
      <c r="E31" s="141">
        <f t="shared" si="4"/>
        <v>247.34889999999999</v>
      </c>
      <c r="F31" s="142">
        <f t="shared" si="5"/>
        <v>265.5489</v>
      </c>
      <c r="G31" s="143">
        <f t="shared" si="6"/>
        <v>21.95</v>
      </c>
      <c r="H31" s="141">
        <f t="shared" si="7"/>
        <v>256.4753</v>
      </c>
      <c r="I31" s="144">
        <f t="shared" si="8"/>
        <v>278.42529999999999</v>
      </c>
      <c r="J31" s="143">
        <f t="shared" si="0"/>
        <v>12.87639999999999</v>
      </c>
      <c r="K31" s="145">
        <f t="shared" si="1"/>
        <v>4.848975085191462E-2</v>
      </c>
    </row>
    <row r="32" spans="2:11" x14ac:dyDescent="0.2">
      <c r="B32" s="138">
        <v>21</v>
      </c>
      <c r="C32" s="139">
        <f t="shared" si="2"/>
        <v>2400</v>
      </c>
      <c r="D32" s="140">
        <f t="shared" si="3"/>
        <v>18.2</v>
      </c>
      <c r="E32" s="141">
        <f t="shared" si="4"/>
        <v>258.10320000000002</v>
      </c>
      <c r="F32" s="142">
        <f t="shared" si="5"/>
        <v>276.3032</v>
      </c>
      <c r="G32" s="143">
        <f t="shared" si="6"/>
        <v>21.95</v>
      </c>
      <c r="H32" s="141">
        <f t="shared" si="7"/>
        <v>267.62639999999999</v>
      </c>
      <c r="I32" s="144">
        <f t="shared" si="8"/>
        <v>289.57639999999998</v>
      </c>
      <c r="J32" s="143">
        <f t="shared" si="0"/>
        <v>13.273199999999974</v>
      </c>
      <c r="K32" s="145">
        <f t="shared" si="1"/>
        <v>4.8038531584143701E-2</v>
      </c>
    </row>
    <row r="33" spans="1:12" x14ac:dyDescent="0.2">
      <c r="B33" s="138">
        <v>22</v>
      </c>
      <c r="C33" s="139">
        <f t="shared" si="2"/>
        <v>2500</v>
      </c>
      <c r="D33" s="140">
        <f t="shared" si="3"/>
        <v>18.2</v>
      </c>
      <c r="E33" s="141">
        <f t="shared" si="4"/>
        <v>268.85750000000002</v>
      </c>
      <c r="F33" s="142">
        <f t="shared" si="5"/>
        <v>287.0575</v>
      </c>
      <c r="G33" s="143">
        <f t="shared" si="6"/>
        <v>21.95</v>
      </c>
      <c r="H33" s="141">
        <f t="shared" si="7"/>
        <v>278.77749999999997</v>
      </c>
      <c r="I33" s="144">
        <f t="shared" si="8"/>
        <v>300.72749999999996</v>
      </c>
      <c r="J33" s="143">
        <f t="shared" si="0"/>
        <v>13.669999999999959</v>
      </c>
      <c r="K33" s="145">
        <f t="shared" si="1"/>
        <v>4.7621121203939833E-2</v>
      </c>
    </row>
    <row r="34" spans="1:12" x14ac:dyDescent="0.2">
      <c r="B34" s="138">
        <v>23</v>
      </c>
      <c r="C34" s="139">
        <f t="shared" si="2"/>
        <v>2600</v>
      </c>
      <c r="D34" s="140">
        <f t="shared" si="3"/>
        <v>18.2</v>
      </c>
      <c r="E34" s="141">
        <f t="shared" si="4"/>
        <v>279.61180000000002</v>
      </c>
      <c r="F34" s="142">
        <f t="shared" si="5"/>
        <v>297.81180000000001</v>
      </c>
      <c r="G34" s="143">
        <f t="shared" si="6"/>
        <v>21.95</v>
      </c>
      <c r="H34" s="141">
        <f t="shared" si="7"/>
        <v>289.92860000000002</v>
      </c>
      <c r="I34" s="144">
        <f t="shared" si="8"/>
        <v>311.87860000000001</v>
      </c>
      <c r="J34" s="143">
        <f t="shared" si="0"/>
        <v>14.066800000000001</v>
      </c>
      <c r="K34" s="145">
        <f t="shared" si="1"/>
        <v>4.7233857086925367E-2</v>
      </c>
    </row>
    <row r="35" spans="1:12" x14ac:dyDescent="0.2">
      <c r="B35" s="138">
        <v>24</v>
      </c>
      <c r="C35" s="139">
        <f t="shared" si="2"/>
        <v>2700</v>
      </c>
      <c r="D35" s="140">
        <f t="shared" si="3"/>
        <v>18.2</v>
      </c>
      <c r="E35" s="141">
        <f t="shared" si="4"/>
        <v>290.36610000000002</v>
      </c>
      <c r="F35" s="142">
        <f t="shared" si="5"/>
        <v>308.56610000000001</v>
      </c>
      <c r="G35" s="143">
        <f t="shared" si="6"/>
        <v>21.95</v>
      </c>
      <c r="H35" s="141">
        <f t="shared" si="7"/>
        <v>301.0797</v>
      </c>
      <c r="I35" s="144">
        <f t="shared" si="8"/>
        <v>323.02969999999999</v>
      </c>
      <c r="J35" s="143">
        <f t="shared" si="0"/>
        <v>14.463599999999985</v>
      </c>
      <c r="K35" s="145">
        <f t="shared" si="1"/>
        <v>4.6873587215186585E-2</v>
      </c>
    </row>
    <row r="36" spans="1:12" x14ac:dyDescent="0.2">
      <c r="B36" s="138">
        <v>25</v>
      </c>
      <c r="C36" s="139">
        <f t="shared" si="2"/>
        <v>2800</v>
      </c>
      <c r="D36" s="140">
        <f t="shared" si="3"/>
        <v>18.2</v>
      </c>
      <c r="E36" s="141">
        <f t="shared" si="4"/>
        <v>301.12040000000002</v>
      </c>
      <c r="F36" s="142">
        <f t="shared" si="5"/>
        <v>319.32040000000001</v>
      </c>
      <c r="G36" s="143">
        <f t="shared" si="6"/>
        <v>21.95</v>
      </c>
      <c r="H36" s="141">
        <f t="shared" si="7"/>
        <v>312.23079999999999</v>
      </c>
      <c r="I36" s="144">
        <f t="shared" si="8"/>
        <v>334.18079999999998</v>
      </c>
      <c r="J36" s="143">
        <f t="shared" si="0"/>
        <v>14.86039999999997</v>
      </c>
      <c r="K36" s="145">
        <f t="shared" si="1"/>
        <v>4.6537584194432831E-2</v>
      </c>
    </row>
    <row r="37" spans="1:12" x14ac:dyDescent="0.2">
      <c r="B37" s="138">
        <v>26</v>
      </c>
      <c r="C37" s="139">
        <f t="shared" si="2"/>
        <v>2900</v>
      </c>
      <c r="D37" s="140">
        <f t="shared" si="3"/>
        <v>18.2</v>
      </c>
      <c r="E37" s="141">
        <f t="shared" si="4"/>
        <v>311.87470000000002</v>
      </c>
      <c r="F37" s="142">
        <f t="shared" si="5"/>
        <v>330.07470000000001</v>
      </c>
      <c r="G37" s="143">
        <f t="shared" si="6"/>
        <v>21.95</v>
      </c>
      <c r="H37" s="141">
        <f t="shared" si="7"/>
        <v>323.38189999999997</v>
      </c>
      <c r="I37" s="144">
        <f t="shared" si="8"/>
        <v>345.33189999999996</v>
      </c>
      <c r="J37" s="143">
        <f t="shared" si="0"/>
        <v>15.257199999999955</v>
      </c>
      <c r="K37" s="145">
        <f t="shared" si="1"/>
        <v>4.6223476079808465E-2</v>
      </c>
    </row>
    <row r="38" spans="1:12" ht="13.5" thickBot="1" x14ac:dyDescent="0.25">
      <c r="B38" s="146">
        <v>27</v>
      </c>
      <c r="C38" s="147">
        <f t="shared" si="2"/>
        <v>3000</v>
      </c>
      <c r="D38" s="148">
        <f t="shared" si="3"/>
        <v>18.2</v>
      </c>
      <c r="E38" s="149">
        <f t="shared" si="4"/>
        <v>322.62900000000002</v>
      </c>
      <c r="F38" s="150">
        <f t="shared" si="5"/>
        <v>340.82900000000001</v>
      </c>
      <c r="G38" s="151">
        <f t="shared" si="6"/>
        <v>21.95</v>
      </c>
      <c r="H38" s="149">
        <f t="shared" si="7"/>
        <v>334.53300000000002</v>
      </c>
      <c r="I38" s="152">
        <f t="shared" si="8"/>
        <v>356.483</v>
      </c>
      <c r="J38" s="151">
        <f t="shared" si="0"/>
        <v>15.653999999999996</v>
      </c>
      <c r="K38" s="153">
        <f t="shared" si="1"/>
        <v>4.5929190297773946E-2</v>
      </c>
    </row>
    <row r="39" spans="1:12" ht="14.25" thickTop="1" thickBot="1" x14ac:dyDescent="0.25">
      <c r="A39" s="154"/>
      <c r="B39" s="155" t="s">
        <v>124</v>
      </c>
      <c r="C39" s="156">
        <f>'Res-1'!D34</f>
        <v>1203.3306072591697</v>
      </c>
      <c r="D39" s="157">
        <f t="shared" si="3"/>
        <v>18.2</v>
      </c>
      <c r="E39" s="158">
        <f t="shared" si="4"/>
        <v>129.4097834964729</v>
      </c>
      <c r="F39" s="159">
        <f t="shared" si="5"/>
        <v>147.60978349647289</v>
      </c>
      <c r="G39" s="160">
        <f t="shared" si="6"/>
        <v>21.95</v>
      </c>
      <c r="H39" s="158">
        <f t="shared" si="7"/>
        <v>134.18459934607728</v>
      </c>
      <c r="I39" s="161">
        <f t="shared" si="8"/>
        <v>156.13459934607727</v>
      </c>
      <c r="J39" s="160">
        <f t="shared" si="0"/>
        <v>8.52481584960438</v>
      </c>
      <c r="K39" s="162">
        <f t="shared" si="1"/>
        <v>5.7752376893148681E-2</v>
      </c>
      <c r="L39" s="154"/>
    </row>
    <row r="40" spans="1:12" ht="13.5" thickTop="1" x14ac:dyDescent="0.2"/>
  </sheetData>
  <mergeCells count="3">
    <mergeCell ref="D5:F5"/>
    <mergeCell ref="G5:I5"/>
    <mergeCell ref="J5:K5"/>
  </mergeCells>
  <printOptions horizontalCentered="1"/>
  <pageMargins left="0.7" right="0.7" top="0.75" bottom="0.75" header="0.3" footer="0.3"/>
  <pageSetup paperSize="9" scale="91" orientation="portrait" r:id="rId1"/>
  <headerFooter>
    <oddFooter>&amp;RExhibit JW-9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A79B-1C53-4CF9-A9DB-7A3D8CC3029B}">
  <dimension ref="A1:L41"/>
  <sheetViews>
    <sheetView tabSelected="1" view="pageBreakPreview" zoomScaleNormal="100" zoomScaleSheetLayoutView="100" workbookViewId="0">
      <selection activeCell="I4" sqref="I4"/>
    </sheetView>
  </sheetViews>
  <sheetFormatPr defaultRowHeight="12.75" x14ac:dyDescent="0.2"/>
  <cols>
    <col min="1" max="1" width="3.42578125" style="123" customWidth="1"/>
    <col min="2" max="2" width="5.28515625" style="122" customWidth="1"/>
    <col min="3" max="3" width="8.85546875" style="123"/>
    <col min="4" max="4" width="10.7109375" style="123" customWidth="1"/>
    <col min="5" max="5" width="10.5703125" style="123" bestFit="1" customWidth="1"/>
    <col min="6" max="6" width="9.5703125" style="123" bestFit="1" customWidth="1"/>
    <col min="7" max="7" width="10.5703125" style="123" customWidth="1"/>
    <col min="8" max="8" width="10.5703125" style="123" bestFit="1" customWidth="1"/>
    <col min="9" max="9" width="9.5703125" style="123" bestFit="1" customWidth="1"/>
    <col min="10" max="10" width="10.42578125" style="123" customWidth="1"/>
    <col min="11" max="11" width="7.7109375" style="123" customWidth="1"/>
    <col min="12" max="12" width="8.85546875" style="123"/>
  </cols>
  <sheetData>
    <row r="1" spans="1:12" ht="18.75" x14ac:dyDescent="0.3">
      <c r="A1" s="121" t="str">
        <f>'Present and Proposed Rates'!A1</f>
        <v>KENERGY CORP.</v>
      </c>
    </row>
    <row r="2" spans="1:12" ht="18.75" x14ac:dyDescent="0.3">
      <c r="A2" s="95" t="s">
        <v>439</v>
      </c>
      <c r="H2" s="124"/>
    </row>
    <row r="3" spans="1:12" ht="18.75" x14ac:dyDescent="0.3">
      <c r="A3" s="121" t="s">
        <v>119</v>
      </c>
    </row>
    <row r="4" spans="1:12" ht="24" customHeight="1" thickBot="1" x14ac:dyDescent="0.25"/>
    <row r="5" spans="1:12" ht="13.5" thickTop="1" x14ac:dyDescent="0.2">
      <c r="B5" s="125"/>
      <c r="C5" s="126" t="s">
        <v>111</v>
      </c>
      <c r="D5" s="618" t="s">
        <v>194</v>
      </c>
      <c r="E5" s="618"/>
      <c r="F5" s="619"/>
      <c r="G5" s="620" t="s">
        <v>96</v>
      </c>
      <c r="H5" s="618"/>
      <c r="I5" s="619"/>
      <c r="J5" s="620" t="s">
        <v>58</v>
      </c>
      <c r="K5" s="621"/>
    </row>
    <row r="6" spans="1:12" x14ac:dyDescent="0.2">
      <c r="B6" s="127" t="s">
        <v>122</v>
      </c>
      <c r="C6" s="128" t="s">
        <v>8</v>
      </c>
      <c r="D6" s="129" t="s">
        <v>118</v>
      </c>
      <c r="E6" s="129" t="s">
        <v>123</v>
      </c>
      <c r="F6" s="129" t="s">
        <v>84</v>
      </c>
      <c r="G6" s="129" t="s">
        <v>116</v>
      </c>
      <c r="H6" s="129" t="s">
        <v>117</v>
      </c>
      <c r="I6" s="129" t="s">
        <v>84</v>
      </c>
      <c r="J6" s="129" t="s">
        <v>63</v>
      </c>
      <c r="K6" s="130" t="s">
        <v>64</v>
      </c>
    </row>
    <row r="7" spans="1:12" ht="18" customHeight="1" x14ac:dyDescent="0.2">
      <c r="A7" s="131"/>
      <c r="B7" s="457"/>
      <c r="C7" s="458"/>
      <c r="D7" s="461">
        <f>'Present and Proposed Rates'!G10</f>
        <v>18.2</v>
      </c>
      <c r="E7" s="459">
        <f>'Present and Proposed Rates'!G11</f>
        <v>0.107543</v>
      </c>
      <c r="F7" s="459" t="s">
        <v>440</v>
      </c>
      <c r="G7" s="461">
        <f>'Present and Proposed Rates'!H10</f>
        <v>21.95</v>
      </c>
      <c r="H7" s="459">
        <f>'Present and Proposed Rates'!H11</f>
        <v>0.111511</v>
      </c>
      <c r="I7" s="459" t="s">
        <v>440</v>
      </c>
      <c r="J7" s="458"/>
      <c r="K7" s="460"/>
      <c r="L7" s="131"/>
    </row>
    <row r="8" spans="1:12" ht="18" customHeight="1" thickBot="1" x14ac:dyDescent="0.25">
      <c r="A8" s="131"/>
      <c r="B8" s="132"/>
      <c r="C8" s="133"/>
      <c r="D8" s="134"/>
      <c r="E8" s="136">
        <f>'Res-1'!M24</f>
        <v>2.2738041401518083E-2</v>
      </c>
      <c r="F8" s="136" t="s">
        <v>441</v>
      </c>
      <c r="G8" s="134"/>
      <c r="H8" s="136">
        <f>'Res-1'!S24</f>
        <v>2.2721647723803185E-2</v>
      </c>
      <c r="I8" s="136" t="s">
        <v>441</v>
      </c>
      <c r="J8" s="222"/>
      <c r="K8" s="137"/>
      <c r="L8" s="131"/>
    </row>
    <row r="9" spans="1:12" ht="13.5" thickTop="1" x14ac:dyDescent="0.2">
      <c r="B9" s="138">
        <v>1</v>
      </c>
      <c r="C9" s="139">
        <v>0</v>
      </c>
      <c r="D9" s="140">
        <f>D$7</f>
        <v>18.2</v>
      </c>
      <c r="E9" s="141">
        <f>($E$7+$E$8)*C9</f>
        <v>0</v>
      </c>
      <c r="F9" s="142">
        <f>E9+D9</f>
        <v>18.2</v>
      </c>
      <c r="G9" s="143">
        <f>$G$7</f>
        <v>21.95</v>
      </c>
      <c r="H9" s="141">
        <f>($H$7+$H$8)*C9</f>
        <v>0</v>
      </c>
      <c r="I9" s="144">
        <f>G9+H9</f>
        <v>21.95</v>
      </c>
      <c r="J9" s="143">
        <f t="shared" ref="J9:J40" si="0">I9-F9</f>
        <v>3.75</v>
      </c>
      <c r="K9" s="145">
        <f t="shared" ref="K9:K40" si="1">J9/F9</f>
        <v>0.20604395604395606</v>
      </c>
    </row>
    <row r="10" spans="1:12" x14ac:dyDescent="0.2">
      <c r="B10" s="138">
        <v>2</v>
      </c>
      <c r="C10" s="139">
        <f t="shared" ref="C10:C39" si="2">C9+100</f>
        <v>100</v>
      </c>
      <c r="D10" s="140">
        <f t="shared" ref="D10:D39" si="3">D$7</f>
        <v>18.2</v>
      </c>
      <c r="E10" s="141">
        <f t="shared" ref="E10:E39" si="4">($E$7+$E$8)*C10</f>
        <v>13.028104140151807</v>
      </c>
      <c r="F10" s="142">
        <f t="shared" ref="F10:F40" si="5">E10+D10</f>
        <v>31.228104140151807</v>
      </c>
      <c r="G10" s="143">
        <f t="shared" ref="G10:G39" si="6">$G$7</f>
        <v>21.95</v>
      </c>
      <c r="H10" s="141">
        <f t="shared" ref="H10:H39" si="7">($H$7+$H$8)*C10</f>
        <v>13.423264772380319</v>
      </c>
      <c r="I10" s="144">
        <f t="shared" ref="I10:I40" si="8">G10+H10</f>
        <v>35.373264772380317</v>
      </c>
      <c r="J10" s="143">
        <f t="shared" si="0"/>
        <v>4.1451606322285102</v>
      </c>
      <c r="K10" s="145">
        <f t="shared" si="1"/>
        <v>0.13273814553791097</v>
      </c>
    </row>
    <row r="11" spans="1:12" x14ac:dyDescent="0.2">
      <c r="B11" s="138">
        <v>2</v>
      </c>
      <c r="C11" s="139">
        <f t="shared" si="2"/>
        <v>200</v>
      </c>
      <c r="D11" s="140">
        <f t="shared" si="3"/>
        <v>18.2</v>
      </c>
      <c r="E11" s="141">
        <f t="shared" si="4"/>
        <v>26.056208280303615</v>
      </c>
      <c r="F11" s="142">
        <f t="shared" si="5"/>
        <v>44.256208280303611</v>
      </c>
      <c r="G11" s="143">
        <f t="shared" si="6"/>
        <v>21.95</v>
      </c>
      <c r="H11" s="141">
        <f t="shared" si="7"/>
        <v>26.846529544760639</v>
      </c>
      <c r="I11" s="144">
        <f t="shared" si="8"/>
        <v>48.796529544760638</v>
      </c>
      <c r="J11" s="143">
        <f t="shared" si="0"/>
        <v>4.5403212644570274</v>
      </c>
      <c r="K11" s="145">
        <f t="shared" si="1"/>
        <v>0.10259173663726891</v>
      </c>
    </row>
    <row r="12" spans="1:12" x14ac:dyDescent="0.2">
      <c r="B12" s="138">
        <v>3</v>
      </c>
      <c r="C12" s="139">
        <f t="shared" si="2"/>
        <v>300</v>
      </c>
      <c r="D12" s="140">
        <f t="shared" si="3"/>
        <v>18.2</v>
      </c>
      <c r="E12" s="141">
        <f t="shared" si="4"/>
        <v>39.084312420455426</v>
      </c>
      <c r="F12" s="142">
        <f t="shared" si="5"/>
        <v>57.284312420455421</v>
      </c>
      <c r="G12" s="143">
        <f t="shared" si="6"/>
        <v>21.95</v>
      </c>
      <c r="H12" s="141">
        <f t="shared" si="7"/>
        <v>40.269794317140956</v>
      </c>
      <c r="I12" s="144">
        <f t="shared" si="8"/>
        <v>62.219794317140952</v>
      </c>
      <c r="J12" s="143">
        <f t="shared" si="0"/>
        <v>4.9354818966855305</v>
      </c>
      <c r="K12" s="145">
        <f t="shared" si="1"/>
        <v>8.6157652735011955E-2</v>
      </c>
    </row>
    <row r="13" spans="1:12" x14ac:dyDescent="0.2">
      <c r="B13" s="138">
        <v>4</v>
      </c>
      <c r="C13" s="139">
        <f t="shared" si="2"/>
        <v>400</v>
      </c>
      <c r="D13" s="140">
        <f t="shared" si="3"/>
        <v>18.2</v>
      </c>
      <c r="E13" s="141">
        <f t="shared" si="4"/>
        <v>52.11241656060723</v>
      </c>
      <c r="F13" s="142">
        <f t="shared" si="5"/>
        <v>70.312416560607232</v>
      </c>
      <c r="G13" s="143">
        <f t="shared" si="6"/>
        <v>21.95</v>
      </c>
      <c r="H13" s="141">
        <f t="shared" si="7"/>
        <v>53.693059089521277</v>
      </c>
      <c r="I13" s="144">
        <f t="shared" si="8"/>
        <v>75.643059089521273</v>
      </c>
      <c r="J13" s="143">
        <f t="shared" si="0"/>
        <v>5.3306425289140407</v>
      </c>
      <c r="K13" s="145">
        <f t="shared" si="1"/>
        <v>7.5813672601043144E-2</v>
      </c>
    </row>
    <row r="14" spans="1:12" x14ac:dyDescent="0.2">
      <c r="B14" s="138">
        <v>2</v>
      </c>
      <c r="C14" s="139">
        <f t="shared" si="2"/>
        <v>500</v>
      </c>
      <c r="D14" s="140">
        <f t="shared" si="3"/>
        <v>18.2</v>
      </c>
      <c r="E14" s="141">
        <f t="shared" si="4"/>
        <v>65.140520700759041</v>
      </c>
      <c r="F14" s="142">
        <f t="shared" si="5"/>
        <v>83.340520700759043</v>
      </c>
      <c r="G14" s="143">
        <f t="shared" si="6"/>
        <v>21.95</v>
      </c>
      <c r="H14" s="141">
        <f t="shared" si="7"/>
        <v>67.116323861901591</v>
      </c>
      <c r="I14" s="144">
        <f t="shared" si="8"/>
        <v>89.066323861901594</v>
      </c>
      <c r="J14" s="143">
        <f t="shared" si="0"/>
        <v>5.7258031611425508</v>
      </c>
      <c r="K14" s="145">
        <f t="shared" si="1"/>
        <v>6.8703712347820758E-2</v>
      </c>
    </row>
    <row r="15" spans="1:12" x14ac:dyDescent="0.2">
      <c r="B15" s="138">
        <v>3</v>
      </c>
      <c r="C15" s="139">
        <f t="shared" si="2"/>
        <v>600</v>
      </c>
      <c r="D15" s="140">
        <f t="shared" si="3"/>
        <v>18.2</v>
      </c>
      <c r="E15" s="141">
        <f t="shared" si="4"/>
        <v>78.168624840910852</v>
      </c>
      <c r="F15" s="142">
        <f t="shared" si="5"/>
        <v>96.368624840910854</v>
      </c>
      <c r="G15" s="143">
        <f t="shared" si="6"/>
        <v>21.95</v>
      </c>
      <c r="H15" s="141">
        <f t="shared" si="7"/>
        <v>80.539588634281913</v>
      </c>
      <c r="I15" s="144">
        <f t="shared" si="8"/>
        <v>102.48958863428192</v>
      </c>
      <c r="J15" s="143">
        <f t="shared" si="0"/>
        <v>6.120963793371061</v>
      </c>
      <c r="K15" s="145">
        <f t="shared" si="1"/>
        <v>6.3516147537393944E-2</v>
      </c>
    </row>
    <row r="16" spans="1:12" x14ac:dyDescent="0.2">
      <c r="B16" s="138">
        <v>4</v>
      </c>
      <c r="C16" s="139">
        <f t="shared" si="2"/>
        <v>700</v>
      </c>
      <c r="D16" s="140">
        <f t="shared" si="3"/>
        <v>18.2</v>
      </c>
      <c r="E16" s="141">
        <f t="shared" si="4"/>
        <v>91.196728981062662</v>
      </c>
      <c r="F16" s="142">
        <f t="shared" si="5"/>
        <v>109.39672898106267</v>
      </c>
      <c r="G16" s="143">
        <f t="shared" si="6"/>
        <v>21.95</v>
      </c>
      <c r="H16" s="141">
        <f t="shared" si="7"/>
        <v>93.962853406662234</v>
      </c>
      <c r="I16" s="144">
        <f t="shared" si="8"/>
        <v>115.91285340666224</v>
      </c>
      <c r="J16" s="143">
        <f t="shared" si="0"/>
        <v>6.5161244255995712</v>
      </c>
      <c r="K16" s="145">
        <f t="shared" si="1"/>
        <v>5.9564161436011107E-2</v>
      </c>
    </row>
    <row r="17" spans="2:11" x14ac:dyDescent="0.2">
      <c r="B17" s="138">
        <v>5</v>
      </c>
      <c r="C17" s="139">
        <f t="shared" si="2"/>
        <v>800</v>
      </c>
      <c r="D17" s="140">
        <f t="shared" si="3"/>
        <v>18.2</v>
      </c>
      <c r="E17" s="141">
        <f t="shared" si="4"/>
        <v>104.22483312121446</v>
      </c>
      <c r="F17" s="142">
        <f t="shared" si="5"/>
        <v>122.42483312121446</v>
      </c>
      <c r="G17" s="143">
        <f t="shared" si="6"/>
        <v>21.95</v>
      </c>
      <c r="H17" s="141">
        <f t="shared" si="7"/>
        <v>107.38611817904255</v>
      </c>
      <c r="I17" s="144">
        <f t="shared" si="8"/>
        <v>129.33611817904256</v>
      </c>
      <c r="J17" s="143">
        <f t="shared" si="0"/>
        <v>6.9112850578280955</v>
      </c>
      <c r="K17" s="145">
        <f t="shared" si="1"/>
        <v>5.6453293679274527E-2</v>
      </c>
    </row>
    <row r="18" spans="2:11" s="123" customFormat="1" x14ac:dyDescent="0.2">
      <c r="B18" s="138">
        <v>6</v>
      </c>
      <c r="C18" s="139">
        <f t="shared" si="2"/>
        <v>900</v>
      </c>
      <c r="D18" s="140">
        <f t="shared" si="3"/>
        <v>18.2</v>
      </c>
      <c r="E18" s="141">
        <f t="shared" si="4"/>
        <v>117.25293726136627</v>
      </c>
      <c r="F18" s="142">
        <f t="shared" si="5"/>
        <v>135.45293726136626</v>
      </c>
      <c r="G18" s="143">
        <f t="shared" si="6"/>
        <v>21.95</v>
      </c>
      <c r="H18" s="141">
        <f t="shared" si="7"/>
        <v>120.80938295142288</v>
      </c>
      <c r="I18" s="144">
        <f t="shared" si="8"/>
        <v>142.75938295142288</v>
      </c>
      <c r="J18" s="143">
        <f t="shared" si="0"/>
        <v>7.3064456900566199</v>
      </c>
      <c r="K18" s="145">
        <f t="shared" si="1"/>
        <v>5.3940843497238482E-2</v>
      </c>
    </row>
    <row r="19" spans="2:11" s="123" customFormat="1" x14ac:dyDescent="0.2">
      <c r="B19" s="138">
        <v>7</v>
      </c>
      <c r="C19" s="139">
        <f t="shared" si="2"/>
        <v>1000</v>
      </c>
      <c r="D19" s="140">
        <f t="shared" si="3"/>
        <v>18.2</v>
      </c>
      <c r="E19" s="141">
        <f t="shared" si="4"/>
        <v>130.28104140151808</v>
      </c>
      <c r="F19" s="142">
        <f t="shared" si="5"/>
        <v>148.48104140151807</v>
      </c>
      <c r="G19" s="143">
        <f t="shared" si="6"/>
        <v>21.95</v>
      </c>
      <c r="H19" s="141">
        <f t="shared" si="7"/>
        <v>134.23264772380318</v>
      </c>
      <c r="I19" s="144">
        <f t="shared" si="8"/>
        <v>156.18264772380317</v>
      </c>
      <c r="J19" s="143">
        <f t="shared" si="0"/>
        <v>7.7016063222851017</v>
      </c>
      <c r="K19" s="145">
        <f t="shared" si="1"/>
        <v>5.1869290850800567E-2</v>
      </c>
    </row>
    <row r="20" spans="2:11" s="123" customFormat="1" x14ac:dyDescent="0.2">
      <c r="B20" s="138">
        <v>8</v>
      </c>
      <c r="C20" s="139">
        <f t="shared" si="2"/>
        <v>1100</v>
      </c>
      <c r="D20" s="140">
        <f t="shared" si="3"/>
        <v>18.2</v>
      </c>
      <c r="E20" s="141">
        <f t="shared" si="4"/>
        <v>143.30914554166989</v>
      </c>
      <c r="F20" s="142">
        <f t="shared" si="5"/>
        <v>161.50914554166988</v>
      </c>
      <c r="G20" s="143">
        <f t="shared" si="6"/>
        <v>21.95</v>
      </c>
      <c r="H20" s="141">
        <f t="shared" si="7"/>
        <v>147.6559124961835</v>
      </c>
      <c r="I20" s="144">
        <f t="shared" si="8"/>
        <v>169.60591249618349</v>
      </c>
      <c r="J20" s="143">
        <f t="shared" si="0"/>
        <v>8.0967669545136118</v>
      </c>
      <c r="K20" s="145">
        <f t="shared" si="1"/>
        <v>5.0131940995407097E-2</v>
      </c>
    </row>
    <row r="21" spans="2:11" s="123" customFormat="1" x14ac:dyDescent="0.2">
      <c r="B21" s="138">
        <v>9</v>
      </c>
      <c r="C21" s="139">
        <f t="shared" si="2"/>
        <v>1200</v>
      </c>
      <c r="D21" s="140">
        <f t="shared" si="3"/>
        <v>18.2</v>
      </c>
      <c r="E21" s="141">
        <f t="shared" si="4"/>
        <v>156.3372496818217</v>
      </c>
      <c r="F21" s="142">
        <f t="shared" si="5"/>
        <v>174.53724968182169</v>
      </c>
      <c r="G21" s="143">
        <f t="shared" si="6"/>
        <v>21.95</v>
      </c>
      <c r="H21" s="141">
        <f t="shared" si="7"/>
        <v>161.07917726856383</v>
      </c>
      <c r="I21" s="144">
        <f t="shared" si="8"/>
        <v>183.02917726856381</v>
      </c>
      <c r="J21" s="143">
        <f t="shared" si="0"/>
        <v>8.491927586742122</v>
      </c>
      <c r="K21" s="145">
        <f t="shared" si="1"/>
        <v>4.8653955543717778E-2</v>
      </c>
    </row>
    <row r="22" spans="2:11" s="123" customFormat="1" x14ac:dyDescent="0.2">
      <c r="B22" s="138">
        <v>10</v>
      </c>
      <c r="C22" s="139">
        <f t="shared" si="2"/>
        <v>1300</v>
      </c>
      <c r="D22" s="140">
        <f t="shared" si="3"/>
        <v>18.2</v>
      </c>
      <c r="E22" s="141">
        <f t="shared" si="4"/>
        <v>169.36535382197351</v>
      </c>
      <c r="F22" s="142">
        <f t="shared" si="5"/>
        <v>187.5653538219735</v>
      </c>
      <c r="G22" s="143">
        <f t="shared" si="6"/>
        <v>21.95</v>
      </c>
      <c r="H22" s="141">
        <f t="shared" si="7"/>
        <v>174.50244204094415</v>
      </c>
      <c r="I22" s="144">
        <f t="shared" si="8"/>
        <v>196.45244204094413</v>
      </c>
      <c r="J22" s="143">
        <f t="shared" si="0"/>
        <v>8.8870882189706322</v>
      </c>
      <c r="K22" s="145">
        <f t="shared" si="1"/>
        <v>4.7381288910135065E-2</v>
      </c>
    </row>
    <row r="23" spans="2:11" s="123" customFormat="1" x14ac:dyDescent="0.2">
      <c r="B23" s="138">
        <v>11</v>
      </c>
      <c r="C23" s="139">
        <f t="shared" si="2"/>
        <v>1400</v>
      </c>
      <c r="D23" s="140">
        <f t="shared" si="3"/>
        <v>18.2</v>
      </c>
      <c r="E23" s="141">
        <f t="shared" si="4"/>
        <v>182.39345796212532</v>
      </c>
      <c r="F23" s="142">
        <f t="shared" si="5"/>
        <v>200.59345796212531</v>
      </c>
      <c r="G23" s="143">
        <f t="shared" si="6"/>
        <v>21.95</v>
      </c>
      <c r="H23" s="141">
        <f t="shared" si="7"/>
        <v>187.92570681332447</v>
      </c>
      <c r="I23" s="144">
        <f t="shared" si="8"/>
        <v>209.87570681332446</v>
      </c>
      <c r="J23" s="143">
        <f t="shared" si="0"/>
        <v>9.2822488511991423</v>
      </c>
      <c r="K23" s="145">
        <f t="shared" si="1"/>
        <v>4.6273936076976913E-2</v>
      </c>
    </row>
    <row r="24" spans="2:11" s="123" customFormat="1" x14ac:dyDescent="0.2">
      <c r="B24" s="138">
        <v>12</v>
      </c>
      <c r="C24" s="139">
        <f t="shared" si="2"/>
        <v>1500</v>
      </c>
      <c r="D24" s="140">
        <f t="shared" si="3"/>
        <v>18.2</v>
      </c>
      <c r="E24" s="141">
        <f t="shared" si="4"/>
        <v>195.42156210227714</v>
      </c>
      <c r="F24" s="142">
        <f t="shared" si="5"/>
        <v>213.62156210227712</v>
      </c>
      <c r="G24" s="143">
        <f t="shared" si="6"/>
        <v>21.95</v>
      </c>
      <c r="H24" s="141">
        <f t="shared" si="7"/>
        <v>201.34897158570479</v>
      </c>
      <c r="I24" s="144">
        <f t="shared" si="8"/>
        <v>223.29897158570478</v>
      </c>
      <c r="J24" s="143">
        <f t="shared" si="0"/>
        <v>9.6774094834276525</v>
      </c>
      <c r="K24" s="145">
        <f t="shared" si="1"/>
        <v>4.5301651145095219E-2</v>
      </c>
    </row>
    <row r="25" spans="2:11" s="123" customFormat="1" x14ac:dyDescent="0.2">
      <c r="B25" s="138">
        <v>13</v>
      </c>
      <c r="C25" s="139">
        <f t="shared" si="2"/>
        <v>1600</v>
      </c>
      <c r="D25" s="140">
        <f t="shared" si="3"/>
        <v>18.2</v>
      </c>
      <c r="E25" s="141">
        <f t="shared" si="4"/>
        <v>208.44966624242892</v>
      </c>
      <c r="F25" s="142">
        <f t="shared" si="5"/>
        <v>226.64966624242891</v>
      </c>
      <c r="G25" s="143">
        <f t="shared" si="6"/>
        <v>21.95</v>
      </c>
      <c r="H25" s="141">
        <f t="shared" si="7"/>
        <v>214.77223635808511</v>
      </c>
      <c r="I25" s="144">
        <f t="shared" si="8"/>
        <v>236.7222363580851</v>
      </c>
      <c r="J25" s="143">
        <f t="shared" si="0"/>
        <v>10.072570115656191</v>
      </c>
      <c r="K25" s="145">
        <f t="shared" si="1"/>
        <v>4.4441142502642708E-2</v>
      </c>
    </row>
    <row r="26" spans="2:11" s="123" customFormat="1" x14ac:dyDescent="0.2">
      <c r="B26" s="138">
        <v>14</v>
      </c>
      <c r="C26" s="139">
        <f t="shared" si="2"/>
        <v>1700</v>
      </c>
      <c r="D26" s="140">
        <f t="shared" si="3"/>
        <v>18.2</v>
      </c>
      <c r="E26" s="141">
        <f t="shared" si="4"/>
        <v>221.47777038258073</v>
      </c>
      <c r="F26" s="142">
        <f t="shared" si="5"/>
        <v>239.67777038258072</v>
      </c>
      <c r="G26" s="143">
        <f t="shared" si="6"/>
        <v>21.95</v>
      </c>
      <c r="H26" s="141">
        <f t="shared" si="7"/>
        <v>228.19550113046543</v>
      </c>
      <c r="I26" s="144">
        <f t="shared" si="8"/>
        <v>250.14550113046542</v>
      </c>
      <c r="J26" s="143">
        <f t="shared" si="0"/>
        <v>10.467730747884701</v>
      </c>
      <c r="K26" s="145">
        <f t="shared" si="1"/>
        <v>4.3674182762864493E-2</v>
      </c>
    </row>
    <row r="27" spans="2:11" s="123" customFormat="1" x14ac:dyDescent="0.2">
      <c r="B27" s="138">
        <v>15</v>
      </c>
      <c r="C27" s="139">
        <f t="shared" si="2"/>
        <v>1800</v>
      </c>
      <c r="D27" s="140">
        <f t="shared" si="3"/>
        <v>18.2</v>
      </c>
      <c r="E27" s="141">
        <f t="shared" si="4"/>
        <v>234.50587452273254</v>
      </c>
      <c r="F27" s="142">
        <f t="shared" si="5"/>
        <v>252.70587452273253</v>
      </c>
      <c r="G27" s="143">
        <f t="shared" si="6"/>
        <v>21.95</v>
      </c>
      <c r="H27" s="141">
        <f t="shared" si="7"/>
        <v>241.61876590284575</v>
      </c>
      <c r="I27" s="144">
        <f t="shared" si="8"/>
        <v>263.56876590284577</v>
      </c>
      <c r="J27" s="143">
        <f t="shared" si="0"/>
        <v>10.86289138011324</v>
      </c>
      <c r="K27" s="145">
        <f t="shared" si="1"/>
        <v>4.2986303348227277E-2</v>
      </c>
    </row>
    <row r="28" spans="2:11" s="123" customFormat="1" x14ac:dyDescent="0.2">
      <c r="B28" s="138">
        <v>16</v>
      </c>
      <c r="C28" s="139">
        <f t="shared" si="2"/>
        <v>1900</v>
      </c>
      <c r="D28" s="140">
        <f t="shared" si="3"/>
        <v>18.2</v>
      </c>
      <c r="E28" s="141">
        <f t="shared" si="4"/>
        <v>247.53397866288435</v>
      </c>
      <c r="F28" s="142">
        <f t="shared" si="5"/>
        <v>265.73397866288434</v>
      </c>
      <c r="G28" s="143">
        <f t="shared" si="6"/>
        <v>21.95</v>
      </c>
      <c r="H28" s="141">
        <f t="shared" si="7"/>
        <v>255.04203067522607</v>
      </c>
      <c r="I28" s="144">
        <f t="shared" si="8"/>
        <v>276.99203067522609</v>
      </c>
      <c r="J28" s="143">
        <f t="shared" si="0"/>
        <v>11.25805201234175</v>
      </c>
      <c r="K28" s="145">
        <f t="shared" si="1"/>
        <v>4.2365873077239963E-2</v>
      </c>
    </row>
    <row r="29" spans="2:11" s="123" customFormat="1" x14ac:dyDescent="0.2">
      <c r="B29" s="138">
        <v>17</v>
      </c>
      <c r="C29" s="139">
        <f t="shared" si="2"/>
        <v>2000</v>
      </c>
      <c r="D29" s="140">
        <f t="shared" si="3"/>
        <v>18.2</v>
      </c>
      <c r="E29" s="141">
        <f t="shared" si="4"/>
        <v>260.56208280303616</v>
      </c>
      <c r="F29" s="142">
        <f t="shared" si="5"/>
        <v>278.76208280303615</v>
      </c>
      <c r="G29" s="143">
        <f t="shared" si="6"/>
        <v>21.95</v>
      </c>
      <c r="H29" s="141">
        <f t="shared" si="7"/>
        <v>268.46529544760637</v>
      </c>
      <c r="I29" s="144">
        <f t="shared" si="8"/>
        <v>290.41529544760635</v>
      </c>
      <c r="J29" s="143">
        <f t="shared" si="0"/>
        <v>11.653212644570203</v>
      </c>
      <c r="K29" s="145">
        <f t="shared" si="1"/>
        <v>4.180343512788276E-2</v>
      </c>
    </row>
    <row r="30" spans="2:11" s="123" customFormat="1" x14ac:dyDescent="0.2">
      <c r="B30" s="138">
        <v>18</v>
      </c>
      <c r="C30" s="139">
        <f t="shared" si="2"/>
        <v>2100</v>
      </c>
      <c r="D30" s="140">
        <f t="shared" si="3"/>
        <v>18.2</v>
      </c>
      <c r="E30" s="141">
        <f t="shared" si="4"/>
        <v>273.59018694318797</v>
      </c>
      <c r="F30" s="142">
        <f t="shared" si="5"/>
        <v>291.79018694318796</v>
      </c>
      <c r="G30" s="143">
        <f t="shared" si="6"/>
        <v>21.95</v>
      </c>
      <c r="H30" s="141">
        <f t="shared" si="7"/>
        <v>281.88856021998669</v>
      </c>
      <c r="I30" s="144">
        <f t="shared" si="8"/>
        <v>303.83856021998668</v>
      </c>
      <c r="J30" s="143">
        <f t="shared" si="0"/>
        <v>12.048373276798714</v>
      </c>
      <c r="K30" s="145">
        <f t="shared" si="1"/>
        <v>4.1291221624065622E-2</v>
      </c>
    </row>
    <row r="31" spans="2:11" s="123" customFormat="1" x14ac:dyDescent="0.2">
      <c r="B31" s="138">
        <v>19</v>
      </c>
      <c r="C31" s="139">
        <f t="shared" si="2"/>
        <v>2200</v>
      </c>
      <c r="D31" s="140">
        <f t="shared" si="3"/>
        <v>18.2</v>
      </c>
      <c r="E31" s="141">
        <f t="shared" si="4"/>
        <v>286.61829108333978</v>
      </c>
      <c r="F31" s="142">
        <f t="shared" si="5"/>
        <v>304.81829108333977</v>
      </c>
      <c r="G31" s="143">
        <f t="shared" si="6"/>
        <v>21.95</v>
      </c>
      <c r="H31" s="141">
        <f t="shared" si="7"/>
        <v>295.31182499236701</v>
      </c>
      <c r="I31" s="144">
        <f t="shared" si="8"/>
        <v>317.261824992367</v>
      </c>
      <c r="J31" s="143">
        <f t="shared" si="0"/>
        <v>12.443533909027224</v>
      </c>
      <c r="K31" s="145">
        <f t="shared" si="1"/>
        <v>4.0822792703161838E-2</v>
      </c>
    </row>
    <row r="32" spans="2:11" s="123" customFormat="1" x14ac:dyDescent="0.2">
      <c r="B32" s="138">
        <v>20</v>
      </c>
      <c r="C32" s="139">
        <f t="shared" si="2"/>
        <v>2300</v>
      </c>
      <c r="D32" s="140">
        <f t="shared" si="3"/>
        <v>18.2</v>
      </c>
      <c r="E32" s="141">
        <f t="shared" si="4"/>
        <v>299.6463952234916</v>
      </c>
      <c r="F32" s="142">
        <f t="shared" si="5"/>
        <v>317.84639522349158</v>
      </c>
      <c r="G32" s="143">
        <f t="shared" si="6"/>
        <v>21.95</v>
      </c>
      <c r="H32" s="141">
        <f t="shared" si="7"/>
        <v>308.73508976474733</v>
      </c>
      <c r="I32" s="144">
        <f t="shared" si="8"/>
        <v>330.68508976474732</v>
      </c>
      <c r="J32" s="143">
        <f t="shared" si="0"/>
        <v>12.838694541255734</v>
      </c>
      <c r="K32" s="145">
        <f t="shared" si="1"/>
        <v>4.0392764348415183E-2</v>
      </c>
    </row>
    <row r="33" spans="1:12" s="123" customFormat="1" x14ac:dyDescent="0.2">
      <c r="B33" s="138">
        <v>21</v>
      </c>
      <c r="C33" s="139">
        <f t="shared" si="2"/>
        <v>2400</v>
      </c>
      <c r="D33" s="140">
        <f t="shared" si="3"/>
        <v>18.2</v>
      </c>
      <c r="E33" s="141">
        <f t="shared" si="4"/>
        <v>312.67449936364341</v>
      </c>
      <c r="F33" s="142">
        <f t="shared" si="5"/>
        <v>330.87449936364339</v>
      </c>
      <c r="G33" s="143">
        <f t="shared" si="6"/>
        <v>21.95</v>
      </c>
      <c r="H33" s="141">
        <f t="shared" si="7"/>
        <v>322.15835453712765</v>
      </c>
      <c r="I33" s="144">
        <f t="shared" si="8"/>
        <v>344.10835453712764</v>
      </c>
      <c r="J33" s="143">
        <f t="shared" si="0"/>
        <v>13.233855173484244</v>
      </c>
      <c r="K33" s="145">
        <f t="shared" si="1"/>
        <v>3.9996600520548861E-2</v>
      </c>
    </row>
    <row r="34" spans="1:12" x14ac:dyDescent="0.2">
      <c r="B34" s="138">
        <v>22</v>
      </c>
      <c r="C34" s="139">
        <f t="shared" si="2"/>
        <v>2500</v>
      </c>
      <c r="D34" s="140">
        <f t="shared" si="3"/>
        <v>18.2</v>
      </c>
      <c r="E34" s="141">
        <f t="shared" si="4"/>
        <v>325.70260350379522</v>
      </c>
      <c r="F34" s="142">
        <f t="shared" si="5"/>
        <v>343.90260350379521</v>
      </c>
      <c r="G34" s="143">
        <f t="shared" si="6"/>
        <v>21.95</v>
      </c>
      <c r="H34" s="141">
        <f t="shared" si="7"/>
        <v>335.58161930950797</v>
      </c>
      <c r="I34" s="144">
        <f t="shared" si="8"/>
        <v>357.53161930950796</v>
      </c>
      <c r="J34" s="143">
        <f t="shared" si="0"/>
        <v>13.629015805712754</v>
      </c>
      <c r="K34" s="145">
        <f t="shared" si="1"/>
        <v>3.9630452537595715E-2</v>
      </c>
    </row>
    <row r="35" spans="1:12" x14ac:dyDescent="0.2">
      <c r="B35" s="138">
        <v>23</v>
      </c>
      <c r="C35" s="139">
        <f t="shared" si="2"/>
        <v>2600</v>
      </c>
      <c r="D35" s="140">
        <f t="shared" si="3"/>
        <v>18.2</v>
      </c>
      <c r="E35" s="141">
        <f t="shared" si="4"/>
        <v>338.73070764394703</v>
      </c>
      <c r="F35" s="142">
        <f t="shared" si="5"/>
        <v>356.93070764394702</v>
      </c>
      <c r="G35" s="143">
        <f t="shared" si="6"/>
        <v>21.95</v>
      </c>
      <c r="H35" s="141">
        <f t="shared" si="7"/>
        <v>349.00488408188829</v>
      </c>
      <c r="I35" s="144">
        <f t="shared" si="8"/>
        <v>370.95488408188828</v>
      </c>
      <c r="J35" s="143">
        <f t="shared" si="0"/>
        <v>14.024176437941264</v>
      </c>
      <c r="K35" s="145">
        <f t="shared" si="1"/>
        <v>3.9291033630905622E-2</v>
      </c>
    </row>
    <row r="36" spans="1:12" x14ac:dyDescent="0.2">
      <c r="B36" s="138">
        <v>24</v>
      </c>
      <c r="C36" s="139">
        <f t="shared" si="2"/>
        <v>2700</v>
      </c>
      <c r="D36" s="140">
        <f t="shared" si="3"/>
        <v>18.2</v>
      </c>
      <c r="E36" s="141">
        <f t="shared" si="4"/>
        <v>351.75881178409884</v>
      </c>
      <c r="F36" s="142">
        <f t="shared" si="5"/>
        <v>369.95881178409883</v>
      </c>
      <c r="G36" s="143">
        <f t="shared" si="6"/>
        <v>21.95</v>
      </c>
      <c r="H36" s="141">
        <f t="shared" si="7"/>
        <v>362.42814885426861</v>
      </c>
      <c r="I36" s="144">
        <f t="shared" si="8"/>
        <v>384.3781488542686</v>
      </c>
      <c r="J36" s="143">
        <f t="shared" si="0"/>
        <v>14.419337070169775</v>
      </c>
      <c r="K36" s="145">
        <f t="shared" si="1"/>
        <v>3.8975520006223383E-2</v>
      </c>
    </row>
    <row r="37" spans="1:12" x14ac:dyDescent="0.2">
      <c r="B37" s="138">
        <v>25</v>
      </c>
      <c r="C37" s="139">
        <f t="shared" si="2"/>
        <v>2800</v>
      </c>
      <c r="D37" s="140">
        <f t="shared" si="3"/>
        <v>18.2</v>
      </c>
      <c r="E37" s="141">
        <f t="shared" si="4"/>
        <v>364.78691592425065</v>
      </c>
      <c r="F37" s="142">
        <f t="shared" si="5"/>
        <v>382.98691592425064</v>
      </c>
      <c r="G37" s="143">
        <f t="shared" si="6"/>
        <v>21.95</v>
      </c>
      <c r="H37" s="141">
        <f t="shared" si="7"/>
        <v>375.85141362664893</v>
      </c>
      <c r="I37" s="144">
        <f t="shared" si="8"/>
        <v>397.80141362664892</v>
      </c>
      <c r="J37" s="143">
        <f t="shared" si="0"/>
        <v>14.814497702398285</v>
      </c>
      <c r="K37" s="145">
        <f t="shared" si="1"/>
        <v>3.868147209845775E-2</v>
      </c>
    </row>
    <row r="38" spans="1:12" x14ac:dyDescent="0.2">
      <c r="B38" s="138">
        <v>26</v>
      </c>
      <c r="C38" s="139">
        <f t="shared" si="2"/>
        <v>2900</v>
      </c>
      <c r="D38" s="140">
        <f t="shared" si="3"/>
        <v>18.2</v>
      </c>
      <c r="E38" s="141">
        <f t="shared" si="4"/>
        <v>377.81502006440246</v>
      </c>
      <c r="F38" s="142">
        <f t="shared" si="5"/>
        <v>396.01502006440245</v>
      </c>
      <c r="G38" s="143">
        <f t="shared" si="6"/>
        <v>21.95</v>
      </c>
      <c r="H38" s="141">
        <f t="shared" si="7"/>
        <v>389.27467839902926</v>
      </c>
      <c r="I38" s="144">
        <f t="shared" si="8"/>
        <v>411.22467839902924</v>
      </c>
      <c r="J38" s="143">
        <f t="shared" si="0"/>
        <v>15.209658334626795</v>
      </c>
      <c r="K38" s="145">
        <f t="shared" si="1"/>
        <v>3.8406771369816489E-2</v>
      </c>
    </row>
    <row r="39" spans="1:12" ht="13.5" thickBot="1" x14ac:dyDescent="0.25">
      <c r="B39" s="146">
        <v>27</v>
      </c>
      <c r="C39" s="147">
        <f t="shared" si="2"/>
        <v>3000</v>
      </c>
      <c r="D39" s="148">
        <f t="shared" si="3"/>
        <v>18.2</v>
      </c>
      <c r="E39" s="141">
        <f t="shared" si="4"/>
        <v>390.84312420455427</v>
      </c>
      <c r="F39" s="150">
        <f t="shared" si="5"/>
        <v>409.04312420455426</v>
      </c>
      <c r="G39" s="151">
        <f t="shared" si="6"/>
        <v>21.95</v>
      </c>
      <c r="H39" s="141">
        <f t="shared" si="7"/>
        <v>402.69794317140958</v>
      </c>
      <c r="I39" s="152">
        <f t="shared" si="8"/>
        <v>424.64794317140957</v>
      </c>
      <c r="J39" s="151">
        <f t="shared" si="0"/>
        <v>15.604818966855305</v>
      </c>
      <c r="K39" s="153">
        <f t="shared" si="1"/>
        <v>3.8149569185892608E-2</v>
      </c>
    </row>
    <row r="40" spans="1:12" ht="14.25" thickTop="1" thickBot="1" x14ac:dyDescent="0.25">
      <c r="A40" s="154"/>
      <c r="B40" s="155" t="s">
        <v>124</v>
      </c>
      <c r="C40" s="156">
        <f>'Res-1'!D34</f>
        <v>1203.3306072591697</v>
      </c>
      <c r="D40" s="157">
        <f>'Res-1'!O12/'Res-1'!L12</f>
        <v>18.2</v>
      </c>
      <c r="E40" s="157">
        <f>('Res-1'!O17+'Res-1'!O20+'Res-1'!O21+'Res-1'!O22+'Res-1'!O23)/'Res-1'!L12</f>
        <v>156.262257321552</v>
      </c>
      <c r="F40" s="159">
        <f t="shared" si="5"/>
        <v>174.46225732155199</v>
      </c>
      <c r="G40" s="160">
        <f>'Res-1'!U12/'Res-1'!R12</f>
        <v>21.95</v>
      </c>
      <c r="H40" s="157">
        <f>('Res-1'!U17+'Res-1'!U20+'Res-1'!U21+'Res-1'!U22+'Res-1'!U23)/'Res-1'!R12</f>
        <v>161.1180732262589</v>
      </c>
      <c r="I40" s="161">
        <f t="shared" si="8"/>
        <v>183.06807322625889</v>
      </c>
      <c r="J40" s="160">
        <f t="shared" si="0"/>
        <v>8.6058159047069012</v>
      </c>
      <c r="K40" s="162">
        <f t="shared" si="1"/>
        <v>4.9327665690152643E-2</v>
      </c>
      <c r="L40" s="154"/>
    </row>
    <row r="41" spans="1:12" ht="13.5" thickTop="1" x14ac:dyDescent="0.2"/>
  </sheetData>
  <mergeCells count="3">
    <mergeCell ref="D5:F5"/>
    <mergeCell ref="G5:I5"/>
    <mergeCell ref="J5:K5"/>
  </mergeCells>
  <printOptions horizontalCentered="1"/>
  <pageMargins left="0.7" right="0.7" top="0.75" bottom="0.75" header="0.3" footer="0.3"/>
  <pageSetup paperSize="9" scale="91" orientation="portrait" r:id="rId1"/>
  <headerFooter>
    <oddFooter>&amp;RExhibit JW-9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6AF9-BD63-42FE-9903-87CAD34F207D}">
  <sheetPr>
    <tabColor rgb="FFFFFF00"/>
  </sheetPr>
  <dimension ref="A1:AA219"/>
  <sheetViews>
    <sheetView zoomScaleNormal="100" workbookViewId="0">
      <selection activeCell="H8" sqref="H8"/>
    </sheetView>
  </sheetViews>
  <sheetFormatPr defaultRowHeight="12.75" x14ac:dyDescent="0.2"/>
  <cols>
    <col min="1" max="1" width="18.7109375" customWidth="1"/>
    <col min="2" max="2" width="20.7109375" customWidth="1"/>
    <col min="3" max="4" width="16.7109375" bestFit="1" customWidth="1"/>
    <col min="5" max="5" width="15.5703125" bestFit="1" customWidth="1"/>
    <col min="6" max="6" width="10.42578125" bestFit="1" customWidth="1"/>
    <col min="7" max="7" width="11.28515625" customWidth="1"/>
    <col min="8" max="8" width="36.140625" customWidth="1"/>
    <col min="9" max="9" width="1.28515625" customWidth="1"/>
    <col min="10" max="10" width="18.140625" bestFit="1" customWidth="1"/>
    <col min="11" max="11" width="0.7109375" customWidth="1"/>
    <col min="12" max="12" width="18.140625" bestFit="1" customWidth="1"/>
    <col min="13" max="13" width="1.28515625" customWidth="1"/>
    <col min="14" max="14" width="13" customWidth="1"/>
    <col min="15" max="15" width="1.28515625" customWidth="1"/>
    <col min="16" max="16" width="11.42578125" customWidth="1"/>
    <col min="17" max="17" width="30.140625" customWidth="1"/>
    <col min="18" max="18" width="26.5703125" customWidth="1"/>
    <col min="20" max="20" width="16.7109375" bestFit="1" customWidth="1"/>
    <col min="21" max="21" width="3" customWidth="1"/>
    <col min="22" max="22" width="16.7109375" bestFit="1" customWidth="1"/>
    <col min="23" max="23" width="2.28515625" customWidth="1"/>
    <col min="24" max="24" width="13" bestFit="1" customWidth="1"/>
    <col min="25" max="25" width="3" customWidth="1"/>
  </cols>
  <sheetData>
    <row r="1" spans="1:27" ht="15" customHeight="1" x14ac:dyDescent="0.25">
      <c r="A1" s="629" t="s">
        <v>358</v>
      </c>
      <c r="B1" s="629"/>
      <c r="C1" s="629"/>
      <c r="D1" s="629"/>
      <c r="E1" s="629"/>
      <c r="F1" s="629"/>
      <c r="G1" s="227"/>
      <c r="I1" s="333"/>
      <c r="J1" s="333"/>
      <c r="K1" s="333"/>
      <c r="L1" s="333"/>
      <c r="M1" s="333"/>
      <c r="N1" s="333"/>
      <c r="O1" s="333"/>
      <c r="P1" s="333"/>
      <c r="Q1" s="333"/>
      <c r="R1" s="623"/>
      <c r="S1" s="623"/>
      <c r="T1" s="623"/>
      <c r="U1" s="623"/>
      <c r="V1" s="623"/>
      <c r="W1" s="623"/>
      <c r="X1" s="623"/>
      <c r="Y1" s="623"/>
      <c r="Z1" s="623"/>
      <c r="AA1" s="623"/>
    </row>
    <row r="2" spans="1:27" ht="15.75" x14ac:dyDescent="0.25">
      <c r="A2" s="334"/>
      <c r="B2" s="334"/>
      <c r="C2" s="334"/>
      <c r="D2" s="334"/>
      <c r="E2" s="334"/>
      <c r="F2" s="334"/>
      <c r="G2" s="227"/>
      <c r="H2" s="333"/>
      <c r="I2" s="333"/>
      <c r="J2" s="333"/>
      <c r="K2" s="333"/>
      <c r="L2" s="333"/>
      <c r="M2" s="333"/>
      <c r="N2" s="333"/>
      <c r="O2" s="333"/>
      <c r="P2" s="333"/>
      <c r="Q2" s="335"/>
    </row>
    <row r="3" spans="1:27" ht="13.15" customHeight="1" x14ac:dyDescent="0.25">
      <c r="A3" s="630" t="s">
        <v>359</v>
      </c>
      <c r="B3" s="630"/>
      <c r="C3" s="630"/>
      <c r="D3" s="630"/>
      <c r="E3" s="630"/>
      <c r="F3" s="630"/>
      <c r="G3" s="227"/>
      <c r="Q3" s="336"/>
    </row>
    <row r="4" spans="1:27" ht="15.75" x14ac:dyDescent="0.25">
      <c r="A4" s="630"/>
      <c r="B4" s="630"/>
      <c r="C4" s="630"/>
      <c r="D4" s="630"/>
      <c r="E4" s="630"/>
      <c r="F4" s="630"/>
      <c r="G4" s="229"/>
      <c r="H4" s="337"/>
      <c r="Q4" s="336"/>
    </row>
    <row r="5" spans="1:27" ht="15.75" x14ac:dyDescent="0.25">
      <c r="A5" s="630"/>
      <c r="B5" s="630"/>
      <c r="C5" s="630"/>
      <c r="D5" s="630"/>
      <c r="E5" s="630"/>
      <c r="F5" s="630"/>
      <c r="G5" s="334"/>
      <c r="H5" s="336"/>
      <c r="I5" s="336"/>
      <c r="J5" s="336"/>
      <c r="K5" s="336"/>
      <c r="L5" s="336"/>
      <c r="M5" s="336"/>
      <c r="O5" s="337"/>
      <c r="Q5" s="336"/>
    </row>
    <row r="6" spans="1:27" ht="13.15" customHeight="1" x14ac:dyDescent="0.25">
      <c r="A6" s="630"/>
      <c r="B6" s="630"/>
      <c r="C6" s="630"/>
      <c r="D6" s="630"/>
      <c r="E6" s="630"/>
      <c r="F6" s="630"/>
      <c r="G6" s="334"/>
      <c r="I6" s="336"/>
      <c r="K6" s="336"/>
      <c r="M6" s="336"/>
      <c r="O6" s="337"/>
      <c r="Q6" s="336"/>
    </row>
    <row r="7" spans="1:27" ht="15" x14ac:dyDescent="0.2">
      <c r="A7" s="338"/>
      <c r="B7" s="338"/>
      <c r="C7" s="338"/>
      <c r="D7" s="338"/>
      <c r="E7" s="338"/>
      <c r="F7" s="338"/>
      <c r="G7" s="334"/>
      <c r="I7" s="336"/>
      <c r="K7" s="336"/>
      <c r="M7" s="336"/>
      <c r="O7" s="339"/>
      <c r="Q7" s="336"/>
    </row>
    <row r="8" spans="1:27" ht="15.75" customHeight="1" x14ac:dyDescent="0.2">
      <c r="A8" s="631" t="s">
        <v>360</v>
      </c>
      <c r="B8" s="631"/>
      <c r="C8" s="631"/>
      <c r="D8" s="631"/>
      <c r="E8" s="631"/>
      <c r="F8" s="631"/>
      <c r="G8" s="340"/>
      <c r="I8" s="336"/>
      <c r="K8" s="336"/>
      <c r="M8" s="336"/>
      <c r="O8" s="339"/>
      <c r="Q8" s="336"/>
    </row>
    <row r="9" spans="1:27" ht="15" x14ac:dyDescent="0.2">
      <c r="A9" s="229"/>
      <c r="B9" s="229"/>
      <c r="C9" s="229"/>
      <c r="D9" s="229"/>
      <c r="E9" s="229"/>
      <c r="F9" s="229"/>
      <c r="G9" s="340"/>
      <c r="I9" s="336"/>
      <c r="K9" s="336"/>
      <c r="M9" s="336"/>
      <c r="O9" s="339"/>
      <c r="Q9" s="336"/>
    </row>
    <row r="10" spans="1:27" ht="15.75" x14ac:dyDescent="0.25">
      <c r="A10" s="341"/>
      <c r="B10" s="341"/>
      <c r="C10" s="632" t="s">
        <v>361</v>
      </c>
      <c r="D10" s="632"/>
      <c r="E10" s="632" t="s">
        <v>362</v>
      </c>
      <c r="F10" s="632"/>
      <c r="G10" s="340"/>
      <c r="I10" s="336"/>
      <c r="K10" s="336"/>
      <c r="M10" s="336"/>
      <c r="O10" s="339"/>
      <c r="Q10" s="336"/>
    </row>
    <row r="11" spans="1:27" ht="15.75" x14ac:dyDescent="0.25">
      <c r="A11" s="343" t="s">
        <v>363</v>
      </c>
      <c r="B11" s="343"/>
      <c r="C11" s="341"/>
      <c r="D11" s="341"/>
      <c r="E11" s="341"/>
      <c r="F11" s="341"/>
      <c r="G11" s="340"/>
      <c r="I11" s="344"/>
      <c r="K11" s="336"/>
      <c r="M11" s="336"/>
      <c r="O11" s="339"/>
      <c r="Q11" s="336"/>
    </row>
    <row r="12" spans="1:27" ht="16.5" customHeight="1" x14ac:dyDescent="0.25">
      <c r="A12" s="341"/>
      <c r="B12" s="341"/>
      <c r="C12" s="341"/>
      <c r="D12" s="341"/>
      <c r="E12" s="341"/>
      <c r="F12" s="341"/>
      <c r="G12" s="338"/>
      <c r="I12" s="344"/>
      <c r="K12" s="336"/>
      <c r="M12" s="336"/>
      <c r="O12" s="339"/>
      <c r="Q12" s="336"/>
    </row>
    <row r="13" spans="1:27" ht="15" x14ac:dyDescent="0.2">
      <c r="A13" s="627" t="s">
        <v>364</v>
      </c>
      <c r="B13" s="627"/>
      <c r="C13" s="380">
        <f>'Present and Proposed Rates'!G10</f>
        <v>18.2</v>
      </c>
      <c r="D13" s="345" t="s">
        <v>365</v>
      </c>
      <c r="E13" s="380">
        <f>'Present and Proposed Rates'!H10</f>
        <v>21.95</v>
      </c>
      <c r="F13" s="345" t="s">
        <v>365</v>
      </c>
      <c r="G13" s="229"/>
      <c r="I13" s="336"/>
      <c r="K13" s="336"/>
      <c r="M13" s="336"/>
      <c r="O13" s="339"/>
      <c r="Q13" s="336"/>
    </row>
    <row r="14" spans="1:27" ht="15.75" x14ac:dyDescent="0.25">
      <c r="A14" s="627" t="s">
        <v>366</v>
      </c>
      <c r="B14" s="627"/>
      <c r="C14" s="347">
        <f>'Present and Proposed Rates'!G11</f>
        <v>0.107543</v>
      </c>
      <c r="D14" s="341"/>
      <c r="E14" s="347">
        <f>'Present and Proposed Rates'!H11</f>
        <v>0.111511</v>
      </c>
      <c r="F14" s="341"/>
      <c r="G14" s="229"/>
      <c r="I14" s="336"/>
      <c r="K14" s="336"/>
      <c r="M14" s="336"/>
      <c r="O14" s="339"/>
      <c r="Q14" s="336"/>
    </row>
    <row r="15" spans="1:27" ht="15.75" x14ac:dyDescent="0.25">
      <c r="A15" s="341"/>
      <c r="B15" s="341"/>
      <c r="C15" s="341"/>
      <c r="D15" s="341"/>
      <c r="E15" s="341"/>
      <c r="F15" s="341"/>
      <c r="G15" s="340"/>
      <c r="I15" s="336"/>
      <c r="K15" s="336"/>
      <c r="M15" s="336"/>
      <c r="O15" s="339"/>
      <c r="Q15" s="336"/>
    </row>
    <row r="16" spans="1:27" ht="15.75" x14ac:dyDescent="0.25">
      <c r="A16" s="622" t="s">
        <v>367</v>
      </c>
      <c r="B16" s="622"/>
      <c r="C16" s="341"/>
      <c r="D16" s="341"/>
      <c r="E16" s="341"/>
      <c r="F16" s="341"/>
      <c r="G16" s="229"/>
      <c r="I16" s="336"/>
      <c r="K16" s="336"/>
      <c r="M16" s="336"/>
      <c r="O16" s="339"/>
      <c r="Q16" s="336"/>
    </row>
    <row r="17" spans="1:17" ht="15.75" x14ac:dyDescent="0.25">
      <c r="A17" s="341"/>
      <c r="B17" s="341"/>
      <c r="C17" s="341"/>
      <c r="D17" s="341"/>
      <c r="E17" s="341"/>
      <c r="F17" s="341"/>
      <c r="G17" s="342"/>
      <c r="M17" s="336"/>
      <c r="N17" s="336"/>
      <c r="O17" s="336"/>
      <c r="P17" s="336"/>
      <c r="Q17" s="336"/>
    </row>
    <row r="18" spans="1:17" ht="15.75" x14ac:dyDescent="0.25">
      <c r="A18" s="627" t="s">
        <v>364</v>
      </c>
      <c r="B18" s="627"/>
      <c r="C18" s="380">
        <f>'Present and Proposed Rates'!G13</f>
        <v>22.1</v>
      </c>
      <c r="D18" s="345" t="s">
        <v>365</v>
      </c>
      <c r="E18" s="380">
        <f>'Present and Proposed Rates'!H13</f>
        <v>22.1</v>
      </c>
      <c r="F18" s="345" t="s">
        <v>365</v>
      </c>
      <c r="G18" s="341"/>
      <c r="M18" s="336"/>
      <c r="N18" s="336"/>
      <c r="O18" s="336"/>
      <c r="P18" s="336"/>
      <c r="Q18" s="336"/>
    </row>
    <row r="19" spans="1:17" ht="15.75" x14ac:dyDescent="0.25">
      <c r="A19" s="627" t="s">
        <v>366</v>
      </c>
      <c r="B19" s="627"/>
      <c r="C19" s="347">
        <f>'Present and Proposed Rates'!G14</f>
        <v>0.100744</v>
      </c>
      <c r="D19" s="341"/>
      <c r="E19" s="347">
        <f>'Present and Proposed Rates'!H14</f>
        <v>0.100744</v>
      </c>
      <c r="F19" s="341"/>
      <c r="G19" s="341"/>
      <c r="M19" s="336"/>
      <c r="N19" s="336"/>
      <c r="O19" s="336"/>
      <c r="P19" s="336"/>
      <c r="Q19" s="336"/>
    </row>
    <row r="20" spans="1:17" ht="15.75" x14ac:dyDescent="0.25">
      <c r="A20" s="341"/>
      <c r="B20" s="341"/>
      <c r="C20" s="341"/>
      <c r="D20" s="341"/>
      <c r="E20" s="341"/>
      <c r="F20" s="341"/>
      <c r="G20" s="345"/>
      <c r="Q20" s="336"/>
    </row>
    <row r="21" spans="1:17" ht="15.75" x14ac:dyDescent="0.25">
      <c r="A21" s="622" t="s">
        <v>368</v>
      </c>
      <c r="B21" s="622"/>
      <c r="C21" s="341"/>
      <c r="D21" s="341"/>
      <c r="E21" s="341"/>
      <c r="F21" s="341"/>
      <c r="G21" s="341"/>
      <c r="Q21" s="336"/>
    </row>
    <row r="22" spans="1:17" ht="15.75" x14ac:dyDescent="0.25">
      <c r="A22" s="343" t="s">
        <v>369</v>
      </c>
      <c r="B22" s="343"/>
      <c r="C22" s="341"/>
      <c r="D22" s="341"/>
      <c r="E22" s="341"/>
      <c r="F22" s="341"/>
      <c r="G22" s="341"/>
      <c r="Q22" s="336"/>
    </row>
    <row r="23" spans="1:17" ht="15.75" x14ac:dyDescent="0.25">
      <c r="A23" s="341"/>
      <c r="B23" s="341"/>
      <c r="C23" s="341"/>
      <c r="D23" s="341"/>
      <c r="E23" s="341"/>
      <c r="F23" s="341"/>
      <c r="G23" s="341"/>
      <c r="Q23" s="336"/>
    </row>
    <row r="24" spans="1:17" ht="15.75" x14ac:dyDescent="0.25">
      <c r="A24" s="627" t="s">
        <v>364</v>
      </c>
      <c r="B24" s="627"/>
      <c r="C24" s="380">
        <f>'Present and Proposed Rates'!G16</f>
        <v>45.52</v>
      </c>
      <c r="D24" s="345" t="s">
        <v>365</v>
      </c>
      <c r="E24" s="346">
        <f>'Present and Proposed Rates'!H16</f>
        <v>45.52</v>
      </c>
      <c r="F24" s="345" t="s">
        <v>365</v>
      </c>
      <c r="G24" s="341"/>
      <c r="Q24" s="336"/>
    </row>
    <row r="25" spans="1:17" ht="15.75" x14ac:dyDescent="0.25">
      <c r="A25" s="627" t="s">
        <v>370</v>
      </c>
      <c r="B25" s="627"/>
      <c r="C25" s="341"/>
      <c r="D25" s="341"/>
      <c r="E25" s="341"/>
      <c r="F25" s="341"/>
      <c r="G25" s="345"/>
      <c r="Q25" s="336"/>
    </row>
    <row r="26" spans="1:17" ht="17.25" customHeight="1" x14ac:dyDescent="0.25">
      <c r="A26" s="627" t="s">
        <v>371</v>
      </c>
      <c r="B26" s="627"/>
      <c r="C26" s="380">
        <f>'Present and Proposed Rates'!G20</f>
        <v>5.78</v>
      </c>
      <c r="D26" s="341"/>
      <c r="E26" s="380">
        <f>'Present and Proposed Rates'!H20</f>
        <v>5.78</v>
      </c>
      <c r="F26" s="341"/>
      <c r="G26" s="341"/>
    </row>
    <row r="27" spans="1:17" ht="15" x14ac:dyDescent="0.25">
      <c r="A27" s="627" t="s">
        <v>372</v>
      </c>
      <c r="B27" s="627"/>
      <c r="C27" s="341"/>
      <c r="D27" s="341"/>
      <c r="E27" s="341"/>
      <c r="F27" s="341"/>
      <c r="G27" s="341"/>
    </row>
    <row r="28" spans="1:17" ht="15" x14ac:dyDescent="0.25">
      <c r="A28" s="627" t="s">
        <v>373</v>
      </c>
      <c r="B28" s="627"/>
      <c r="C28" s="347">
        <f>'Present and Proposed Rates'!G17</f>
        <v>8.7489999999999998E-2</v>
      </c>
      <c r="D28" s="341"/>
      <c r="E28" s="347">
        <f>'Present and Proposed Rates'!H17</f>
        <v>8.7489999999999998E-2</v>
      </c>
      <c r="F28" s="341"/>
      <c r="G28" s="341"/>
    </row>
    <row r="29" spans="1:17" ht="15" x14ac:dyDescent="0.25">
      <c r="A29" s="627" t="s">
        <v>374</v>
      </c>
      <c r="B29" s="627"/>
      <c r="C29" s="347">
        <f>'Present and Proposed Rates'!G18</f>
        <v>6.7100000000000007E-2</v>
      </c>
      <c r="D29" s="341"/>
      <c r="E29" s="347">
        <f>'Present and Proposed Rates'!H18</f>
        <v>6.7100000000000007E-2</v>
      </c>
      <c r="F29" s="341"/>
      <c r="G29" s="341"/>
    </row>
    <row r="30" spans="1:17" ht="15" x14ac:dyDescent="0.25">
      <c r="A30" s="627" t="s">
        <v>375</v>
      </c>
      <c r="B30" s="627"/>
      <c r="C30" s="347">
        <f>'Present and Proposed Rates'!G19</f>
        <v>5.9400000000000001E-2</v>
      </c>
      <c r="D30" s="341"/>
      <c r="E30" s="347">
        <f>'Present and Proposed Rates'!H19</f>
        <v>5.9400000000000001E-2</v>
      </c>
      <c r="F30" s="341"/>
      <c r="G30" s="341"/>
    </row>
    <row r="31" spans="1:17" ht="15" x14ac:dyDescent="0.25">
      <c r="A31" s="627"/>
      <c r="B31" s="627"/>
      <c r="C31" s="348"/>
      <c r="D31" s="341"/>
      <c r="E31" s="348"/>
      <c r="F31" s="341"/>
      <c r="G31" s="345"/>
    </row>
    <row r="32" spans="1:17" ht="15" x14ac:dyDescent="0.25">
      <c r="A32" s="622" t="s">
        <v>376</v>
      </c>
      <c r="B32" s="622"/>
      <c r="C32" s="341"/>
      <c r="D32" s="341"/>
      <c r="E32" s="341"/>
      <c r="F32" s="341"/>
      <c r="G32" s="341"/>
    </row>
    <row r="33" spans="1:18" ht="15" x14ac:dyDescent="0.25">
      <c r="A33" s="622" t="s">
        <v>377</v>
      </c>
      <c r="B33" s="622"/>
      <c r="C33" s="622"/>
      <c r="D33" s="341"/>
      <c r="E33" s="341"/>
      <c r="F33" s="341"/>
      <c r="G33" s="341"/>
    </row>
    <row r="34" spans="1:18" ht="15.75" customHeight="1" x14ac:dyDescent="0.25">
      <c r="A34" s="341"/>
      <c r="B34" s="341"/>
      <c r="C34" s="341"/>
      <c r="D34" s="341"/>
      <c r="E34" s="341"/>
      <c r="F34" s="341"/>
      <c r="G34" s="341"/>
      <c r="I34" s="335"/>
      <c r="J34" s="335"/>
      <c r="K34" s="335"/>
      <c r="L34" s="335"/>
      <c r="M34" s="335"/>
      <c r="N34" s="335"/>
    </row>
    <row r="35" spans="1:18" ht="15.75" x14ac:dyDescent="0.25">
      <c r="A35" s="627" t="s">
        <v>378</v>
      </c>
      <c r="B35" s="627"/>
      <c r="C35" s="341"/>
      <c r="D35" s="341"/>
      <c r="E35" s="341"/>
      <c r="F35" s="341"/>
      <c r="G35" s="341"/>
      <c r="H35" s="335"/>
      <c r="I35" s="335"/>
      <c r="J35" s="335"/>
      <c r="K35" s="335"/>
      <c r="L35" s="335"/>
      <c r="M35" s="335"/>
      <c r="N35" s="335"/>
    </row>
    <row r="36" spans="1:18" ht="15.75" x14ac:dyDescent="0.25">
      <c r="A36" s="627" t="s">
        <v>379</v>
      </c>
      <c r="B36" s="627"/>
      <c r="C36" s="380">
        <f>'Present and Proposed Rates'!G22</f>
        <v>975.27</v>
      </c>
      <c r="D36" s="345" t="s">
        <v>365</v>
      </c>
      <c r="E36" s="346">
        <f>'Present and Proposed Rates'!H22</f>
        <v>975.27</v>
      </c>
      <c r="F36" s="345" t="s">
        <v>365</v>
      </c>
      <c r="G36" s="341"/>
      <c r="H36" s="335"/>
      <c r="I36" s="335"/>
      <c r="J36" s="335"/>
      <c r="K36" s="335"/>
      <c r="L36" s="335"/>
      <c r="M36" s="335"/>
      <c r="N36" s="335"/>
    </row>
    <row r="37" spans="1:18" ht="15.75" x14ac:dyDescent="0.25">
      <c r="A37" s="627" t="s">
        <v>370</v>
      </c>
      <c r="B37" s="627"/>
      <c r="C37" s="341"/>
      <c r="D37" s="341"/>
      <c r="E37" s="341"/>
      <c r="F37" s="341"/>
      <c r="G37" s="341"/>
      <c r="H37" s="335"/>
      <c r="I37" s="335"/>
      <c r="J37" s="335"/>
      <c r="K37" s="335"/>
      <c r="L37" s="335"/>
      <c r="M37" s="335"/>
      <c r="N37" s="335"/>
    </row>
    <row r="38" spans="1:18" ht="15" customHeight="1" x14ac:dyDescent="0.25">
      <c r="A38" s="627" t="s">
        <v>371</v>
      </c>
      <c r="B38" s="627"/>
      <c r="C38" s="380">
        <f>'Present and Proposed Rates'!G26</f>
        <v>12.7</v>
      </c>
      <c r="D38" s="341"/>
      <c r="E38" s="380">
        <f>'Present and Proposed Rates'!H26</f>
        <v>12.7</v>
      </c>
      <c r="F38" s="341"/>
      <c r="G38" s="341"/>
      <c r="H38" s="335"/>
      <c r="I38" s="335"/>
      <c r="J38" s="335"/>
      <c r="K38" s="335"/>
      <c r="L38" s="335"/>
      <c r="M38" s="335"/>
      <c r="N38" s="335"/>
    </row>
    <row r="39" spans="1:18" ht="15.75" x14ac:dyDescent="0.25">
      <c r="A39" s="627" t="s">
        <v>372</v>
      </c>
      <c r="B39" s="627"/>
      <c r="C39" s="341"/>
      <c r="D39" s="341"/>
      <c r="E39" s="341"/>
      <c r="F39" s="341"/>
      <c r="G39" s="341"/>
      <c r="H39" s="335"/>
      <c r="I39" s="335"/>
      <c r="J39" s="335"/>
      <c r="K39" s="335"/>
      <c r="L39" s="335"/>
      <c r="M39" s="335"/>
      <c r="N39" s="335"/>
      <c r="O39" s="339"/>
      <c r="P39" s="339"/>
      <c r="Q39" s="336"/>
    </row>
    <row r="40" spans="1:18" ht="24.95" customHeight="1" x14ac:dyDescent="0.25">
      <c r="A40" s="627" t="s">
        <v>373</v>
      </c>
      <c r="B40" s="627"/>
      <c r="C40" s="347">
        <f>'Present and Proposed Rates'!G23</f>
        <v>5.4068999999999999E-2</v>
      </c>
      <c r="D40" s="341"/>
      <c r="E40" s="347">
        <f>'Present and Proposed Rates'!H23</f>
        <v>5.4068999999999999E-2</v>
      </c>
      <c r="F40" s="341"/>
      <c r="G40" s="341"/>
      <c r="H40" s="335"/>
      <c r="I40" s="335"/>
      <c r="J40" s="335"/>
      <c r="K40" s="335"/>
      <c r="L40" s="335"/>
      <c r="M40" s="335"/>
      <c r="N40" s="335"/>
      <c r="O40" s="335"/>
      <c r="P40" s="335"/>
      <c r="Q40" s="336"/>
      <c r="R40" s="336"/>
    </row>
    <row r="41" spans="1:18" ht="24.95" customHeight="1" x14ac:dyDescent="0.25">
      <c r="A41" s="627" t="s">
        <v>374</v>
      </c>
      <c r="B41" s="627"/>
      <c r="C41" s="347">
        <f>'Present and Proposed Rates'!G24</f>
        <v>4.9666000000000002E-2</v>
      </c>
      <c r="D41" s="341"/>
      <c r="E41" s="347">
        <f>'Present and Proposed Rates'!H24</f>
        <v>4.9666000000000002E-2</v>
      </c>
      <c r="F41" s="341"/>
      <c r="G41" s="341"/>
      <c r="H41" s="335"/>
      <c r="I41" s="335"/>
      <c r="J41" s="335"/>
      <c r="K41" s="335"/>
      <c r="L41" s="335"/>
      <c r="M41" s="335"/>
      <c r="N41" s="335"/>
      <c r="O41" s="335"/>
      <c r="P41" s="335"/>
      <c r="Q41" s="349"/>
    </row>
    <row r="42" spans="1:18" ht="24.95" customHeight="1" x14ac:dyDescent="0.25">
      <c r="A42" s="627" t="s">
        <v>375</v>
      </c>
      <c r="B42" s="627"/>
      <c r="C42" s="347">
        <f>'Present and Proposed Rates'!G25</f>
        <v>4.7012999999999999E-2</v>
      </c>
      <c r="D42" s="341"/>
      <c r="E42" s="347">
        <f>'Present and Proposed Rates'!H25</f>
        <v>4.7012999999999999E-2</v>
      </c>
      <c r="F42" s="341"/>
      <c r="G42" s="341"/>
      <c r="I42" s="335"/>
      <c r="J42" s="335"/>
      <c r="K42" s="335"/>
      <c r="L42" s="335"/>
      <c r="M42" s="335"/>
      <c r="N42" s="335"/>
      <c r="O42" s="335"/>
      <c r="P42" s="335"/>
      <c r="Q42" s="349"/>
    </row>
    <row r="43" spans="1:18" ht="24.95" customHeight="1" x14ac:dyDescent="0.25">
      <c r="A43" s="628"/>
      <c r="B43" s="628"/>
      <c r="C43" s="625"/>
      <c r="D43" s="625"/>
      <c r="E43" s="625"/>
      <c r="F43" s="625"/>
      <c r="G43" s="341"/>
      <c r="H43" s="626"/>
      <c r="I43" s="626"/>
      <c r="J43" s="626"/>
      <c r="K43" s="626"/>
      <c r="L43" s="626"/>
      <c r="M43" s="626"/>
      <c r="N43" s="626"/>
      <c r="O43" s="335"/>
      <c r="P43" s="335"/>
      <c r="Q43" s="349"/>
    </row>
    <row r="44" spans="1:18" ht="16.899999999999999" customHeight="1" x14ac:dyDescent="0.25">
      <c r="A44" s="627" t="s">
        <v>380</v>
      </c>
      <c r="B44" s="627"/>
      <c r="C44" s="341"/>
      <c r="D44" s="341"/>
      <c r="E44" s="341"/>
      <c r="F44" s="341"/>
      <c r="G44" s="341"/>
      <c r="H44" s="351"/>
      <c r="I44" s="351"/>
      <c r="J44" s="351"/>
      <c r="K44" s="351"/>
      <c r="L44" s="351"/>
      <c r="M44" s="351"/>
      <c r="N44" s="351"/>
      <c r="O44" s="351"/>
      <c r="P44" s="351"/>
      <c r="Q44" s="349"/>
    </row>
    <row r="45" spans="1:18" ht="15.75" x14ac:dyDescent="0.25">
      <c r="A45" s="627" t="s">
        <v>379</v>
      </c>
      <c r="B45" s="627"/>
      <c r="C45" s="380">
        <f>'Present and Proposed Rates'!G27</f>
        <v>975.27</v>
      </c>
      <c r="D45" s="345" t="s">
        <v>365</v>
      </c>
      <c r="E45" s="346">
        <f>'Present and Proposed Rates'!H27</f>
        <v>975.27</v>
      </c>
      <c r="F45" s="345" t="s">
        <v>365</v>
      </c>
      <c r="G45" s="341"/>
      <c r="H45" s="351"/>
      <c r="I45" s="351"/>
      <c r="J45" s="351"/>
      <c r="K45" s="351"/>
      <c r="L45" s="351"/>
      <c r="M45" s="351"/>
      <c r="N45" s="351"/>
      <c r="O45" s="351"/>
      <c r="P45" s="351"/>
      <c r="Q45" s="351"/>
      <c r="R45" s="349"/>
    </row>
    <row r="46" spans="1:18" ht="21.95" customHeight="1" x14ac:dyDescent="0.25">
      <c r="A46" s="627" t="s">
        <v>370</v>
      </c>
      <c r="B46" s="627"/>
      <c r="C46" s="341"/>
      <c r="D46" s="341"/>
      <c r="E46" s="341"/>
      <c r="F46" s="341"/>
      <c r="G46" s="341"/>
      <c r="I46" s="335"/>
      <c r="J46" s="335"/>
      <c r="K46" s="335"/>
      <c r="L46" s="335"/>
      <c r="M46" s="335"/>
      <c r="N46" s="335"/>
      <c r="O46" s="335"/>
      <c r="P46" s="335"/>
      <c r="Q46" s="336"/>
    </row>
    <row r="47" spans="1:18" ht="21.95" customHeight="1" x14ac:dyDescent="0.25">
      <c r="A47" s="627" t="s">
        <v>371</v>
      </c>
      <c r="B47" s="627"/>
      <c r="C47" s="380">
        <f>'Present and Proposed Rates'!G30</f>
        <v>7.15</v>
      </c>
      <c r="D47" s="341"/>
      <c r="E47" s="380">
        <f>'Present and Proposed Rates'!H30</f>
        <v>7.15</v>
      </c>
      <c r="F47" s="341"/>
      <c r="G47" s="341"/>
      <c r="H47" s="335"/>
      <c r="I47" s="335"/>
      <c r="J47" s="335"/>
      <c r="K47" s="335"/>
      <c r="L47" s="335"/>
      <c r="M47" s="335"/>
      <c r="N47" s="335"/>
      <c r="O47" s="335"/>
      <c r="P47" s="335"/>
      <c r="Q47" s="336"/>
    </row>
    <row r="48" spans="1:18" ht="21.95" customHeight="1" x14ac:dyDescent="0.25">
      <c r="A48" s="627" t="s">
        <v>372</v>
      </c>
      <c r="B48" s="627"/>
      <c r="C48" s="341"/>
      <c r="D48" s="341"/>
      <c r="E48" s="341"/>
      <c r="F48" s="341"/>
      <c r="G48" s="341"/>
      <c r="H48" s="335"/>
      <c r="I48" s="335"/>
      <c r="J48" s="335"/>
      <c r="K48" s="335"/>
      <c r="L48" s="335"/>
      <c r="M48" s="335"/>
      <c r="N48" s="335"/>
      <c r="O48" s="335"/>
      <c r="P48" s="335"/>
      <c r="Q48" s="336"/>
      <c r="R48" s="336"/>
    </row>
    <row r="49" spans="1:18" ht="21.95" customHeight="1" x14ac:dyDescent="0.25">
      <c r="A49" s="627" t="s">
        <v>381</v>
      </c>
      <c r="B49" s="627"/>
      <c r="C49" s="347">
        <f>'Present and Proposed Rates'!G28</f>
        <v>7.4912999999999993E-2</v>
      </c>
      <c r="D49" s="341"/>
      <c r="E49" s="347">
        <f>'Present and Proposed Rates'!H28</f>
        <v>7.4912999999999993E-2</v>
      </c>
      <c r="F49" s="341"/>
      <c r="G49" s="341"/>
      <c r="H49" s="335"/>
      <c r="I49" s="335"/>
      <c r="J49" s="335"/>
      <c r="K49" s="335"/>
      <c r="L49" s="335"/>
      <c r="M49" s="335"/>
      <c r="N49" s="335"/>
      <c r="O49" s="335"/>
      <c r="P49" s="335"/>
      <c r="Q49" s="336"/>
    </row>
    <row r="50" spans="1:18" ht="21.95" customHeight="1" x14ac:dyDescent="0.25">
      <c r="A50" s="627" t="s">
        <v>382</v>
      </c>
      <c r="B50" s="627"/>
      <c r="C50" s="347">
        <f>'Present and Proposed Rates'!G29</f>
        <v>6.5609000000000001E-2</v>
      </c>
      <c r="D50" s="341"/>
      <c r="E50" s="347">
        <f>'Present and Proposed Rates'!H29</f>
        <v>6.5609000000000001E-2</v>
      </c>
      <c r="F50" s="341"/>
      <c r="G50" s="350"/>
      <c r="H50" s="335"/>
      <c r="I50" s="335"/>
      <c r="J50" s="335"/>
      <c r="K50" s="335"/>
      <c r="L50" s="335"/>
      <c r="M50" s="335"/>
      <c r="N50" s="335"/>
      <c r="O50" s="335"/>
      <c r="P50" s="335"/>
      <c r="Q50" s="336"/>
    </row>
    <row r="51" spans="1:18" ht="21.95" customHeight="1" x14ac:dyDescent="0.25">
      <c r="A51" s="345"/>
      <c r="B51" s="345"/>
      <c r="C51" s="347"/>
      <c r="D51" s="341"/>
      <c r="E51" s="347"/>
      <c r="F51" s="341"/>
      <c r="G51" s="341"/>
      <c r="H51" s="335"/>
      <c r="I51" s="335"/>
      <c r="J51" s="335"/>
      <c r="K51" s="335"/>
      <c r="L51" s="335"/>
      <c r="M51" s="335"/>
      <c r="N51" s="335"/>
      <c r="O51" s="335"/>
      <c r="P51" s="335"/>
      <c r="Q51" s="351"/>
      <c r="R51" s="349"/>
    </row>
    <row r="52" spans="1:18" ht="21.95" customHeight="1" x14ac:dyDescent="0.25">
      <c r="A52" s="352" t="s">
        <v>383</v>
      </c>
      <c r="B52" s="229"/>
      <c r="C52" s="229"/>
      <c r="D52" s="229"/>
      <c r="E52" s="229"/>
      <c r="F52" s="229"/>
      <c r="G52" s="345"/>
      <c r="H52" s="351"/>
      <c r="I52" s="351"/>
      <c r="J52" s="351"/>
      <c r="K52" s="351"/>
      <c r="L52" s="351"/>
      <c r="M52" s="351"/>
      <c r="N52" s="351"/>
      <c r="O52" s="351"/>
      <c r="P52" s="351"/>
      <c r="Q52" s="336"/>
    </row>
    <row r="53" spans="1:18" ht="15.75" x14ac:dyDescent="0.25">
      <c r="A53" s="228" t="s">
        <v>197</v>
      </c>
      <c r="B53" s="229"/>
      <c r="C53" s="229"/>
      <c r="D53" s="229"/>
      <c r="E53" s="229"/>
      <c r="F53" s="229"/>
      <c r="G53" s="341"/>
      <c r="H53" s="351"/>
      <c r="I53" s="351"/>
      <c r="J53" s="351"/>
      <c r="K53" s="351"/>
      <c r="L53" s="351"/>
      <c r="M53" s="351"/>
      <c r="N53" s="351"/>
      <c r="O53" s="351"/>
      <c r="P53" s="351"/>
      <c r="Q53" s="336"/>
    </row>
    <row r="54" spans="1:18" ht="15.75" x14ac:dyDescent="0.25">
      <c r="A54" s="228" t="str">
        <f>[4]lights!B13</f>
        <v>Not available for New Installations after December 1, 2012:</v>
      </c>
      <c r="B54" s="229"/>
      <c r="C54" s="229"/>
      <c r="D54" s="229"/>
      <c r="E54" s="229"/>
      <c r="F54" s="229"/>
      <c r="G54" s="341"/>
      <c r="H54" s="351"/>
      <c r="I54" s="351"/>
      <c r="J54" s="351"/>
      <c r="K54" s="351"/>
      <c r="L54" s="351"/>
      <c r="M54" s="351"/>
      <c r="N54" s="351"/>
      <c r="O54" s="351"/>
      <c r="P54" s="351"/>
      <c r="Q54" s="336"/>
    </row>
    <row r="55" spans="1:18" ht="15.75" x14ac:dyDescent="0.25">
      <c r="A55" s="229" t="str">
        <f>[4]lights!B14</f>
        <v>7000 LUMEN-175W-MERCURY VAPOR</v>
      </c>
      <c r="B55" s="229"/>
      <c r="C55" s="353">
        <f>Lighting!F15</f>
        <v>11.28</v>
      </c>
      <c r="D55" s="354"/>
      <c r="E55" s="353">
        <f>Lighting!M15</f>
        <v>11.28</v>
      </c>
      <c r="F55" s="229"/>
      <c r="G55" s="341"/>
      <c r="H55" s="381"/>
      <c r="I55" s="351"/>
      <c r="J55" s="351"/>
      <c r="K55" s="351"/>
      <c r="L55" s="351"/>
      <c r="M55" s="351"/>
      <c r="N55" s="351"/>
      <c r="O55" s="351"/>
      <c r="P55" s="351"/>
      <c r="Q55" s="336"/>
    </row>
    <row r="56" spans="1:18" ht="15.75" x14ac:dyDescent="0.25">
      <c r="A56" s="229" t="str">
        <f>[4]lights!B15</f>
        <v>12000 LUMEN-250W-MERCURY VAPOR</v>
      </c>
      <c r="B56" s="229"/>
      <c r="C56" s="353">
        <f>Lighting!F16</f>
        <v>13.74</v>
      </c>
      <c r="D56" s="354"/>
      <c r="E56" s="353">
        <f>Lighting!M16</f>
        <v>13.74</v>
      </c>
      <c r="F56" s="229"/>
      <c r="G56" s="341"/>
      <c r="H56" s="381"/>
      <c r="I56" s="336"/>
      <c r="J56" s="336"/>
      <c r="K56" s="336"/>
      <c r="L56" s="336"/>
      <c r="M56" s="336"/>
      <c r="N56" s="336"/>
      <c r="O56" s="336"/>
      <c r="P56" s="336"/>
      <c r="Q56" s="336"/>
    </row>
    <row r="57" spans="1:18" ht="15.75" x14ac:dyDescent="0.25">
      <c r="A57" s="229" t="str">
        <f>[4]lights!B16</f>
        <v>20000 LUMEN-400W-MERCURY VAPOR</v>
      </c>
      <c r="B57" s="229"/>
      <c r="C57" s="353">
        <f>Lighting!F17</f>
        <v>16.809999999999999</v>
      </c>
      <c r="D57" s="354"/>
      <c r="E57" s="353">
        <f>Lighting!M17</f>
        <v>16.809999999999999</v>
      </c>
      <c r="F57" s="229"/>
      <c r="G57" s="341"/>
      <c r="H57" s="381"/>
      <c r="I57" s="336"/>
      <c r="J57" s="336"/>
      <c r="K57" s="336"/>
      <c r="L57" s="336"/>
      <c r="M57" s="336"/>
      <c r="N57" s="336"/>
      <c r="O57" s="336"/>
      <c r="P57" s="336"/>
      <c r="Q57" s="336"/>
    </row>
    <row r="58" spans="1:18" ht="15.75" x14ac:dyDescent="0.25">
      <c r="A58" s="229" t="str">
        <f>[4]lights!B17</f>
        <v>9500 LUMEN-100W-HPS</v>
      </c>
      <c r="B58" s="229"/>
      <c r="C58" s="353">
        <f>Lighting!F18</f>
        <v>10.02</v>
      </c>
      <c r="D58" s="354"/>
      <c r="E58" s="353">
        <f>Lighting!M18</f>
        <v>10.02</v>
      </c>
      <c r="F58" s="229"/>
      <c r="G58" s="355"/>
      <c r="H58" s="381"/>
      <c r="I58" s="336"/>
      <c r="J58" s="336"/>
      <c r="K58" s="336"/>
      <c r="L58" s="336"/>
      <c r="M58" s="336"/>
      <c r="N58" s="336"/>
      <c r="O58" s="336"/>
      <c r="P58" s="336"/>
      <c r="Q58" s="336"/>
    </row>
    <row r="59" spans="1:18" ht="15" x14ac:dyDescent="0.2">
      <c r="A59" s="229" t="str">
        <f>[4]lights!B18</f>
        <v>9000 LUMEN-100W METAL HALIDE (MH)</v>
      </c>
      <c r="B59" s="229"/>
      <c r="C59" s="353">
        <f>Lighting!F19</f>
        <v>9.4499999999999993</v>
      </c>
      <c r="D59" s="354"/>
      <c r="E59" s="353">
        <f>Lighting!M19</f>
        <v>9.4499999999999993</v>
      </c>
      <c r="F59" s="229"/>
      <c r="G59" s="229"/>
      <c r="H59" s="381"/>
      <c r="I59" s="336"/>
      <c r="J59" s="336"/>
      <c r="K59" s="336"/>
      <c r="L59" s="336"/>
      <c r="M59" s="336"/>
      <c r="N59" s="336"/>
      <c r="O59" s="336"/>
      <c r="P59" s="336"/>
      <c r="Q59" s="336"/>
    </row>
    <row r="60" spans="1:18" ht="15" x14ac:dyDescent="0.2">
      <c r="A60" s="229" t="str">
        <f>[4]lights!B19</f>
        <v>24000 LUMEN-400W METAL HALIDE (MH)</v>
      </c>
      <c r="B60" s="229"/>
      <c r="C60" s="353">
        <f>Lighting!F20</f>
        <v>20.32</v>
      </c>
      <c r="D60" s="354"/>
      <c r="E60" s="353">
        <f>Lighting!M20</f>
        <v>20.32</v>
      </c>
      <c r="F60" s="229"/>
      <c r="G60" s="229"/>
      <c r="H60" s="381"/>
      <c r="I60" s="336"/>
      <c r="J60" s="336"/>
      <c r="K60" s="336"/>
      <c r="L60" s="336"/>
      <c r="M60" s="336"/>
      <c r="N60" s="336"/>
      <c r="O60" s="336"/>
      <c r="P60" s="336"/>
      <c r="Q60" s="336"/>
    </row>
    <row r="61" spans="1:18" ht="15.75" x14ac:dyDescent="0.25">
      <c r="A61" s="228" t="s">
        <v>384</v>
      </c>
      <c r="B61" s="229"/>
      <c r="C61" s="353"/>
      <c r="D61" s="354"/>
      <c r="E61" s="353"/>
      <c r="F61" s="229"/>
      <c r="G61" s="229"/>
      <c r="H61" s="381"/>
      <c r="I61" s="356"/>
      <c r="J61" s="356"/>
      <c r="K61" s="356"/>
      <c r="L61" s="356"/>
      <c r="M61" s="356"/>
      <c r="N61" s="356"/>
      <c r="O61" s="356"/>
      <c r="P61" s="356"/>
      <c r="Q61" s="356"/>
    </row>
    <row r="62" spans="1:18" ht="15" x14ac:dyDescent="0.2">
      <c r="A62" s="229" t="str">
        <f>[4]lights!B21</f>
        <v>20000/27000 LUMEN-200/250W- HPS</v>
      </c>
      <c r="B62" s="229"/>
      <c r="C62" s="353">
        <f>Lighting!F22</f>
        <v>15.06</v>
      </c>
      <c r="D62" s="354"/>
      <c r="E62" s="353">
        <f>Lighting!M22</f>
        <v>15.06</v>
      </c>
      <c r="F62" s="229"/>
      <c r="G62" s="229"/>
      <c r="H62" s="381"/>
      <c r="I62" s="336"/>
      <c r="J62" s="336"/>
      <c r="K62" s="336"/>
      <c r="L62" s="336"/>
      <c r="M62" s="336"/>
      <c r="N62" s="336"/>
      <c r="O62" s="336"/>
      <c r="P62" s="336"/>
      <c r="Q62" s="336"/>
    </row>
    <row r="63" spans="1:18" ht="15" x14ac:dyDescent="0.2">
      <c r="A63" s="229" t="str">
        <f>[4]lights!B22</f>
        <v>61000 LUMEN-400W-HPS-FLOOD LGT</v>
      </c>
      <c r="B63" s="229"/>
      <c r="C63" s="353">
        <f>Lighting!F23</f>
        <v>18.88</v>
      </c>
      <c r="D63" s="354"/>
      <c r="E63" s="353">
        <f>Lighting!M23</f>
        <v>18.88</v>
      </c>
      <c r="F63" s="229"/>
      <c r="G63" s="229"/>
      <c r="H63" s="381"/>
      <c r="I63" s="336"/>
      <c r="J63" s="336"/>
      <c r="K63" s="336"/>
      <c r="L63" s="336"/>
      <c r="M63" s="336"/>
      <c r="N63" s="336"/>
      <c r="O63" s="336"/>
      <c r="P63" s="336"/>
      <c r="Q63" s="336"/>
    </row>
    <row r="64" spans="1:18" ht="15.75" x14ac:dyDescent="0.25">
      <c r="A64" s="228" t="s">
        <v>385</v>
      </c>
      <c r="B64" s="229"/>
      <c r="C64" s="353"/>
      <c r="D64" s="354"/>
      <c r="E64" s="353"/>
      <c r="F64" s="229"/>
      <c r="G64" s="229"/>
      <c r="H64" s="381"/>
      <c r="I64" s="336"/>
      <c r="J64" s="336"/>
      <c r="K64" s="336"/>
      <c r="L64" s="336"/>
      <c r="M64" s="336"/>
      <c r="N64" s="336"/>
      <c r="O64" s="336"/>
      <c r="P64" s="336"/>
      <c r="Q64" s="336"/>
    </row>
    <row r="65" spans="1:18" ht="15" x14ac:dyDescent="0.2">
      <c r="A65" s="229" t="str">
        <f>[4]lights!B24</f>
        <v>5200 LUMEN-60W-LED NEMA HEAD</v>
      </c>
      <c r="B65" s="229"/>
      <c r="C65" s="353">
        <f>Lighting!F25</f>
        <v>8.56</v>
      </c>
      <c r="D65" s="354"/>
      <c r="E65" s="353">
        <f>Lighting!M25</f>
        <v>8.56</v>
      </c>
      <c r="F65" s="229"/>
      <c r="G65" s="229"/>
      <c r="H65" s="381"/>
      <c r="I65" s="357"/>
      <c r="J65" s="336"/>
      <c r="K65" s="336"/>
      <c r="L65" s="336"/>
      <c r="M65" s="336"/>
      <c r="N65" s="336"/>
      <c r="O65" s="336"/>
      <c r="P65" s="336"/>
      <c r="Q65" s="336"/>
    </row>
    <row r="66" spans="1:18" ht="15" x14ac:dyDescent="0.2">
      <c r="A66" s="229" t="str">
        <f>[4]lights!B25</f>
        <v>9500 LUMEN-108W-LED MID OUTPUT</v>
      </c>
      <c r="B66" s="229"/>
      <c r="C66" s="353">
        <f>Lighting!F26</f>
        <v>10.86</v>
      </c>
      <c r="D66" s="354"/>
      <c r="E66" s="353">
        <f>Lighting!M26</f>
        <v>10.86</v>
      </c>
      <c r="F66" s="229"/>
      <c r="G66" s="229"/>
      <c r="H66" s="381"/>
      <c r="I66" s="357"/>
      <c r="J66" s="336"/>
      <c r="K66" s="336"/>
      <c r="L66" s="336"/>
      <c r="M66" s="336"/>
      <c r="N66" s="336"/>
      <c r="O66" s="336"/>
      <c r="P66" s="336"/>
      <c r="Q66" s="336"/>
      <c r="R66" s="356"/>
    </row>
    <row r="67" spans="1:18" ht="15" x14ac:dyDescent="0.2">
      <c r="A67" s="229" t="str">
        <f>[4]lights!B26</f>
        <v>11000 LUMEN-135W-LED HIGH OUTPUT</v>
      </c>
      <c r="B67" s="229"/>
      <c r="C67" s="353">
        <f>Lighting!F27</f>
        <v>13.28</v>
      </c>
      <c r="D67" s="354"/>
      <c r="E67" s="353">
        <f>Lighting!M27</f>
        <v>13.28</v>
      </c>
      <c r="F67" s="229"/>
      <c r="G67" s="229"/>
      <c r="H67" s="381"/>
      <c r="I67" s="356"/>
      <c r="J67" s="356"/>
      <c r="K67" s="356"/>
      <c r="L67" s="356"/>
      <c r="M67" s="356"/>
      <c r="N67" s="356"/>
      <c r="O67" s="356"/>
      <c r="P67" s="356"/>
      <c r="Q67" s="356"/>
    </row>
    <row r="68" spans="1:18" ht="15.75" x14ac:dyDescent="0.25">
      <c r="A68" s="228" t="s">
        <v>213</v>
      </c>
      <c r="B68" s="229"/>
      <c r="C68" s="353"/>
      <c r="D68" s="354"/>
      <c r="E68" s="353"/>
      <c r="F68" s="229"/>
      <c r="G68" s="229"/>
      <c r="H68" s="381"/>
      <c r="I68" s="358"/>
    </row>
    <row r="69" spans="1:18" ht="15.75" x14ac:dyDescent="0.25">
      <c r="A69" s="228" t="s">
        <v>385</v>
      </c>
      <c r="B69" s="229"/>
      <c r="C69" s="353"/>
      <c r="D69" s="354"/>
      <c r="E69" s="353"/>
      <c r="F69" s="229"/>
      <c r="G69" s="229"/>
      <c r="H69" s="381"/>
      <c r="I69" s="358"/>
    </row>
    <row r="70" spans="1:18" ht="15.75" x14ac:dyDescent="0.25">
      <c r="A70" s="228" t="s">
        <v>214</v>
      </c>
      <c r="B70" s="229"/>
      <c r="C70" s="353"/>
      <c r="D70" s="354"/>
      <c r="E70" s="353"/>
      <c r="F70" s="229"/>
      <c r="G70" s="229"/>
      <c r="H70" s="381"/>
    </row>
    <row r="71" spans="1:18" ht="15" x14ac:dyDescent="0.2">
      <c r="A71" s="229" t="str">
        <f>[4]lights!B31</f>
        <v>18500 LUMEN 192W-LED FLOOD</v>
      </c>
      <c r="B71" s="229"/>
      <c r="C71" s="353">
        <f>Lighting!F32</f>
        <v>17.260000000000002</v>
      </c>
      <c r="D71" s="354"/>
      <c r="E71" s="353">
        <f>Lighting!M32</f>
        <v>17.260000000000002</v>
      </c>
      <c r="F71" s="229"/>
      <c r="G71" s="229"/>
      <c r="H71" s="381"/>
    </row>
    <row r="72" spans="1:18" ht="15.75" x14ac:dyDescent="0.25">
      <c r="A72" s="228" t="s">
        <v>386</v>
      </c>
      <c r="B72" s="229"/>
      <c r="C72" s="353">
        <f>Lighting!F33</f>
        <v>0</v>
      </c>
      <c r="D72" s="354"/>
      <c r="E72" s="353">
        <f>Lighting!M33</f>
        <v>0</v>
      </c>
      <c r="F72" s="229"/>
      <c r="G72" s="229"/>
      <c r="H72" s="381"/>
    </row>
    <row r="73" spans="1:18" ht="15" x14ac:dyDescent="0.2">
      <c r="A73" s="229" t="str">
        <f>[4]lights!B33</f>
        <v>28000 LUMEN HPS-250W-FLOOD LGT</v>
      </c>
      <c r="B73" s="229"/>
      <c r="C73" s="353">
        <f>Lighting!F34</f>
        <v>14.6</v>
      </c>
      <c r="D73" s="354"/>
      <c r="E73" s="353">
        <f>Lighting!M34</f>
        <v>14.6</v>
      </c>
      <c r="F73" s="229"/>
      <c r="G73" s="229"/>
      <c r="H73" s="381"/>
    </row>
    <row r="74" spans="1:18" ht="15" x14ac:dyDescent="0.2">
      <c r="A74" s="229" t="str">
        <f>[4]lights!B34</f>
        <v>61000 LUMEN-400W-HPS-FLOOD LGT</v>
      </c>
      <c r="B74" s="229"/>
      <c r="C74" s="353">
        <f>Lighting!F35</f>
        <v>18.88</v>
      </c>
      <c r="D74" s="354"/>
      <c r="E74" s="353">
        <f>Lighting!M35</f>
        <v>18.88</v>
      </c>
      <c r="F74" s="229"/>
      <c r="G74" s="229"/>
      <c r="H74" s="381"/>
    </row>
    <row r="75" spans="1:18" ht="15" x14ac:dyDescent="0.2">
      <c r="A75" s="229" t="str">
        <f>[4]lights!B35</f>
        <v>140000 LUM-1000W-HPS-FLOOD LGT</v>
      </c>
      <c r="B75" s="229"/>
      <c r="C75" s="353">
        <f>Lighting!F36</f>
        <v>41.78</v>
      </c>
      <c r="D75" s="354"/>
      <c r="E75" s="353">
        <f>Lighting!M36</f>
        <v>41.78</v>
      </c>
      <c r="F75" s="229"/>
      <c r="G75" s="229"/>
      <c r="H75" s="381"/>
    </row>
    <row r="76" spans="1:18" ht="15" x14ac:dyDescent="0.2">
      <c r="A76" s="229" t="str">
        <f>[4]lights!B36</f>
        <v>19500 LUMEN-250W-MH-FLOOD LGT</v>
      </c>
      <c r="B76" s="229"/>
      <c r="C76" s="353">
        <f>Lighting!F37</f>
        <v>13.97</v>
      </c>
      <c r="D76" s="354"/>
      <c r="E76" s="353">
        <f>Lighting!M37</f>
        <v>13.97</v>
      </c>
      <c r="F76" s="229"/>
      <c r="G76" s="229"/>
      <c r="H76" s="381"/>
    </row>
    <row r="77" spans="1:18" ht="15" x14ac:dyDescent="0.2">
      <c r="A77" s="229" t="str">
        <f>[4]lights!B37</f>
        <v>32000 LUMEN-400W-MH-FLOOD LGT</v>
      </c>
      <c r="B77" s="229"/>
      <c r="C77" s="353">
        <f>Lighting!F38</f>
        <v>18.8</v>
      </c>
      <c r="D77" s="354"/>
      <c r="E77" s="353">
        <f>Lighting!M38</f>
        <v>18.8</v>
      </c>
      <c r="F77" s="229"/>
      <c r="G77" s="229"/>
      <c r="H77" s="381"/>
    </row>
    <row r="78" spans="1:18" ht="15" x14ac:dyDescent="0.2">
      <c r="A78" s="229" t="str">
        <f>[4]lights!B38</f>
        <v>107000 LUM-1000W-MH-FLOOD LGT</v>
      </c>
      <c r="B78" s="229"/>
      <c r="C78" s="353">
        <f>Lighting!F39</f>
        <v>41.16</v>
      </c>
      <c r="D78" s="354"/>
      <c r="E78" s="353">
        <f>Lighting!M39</f>
        <v>41.16</v>
      </c>
      <c r="F78" s="229"/>
      <c r="G78" s="229"/>
      <c r="H78" s="381"/>
    </row>
    <row r="79" spans="1:18" ht="15.75" x14ac:dyDescent="0.25">
      <c r="A79" s="228" t="s">
        <v>387</v>
      </c>
      <c r="B79" s="229"/>
      <c r="C79" s="353"/>
      <c r="D79" s="354"/>
      <c r="E79" s="353"/>
      <c r="F79" s="229"/>
      <c r="G79" s="229"/>
      <c r="H79" s="381"/>
    </row>
    <row r="80" spans="1:18" ht="15.75" x14ac:dyDescent="0.25">
      <c r="A80" s="228" t="s">
        <v>222</v>
      </c>
      <c r="B80" s="229"/>
      <c r="C80" s="353"/>
      <c r="D80" s="354"/>
      <c r="E80" s="353"/>
      <c r="F80" s="229"/>
      <c r="G80" s="229"/>
      <c r="H80" s="381"/>
    </row>
    <row r="81" spans="1:12" ht="15" x14ac:dyDescent="0.2">
      <c r="A81" s="229" t="str">
        <f>[4]lights!B41</f>
        <v>28000 LUMEN-250W-HPS SHOEBOX</v>
      </c>
      <c r="B81" s="229"/>
      <c r="C81" s="353">
        <f>Lighting!F42</f>
        <v>15.96</v>
      </c>
      <c r="D81" s="354"/>
      <c r="E81" s="353">
        <f>Lighting!M42</f>
        <v>15.96</v>
      </c>
      <c r="F81" s="229"/>
      <c r="G81" s="229"/>
      <c r="H81" s="381"/>
    </row>
    <row r="82" spans="1:12" ht="15" x14ac:dyDescent="0.2">
      <c r="A82" s="229" t="str">
        <f>[4]lights!B42</f>
        <v>61000 LUMEN-400W-HPS SHOEBOX</v>
      </c>
      <c r="B82" s="229"/>
      <c r="C82" s="353">
        <f>Lighting!F43</f>
        <v>20.9</v>
      </c>
      <c r="D82" s="354"/>
      <c r="E82" s="353">
        <f>Lighting!M43</f>
        <v>20.9</v>
      </c>
      <c r="F82" s="229"/>
      <c r="G82" s="229"/>
      <c r="H82" s="381"/>
    </row>
    <row r="83" spans="1:12" ht="15" x14ac:dyDescent="0.2">
      <c r="A83" s="229" t="str">
        <f>[4]lights!B43</f>
        <v>140000 LUMENS-1000W-HPS SHOEBOX</v>
      </c>
      <c r="B83" s="229"/>
      <c r="C83" s="353">
        <f>Lighting!F44</f>
        <v>41.98</v>
      </c>
      <c r="D83" s="354"/>
      <c r="E83" s="353">
        <f>Lighting!M44</f>
        <v>41.98</v>
      </c>
      <c r="F83" s="229"/>
      <c r="G83" s="229"/>
      <c r="H83" s="381"/>
    </row>
    <row r="84" spans="1:12" ht="15" x14ac:dyDescent="0.2">
      <c r="A84" s="229" t="str">
        <f>[4]lights!B44</f>
        <v>19500 LUMEN-250W-MH SHOEBOX</v>
      </c>
      <c r="B84" s="229"/>
      <c r="C84" s="353">
        <f>Lighting!F45</f>
        <v>15.79</v>
      </c>
      <c r="D84" s="354"/>
      <c r="E84" s="353">
        <f>Lighting!M45</f>
        <v>15.79</v>
      </c>
      <c r="F84" s="229"/>
      <c r="G84" s="229"/>
      <c r="H84" s="381"/>
    </row>
    <row r="85" spans="1:12" ht="15" x14ac:dyDescent="0.2">
      <c r="A85" s="229" t="str">
        <f>[4]lights!B45</f>
        <v>32000 LUMENS-400W-MH SHOEBOX</v>
      </c>
      <c r="B85" s="229"/>
      <c r="C85" s="353">
        <f>Lighting!F46</f>
        <v>20.49</v>
      </c>
      <c r="D85" s="354"/>
      <c r="E85" s="353">
        <f>Lighting!M46</f>
        <v>20.49</v>
      </c>
      <c r="F85" s="229"/>
      <c r="G85" s="229"/>
      <c r="H85" s="381"/>
    </row>
    <row r="86" spans="1:12" ht="15" x14ac:dyDescent="0.2">
      <c r="A86" s="229" t="str">
        <f>[4]lights!B46</f>
        <v>107000 LUMENS-1000W-MH SHOEBOX</v>
      </c>
      <c r="B86" s="229"/>
      <c r="C86" s="353">
        <f>Lighting!F47</f>
        <v>43.47</v>
      </c>
      <c r="D86" s="354"/>
      <c r="E86" s="353">
        <f>Lighting!M47</f>
        <v>43.47</v>
      </c>
      <c r="F86" s="229"/>
      <c r="G86" s="229"/>
      <c r="H86" s="381"/>
    </row>
    <row r="87" spans="1:12" ht="15.75" x14ac:dyDescent="0.25">
      <c r="A87" s="228" t="s">
        <v>387</v>
      </c>
      <c r="B87" s="229"/>
      <c r="C87" s="353"/>
      <c r="D87" s="354"/>
      <c r="E87" s="353"/>
      <c r="F87" s="229"/>
      <c r="G87" s="229"/>
      <c r="H87" s="381"/>
    </row>
    <row r="88" spans="1:12" ht="15.75" x14ac:dyDescent="0.25">
      <c r="A88" s="228" t="s">
        <v>229</v>
      </c>
      <c r="B88" s="229"/>
      <c r="C88" s="353"/>
      <c r="D88" s="354"/>
      <c r="E88" s="353"/>
      <c r="F88" s="229"/>
      <c r="G88" s="229"/>
      <c r="H88" s="381"/>
      <c r="L88" s="359"/>
    </row>
    <row r="89" spans="1:12" ht="15" x14ac:dyDescent="0.2">
      <c r="A89" s="229" t="str">
        <f>[4]lights!B49</f>
        <v>9000 LUM-100W-MH ACORN GLOBE</v>
      </c>
      <c r="B89" s="229"/>
      <c r="C89" s="353">
        <f>Lighting!F50</f>
        <v>13.73</v>
      </c>
      <c r="D89" s="354"/>
      <c r="E89" s="353">
        <f>Lighting!M50</f>
        <v>13.73</v>
      </c>
      <c r="F89" s="229"/>
      <c r="G89" s="229"/>
      <c r="H89" s="381"/>
    </row>
    <row r="90" spans="1:12" ht="15" x14ac:dyDescent="0.2">
      <c r="A90" s="229" t="str">
        <f>[4]lights!B50</f>
        <v>16600 LUM-175W-MH ACORN GLOBE</v>
      </c>
      <c r="B90" s="229"/>
      <c r="C90" s="353">
        <f>Lighting!F51</f>
        <v>16.91</v>
      </c>
      <c r="D90" s="354"/>
      <c r="E90" s="353">
        <f>Lighting!M51</f>
        <v>16.91</v>
      </c>
      <c r="F90" s="229"/>
      <c r="G90" s="229"/>
      <c r="H90" s="381"/>
    </row>
    <row r="91" spans="1:12" ht="15" x14ac:dyDescent="0.2">
      <c r="A91" s="229" t="str">
        <f>[4]lights!B51</f>
        <v>9000 LUM-100W-MH ROUND GLOBE</v>
      </c>
      <c r="B91" s="229"/>
      <c r="C91" s="353">
        <f>Lighting!F52</f>
        <v>13.47</v>
      </c>
      <c r="D91" s="354"/>
      <c r="E91" s="353">
        <f>Lighting!M52</f>
        <v>13.47</v>
      </c>
      <c r="F91" s="229"/>
      <c r="G91" s="229"/>
      <c r="H91" s="381"/>
    </row>
    <row r="92" spans="1:12" ht="15" x14ac:dyDescent="0.2">
      <c r="A92" s="229" t="str">
        <f>[4]lights!B52</f>
        <v>16600 LUM-175W-MH ROUND GLOBE</v>
      </c>
      <c r="B92" s="229"/>
      <c r="C92" s="353">
        <f>Lighting!F53</f>
        <v>16.440000000000001</v>
      </c>
      <c r="D92" s="354"/>
      <c r="E92" s="353">
        <f>Lighting!M53</f>
        <v>16.440000000000001</v>
      </c>
      <c r="F92" s="229"/>
      <c r="G92" s="229"/>
      <c r="H92" s="381"/>
    </row>
    <row r="93" spans="1:12" ht="15" x14ac:dyDescent="0.2">
      <c r="A93" s="229" t="str">
        <f>[4]lights!B53</f>
        <v>16600 LUM-175W-MH LANTERN GLOBE</v>
      </c>
      <c r="B93" s="229"/>
      <c r="C93" s="353">
        <f>Lighting!F54</f>
        <v>15.85</v>
      </c>
      <c r="D93" s="354"/>
      <c r="E93" s="353">
        <f>Lighting!M54</f>
        <v>15.85</v>
      </c>
      <c r="F93" s="229"/>
      <c r="G93" s="229"/>
      <c r="H93" s="381"/>
    </row>
    <row r="94" spans="1:12" ht="15" x14ac:dyDescent="0.2">
      <c r="A94" s="229" t="str">
        <f>[4]lights!B54</f>
        <v>9500 LUM-100W-HPS ACORN GLOBE</v>
      </c>
      <c r="B94" s="229"/>
      <c r="C94" s="353">
        <f>Lighting!F55</f>
        <v>15.49</v>
      </c>
      <c r="D94" s="354"/>
      <c r="E94" s="353">
        <f>Lighting!M55</f>
        <v>15.49</v>
      </c>
      <c r="F94" s="229"/>
      <c r="G94" s="229"/>
      <c r="H94" s="381"/>
    </row>
    <row r="95" spans="1:12" ht="15.75" x14ac:dyDescent="0.25">
      <c r="A95" s="228" t="s">
        <v>387</v>
      </c>
      <c r="B95" s="229"/>
      <c r="C95" s="353"/>
      <c r="D95" s="354"/>
      <c r="E95" s="353"/>
      <c r="F95" s="229"/>
      <c r="G95" s="229"/>
      <c r="H95" s="381"/>
    </row>
    <row r="96" spans="1:12" ht="15.75" x14ac:dyDescent="0.25">
      <c r="A96" s="352" t="s">
        <v>237</v>
      </c>
      <c r="B96" s="229"/>
      <c r="C96" s="353"/>
      <c r="D96" s="354"/>
      <c r="E96" s="353"/>
      <c r="F96" s="229"/>
      <c r="G96" s="229"/>
      <c r="H96" s="381"/>
    </row>
    <row r="97" spans="1:8" ht="15" x14ac:dyDescent="0.2">
      <c r="A97" s="229" t="str">
        <f>[4]lights!B58</f>
        <v>STEEL 25 FT PEDESTAL MT POLE</v>
      </c>
      <c r="B97" s="229"/>
      <c r="C97" s="353">
        <f>[4]lights!K58</f>
        <v>9.36</v>
      </c>
      <c r="D97" s="354"/>
      <c r="E97" s="353">
        <f>[4]lights!M58</f>
        <v>9.36</v>
      </c>
      <c r="F97" s="229"/>
      <c r="G97" s="229"/>
      <c r="H97" s="381"/>
    </row>
    <row r="98" spans="1:8" ht="15" x14ac:dyDescent="0.2">
      <c r="A98" s="229" t="str">
        <f>[4]lights!B59</f>
        <v>STEEL 30 FT PEDESTAL MT POLE</v>
      </c>
      <c r="B98" s="229"/>
      <c r="C98" s="353">
        <f>[4]lights!K59</f>
        <v>10.52</v>
      </c>
      <c r="D98" s="354"/>
      <c r="E98" s="353">
        <f>[4]lights!M59</f>
        <v>10.52</v>
      </c>
      <c r="F98" s="229"/>
      <c r="G98" s="229"/>
      <c r="H98" s="381"/>
    </row>
    <row r="99" spans="1:8" ht="15" x14ac:dyDescent="0.2">
      <c r="A99" s="229" t="str">
        <f>[4]lights!B60</f>
        <v>STEEL 39 FT PEDESTAL MT POLE</v>
      </c>
      <c r="B99" s="229"/>
      <c r="C99" s="353">
        <f>[4]lights!K60</f>
        <v>16.440000000000001</v>
      </c>
      <c r="D99" s="354"/>
      <c r="E99" s="353">
        <f>[4]lights!M60</f>
        <v>16.440000000000001</v>
      </c>
      <c r="F99" s="229"/>
      <c r="G99" s="229"/>
      <c r="H99" s="381"/>
    </row>
    <row r="100" spans="1:8" ht="15.75" x14ac:dyDescent="0.25">
      <c r="A100" s="228" t="s">
        <v>388</v>
      </c>
      <c r="B100" s="229"/>
      <c r="C100" s="353"/>
      <c r="D100" s="354"/>
      <c r="E100" s="353"/>
      <c r="F100" s="229"/>
      <c r="G100" s="229"/>
      <c r="H100" s="381"/>
    </row>
    <row r="101" spans="1:8" ht="15" x14ac:dyDescent="0.2">
      <c r="A101" s="229" t="str">
        <f>[4]lights!B62</f>
        <v>WOOD 30 FT DIRECT BURIAL POLE</v>
      </c>
      <c r="B101" s="229"/>
      <c r="C101" s="353">
        <f>[4]lights!K62</f>
        <v>5.44</v>
      </c>
      <c r="D101" s="354"/>
      <c r="E101" s="353">
        <f>[4]lights!M62</f>
        <v>5.44</v>
      </c>
      <c r="F101" s="229"/>
      <c r="G101" s="229"/>
      <c r="H101" s="381"/>
    </row>
    <row r="102" spans="1:8" ht="15" x14ac:dyDescent="0.2">
      <c r="A102" s="229" t="str">
        <f>[4]lights!B63</f>
        <v>ALUMINUM 28 FT DIRECT BURIAL</v>
      </c>
      <c r="B102" s="229"/>
      <c r="C102" s="353">
        <f>[4]lights!K63</f>
        <v>12.05</v>
      </c>
      <c r="D102" s="354"/>
      <c r="E102" s="353">
        <f>[4]lights!M63</f>
        <v>12.05</v>
      </c>
      <c r="F102" s="229"/>
      <c r="G102" s="229"/>
      <c r="H102" s="381"/>
    </row>
    <row r="103" spans="1:8" ht="15.75" x14ac:dyDescent="0.25">
      <c r="A103" s="228" t="s">
        <v>387</v>
      </c>
      <c r="B103" s="229"/>
      <c r="C103" s="353"/>
      <c r="D103" s="354"/>
      <c r="E103" s="353"/>
      <c r="F103" s="229"/>
      <c r="G103" s="229"/>
      <c r="H103" s="381"/>
    </row>
    <row r="104" spans="1:8" ht="15" x14ac:dyDescent="0.2">
      <c r="A104" s="229" t="str">
        <f>[4]lights!B65</f>
        <v>FLUTED FIBERGLASS 15 FT POLE</v>
      </c>
      <c r="B104" s="229"/>
      <c r="C104" s="353">
        <f>[4]lights!K65</f>
        <v>12.88</v>
      </c>
      <c r="D104" s="354"/>
      <c r="E104" s="353">
        <f>[4]lights!M65</f>
        <v>12.88</v>
      </c>
      <c r="F104" s="229"/>
      <c r="G104" s="229"/>
      <c r="H104" s="381"/>
    </row>
    <row r="105" spans="1:8" ht="15" x14ac:dyDescent="0.2">
      <c r="A105" s="229" t="str">
        <f>[4]lights!B66</f>
        <v>FLUTED ALUMINUM 14FT POLE</v>
      </c>
      <c r="B105" s="229"/>
      <c r="C105" s="353">
        <f>[4]lights!K66</f>
        <v>14.14</v>
      </c>
      <c r="D105" s="354"/>
      <c r="E105" s="353">
        <f>[4]lights!M66</f>
        <v>14.14</v>
      </c>
      <c r="F105" s="229"/>
      <c r="G105" s="229"/>
      <c r="H105" s="381"/>
    </row>
    <row r="106" spans="1:8" ht="15" x14ac:dyDescent="0.2">
      <c r="A106" s="229"/>
      <c r="B106" s="229"/>
      <c r="C106" s="353"/>
      <c r="D106" s="354"/>
      <c r="E106" s="353"/>
      <c r="F106" s="229"/>
      <c r="G106" s="229"/>
      <c r="H106" s="381"/>
    </row>
    <row r="107" spans="1:8" ht="15.75" x14ac:dyDescent="0.25">
      <c r="A107" s="352" t="s">
        <v>389</v>
      </c>
      <c r="B107" s="229"/>
      <c r="C107" s="353"/>
      <c r="D107" s="354"/>
      <c r="E107" s="353"/>
      <c r="F107" s="229"/>
      <c r="G107" s="229"/>
      <c r="H107" s="381"/>
    </row>
    <row r="108" spans="1:8" ht="15.75" x14ac:dyDescent="0.25">
      <c r="A108" s="352" t="s">
        <v>248</v>
      </c>
      <c r="B108" s="229"/>
      <c r="C108" s="353"/>
      <c r="D108" s="354"/>
      <c r="E108" s="353"/>
      <c r="F108" s="229"/>
      <c r="G108" s="229"/>
      <c r="H108" s="381"/>
    </row>
    <row r="109" spans="1:8" ht="15" x14ac:dyDescent="0.2">
      <c r="A109" s="229" t="str">
        <f>[4]lights!B70</f>
        <v>BASKETT STREET LIGHTING</v>
      </c>
      <c r="B109" s="229"/>
      <c r="C109" s="353">
        <f>Lighting!F71</f>
        <v>3.87</v>
      </c>
      <c r="D109" s="354"/>
      <c r="E109" s="353">
        <f>Lighting!M71</f>
        <v>3.87</v>
      </c>
      <c r="F109" s="229"/>
      <c r="G109" s="229"/>
      <c r="H109" s="381"/>
    </row>
    <row r="110" spans="1:8" ht="15" x14ac:dyDescent="0.2">
      <c r="A110" s="229" t="str">
        <f>[4]lights!B71</f>
        <v>MEADOW HILL STREET LIGHTING</v>
      </c>
      <c r="B110" s="229"/>
      <c r="C110" s="353">
        <f>Lighting!F72</f>
        <v>3.52</v>
      </c>
      <c r="D110" s="354"/>
      <c r="E110" s="353">
        <f>Lighting!M72</f>
        <v>3.52</v>
      </c>
      <c r="F110" s="229"/>
      <c r="G110" s="229"/>
      <c r="H110" s="381"/>
    </row>
    <row r="111" spans="1:8" ht="15.75" x14ac:dyDescent="0.25">
      <c r="A111" s="229" t="str">
        <f>[4]lights!B72</f>
        <v>SPOTTSVILLE STREET LIGHTING</v>
      </c>
      <c r="B111" s="229"/>
      <c r="C111" s="353">
        <f>Lighting!F73</f>
        <v>4.3600000000000003</v>
      </c>
      <c r="D111" s="354"/>
      <c r="E111" s="353">
        <f>Lighting!M73</f>
        <v>4.3600000000000003</v>
      </c>
      <c r="F111" s="229"/>
      <c r="G111" s="355"/>
      <c r="H111" s="381"/>
    </row>
    <row r="112" spans="1:8" ht="15.75" x14ac:dyDescent="0.25">
      <c r="A112" s="228" t="s">
        <v>390</v>
      </c>
      <c r="B112" s="229"/>
      <c r="C112" s="353"/>
      <c r="D112" s="354"/>
      <c r="E112" s="353"/>
      <c r="F112" s="229"/>
      <c r="G112" s="229"/>
      <c r="H112" s="381"/>
    </row>
    <row r="113" spans="1:8" ht="15" x14ac:dyDescent="0.2">
      <c r="A113" s="229" t="str">
        <f>[4]lights!B74</f>
        <v>7000 LUMEN-175W-MERCURY VAPOR</v>
      </c>
      <c r="B113" s="229"/>
      <c r="C113" s="353">
        <f>Lighting!F75</f>
        <v>11.15</v>
      </c>
      <c r="D113" s="354"/>
      <c r="E113" s="353">
        <f>Lighting!M75</f>
        <v>11.15</v>
      </c>
      <c r="F113" s="229"/>
      <c r="G113" s="229"/>
      <c r="H113" s="381"/>
    </row>
    <row r="114" spans="1:8" ht="15" x14ac:dyDescent="0.2">
      <c r="A114" s="229" t="str">
        <f>[4]lights!B75</f>
        <v>20000 LUMEN-400W-MERCURY VAPOR</v>
      </c>
      <c r="B114" s="229"/>
      <c r="C114" s="353">
        <f>Lighting!F76</f>
        <v>16.809999999999999</v>
      </c>
      <c r="D114" s="354"/>
      <c r="E114" s="353">
        <f>Lighting!M76</f>
        <v>16.809999999999999</v>
      </c>
      <c r="F114" s="229"/>
      <c r="G114" s="229"/>
      <c r="H114" s="381"/>
    </row>
    <row r="115" spans="1:8" ht="15.75" x14ac:dyDescent="0.25">
      <c r="A115" s="228" t="s">
        <v>384</v>
      </c>
      <c r="B115" s="229"/>
      <c r="C115" s="353"/>
      <c r="D115" s="354"/>
      <c r="E115" s="353"/>
      <c r="F115" s="229"/>
      <c r="G115" s="229"/>
      <c r="H115" s="381"/>
    </row>
    <row r="116" spans="1:8" ht="15" x14ac:dyDescent="0.2">
      <c r="A116" s="229" t="str">
        <f>[4]lights!B77</f>
        <v>9500 LUMEN-100W-HPS STREET LGT</v>
      </c>
      <c r="B116" s="229"/>
      <c r="C116" s="353">
        <f>Lighting!F78</f>
        <v>10.02</v>
      </c>
      <c r="D116" s="354"/>
      <c r="E116" s="353">
        <f>Lighting!M78</f>
        <v>10.02</v>
      </c>
      <c r="F116" s="229"/>
      <c r="G116" s="229"/>
      <c r="H116" s="381"/>
    </row>
    <row r="117" spans="1:8" ht="15" x14ac:dyDescent="0.2">
      <c r="A117" s="229" t="str">
        <f>[4]lights!B78</f>
        <v>27000 LUMEN-250W-HPS ST LIGHT</v>
      </c>
      <c r="B117" s="229"/>
      <c r="C117" s="353">
        <f>Lighting!F79</f>
        <v>15.65</v>
      </c>
      <c r="D117" s="354"/>
      <c r="E117" s="353">
        <f>Lighting!M79</f>
        <v>15.65</v>
      </c>
      <c r="F117" s="229"/>
      <c r="G117" s="229"/>
      <c r="H117" s="381"/>
    </row>
    <row r="118" spans="1:8" ht="15.75" x14ac:dyDescent="0.25">
      <c r="A118" s="228" t="s">
        <v>390</v>
      </c>
      <c r="B118" s="229"/>
      <c r="C118" s="353"/>
      <c r="D118" s="354"/>
      <c r="E118" s="353"/>
      <c r="F118" s="229"/>
      <c r="G118" s="229"/>
      <c r="H118" s="381"/>
    </row>
    <row r="119" spans="1:8" ht="15" x14ac:dyDescent="0.2">
      <c r="A119" s="229" t="str">
        <f>[4]lights!B80</f>
        <v>9000 LUMEN-100W MH</v>
      </c>
      <c r="B119" s="229"/>
      <c r="C119" s="353">
        <f>Lighting!F81</f>
        <v>9.4499999999999993</v>
      </c>
      <c r="D119" s="354"/>
      <c r="E119" s="353">
        <f>Lighting!M81</f>
        <v>9.4499999999999993</v>
      </c>
      <c r="F119" s="229"/>
      <c r="G119" s="229"/>
      <c r="H119" s="381"/>
    </row>
    <row r="120" spans="1:8" ht="15" x14ac:dyDescent="0.2">
      <c r="A120" s="229" t="str">
        <f>[4]lights!B81</f>
        <v>24000 LUMEN-400W MH</v>
      </c>
      <c r="B120" s="229"/>
      <c r="C120" s="353">
        <f>Lighting!F82</f>
        <v>20.61</v>
      </c>
      <c r="D120" s="354"/>
      <c r="E120" s="353">
        <f>Lighting!M82</f>
        <v>20.61</v>
      </c>
      <c r="F120" s="229"/>
      <c r="G120" s="229"/>
      <c r="H120" s="381"/>
    </row>
    <row r="121" spans="1:8" ht="15.75" x14ac:dyDescent="0.25">
      <c r="A121" s="228" t="s">
        <v>385</v>
      </c>
      <c r="B121" s="229"/>
      <c r="C121" s="353"/>
      <c r="D121" s="354"/>
      <c r="E121" s="353"/>
      <c r="F121" s="229"/>
      <c r="G121" s="229"/>
      <c r="H121" s="381"/>
    </row>
    <row r="122" spans="1:8" ht="15" x14ac:dyDescent="0.2">
      <c r="A122" s="229" t="str">
        <f>[4]lights!B84</f>
        <v>5200 LUMEN-60W-LED NEMA HEAD</v>
      </c>
      <c r="B122" s="229"/>
      <c r="C122" s="353">
        <f>Lighting!F85</f>
        <v>8.56</v>
      </c>
      <c r="D122" s="354"/>
      <c r="E122" s="353">
        <f>Lighting!M85</f>
        <v>8.56</v>
      </c>
      <c r="F122" s="229"/>
      <c r="G122" s="229"/>
      <c r="H122" s="381"/>
    </row>
    <row r="123" spans="1:8" ht="15" x14ac:dyDescent="0.2">
      <c r="A123" s="229" t="str">
        <f>[4]lights!B85</f>
        <v>9500 LUMEN-108W-LED MID OUTPUT</v>
      </c>
      <c r="B123" s="229"/>
      <c r="C123" s="353">
        <f>Lighting!F86</f>
        <v>10.86</v>
      </c>
      <c r="D123" s="354"/>
      <c r="E123" s="353">
        <f>Lighting!M86</f>
        <v>10.86</v>
      </c>
      <c r="F123" s="229"/>
      <c r="G123" s="229"/>
      <c r="H123" s="381"/>
    </row>
    <row r="124" spans="1:8" ht="15" x14ac:dyDescent="0.2">
      <c r="A124" s="229" t="str">
        <f>[4]lights!B86</f>
        <v>11000 LUMEN-135W-LED HIGH OUTPUT</v>
      </c>
      <c r="B124" s="229"/>
      <c r="C124" s="353">
        <f>Lighting!F87</f>
        <v>13.28</v>
      </c>
      <c r="D124" s="354"/>
      <c r="E124" s="353">
        <f>Lighting!M87</f>
        <v>13.28</v>
      </c>
      <c r="F124" s="229"/>
      <c r="G124" s="229"/>
      <c r="H124" s="381"/>
    </row>
    <row r="125" spans="1:8" ht="15.75" x14ac:dyDescent="0.25">
      <c r="A125" s="352" t="s">
        <v>257</v>
      </c>
      <c r="B125" s="229"/>
      <c r="C125" s="353"/>
      <c r="D125" s="354"/>
      <c r="E125" s="353"/>
      <c r="F125" s="229"/>
      <c r="G125" s="229"/>
      <c r="H125" s="381"/>
    </row>
    <row r="126" spans="1:8" ht="15" x14ac:dyDescent="0.2">
      <c r="A126" s="229" t="str">
        <f>[4]lights!B88</f>
        <v>UG NON-STD POLE-GOVT &amp; DISTRICT</v>
      </c>
      <c r="B126" s="229"/>
      <c r="C126" s="353">
        <f>Lighting!F89</f>
        <v>7.33</v>
      </c>
      <c r="D126" s="354"/>
      <c r="E126" s="353">
        <f>Lighting!M89</f>
        <v>7.33</v>
      </c>
      <c r="F126" s="229"/>
      <c r="G126" s="229"/>
      <c r="H126" s="381"/>
    </row>
    <row r="127" spans="1:8" ht="15.75" x14ac:dyDescent="0.25">
      <c r="A127" s="228" t="s">
        <v>259</v>
      </c>
      <c r="B127" s="229"/>
      <c r="C127" s="353"/>
      <c r="D127" s="354"/>
      <c r="E127" s="353">
        <f>Lighting!M90</f>
        <v>0</v>
      </c>
      <c r="F127" s="229"/>
      <c r="G127" s="229"/>
      <c r="H127" s="381"/>
    </row>
    <row r="128" spans="1:8" ht="15" x14ac:dyDescent="0.2">
      <c r="A128" s="229" t="str">
        <f>[4]lights!B90</f>
        <v>OH FAC-STREET LIGHT DISTRICT</v>
      </c>
      <c r="B128" s="229"/>
      <c r="C128" s="353">
        <f>Lighting!F91</f>
        <v>3.07</v>
      </c>
      <c r="D128" s="354"/>
      <c r="E128" s="353">
        <f>Lighting!M91</f>
        <v>3.07</v>
      </c>
      <c r="F128" s="229"/>
      <c r="G128" s="229"/>
      <c r="H128" s="381"/>
    </row>
    <row r="129" spans="1:8" ht="15.75" x14ac:dyDescent="0.25">
      <c r="A129" s="352" t="s">
        <v>261</v>
      </c>
      <c r="B129" s="229"/>
      <c r="C129" s="353"/>
      <c r="D129" s="354"/>
      <c r="E129" s="353"/>
      <c r="F129" s="229"/>
      <c r="G129" s="229"/>
      <c r="H129" s="381"/>
    </row>
    <row r="130" spans="1:8" ht="15.75" x14ac:dyDescent="0.25">
      <c r="A130" s="228" t="s">
        <v>387</v>
      </c>
      <c r="B130" s="229"/>
      <c r="C130" s="353"/>
      <c r="D130" s="354"/>
      <c r="E130" s="353"/>
      <c r="F130" s="229"/>
      <c r="G130" s="229"/>
      <c r="H130" s="381"/>
    </row>
    <row r="131" spans="1:8" ht="15" x14ac:dyDescent="0.2">
      <c r="A131" s="229" t="str">
        <f>[4]lights!B93</f>
        <v>6300 LUMEN-DECOR-70W-HPS ACORN</v>
      </c>
      <c r="B131" s="229"/>
      <c r="C131" s="353">
        <f>Lighting!F94</f>
        <v>14.89</v>
      </c>
      <c r="D131" s="354"/>
      <c r="E131" s="353">
        <f>Lighting!M94</f>
        <v>14.89</v>
      </c>
      <c r="F131" s="229"/>
      <c r="G131" s="229"/>
      <c r="H131" s="381"/>
    </row>
    <row r="132" spans="1:8" ht="15" x14ac:dyDescent="0.2">
      <c r="A132" s="229" t="str">
        <f>[4]lights!B94</f>
        <v>6300 LUM DECOR-70W-HPS LANTERN</v>
      </c>
      <c r="B132" s="229"/>
      <c r="C132" s="353">
        <f>Lighting!F95</f>
        <v>14.89</v>
      </c>
      <c r="D132" s="354"/>
      <c r="E132" s="353">
        <f>Lighting!M95</f>
        <v>14.89</v>
      </c>
      <c r="F132" s="229"/>
      <c r="G132" s="229"/>
      <c r="H132" s="381"/>
    </row>
    <row r="133" spans="1:8" ht="15" x14ac:dyDescent="0.2">
      <c r="A133" s="229" t="str">
        <f>[4]lights!B95</f>
        <v>12600 LUM HPS-70W-2 DECOR FIX</v>
      </c>
      <c r="B133" s="229"/>
      <c r="C133" s="353">
        <f>Lighting!F96</f>
        <v>24.49</v>
      </c>
      <c r="D133" s="354"/>
      <c r="E133" s="353">
        <f>Lighting!M96</f>
        <v>24.49</v>
      </c>
      <c r="F133" s="229"/>
      <c r="G133" s="229"/>
      <c r="H133" s="381"/>
    </row>
    <row r="134" spans="1:8" ht="15.75" x14ac:dyDescent="0.25">
      <c r="A134" s="228" t="s">
        <v>384</v>
      </c>
      <c r="B134" s="229"/>
      <c r="C134" s="353"/>
      <c r="D134" s="354"/>
      <c r="E134" s="353"/>
      <c r="F134" s="229"/>
      <c r="G134" s="229"/>
      <c r="H134" s="381"/>
    </row>
    <row r="135" spans="1:8" ht="15" x14ac:dyDescent="0.2">
      <c r="A135" s="229" t="str">
        <f>[4]lights!B98</f>
        <v>9500 LUM - HPS ACORN GL 14 FT POLE</v>
      </c>
      <c r="B135" s="229"/>
      <c r="C135" s="353">
        <f>Lighting!F99</f>
        <v>26.75</v>
      </c>
      <c r="D135" s="354"/>
      <c r="E135" s="353">
        <f>Lighting!M99</f>
        <v>26.75</v>
      </c>
      <c r="F135" s="229"/>
      <c r="G135" s="229"/>
      <c r="H135" s="381"/>
    </row>
    <row r="136" spans="1:8" ht="15.75" x14ac:dyDescent="0.25">
      <c r="A136" s="228" t="s">
        <v>385</v>
      </c>
      <c r="B136" s="229"/>
      <c r="C136" s="353"/>
      <c r="D136" s="354"/>
      <c r="E136" s="353"/>
      <c r="F136" s="229"/>
      <c r="G136" s="229"/>
      <c r="H136" s="381"/>
    </row>
    <row r="137" spans="1:8" ht="15" x14ac:dyDescent="0.2">
      <c r="A137" s="229" t="str">
        <f>[4]lights!B100</f>
        <v>2900 LUM - LED ACORN GL 14 FT POLE</v>
      </c>
      <c r="B137" s="229"/>
      <c r="C137" s="353">
        <f>Lighting!F101</f>
        <v>23.13</v>
      </c>
      <c r="D137" s="354"/>
      <c r="E137" s="353">
        <f>Lighting!M101</f>
        <v>23.13</v>
      </c>
      <c r="F137" s="229"/>
      <c r="G137" s="229"/>
      <c r="H137" s="381"/>
    </row>
    <row r="138" spans="1:8" ht="15" x14ac:dyDescent="0.25">
      <c r="A138" s="229"/>
      <c r="B138" s="341"/>
      <c r="C138" s="353"/>
      <c r="D138" s="360"/>
      <c r="E138" s="353"/>
      <c r="F138" s="341"/>
      <c r="G138" s="229"/>
    </row>
    <row r="139" spans="1:8" ht="15" x14ac:dyDescent="0.25">
      <c r="A139" s="622" t="s">
        <v>391</v>
      </c>
      <c r="B139" s="622"/>
      <c r="C139" s="353"/>
      <c r="D139" s="360"/>
      <c r="E139" s="353"/>
      <c r="F139" s="341"/>
      <c r="G139" s="229"/>
    </row>
    <row r="140" spans="1:8" ht="15" x14ac:dyDescent="0.25">
      <c r="A140" s="345" t="s">
        <v>392</v>
      </c>
      <c r="B140" s="345"/>
      <c r="C140" s="386">
        <f>[4]Miscrev!G13</f>
        <v>5.75</v>
      </c>
      <c r="D140" s="360"/>
      <c r="E140" s="353">
        <f>C140</f>
        <v>5.75</v>
      </c>
      <c r="F140" s="341"/>
      <c r="G140" s="229"/>
    </row>
    <row r="141" spans="1:8" ht="15" x14ac:dyDescent="0.25">
      <c r="A141" s="345" t="s">
        <v>393</v>
      </c>
      <c r="B141" s="345"/>
      <c r="C141" s="386">
        <f>[4]Miscrev!G15</f>
        <v>5.75</v>
      </c>
      <c r="D141" s="360"/>
      <c r="E141" s="353">
        <f t="shared" ref="E141:E149" si="0">C141</f>
        <v>5.75</v>
      </c>
      <c r="F141" s="341"/>
      <c r="G141" s="229"/>
    </row>
    <row r="142" spans="1:8" ht="15" x14ac:dyDescent="0.25">
      <c r="A142" s="345" t="s">
        <v>394</v>
      </c>
      <c r="B142" s="345"/>
      <c r="C142" s="386">
        <f>[4]Miscrev!G17</f>
        <v>95.14</v>
      </c>
      <c r="D142" s="360"/>
      <c r="E142" s="353">
        <f t="shared" si="0"/>
        <v>95.14</v>
      </c>
      <c r="F142" s="341"/>
      <c r="G142" s="229"/>
    </row>
    <row r="143" spans="1:8" ht="15" x14ac:dyDescent="0.25">
      <c r="A143" s="345" t="s">
        <v>395</v>
      </c>
      <c r="B143" s="345"/>
      <c r="C143" s="386">
        <f>[4]Miscrev!G19</f>
        <v>5.75</v>
      </c>
      <c r="D143" s="360"/>
      <c r="E143" s="353">
        <f t="shared" si="0"/>
        <v>5.75</v>
      </c>
      <c r="F143" s="341"/>
      <c r="G143" s="229"/>
    </row>
    <row r="144" spans="1:8" ht="15" x14ac:dyDescent="0.25">
      <c r="A144" s="345" t="s">
        <v>396</v>
      </c>
      <c r="B144" s="345"/>
      <c r="C144" s="386">
        <f>[4]Miscrev!G22</f>
        <v>3.25</v>
      </c>
      <c r="D144" s="360"/>
      <c r="E144" s="353">
        <f t="shared" si="0"/>
        <v>3.25</v>
      </c>
      <c r="F144" s="341"/>
      <c r="G144" s="229"/>
    </row>
    <row r="145" spans="1:7" ht="15" x14ac:dyDescent="0.25">
      <c r="A145" s="345" t="s">
        <v>397</v>
      </c>
      <c r="B145" s="345"/>
      <c r="C145" s="386">
        <f>[4]Miscrev!G23</f>
        <v>79</v>
      </c>
      <c r="D145" s="360"/>
      <c r="E145" s="353">
        <f t="shared" si="0"/>
        <v>79</v>
      </c>
      <c r="F145" s="341"/>
      <c r="G145" s="341"/>
    </row>
    <row r="146" spans="1:7" ht="15" x14ac:dyDescent="0.25">
      <c r="A146" s="345" t="s">
        <v>398</v>
      </c>
      <c r="B146" s="345"/>
      <c r="C146" s="386">
        <f>[4]Miscrev!G24</f>
        <v>0</v>
      </c>
      <c r="D146" s="360"/>
      <c r="E146" s="353">
        <f t="shared" si="0"/>
        <v>0</v>
      </c>
      <c r="F146" s="341"/>
      <c r="G146" s="341"/>
    </row>
    <row r="147" spans="1:7" ht="15" x14ac:dyDescent="0.25">
      <c r="A147" s="345" t="s">
        <v>399</v>
      </c>
      <c r="B147" s="345"/>
      <c r="C147" s="386">
        <f>[4]Miscrev!G25</f>
        <v>0</v>
      </c>
      <c r="D147" s="360"/>
      <c r="E147" s="353">
        <f t="shared" si="0"/>
        <v>0</v>
      </c>
      <c r="F147" s="341"/>
      <c r="G147" s="341"/>
    </row>
    <row r="148" spans="1:7" ht="15" x14ac:dyDescent="0.25">
      <c r="A148" s="345" t="s">
        <v>400</v>
      </c>
      <c r="B148" s="345"/>
      <c r="C148" s="386">
        <f>[4]Miscrev!G26</f>
        <v>95.14</v>
      </c>
      <c r="D148" s="360"/>
      <c r="E148" s="353">
        <f t="shared" si="0"/>
        <v>95.14</v>
      </c>
      <c r="F148" s="341"/>
      <c r="G148" s="341"/>
    </row>
    <row r="149" spans="1:7" ht="15" x14ac:dyDescent="0.25">
      <c r="A149" s="345" t="s">
        <v>401</v>
      </c>
      <c r="B149" s="345"/>
      <c r="C149" s="386">
        <f>[4]Miscrev!G14</f>
        <v>3.25</v>
      </c>
      <c r="D149" s="360"/>
      <c r="E149" s="353">
        <f t="shared" si="0"/>
        <v>3.25</v>
      </c>
      <c r="F149" s="341"/>
      <c r="G149" s="341"/>
    </row>
    <row r="150" spans="1:7" ht="15" x14ac:dyDescent="0.25">
      <c r="A150" s="229"/>
      <c r="B150" s="229"/>
      <c r="C150" s="229"/>
      <c r="D150" s="229"/>
      <c r="E150" s="229"/>
      <c r="F150" s="229"/>
      <c r="G150" s="341"/>
    </row>
    <row r="151" spans="1:7" ht="15" x14ac:dyDescent="0.25">
      <c r="A151" s="343" t="s">
        <v>402</v>
      </c>
      <c r="B151" s="343"/>
      <c r="C151" s="343"/>
      <c r="D151" s="341"/>
      <c r="E151" s="341"/>
      <c r="F151" s="341"/>
      <c r="G151" s="341"/>
    </row>
    <row r="152" spans="1:7" ht="15" x14ac:dyDescent="0.25">
      <c r="A152" s="622" t="s">
        <v>403</v>
      </c>
      <c r="B152" s="622"/>
      <c r="C152" s="341"/>
      <c r="D152" s="341"/>
      <c r="E152" s="341"/>
      <c r="F152" s="341"/>
      <c r="G152" s="341"/>
    </row>
    <row r="153" spans="1:7" ht="15" x14ac:dyDescent="0.25">
      <c r="A153" s="627" t="s">
        <v>404</v>
      </c>
      <c r="B153" s="627"/>
      <c r="C153" s="387">
        <v>1.15E-2</v>
      </c>
      <c r="D153" s="345" t="s">
        <v>365</v>
      </c>
      <c r="E153" s="361">
        <f>C153</f>
        <v>1.15E-2</v>
      </c>
      <c r="F153" s="345" t="s">
        <v>365</v>
      </c>
      <c r="G153" s="341"/>
    </row>
    <row r="154" spans="1:7" ht="15" customHeight="1" x14ac:dyDescent="0.25">
      <c r="A154" s="627" t="s">
        <v>405</v>
      </c>
      <c r="B154" s="627"/>
      <c r="C154" s="341"/>
      <c r="D154" s="341"/>
      <c r="E154" s="341"/>
      <c r="F154" s="341"/>
      <c r="G154" s="341"/>
    </row>
    <row r="155" spans="1:7" ht="15" x14ac:dyDescent="0.25">
      <c r="A155" s="229"/>
      <c r="B155" s="229"/>
      <c r="C155" s="229"/>
      <c r="D155" s="229"/>
      <c r="E155" s="229"/>
      <c r="F155" s="229"/>
      <c r="G155" s="341"/>
    </row>
    <row r="156" spans="1:7" ht="15" x14ac:dyDescent="0.25">
      <c r="A156" s="622" t="s">
        <v>406</v>
      </c>
      <c r="B156" s="622"/>
      <c r="C156" s="362" t="s">
        <v>55</v>
      </c>
      <c r="D156" s="341"/>
      <c r="E156" s="362" t="s">
        <v>57</v>
      </c>
      <c r="F156" s="341"/>
      <c r="G156" s="341"/>
    </row>
    <row r="157" spans="1:7" ht="13.5" customHeight="1" x14ac:dyDescent="0.25">
      <c r="A157" s="341"/>
      <c r="B157" s="341"/>
      <c r="C157" s="350" t="s">
        <v>5</v>
      </c>
      <c r="D157" s="345" t="s">
        <v>407</v>
      </c>
      <c r="E157" s="350" t="s">
        <v>5</v>
      </c>
      <c r="F157" s="345" t="s">
        <v>407</v>
      </c>
      <c r="G157" s="229"/>
    </row>
    <row r="158" spans="1:7" ht="15" x14ac:dyDescent="0.25">
      <c r="A158" s="627" t="s">
        <v>408</v>
      </c>
      <c r="B158" s="627"/>
      <c r="C158" s="388">
        <f>[4]Miscrev!G36</f>
        <v>6.1</v>
      </c>
      <c r="D158" s="364"/>
      <c r="E158" s="363">
        <f>C158</f>
        <v>6.1</v>
      </c>
      <c r="F158" s="341"/>
      <c r="G158" s="341"/>
    </row>
    <row r="159" spans="1:7" ht="15" x14ac:dyDescent="0.25">
      <c r="A159" s="627" t="s">
        <v>409</v>
      </c>
      <c r="B159" s="627"/>
      <c r="C159" s="388">
        <f>[4]Miscrev!G37</f>
        <v>4.76</v>
      </c>
      <c r="D159" s="364"/>
      <c r="E159" s="363">
        <f t="shared" ref="E159:E161" si="1">C159</f>
        <v>4.76</v>
      </c>
      <c r="F159" s="341"/>
      <c r="G159" s="341"/>
    </row>
    <row r="160" spans="1:7" ht="15" x14ac:dyDescent="0.25">
      <c r="A160" s="345" t="s">
        <v>410</v>
      </c>
      <c r="B160" s="345"/>
      <c r="C160" s="388">
        <v>16.11</v>
      </c>
      <c r="D160" s="364"/>
      <c r="E160" s="363">
        <f t="shared" si="1"/>
        <v>16.11</v>
      </c>
      <c r="F160" s="341"/>
      <c r="G160" s="345"/>
    </row>
    <row r="161" spans="1:7" ht="15" x14ac:dyDescent="0.25">
      <c r="A161" s="345" t="s">
        <v>411</v>
      </c>
      <c r="B161" s="345"/>
      <c r="C161" s="388">
        <v>10.74</v>
      </c>
      <c r="D161" s="364"/>
      <c r="E161" s="363">
        <f t="shared" si="1"/>
        <v>10.74</v>
      </c>
      <c r="F161" s="341"/>
      <c r="G161" s="341"/>
    </row>
    <row r="162" spans="1:7" ht="14.25" x14ac:dyDescent="0.2">
      <c r="A162" s="229"/>
      <c r="B162" s="229"/>
      <c r="C162" s="389"/>
      <c r="D162" s="244"/>
      <c r="E162" s="365"/>
      <c r="F162" s="229"/>
      <c r="G162" s="229"/>
    </row>
    <row r="163" spans="1:7" ht="15" x14ac:dyDescent="0.25">
      <c r="A163" s="229"/>
      <c r="B163" s="229"/>
      <c r="C163" s="390" t="s">
        <v>88</v>
      </c>
      <c r="E163" s="350" t="s">
        <v>57</v>
      </c>
      <c r="F163" s="229"/>
      <c r="G163" s="341"/>
    </row>
    <row r="164" spans="1:7" ht="15" x14ac:dyDescent="0.25">
      <c r="A164" s="622" t="s">
        <v>412</v>
      </c>
      <c r="B164" s="622"/>
      <c r="C164" s="388">
        <v>315</v>
      </c>
      <c r="E164" s="363">
        <f>C164</f>
        <v>315</v>
      </c>
      <c r="F164" s="229"/>
      <c r="G164" s="345"/>
    </row>
    <row r="165" spans="1:7" ht="15" x14ac:dyDescent="0.25">
      <c r="A165" s="229"/>
      <c r="B165" s="229"/>
      <c r="C165" s="391"/>
      <c r="D165" s="229"/>
      <c r="E165" s="229"/>
      <c r="F165" s="229"/>
      <c r="G165" s="341"/>
    </row>
    <row r="166" spans="1:7" ht="15" x14ac:dyDescent="0.25">
      <c r="A166" s="355"/>
      <c r="B166" s="366"/>
      <c r="C166" s="366"/>
      <c r="D166" s="366"/>
      <c r="E166" s="366"/>
      <c r="F166" s="366"/>
      <c r="G166" s="341"/>
    </row>
    <row r="167" spans="1:7" ht="14.25" x14ac:dyDescent="0.2">
      <c r="A167" s="623" t="s">
        <v>413</v>
      </c>
      <c r="B167" s="623"/>
      <c r="C167" s="623"/>
      <c r="D167" s="623"/>
      <c r="E167" s="623"/>
      <c r="F167" s="623"/>
      <c r="G167" s="229"/>
    </row>
    <row r="168" spans="1:7" ht="14.25" x14ac:dyDescent="0.2">
      <c r="A168" s="623"/>
      <c r="B168" s="623"/>
      <c r="C168" s="623"/>
      <c r="D168" s="623"/>
      <c r="E168" s="623"/>
      <c r="F168" s="623"/>
      <c r="G168" s="229"/>
    </row>
    <row r="169" spans="1:7" ht="12.75" customHeight="1" x14ac:dyDescent="0.2">
      <c r="A169" s="623"/>
      <c r="B169" s="623"/>
      <c r="C169" s="623"/>
      <c r="D169" s="623"/>
      <c r="E169" s="623"/>
      <c r="F169" s="623"/>
      <c r="G169" s="229"/>
    </row>
    <row r="170" spans="1:7" ht="14.25" customHeight="1" x14ac:dyDescent="0.2">
      <c r="A170" s="623"/>
      <c r="B170" s="623"/>
      <c r="C170" s="623"/>
      <c r="D170" s="623"/>
      <c r="E170" s="623"/>
      <c r="F170" s="623"/>
      <c r="G170" s="229"/>
    </row>
    <row r="171" spans="1:7" ht="14.25" customHeight="1" x14ac:dyDescent="0.2">
      <c r="A171" s="624" t="s">
        <v>414</v>
      </c>
      <c r="B171" s="624"/>
      <c r="C171" s="624"/>
      <c r="D171" s="624"/>
      <c r="E171" s="624"/>
      <c r="F171" s="624"/>
      <c r="G171" s="229"/>
    </row>
    <row r="172" spans="1:7" ht="16.5" customHeight="1" x14ac:dyDescent="0.2">
      <c r="A172" s="624"/>
      <c r="B172" s="624"/>
      <c r="C172" s="624"/>
      <c r="D172" s="624"/>
      <c r="E172" s="624"/>
      <c r="F172" s="624"/>
      <c r="G172" s="229"/>
    </row>
    <row r="173" spans="1:7" ht="14.25" x14ac:dyDescent="0.2">
      <c r="G173" s="366"/>
    </row>
    <row r="174" spans="1:7" ht="15.75" x14ac:dyDescent="0.25">
      <c r="A174" s="367" t="s">
        <v>53</v>
      </c>
      <c r="B174" s="336"/>
      <c r="C174" s="368" t="s">
        <v>126</v>
      </c>
      <c r="D174" s="336"/>
      <c r="E174" s="368" t="s">
        <v>415</v>
      </c>
    </row>
    <row r="175" spans="1:7" ht="15" x14ac:dyDescent="0.2">
      <c r="A175" s="336" t="s">
        <v>28</v>
      </c>
      <c r="B175" s="336"/>
      <c r="C175" s="369">
        <f>'Present and Proposed Rates'!O10</f>
        <v>4869996.7972100079</v>
      </c>
      <c r="D175" s="336"/>
      <c r="E175" s="370">
        <f>'Present and Proposed Rates'!P10</f>
        <v>4.9327665690152546E-2</v>
      </c>
    </row>
    <row r="176" spans="1:7" ht="15" x14ac:dyDescent="0.2">
      <c r="A176" s="336" t="s">
        <v>416</v>
      </c>
      <c r="B176" s="336"/>
      <c r="C176" s="369">
        <f>'Present and Proposed Rates'!O13</f>
        <v>0</v>
      </c>
      <c r="D176" s="336"/>
      <c r="E176" s="370">
        <f>'Present and Proposed Rates'!P13</f>
        <v>0</v>
      </c>
    </row>
    <row r="177" spans="1:6" ht="15" x14ac:dyDescent="0.2">
      <c r="A177" s="336" t="s">
        <v>417</v>
      </c>
      <c r="B177" s="336"/>
      <c r="C177" s="369">
        <f>'Present and Proposed Rates'!O16</f>
        <v>0</v>
      </c>
      <c r="D177" s="336"/>
      <c r="E177" s="370">
        <f>'Present and Proposed Rates'!P16</f>
        <v>0</v>
      </c>
    </row>
    <row r="178" spans="1:6" ht="15" x14ac:dyDescent="0.2">
      <c r="A178" s="336" t="s">
        <v>418</v>
      </c>
      <c r="B178" s="336"/>
      <c r="C178" s="369">
        <f>'Present and Proposed Rates'!O22</f>
        <v>0</v>
      </c>
      <c r="D178" s="336"/>
      <c r="E178" s="370">
        <f>'Present and Proposed Rates'!P22</f>
        <v>0</v>
      </c>
    </row>
    <row r="179" spans="1:6" ht="15" x14ac:dyDescent="0.2">
      <c r="A179" s="336" t="s">
        <v>140</v>
      </c>
      <c r="B179" s="336"/>
      <c r="C179" s="369">
        <f>'Present and Proposed Rates'!O32</f>
        <v>0</v>
      </c>
      <c r="D179" s="336"/>
      <c r="E179" s="370">
        <f>'Present and Proposed Rates'!P32</f>
        <v>0</v>
      </c>
    </row>
    <row r="180" spans="1:6" ht="15" x14ac:dyDescent="0.2">
      <c r="A180" s="336" t="s">
        <v>419</v>
      </c>
      <c r="B180" s="336"/>
      <c r="C180" s="369">
        <v>0</v>
      </c>
      <c r="D180" s="336"/>
      <c r="E180" s="370">
        <v>0</v>
      </c>
    </row>
    <row r="181" spans="1:6" ht="15" x14ac:dyDescent="0.2">
      <c r="A181" s="336" t="s">
        <v>420</v>
      </c>
      <c r="B181" s="336"/>
      <c r="C181" s="369">
        <v>0</v>
      </c>
      <c r="D181" s="336"/>
      <c r="E181" s="370">
        <v>0</v>
      </c>
    </row>
    <row r="182" spans="1:6" ht="15" x14ac:dyDescent="0.2">
      <c r="A182" s="336" t="s">
        <v>421</v>
      </c>
      <c r="B182" s="336"/>
      <c r="C182" s="369">
        <v>0</v>
      </c>
      <c r="D182" s="336"/>
      <c r="E182" s="370" t="s">
        <v>422</v>
      </c>
    </row>
    <row r="183" spans="1:6" ht="15" x14ac:dyDescent="0.2">
      <c r="A183" s="336" t="s">
        <v>423</v>
      </c>
      <c r="B183" s="336"/>
      <c r="C183" s="369">
        <f>SUM(C175:C182)</f>
        <v>4869996.7972100079</v>
      </c>
      <c r="D183" s="336"/>
      <c r="E183" s="370">
        <f>'Present and Proposed Rates'!P34</f>
        <v>3.2464562081806106E-2</v>
      </c>
    </row>
    <row r="184" spans="1:6" ht="15" x14ac:dyDescent="0.2">
      <c r="A184" s="336"/>
      <c r="B184" s="336"/>
      <c r="C184" s="336"/>
      <c r="D184" s="336"/>
      <c r="E184" s="336"/>
    </row>
    <row r="185" spans="1:6" ht="15.75" x14ac:dyDescent="0.25">
      <c r="A185" s="367" t="s">
        <v>53</v>
      </c>
      <c r="B185" s="336"/>
      <c r="C185" s="336"/>
      <c r="D185" s="336"/>
      <c r="E185" s="336"/>
    </row>
    <row r="186" spans="1:6" ht="15" x14ac:dyDescent="0.2">
      <c r="A186" s="336" t="s">
        <v>424</v>
      </c>
      <c r="B186" s="336"/>
      <c r="C186" s="369">
        <f>[4]RevSum!J48</f>
        <v>0</v>
      </c>
      <c r="D186" s="336"/>
      <c r="E186" s="370">
        <v>0</v>
      </c>
    </row>
    <row r="187" spans="1:6" ht="15" x14ac:dyDescent="0.2">
      <c r="A187" s="336" t="s">
        <v>425</v>
      </c>
      <c r="B187" s="336"/>
      <c r="C187" s="369">
        <f>[4]RevSum!J52</f>
        <v>0</v>
      </c>
      <c r="D187" s="336"/>
      <c r="E187" s="370">
        <v>0</v>
      </c>
    </row>
    <row r="188" spans="1:6" ht="15" x14ac:dyDescent="0.2">
      <c r="A188" s="336" t="s">
        <v>426</v>
      </c>
      <c r="B188" s="336"/>
      <c r="C188" s="369">
        <f>[4]RevSum!J55</f>
        <v>0</v>
      </c>
      <c r="D188" s="336"/>
      <c r="E188" s="370">
        <v>0</v>
      </c>
    </row>
    <row r="189" spans="1:6" ht="15" x14ac:dyDescent="0.2">
      <c r="A189" s="336"/>
      <c r="B189" s="336"/>
      <c r="C189" s="371"/>
      <c r="D189" s="336"/>
      <c r="E189" s="336"/>
    </row>
    <row r="190" spans="1:6" ht="15" x14ac:dyDescent="0.2">
      <c r="A190" s="336" t="s">
        <v>427</v>
      </c>
      <c r="B190" s="336"/>
      <c r="C190" s="369"/>
      <c r="D190" s="336"/>
      <c r="E190" s="370"/>
    </row>
    <row r="191" spans="1:6" ht="15" x14ac:dyDescent="0.2">
      <c r="A191" s="336"/>
      <c r="B191" s="336"/>
      <c r="C191" s="369"/>
      <c r="D191" s="336"/>
      <c r="E191" s="370"/>
    </row>
    <row r="192" spans="1:6" ht="15.75" x14ac:dyDescent="0.25">
      <c r="A192" s="336"/>
      <c r="B192" s="336"/>
      <c r="C192" s="369"/>
      <c r="D192" s="337" t="s">
        <v>436</v>
      </c>
      <c r="E192" s="337" t="s">
        <v>58</v>
      </c>
      <c r="F192" s="337" t="s">
        <v>127</v>
      </c>
    </row>
    <row r="193" spans="1:6" ht="15.75" x14ac:dyDescent="0.25">
      <c r="A193" s="367" t="s">
        <v>53</v>
      </c>
      <c r="B193" s="336"/>
      <c r="C193" s="369"/>
      <c r="D193" s="368" t="s">
        <v>130</v>
      </c>
      <c r="E193" s="368" t="s">
        <v>62</v>
      </c>
      <c r="F193" s="368" t="s">
        <v>428</v>
      </c>
    </row>
    <row r="194" spans="1:6" ht="15" x14ac:dyDescent="0.2">
      <c r="A194" s="336" t="s">
        <v>28</v>
      </c>
      <c r="B194" s="336"/>
      <c r="C194" s="369"/>
      <c r="D194" s="382">
        <f>'Res-1'!L34</f>
        <v>1199.4243800981099</v>
      </c>
      <c r="E194" s="372">
        <f>'Present and Proposed Rates'!Q10</f>
        <v>8.6058159047068852</v>
      </c>
      <c r="F194" s="373">
        <f>'Present and Proposed Rates'!P10</f>
        <v>4.9327665690152546E-2</v>
      </c>
    </row>
    <row r="195" spans="1:6" ht="15" x14ac:dyDescent="0.2">
      <c r="A195" s="336" t="s">
        <v>416</v>
      </c>
      <c r="B195" s="336"/>
      <c r="C195" s="369"/>
      <c r="D195" s="382">
        <f>'Com1Ph-3'!L34</f>
        <v>932.56335396929614</v>
      </c>
      <c r="E195" s="372">
        <f>'Present and Proposed Rates'!Q13</f>
        <v>0</v>
      </c>
      <c r="F195" s="373">
        <f>'Present and Proposed Rates'!P13</f>
        <v>0</v>
      </c>
    </row>
    <row r="196" spans="1:6" ht="15" x14ac:dyDescent="0.2">
      <c r="A196" s="336" t="s">
        <v>417</v>
      </c>
      <c r="B196" s="336"/>
      <c r="C196" s="369"/>
      <c r="D196" s="382">
        <f>'Com3Ph&lt;1000-5'!L42</f>
        <v>11490.427830312583</v>
      </c>
      <c r="E196" s="372">
        <f>'Present and Proposed Rates'!Q16</f>
        <v>0</v>
      </c>
      <c r="F196" s="373">
        <f>'Present and Proposed Rates'!P16</f>
        <v>0</v>
      </c>
    </row>
    <row r="197" spans="1:6" ht="15" x14ac:dyDescent="0.2">
      <c r="A197" s="336" t="s">
        <v>418</v>
      </c>
      <c r="B197" s="336"/>
      <c r="C197" s="369"/>
      <c r="D197" s="382">
        <f>'Com3Ph1000-7'!L58</f>
        <v>664482.72727272729</v>
      </c>
      <c r="E197" s="372">
        <f>'Present and Proposed Rates'!Q22</f>
        <v>0</v>
      </c>
      <c r="F197" s="373">
        <f>'Present and Proposed Rates'!P22</f>
        <v>0</v>
      </c>
    </row>
    <row r="198" spans="1:6" ht="15" x14ac:dyDescent="0.2">
      <c r="A198" s="336" t="s">
        <v>140</v>
      </c>
      <c r="B198" s="336"/>
      <c r="C198" s="369"/>
      <c r="D198" s="383" t="s">
        <v>437</v>
      </c>
      <c r="E198" s="383" t="s">
        <v>437</v>
      </c>
      <c r="F198" s="373">
        <f>'Present and Proposed Rates'!P32</f>
        <v>0</v>
      </c>
    </row>
    <row r="199" spans="1:6" ht="15" x14ac:dyDescent="0.2">
      <c r="A199" s="336"/>
      <c r="B199" s="336"/>
      <c r="C199" s="369"/>
      <c r="D199" s="336"/>
    </row>
    <row r="201" spans="1:6" ht="12.75" customHeight="1" x14ac:dyDescent="0.2">
      <c r="A201" s="624" t="s">
        <v>429</v>
      </c>
      <c r="B201" s="624"/>
      <c r="C201" s="624"/>
      <c r="D201" s="624"/>
      <c r="E201" s="624"/>
      <c r="F201" s="624"/>
    </row>
    <row r="202" spans="1:6" ht="12.75" customHeight="1" x14ac:dyDescent="0.2">
      <c r="A202" s="624"/>
      <c r="B202" s="624"/>
      <c r="C202" s="624"/>
      <c r="D202" s="624"/>
      <c r="E202" s="624"/>
      <c r="F202" s="624"/>
    </row>
    <row r="203" spans="1:6" ht="13.5" customHeight="1" x14ac:dyDescent="0.2">
      <c r="A203" s="624"/>
      <c r="B203" s="624"/>
      <c r="C203" s="624"/>
      <c r="D203" s="624"/>
      <c r="E203" s="624"/>
      <c r="F203" s="624"/>
    </row>
    <row r="204" spans="1:6" ht="12.75" customHeight="1" x14ac:dyDescent="0.2">
      <c r="A204" s="624"/>
      <c r="B204" s="624"/>
      <c r="C204" s="624"/>
      <c r="D204" s="624"/>
      <c r="E204" s="624"/>
      <c r="F204" s="624"/>
    </row>
    <row r="205" spans="1:6" ht="12.75" customHeight="1" x14ac:dyDescent="0.2">
      <c r="A205" s="624"/>
      <c r="B205" s="624"/>
      <c r="C205" s="624"/>
      <c r="D205" s="624"/>
      <c r="E205" s="624"/>
      <c r="F205" s="624"/>
    </row>
    <row r="206" spans="1:6" ht="27" customHeight="1" x14ac:dyDescent="0.2">
      <c r="A206" s="624"/>
      <c r="B206" s="624"/>
      <c r="C206" s="624"/>
      <c r="D206" s="624"/>
      <c r="E206" s="624"/>
      <c r="F206" s="624"/>
    </row>
    <row r="207" spans="1:6" ht="12.75" customHeight="1" x14ac:dyDescent="0.2"/>
    <row r="208" spans="1:6" ht="15.75" customHeight="1" x14ac:dyDescent="0.2">
      <c r="A208" s="624" t="s">
        <v>430</v>
      </c>
      <c r="B208" s="624"/>
      <c r="C208" s="624"/>
      <c r="D208" s="624"/>
      <c r="E208" s="624"/>
      <c r="F208" s="624"/>
    </row>
    <row r="209" spans="1:6" x14ac:dyDescent="0.2">
      <c r="A209" s="624"/>
      <c r="B209" s="624"/>
      <c r="C209" s="624"/>
      <c r="D209" s="624"/>
      <c r="E209" s="624"/>
      <c r="F209" s="624"/>
    </row>
    <row r="210" spans="1:6" ht="13.5" customHeight="1" x14ac:dyDescent="0.2">
      <c r="A210" s="624"/>
      <c r="B210" s="624"/>
      <c r="C210" s="624"/>
      <c r="D210" s="624"/>
      <c r="E210" s="624"/>
      <c r="F210" s="624"/>
    </row>
    <row r="211" spans="1:6" ht="12.75" customHeight="1" x14ac:dyDescent="0.2">
      <c r="A211" s="624"/>
      <c r="B211" s="624"/>
      <c r="C211" s="624"/>
      <c r="D211" s="624"/>
      <c r="E211" s="624"/>
      <c r="F211" s="624"/>
    </row>
    <row r="212" spans="1:6" ht="12.75" customHeight="1" x14ac:dyDescent="0.2">
      <c r="A212" s="624"/>
      <c r="B212" s="624"/>
      <c r="C212" s="624"/>
      <c r="D212" s="624"/>
      <c r="E212" s="624"/>
      <c r="F212" s="624"/>
    </row>
    <row r="213" spans="1:6" ht="12.75" customHeight="1" x14ac:dyDescent="0.2">
      <c r="A213" s="624"/>
      <c r="B213" s="624"/>
      <c r="C213" s="624"/>
      <c r="D213" s="624"/>
      <c r="E213" s="624"/>
      <c r="F213" s="624"/>
    </row>
    <row r="214" spans="1:6" ht="12.75" customHeight="1" x14ac:dyDescent="0.2">
      <c r="A214" s="624"/>
      <c r="B214" s="624"/>
      <c r="C214" s="624"/>
      <c r="D214" s="624"/>
      <c r="E214" s="624"/>
      <c r="F214" s="624"/>
    </row>
    <row r="215" spans="1:6" ht="12.75" customHeight="1" x14ac:dyDescent="0.2">
      <c r="A215" s="624"/>
      <c r="B215" s="624"/>
      <c r="C215" s="624"/>
      <c r="D215" s="624"/>
      <c r="E215" s="624"/>
      <c r="F215" s="624"/>
    </row>
    <row r="216" spans="1:6" ht="12.75" customHeight="1" x14ac:dyDescent="0.2">
      <c r="A216" s="624"/>
      <c r="B216" s="624"/>
      <c r="C216" s="624"/>
      <c r="D216" s="624"/>
      <c r="E216" s="624"/>
      <c r="F216" s="624"/>
    </row>
    <row r="217" spans="1:6" ht="12.75" customHeight="1" x14ac:dyDescent="0.2">
      <c r="A217" s="624"/>
      <c r="B217" s="624"/>
      <c r="C217" s="624"/>
      <c r="D217" s="624"/>
      <c r="E217" s="624"/>
      <c r="F217" s="624"/>
    </row>
    <row r="218" spans="1:6" ht="19.149999999999999" customHeight="1" x14ac:dyDescent="0.2">
      <c r="A218" s="335"/>
      <c r="B218" s="335"/>
      <c r="C218" s="335"/>
      <c r="D218" s="335"/>
      <c r="E218" s="335"/>
      <c r="F218" s="335"/>
    </row>
    <row r="219" spans="1:6" ht="15" x14ac:dyDescent="0.2">
      <c r="A219" s="336" t="s">
        <v>431</v>
      </c>
    </row>
  </sheetData>
  <mergeCells count="53">
    <mergeCell ref="A21:B21"/>
    <mergeCell ref="A1:F1"/>
    <mergeCell ref="R1:AA1"/>
    <mergeCell ref="A3:F6"/>
    <mergeCell ref="A8:F8"/>
    <mergeCell ref="C10:D10"/>
    <mergeCell ref="E10:F10"/>
    <mergeCell ref="A13:B13"/>
    <mergeCell ref="A14:B14"/>
    <mergeCell ref="A16:B16"/>
    <mergeCell ref="A18:B18"/>
    <mergeCell ref="A19:B19"/>
    <mergeCell ref="A36:B36"/>
    <mergeCell ref="A24:B24"/>
    <mergeCell ref="A25:B25"/>
    <mergeCell ref="A26:B26"/>
    <mergeCell ref="A27:B27"/>
    <mergeCell ref="A28:B28"/>
    <mergeCell ref="A29:B29"/>
    <mergeCell ref="A30:B30"/>
    <mergeCell ref="A31:B31"/>
    <mergeCell ref="A32:B32"/>
    <mergeCell ref="A33:C33"/>
    <mergeCell ref="A35:B35"/>
    <mergeCell ref="A45:B45"/>
    <mergeCell ref="A37:B37"/>
    <mergeCell ref="A38:B38"/>
    <mergeCell ref="A39:B39"/>
    <mergeCell ref="A40:B40"/>
    <mergeCell ref="A41:B41"/>
    <mergeCell ref="A42:B42"/>
    <mergeCell ref="A43:B43"/>
    <mergeCell ref="C43:D43"/>
    <mergeCell ref="E43:F43"/>
    <mergeCell ref="H43:N43"/>
    <mergeCell ref="A44:B44"/>
    <mergeCell ref="A159:B159"/>
    <mergeCell ref="A46:B46"/>
    <mergeCell ref="A47:B47"/>
    <mergeCell ref="A48:B48"/>
    <mergeCell ref="A49:B49"/>
    <mergeCell ref="A50:B50"/>
    <mergeCell ref="A139:B139"/>
    <mergeCell ref="A152:B152"/>
    <mergeCell ref="A153:B153"/>
    <mergeCell ref="A154:B154"/>
    <mergeCell ref="A156:B156"/>
    <mergeCell ref="A158:B158"/>
    <mergeCell ref="A164:B164"/>
    <mergeCell ref="A167:F170"/>
    <mergeCell ref="A171:F172"/>
    <mergeCell ref="A201:F206"/>
    <mergeCell ref="A208:F217"/>
  </mergeCells>
  <printOptions horizontalCentered="1"/>
  <pageMargins left="0.45" right="0.2" top="0.5" bottom="0.5" header="0.3" footer="0.3"/>
  <pageSetup scale="95" orientation="portrait" horizontalDpi="4294967295" verticalDpi="4294967295" r:id="rId1"/>
  <headerFooter>
    <oddFooter>&amp;CExhibit 4 - Full Notice (Page &amp;P of &amp;N)</oddFooter>
  </headerFooter>
  <rowBreaks count="3" manualBreakCount="3">
    <brk id="42" max="5" man="1"/>
    <brk id="87" max="5" man="1"/>
    <brk id="138" max="5" man="1"/>
  </rowBreaks>
  <colBreaks count="1" manualBreakCount="1">
    <brk id="6" max="17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5" tint="0.79998168889431442"/>
    <pageSetUpPr fitToPage="1"/>
  </sheetPr>
  <dimension ref="A1:I49"/>
  <sheetViews>
    <sheetView topLeftCell="A40" zoomScaleNormal="100" workbookViewId="0">
      <selection activeCell="G54" sqref="G54"/>
    </sheetView>
  </sheetViews>
  <sheetFormatPr defaultRowHeight="12.75" x14ac:dyDescent="0.2"/>
  <cols>
    <col min="1" max="2" width="2.7109375" style="172" customWidth="1"/>
    <col min="3" max="3" width="45.7109375" style="172" bestFit="1" customWidth="1"/>
    <col min="4" max="4" width="13.5703125" style="172" customWidth="1"/>
    <col min="5" max="6" width="14" style="172" bestFit="1" customWidth="1"/>
    <col min="7" max="7" width="9.140625" style="172"/>
    <col min="8" max="8" width="37" bestFit="1" customWidth="1"/>
  </cols>
  <sheetData>
    <row r="1" spans="1:9" ht="18" x14ac:dyDescent="0.25">
      <c r="A1" s="613" t="s">
        <v>358</v>
      </c>
      <c r="B1" s="613"/>
      <c r="C1" s="613"/>
      <c r="D1" s="613"/>
      <c r="E1" s="613"/>
      <c r="F1" s="613"/>
      <c r="G1" s="374"/>
      <c r="H1" s="375"/>
      <c r="I1" s="375"/>
    </row>
    <row r="2" spans="1:9" ht="18" x14ac:dyDescent="0.25">
      <c r="A2" s="196"/>
      <c r="B2" s="196"/>
      <c r="C2" s="196"/>
      <c r="D2" s="196"/>
      <c r="E2" s="196"/>
      <c r="F2" s="196"/>
      <c r="G2" s="374"/>
      <c r="H2" s="375"/>
      <c r="I2" s="375"/>
    </row>
    <row r="3" spans="1:9" ht="12" customHeight="1" x14ac:dyDescent="0.25">
      <c r="A3" s="633" t="s">
        <v>432</v>
      </c>
      <c r="B3" s="633"/>
      <c r="C3" s="633"/>
      <c r="D3" s="633"/>
      <c r="E3" s="633"/>
      <c r="F3" s="633"/>
      <c r="G3" s="376"/>
      <c r="H3" s="375"/>
      <c r="I3" s="375"/>
    </row>
    <row r="4" spans="1:9" ht="18" x14ac:dyDescent="0.25">
      <c r="A4" s="633"/>
      <c r="B4" s="633"/>
      <c r="C4" s="633"/>
      <c r="D4" s="633"/>
      <c r="E4" s="633"/>
      <c r="F4" s="633"/>
      <c r="G4" s="376"/>
      <c r="H4" s="375"/>
      <c r="I4" s="375"/>
    </row>
    <row r="5" spans="1:9" ht="18" x14ac:dyDescent="0.25">
      <c r="A5" s="633"/>
      <c r="B5" s="633"/>
      <c r="C5" s="633"/>
      <c r="D5" s="633"/>
      <c r="E5" s="633"/>
      <c r="F5" s="633"/>
      <c r="G5" s="376"/>
      <c r="H5" s="375"/>
      <c r="I5" s="375"/>
    </row>
    <row r="6" spans="1:9" ht="9.6" customHeight="1" x14ac:dyDescent="0.25">
      <c r="A6" s="633"/>
      <c r="B6" s="633"/>
      <c r="C6" s="633"/>
      <c r="D6" s="633"/>
      <c r="E6" s="633"/>
      <c r="F6" s="633"/>
      <c r="G6" s="376"/>
      <c r="H6" s="375"/>
      <c r="I6" s="375"/>
    </row>
    <row r="7" spans="1:9" ht="13.15" customHeight="1" x14ac:dyDescent="0.25">
      <c r="A7" s="203"/>
      <c r="B7" s="203"/>
      <c r="C7" s="203"/>
      <c r="D7" s="203"/>
      <c r="E7" s="203"/>
      <c r="F7" s="203"/>
      <c r="G7" s="375"/>
      <c r="H7" s="375"/>
      <c r="I7" s="375"/>
    </row>
    <row r="8" spans="1:9" ht="13.9" customHeight="1" x14ac:dyDescent="0.25">
      <c r="A8" s="636" t="s">
        <v>433</v>
      </c>
      <c r="B8" s="636"/>
      <c r="C8" s="636"/>
      <c r="D8" s="636"/>
      <c r="E8" s="636"/>
      <c r="F8" s="636"/>
      <c r="G8" s="376"/>
      <c r="H8" s="375"/>
      <c r="I8" s="375"/>
    </row>
    <row r="9" spans="1:9" x14ac:dyDescent="0.2">
      <c r="A9" s="120"/>
      <c r="B9" s="120"/>
      <c r="C9" s="120"/>
      <c r="D9" s="120"/>
      <c r="E9" s="120"/>
      <c r="F9" s="120"/>
      <c r="G9" s="120"/>
    </row>
    <row r="10" spans="1:9" x14ac:dyDescent="0.2">
      <c r="A10" s="120"/>
      <c r="B10" s="120"/>
      <c r="C10" s="120"/>
      <c r="D10" s="120"/>
      <c r="E10" s="637" t="s">
        <v>113</v>
      </c>
      <c r="F10" s="637"/>
      <c r="G10" s="120"/>
    </row>
    <row r="11" spans="1:9" x14ac:dyDescent="0.2">
      <c r="A11" s="120"/>
      <c r="B11" s="164" t="s">
        <v>53</v>
      </c>
      <c r="C11" s="120"/>
      <c r="D11" s="165" t="s">
        <v>60</v>
      </c>
      <c r="E11" s="166" t="s">
        <v>55</v>
      </c>
      <c r="F11" s="166" t="s">
        <v>57</v>
      </c>
      <c r="G11" s="120"/>
    </row>
    <row r="12" spans="1:9" x14ac:dyDescent="0.2">
      <c r="A12" s="120"/>
      <c r="B12" s="167" t="s">
        <v>28</v>
      </c>
      <c r="C12" s="120"/>
      <c r="D12" s="196" t="s">
        <v>138</v>
      </c>
      <c r="E12" s="120"/>
      <c r="F12" s="120"/>
      <c r="G12" s="120"/>
    </row>
    <row r="13" spans="1:9" x14ac:dyDescent="0.2">
      <c r="A13" s="120"/>
      <c r="B13" s="167"/>
      <c r="C13" s="223" t="s">
        <v>192</v>
      </c>
      <c r="D13" s="169"/>
      <c r="E13" s="201">
        <f>'Present and Proposed Rates'!G10</f>
        <v>18.2</v>
      </c>
      <c r="F13" s="201">
        <f>'Present and Proposed Rates'!H10</f>
        <v>21.95</v>
      </c>
      <c r="G13" s="120"/>
    </row>
    <row r="14" spans="1:9" x14ac:dyDescent="0.2">
      <c r="A14" s="120"/>
      <c r="B14" s="170"/>
      <c r="C14" s="223" t="s">
        <v>193</v>
      </c>
      <c r="D14" s="169"/>
      <c r="E14" s="202">
        <f>'Present and Proposed Rates'!G11</f>
        <v>0.107543</v>
      </c>
      <c r="F14" s="202">
        <f>'Present and Proposed Rates'!H11</f>
        <v>0.111511</v>
      </c>
      <c r="G14" s="120"/>
    </row>
    <row r="15" spans="1:9" x14ac:dyDescent="0.2">
      <c r="A15" s="120"/>
      <c r="B15" s="170"/>
      <c r="C15" s="169"/>
      <c r="D15" s="169"/>
      <c r="E15" s="171"/>
      <c r="F15" s="171"/>
      <c r="G15" s="120"/>
    </row>
    <row r="16" spans="1:9" x14ac:dyDescent="0.2">
      <c r="A16" s="120"/>
      <c r="B16" s="170"/>
      <c r="C16" s="332" t="s">
        <v>357</v>
      </c>
      <c r="D16" s="169"/>
      <c r="E16" s="171"/>
      <c r="F16" s="171"/>
      <c r="G16" s="120"/>
    </row>
    <row r="17" spans="1:9" x14ac:dyDescent="0.2">
      <c r="A17" s="120"/>
      <c r="B17" s="170"/>
      <c r="C17" s="332"/>
      <c r="D17" s="169"/>
      <c r="E17" s="171"/>
      <c r="F17" s="171"/>
      <c r="G17" s="120"/>
    </row>
    <row r="18" spans="1:9" ht="26.45" customHeight="1" x14ac:dyDescent="0.2">
      <c r="A18" s="635" t="s">
        <v>413</v>
      </c>
      <c r="B18" s="635"/>
      <c r="C18" s="635"/>
      <c r="D18" s="635"/>
      <c r="E18" s="635"/>
      <c r="F18" s="635"/>
      <c r="G18" s="378"/>
      <c r="H18" s="378"/>
      <c r="I18" s="378"/>
    </row>
    <row r="19" spans="1:9" x14ac:dyDescent="0.2">
      <c r="A19" s="120"/>
      <c r="B19" s="167"/>
      <c r="C19" s="120"/>
      <c r="D19" s="168"/>
      <c r="E19" s="120"/>
      <c r="F19" s="120"/>
      <c r="G19" s="120"/>
    </row>
    <row r="20" spans="1:9" ht="26.45" customHeight="1" x14ac:dyDescent="0.2">
      <c r="A20" s="120"/>
      <c r="C20" s="639" t="s">
        <v>125</v>
      </c>
      <c r="D20" s="639"/>
      <c r="E20" s="639"/>
      <c r="F20" s="639"/>
      <c r="G20" s="120"/>
    </row>
    <row r="21" spans="1:9" x14ac:dyDescent="0.2">
      <c r="A21" s="120"/>
      <c r="C21" s="173"/>
      <c r="D21" s="173"/>
      <c r="E21" s="173"/>
      <c r="G21" s="120"/>
    </row>
    <row r="22" spans="1:9" x14ac:dyDescent="0.2">
      <c r="D22" s="638" t="s">
        <v>58</v>
      </c>
      <c r="E22" s="638"/>
    </row>
    <row r="23" spans="1:9" x14ac:dyDescent="0.2">
      <c r="C23" s="164" t="s">
        <v>53</v>
      </c>
      <c r="D23" s="174" t="s">
        <v>126</v>
      </c>
      <c r="E23" s="174" t="s">
        <v>127</v>
      </c>
    </row>
    <row r="24" spans="1:9" x14ac:dyDescent="0.2">
      <c r="C24" s="120" t="str">
        <f>List!B5</f>
        <v>Residential (Single and Three Phase)</v>
      </c>
      <c r="D24" s="175">
        <f>'Present and Proposed Rates'!O10</f>
        <v>4869996.7972100079</v>
      </c>
      <c r="E24" s="189">
        <f>'Present and Proposed Rates'!P10</f>
        <v>4.9327665690152546E-2</v>
      </c>
    </row>
    <row r="25" spans="1:9" x14ac:dyDescent="0.2">
      <c r="C25" s="120" t="str">
        <f>List!B6</f>
        <v>Commercial &amp; All Other Single Phase</v>
      </c>
      <c r="D25" s="175">
        <f>'Present and Proposed Rates'!O13</f>
        <v>0</v>
      </c>
      <c r="E25" s="194">
        <f>'Present and Proposed Rates'!P13</f>
        <v>0</v>
      </c>
    </row>
    <row r="26" spans="1:9" x14ac:dyDescent="0.2">
      <c r="C26" s="120" t="str">
        <f>List!B7</f>
        <v>Commercial &amp; Public Bldgs Three Phase (&lt; 1000 kW)</v>
      </c>
      <c r="D26" s="175">
        <f>'Present and Proposed Rates'!O16</f>
        <v>0</v>
      </c>
      <c r="E26" s="194">
        <f>'Present and Proposed Rates'!P16</f>
        <v>0</v>
      </c>
    </row>
    <row r="27" spans="1:9" x14ac:dyDescent="0.2">
      <c r="C27" s="120" t="str">
        <f>List!B8</f>
        <v>Commercial Three Phase (1001 kW +)</v>
      </c>
      <c r="D27" s="175">
        <f>'Present and Proposed Rates'!O22</f>
        <v>0</v>
      </c>
      <c r="E27" s="194">
        <f>'Present and Proposed Rates'!P22</f>
        <v>0</v>
      </c>
    </row>
    <row r="28" spans="1:9" x14ac:dyDescent="0.2">
      <c r="C28" s="120" t="str">
        <f>List!B9</f>
        <v>Unmetered Lighting</v>
      </c>
      <c r="D28" s="175">
        <f>'Present and Proposed Rates'!O32</f>
        <v>0</v>
      </c>
      <c r="E28" s="194">
        <f>'Present and Proposed Rates'!P32</f>
        <v>0</v>
      </c>
    </row>
    <row r="29" spans="1:9" x14ac:dyDescent="0.2">
      <c r="C29" s="177" t="s">
        <v>84</v>
      </c>
      <c r="D29" s="178">
        <f>'Present and Proposed Rates'!O34</f>
        <v>4869996.7972100079</v>
      </c>
      <c r="E29" s="190">
        <f>'Present and Proposed Rates'!P34</f>
        <v>3.2464562081806106E-2</v>
      </c>
      <c r="G29" s="176"/>
    </row>
    <row r="30" spans="1:9" x14ac:dyDescent="0.2">
      <c r="G30" s="176"/>
    </row>
    <row r="31" spans="1:9" ht="39" customHeight="1" x14ac:dyDescent="0.2">
      <c r="C31" s="639" t="s">
        <v>128</v>
      </c>
      <c r="D31" s="639"/>
      <c r="E31" s="639"/>
      <c r="F31" s="639"/>
      <c r="G31" s="176"/>
    </row>
    <row r="32" spans="1:9" x14ac:dyDescent="0.2">
      <c r="D32" s="179" t="s">
        <v>129</v>
      </c>
      <c r="E32" s="638" t="s">
        <v>58</v>
      </c>
      <c r="F32" s="638"/>
      <c r="G32" s="176"/>
    </row>
    <row r="33" spans="1:9" x14ac:dyDescent="0.2">
      <c r="C33" s="164" t="s">
        <v>53</v>
      </c>
      <c r="D33" s="180" t="s">
        <v>130</v>
      </c>
      <c r="E33" s="174" t="s">
        <v>126</v>
      </c>
      <c r="F33" s="174" t="s">
        <v>127</v>
      </c>
      <c r="G33" s="176"/>
    </row>
    <row r="34" spans="1:9" x14ac:dyDescent="0.2">
      <c r="C34" s="120" t="str">
        <f>List!B5</f>
        <v>Residential (Single and Three Phase)</v>
      </c>
      <c r="D34" s="181">
        <f>'Res-1'!D34</f>
        <v>1203.3306072591697</v>
      </c>
      <c r="E34" s="176">
        <f>'Present and Proposed Rates'!Q10</f>
        <v>8.6058159047068852</v>
      </c>
      <c r="F34" s="191">
        <f>'Present and Proposed Rates'!P10</f>
        <v>4.9327665690152546E-2</v>
      </c>
    </row>
    <row r="35" spans="1:9" x14ac:dyDescent="0.2">
      <c r="C35" s="120" t="str">
        <f>List!B6</f>
        <v>Commercial &amp; All Other Single Phase</v>
      </c>
      <c r="D35" s="181">
        <f>'Com1Ph-3'!D34</f>
        <v>947.44165085012264</v>
      </c>
      <c r="E35" s="175">
        <f>'Present and Proposed Rates'!Q13</f>
        <v>0</v>
      </c>
      <c r="F35" s="195">
        <f>'Present and Proposed Rates'!P13</f>
        <v>0</v>
      </c>
    </row>
    <row r="36" spans="1:9" x14ac:dyDescent="0.2">
      <c r="C36" s="120" t="str">
        <f>List!B7</f>
        <v>Commercial &amp; Public Bldgs Three Phase (&lt; 1000 kW)</v>
      </c>
      <c r="D36" s="181">
        <f>'Com3Ph&lt;1000-5'!D42</f>
        <v>11550.348867912073</v>
      </c>
      <c r="E36" s="175">
        <f>'Present and Proposed Rates'!Q16</f>
        <v>0</v>
      </c>
      <c r="F36" s="195">
        <f>'Present and Proposed Rates'!P16</f>
        <v>0</v>
      </c>
    </row>
    <row r="37" spans="1:9" x14ac:dyDescent="0.2">
      <c r="C37" s="120" t="str">
        <f>List!B8</f>
        <v>Commercial Three Phase (1001 kW +)</v>
      </c>
      <c r="D37" s="181">
        <f>'Com3Ph&lt;1000-5'!D42</f>
        <v>11550.348867912073</v>
      </c>
      <c r="E37" s="175">
        <f>'Present and Proposed Rates'!Q22</f>
        <v>0</v>
      </c>
      <c r="F37" s="195">
        <f>'Present and Proposed Rates'!P22</f>
        <v>0</v>
      </c>
    </row>
    <row r="38" spans="1:9" x14ac:dyDescent="0.2">
      <c r="C38" s="120" t="str">
        <f>List!B9</f>
        <v>Unmetered Lighting</v>
      </c>
      <c r="D38" s="224" t="s">
        <v>131</v>
      </c>
      <c r="E38" s="175">
        <f>'Present and Proposed Rates'!Q32</f>
        <v>0</v>
      </c>
      <c r="F38" s="195">
        <f>'Present and Proposed Rates'!P32</f>
        <v>0</v>
      </c>
    </row>
    <row r="39" spans="1:9" x14ac:dyDescent="0.2">
      <c r="C39" s="177" t="s">
        <v>84</v>
      </c>
      <c r="D39" s="185" t="s">
        <v>131</v>
      </c>
      <c r="E39" s="185" t="s">
        <v>131</v>
      </c>
      <c r="F39" s="190">
        <f>'Present and Proposed Rates'!P34</f>
        <v>3.2464562081806106E-2</v>
      </c>
    </row>
    <row r="41" spans="1:9" ht="54.6" customHeight="1" x14ac:dyDescent="0.25">
      <c r="A41" s="634" t="s">
        <v>434</v>
      </c>
      <c r="B41" s="634"/>
      <c r="C41" s="634"/>
      <c r="D41" s="634"/>
      <c r="E41" s="634"/>
      <c r="F41" s="634"/>
      <c r="G41" s="377"/>
      <c r="H41" s="377"/>
      <c r="I41" s="377"/>
    </row>
    <row r="42" spans="1:9" ht="10.15" customHeight="1" x14ac:dyDescent="0.25">
      <c r="A42" s="379"/>
      <c r="B42" s="379"/>
      <c r="C42" s="379"/>
      <c r="D42" s="379"/>
      <c r="E42" s="379"/>
      <c r="F42" s="379"/>
      <c r="G42" s="379"/>
      <c r="H42" s="379"/>
      <c r="I42" s="379"/>
    </row>
    <row r="43" spans="1:9" ht="83.45" customHeight="1" x14ac:dyDescent="0.25">
      <c r="A43" s="634" t="s">
        <v>435</v>
      </c>
      <c r="B43" s="634"/>
      <c r="C43" s="634"/>
      <c r="D43" s="634"/>
      <c r="E43" s="634"/>
      <c r="F43" s="634"/>
      <c r="G43" s="377"/>
      <c r="H43" s="377"/>
      <c r="I43" s="377"/>
    </row>
    <row r="44" spans="1:9" ht="12" customHeight="1" x14ac:dyDescent="0.25">
      <c r="A44" s="384"/>
      <c r="B44" s="384"/>
      <c r="C44" s="384"/>
      <c r="D44" s="384"/>
      <c r="E44" s="384"/>
      <c r="F44" s="384"/>
      <c r="G44" s="377"/>
      <c r="H44" s="377"/>
      <c r="I44" s="377"/>
    </row>
    <row r="45" spans="1:9" ht="13.15" customHeight="1" x14ac:dyDescent="0.2">
      <c r="A45" s="385" t="s">
        <v>431</v>
      </c>
      <c r="B45" s="384"/>
      <c r="C45" s="384"/>
      <c r="D45" s="384"/>
      <c r="E45" s="384"/>
      <c r="F45" s="384"/>
    </row>
    <row r="46" spans="1:9" x14ac:dyDescent="0.2">
      <c r="A46" s="384"/>
      <c r="B46" s="384"/>
      <c r="C46" s="384"/>
      <c r="D46" s="384"/>
      <c r="E46" s="384"/>
      <c r="F46" s="384"/>
    </row>
    <row r="47" spans="1:9" x14ac:dyDescent="0.2">
      <c r="A47" s="384"/>
      <c r="B47" s="384"/>
      <c r="C47" s="384"/>
      <c r="D47" s="384"/>
      <c r="E47" s="384"/>
      <c r="F47" s="384"/>
    </row>
    <row r="48" spans="1:9" x14ac:dyDescent="0.2">
      <c r="A48" s="384"/>
      <c r="B48" s="384"/>
      <c r="C48" s="384"/>
      <c r="D48" s="384"/>
      <c r="E48" s="384"/>
      <c r="F48" s="384"/>
    </row>
    <row r="49" spans="1:6" x14ac:dyDescent="0.2">
      <c r="A49" s="633"/>
      <c r="B49" s="633"/>
      <c r="C49" s="633"/>
      <c r="D49" s="633"/>
      <c r="E49" s="633"/>
      <c r="F49" s="633"/>
    </row>
  </sheetData>
  <mergeCells count="12">
    <mergeCell ref="A49:F49"/>
    <mergeCell ref="A41:F41"/>
    <mergeCell ref="A43:F43"/>
    <mergeCell ref="A18:F18"/>
    <mergeCell ref="A1:F1"/>
    <mergeCell ref="A3:F6"/>
    <mergeCell ref="A8:F8"/>
    <mergeCell ref="E10:F10"/>
    <mergeCell ref="D22:E22"/>
    <mergeCell ref="C31:F31"/>
    <mergeCell ref="E32:F32"/>
    <mergeCell ref="C20:F20"/>
  </mergeCells>
  <pageMargins left="0.7" right="0.7" top="0.75" bottom="0.75" header="0.3" footer="0.3"/>
  <pageSetup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C000"/>
  </sheetPr>
  <dimension ref="A1:R74"/>
  <sheetViews>
    <sheetView topLeftCell="C37" zoomScale="75" zoomScaleNormal="75" workbookViewId="0">
      <selection activeCell="E58" sqref="E58"/>
    </sheetView>
  </sheetViews>
  <sheetFormatPr defaultColWidth="9.140625" defaultRowHeight="12.75" x14ac:dyDescent="0.2"/>
  <cols>
    <col min="1" max="1" width="4.85546875" style="172" customWidth="1"/>
    <col min="2" max="2" width="8.140625" style="172" customWidth="1"/>
    <col min="3" max="3" width="52" style="172" bestFit="1" customWidth="1"/>
    <col min="4" max="4" width="9.140625" style="172"/>
    <col min="5" max="5" width="16.140625" style="172" customWidth="1"/>
    <col min="6" max="8" width="14" style="172" customWidth="1"/>
    <col min="9" max="9" width="17.85546875" style="172" customWidth="1"/>
    <col min="10" max="10" width="14" style="172" customWidth="1"/>
    <col min="11" max="11" width="16.42578125" style="172" customWidth="1"/>
    <col min="12" max="12" width="15.5703125" style="172" customWidth="1"/>
    <col min="13" max="15" width="14" style="172" customWidth="1"/>
    <col min="16" max="16" width="15.140625" style="172" customWidth="1"/>
    <col min="17" max="17" width="17.28515625" style="172" customWidth="1"/>
    <col min="18" max="18" width="14" style="210" bestFit="1" customWidth="1"/>
    <col min="19" max="16384" width="9.140625" style="211"/>
  </cols>
  <sheetData>
    <row r="1" spans="1:18" x14ac:dyDescent="0.2">
      <c r="A1" s="163" t="s">
        <v>139</v>
      </c>
    </row>
    <row r="2" spans="1:18" x14ac:dyDescent="0.2">
      <c r="A2" s="212" t="s">
        <v>147</v>
      </c>
    </row>
    <row r="4" spans="1:18" x14ac:dyDescent="0.2">
      <c r="B4" s="212" t="s">
        <v>148</v>
      </c>
    </row>
    <row r="5" spans="1:18" x14ac:dyDescent="0.2">
      <c r="E5" s="213" t="s">
        <v>149</v>
      </c>
      <c r="F5" s="213" t="s">
        <v>150</v>
      </c>
      <c r="G5" s="213" t="s">
        <v>151</v>
      </c>
      <c r="H5" s="213" t="s">
        <v>152</v>
      </c>
      <c r="I5" s="213" t="s">
        <v>133</v>
      </c>
      <c r="J5" s="213" t="s">
        <v>153</v>
      </c>
      <c r="K5" s="213" t="s">
        <v>154</v>
      </c>
      <c r="L5" s="213" t="s">
        <v>155</v>
      </c>
      <c r="M5" s="213" t="s">
        <v>156</v>
      </c>
      <c r="N5" s="213" t="s">
        <v>157</v>
      </c>
      <c r="O5" s="213" t="s">
        <v>158</v>
      </c>
      <c r="P5" s="213" t="s">
        <v>159</v>
      </c>
      <c r="Q5" s="213" t="s">
        <v>65</v>
      </c>
      <c r="R5" s="214" t="s">
        <v>134</v>
      </c>
    </row>
    <row r="6" spans="1:18" x14ac:dyDescent="0.2">
      <c r="B6" s="196">
        <v>1</v>
      </c>
      <c r="C6" s="203" t="s">
        <v>145</v>
      </c>
      <c r="D6" s="196">
        <v>1</v>
      </c>
      <c r="E6" s="315">
        <v>47181</v>
      </c>
      <c r="F6" s="315">
        <v>47052</v>
      </c>
      <c r="G6" s="315">
        <v>47041</v>
      </c>
      <c r="H6" s="315">
        <v>47100</v>
      </c>
      <c r="I6" s="315">
        <v>47069</v>
      </c>
      <c r="J6" s="315">
        <v>47105</v>
      </c>
      <c r="K6" s="315">
        <v>47093</v>
      </c>
      <c r="L6" s="315">
        <v>47172</v>
      </c>
      <c r="M6" s="315">
        <v>47192</v>
      </c>
      <c r="N6" s="315">
        <v>47150</v>
      </c>
      <c r="O6" s="315">
        <v>47177</v>
      </c>
      <c r="P6" s="315">
        <v>47158</v>
      </c>
      <c r="Q6" s="210">
        <f>SUM(E6:P6)</f>
        <v>565490</v>
      </c>
      <c r="R6" s="210">
        <f>Q6/12</f>
        <v>47124.166666666664</v>
      </c>
    </row>
    <row r="7" spans="1:18" x14ac:dyDescent="0.2">
      <c r="B7" s="196">
        <v>2</v>
      </c>
      <c r="C7" s="203" t="s">
        <v>146</v>
      </c>
      <c r="D7" s="196">
        <v>3</v>
      </c>
      <c r="E7" s="315">
        <v>10668</v>
      </c>
      <c r="F7" s="315">
        <v>10757</v>
      </c>
      <c r="G7" s="315">
        <v>10506</v>
      </c>
      <c r="H7" s="315">
        <v>10515</v>
      </c>
      <c r="I7" s="315">
        <v>10502</v>
      </c>
      <c r="J7" s="315">
        <v>10529</v>
      </c>
      <c r="K7" s="315">
        <v>10530</v>
      </c>
      <c r="L7" s="315">
        <v>10565</v>
      </c>
      <c r="M7" s="315">
        <v>10583</v>
      </c>
      <c r="N7" s="315">
        <v>10623</v>
      </c>
      <c r="O7" s="315">
        <v>10646</v>
      </c>
      <c r="P7" s="315">
        <v>10661</v>
      </c>
      <c r="Q7" s="210">
        <f t="shared" ref="Q7:Q11" si="0">SUM(E7:P7)</f>
        <v>127085</v>
      </c>
      <c r="R7" s="210">
        <f t="shared" ref="R7:R12" si="1">Q7/12</f>
        <v>10590.416666666666</v>
      </c>
    </row>
    <row r="8" spans="1:18" x14ac:dyDescent="0.2">
      <c r="B8" s="196">
        <v>3</v>
      </c>
      <c r="C8" s="203" t="s">
        <v>178</v>
      </c>
      <c r="D8" s="196">
        <v>5</v>
      </c>
      <c r="E8" s="315">
        <v>1271</v>
      </c>
      <c r="F8" s="315">
        <v>1276</v>
      </c>
      <c r="G8" s="315">
        <v>1254</v>
      </c>
      <c r="H8" s="315">
        <v>1258</v>
      </c>
      <c r="I8" s="315">
        <v>1256</v>
      </c>
      <c r="J8" s="315">
        <v>1253</v>
      </c>
      <c r="K8" s="315">
        <v>1255</v>
      </c>
      <c r="L8" s="315">
        <v>1261</v>
      </c>
      <c r="M8" s="315">
        <v>1264</v>
      </c>
      <c r="N8" s="315">
        <v>1263</v>
      </c>
      <c r="O8" s="315">
        <v>1269</v>
      </c>
      <c r="P8" s="315">
        <v>1269</v>
      </c>
      <c r="Q8" s="210">
        <f t="shared" si="0"/>
        <v>15149</v>
      </c>
      <c r="R8" s="210">
        <f t="shared" si="1"/>
        <v>1262.4166666666667</v>
      </c>
    </row>
    <row r="9" spans="1:18" x14ac:dyDescent="0.2">
      <c r="B9" s="196">
        <v>4</v>
      </c>
      <c r="C9" s="203" t="s">
        <v>176</v>
      </c>
      <c r="D9" s="196">
        <v>7</v>
      </c>
      <c r="E9" s="315">
        <v>10</v>
      </c>
      <c r="F9" s="315">
        <v>10</v>
      </c>
      <c r="G9" s="315">
        <v>10</v>
      </c>
      <c r="H9" s="315">
        <v>10</v>
      </c>
      <c r="I9" s="315">
        <v>10</v>
      </c>
      <c r="J9" s="315">
        <v>10</v>
      </c>
      <c r="K9" s="315">
        <v>10</v>
      </c>
      <c r="L9" s="315">
        <v>10</v>
      </c>
      <c r="M9" s="315">
        <v>10</v>
      </c>
      <c r="N9" s="315">
        <v>10</v>
      </c>
      <c r="O9" s="315">
        <v>10</v>
      </c>
      <c r="P9" s="315">
        <v>10</v>
      </c>
      <c r="Q9" s="210">
        <f t="shared" si="0"/>
        <v>120</v>
      </c>
      <c r="R9" s="210">
        <f t="shared" si="1"/>
        <v>10</v>
      </c>
    </row>
    <row r="10" spans="1:18" x14ac:dyDescent="0.2">
      <c r="B10" s="196">
        <v>5</v>
      </c>
      <c r="C10" s="203" t="s">
        <v>177</v>
      </c>
      <c r="D10" s="196">
        <v>7</v>
      </c>
      <c r="E10" s="315">
        <v>1</v>
      </c>
      <c r="F10" s="315">
        <v>1</v>
      </c>
      <c r="G10" s="315">
        <v>1</v>
      </c>
      <c r="H10" s="315">
        <v>1</v>
      </c>
      <c r="I10" s="315">
        <v>1</v>
      </c>
      <c r="J10" s="315">
        <v>1</v>
      </c>
      <c r="K10" s="315">
        <v>1</v>
      </c>
      <c r="L10" s="315">
        <v>1</v>
      </c>
      <c r="M10" s="315">
        <v>1</v>
      </c>
      <c r="N10" s="315">
        <v>1</v>
      </c>
      <c r="O10" s="315">
        <v>1</v>
      </c>
      <c r="P10" s="315">
        <v>1</v>
      </c>
      <c r="Q10" s="210">
        <f t="shared" si="0"/>
        <v>12</v>
      </c>
      <c r="R10" s="210">
        <f t="shared" si="1"/>
        <v>1</v>
      </c>
    </row>
    <row r="11" spans="1:18" x14ac:dyDescent="0.2">
      <c r="B11" s="196">
        <v>6</v>
      </c>
      <c r="C11" s="203" t="s">
        <v>140</v>
      </c>
      <c r="D11" s="196">
        <v>15</v>
      </c>
      <c r="E11" s="315">
        <v>0</v>
      </c>
      <c r="F11" s="315">
        <v>0</v>
      </c>
      <c r="G11" s="315">
        <v>0</v>
      </c>
      <c r="H11" s="315">
        <v>0</v>
      </c>
      <c r="I11" s="315">
        <v>0</v>
      </c>
      <c r="J11" s="315">
        <v>0</v>
      </c>
      <c r="K11" s="315">
        <v>0</v>
      </c>
      <c r="L11" s="315">
        <v>0</v>
      </c>
      <c r="M11" s="315">
        <v>0</v>
      </c>
      <c r="N11" s="315">
        <v>0</v>
      </c>
      <c r="O11" s="315">
        <v>0</v>
      </c>
      <c r="P11" s="315">
        <v>0</v>
      </c>
      <c r="Q11" s="210">
        <f t="shared" si="0"/>
        <v>0</v>
      </c>
      <c r="R11" s="210">
        <f t="shared" si="1"/>
        <v>0</v>
      </c>
    </row>
    <row r="12" spans="1:18" x14ac:dyDescent="0.2">
      <c r="B12" s="215"/>
      <c r="C12" s="216" t="s">
        <v>65</v>
      </c>
      <c r="D12" s="215"/>
      <c r="E12" s="217">
        <f t="shared" ref="E12:Q12" si="2">SUM(E6:E11)</f>
        <v>59131</v>
      </c>
      <c r="F12" s="217">
        <f t="shared" si="2"/>
        <v>59096</v>
      </c>
      <c r="G12" s="217">
        <f t="shared" si="2"/>
        <v>58812</v>
      </c>
      <c r="H12" s="217">
        <f t="shared" si="2"/>
        <v>58884</v>
      </c>
      <c r="I12" s="217">
        <f t="shared" si="2"/>
        <v>58838</v>
      </c>
      <c r="J12" s="217">
        <f t="shared" si="2"/>
        <v>58898</v>
      </c>
      <c r="K12" s="217">
        <f t="shared" si="2"/>
        <v>58889</v>
      </c>
      <c r="L12" s="217">
        <f t="shared" si="2"/>
        <v>59009</v>
      </c>
      <c r="M12" s="217">
        <f t="shared" si="2"/>
        <v>59050</v>
      </c>
      <c r="N12" s="217">
        <f t="shared" si="2"/>
        <v>59047</v>
      </c>
      <c r="O12" s="217">
        <f t="shared" si="2"/>
        <v>59103</v>
      </c>
      <c r="P12" s="217">
        <f t="shared" si="2"/>
        <v>59099</v>
      </c>
      <c r="Q12" s="217">
        <f t="shared" si="2"/>
        <v>707856</v>
      </c>
      <c r="R12" s="217">
        <f t="shared" si="1"/>
        <v>58988</v>
      </c>
    </row>
    <row r="14" spans="1:18" x14ac:dyDescent="0.2">
      <c r="B14" s="212" t="s">
        <v>160</v>
      </c>
    </row>
    <row r="15" spans="1:18" x14ac:dyDescent="0.2">
      <c r="E15" s="213" t="s">
        <v>149</v>
      </c>
      <c r="F15" s="213" t="s">
        <v>150</v>
      </c>
      <c r="G15" s="213" t="s">
        <v>151</v>
      </c>
      <c r="H15" s="213" t="s">
        <v>152</v>
      </c>
      <c r="I15" s="213" t="s">
        <v>133</v>
      </c>
      <c r="J15" s="213" t="s">
        <v>153</v>
      </c>
      <c r="K15" s="213" t="s">
        <v>154</v>
      </c>
      <c r="L15" s="213" t="s">
        <v>155</v>
      </c>
      <c r="M15" s="213" t="s">
        <v>156</v>
      </c>
      <c r="N15" s="213" t="s">
        <v>157</v>
      </c>
      <c r="O15" s="213" t="s">
        <v>158</v>
      </c>
      <c r="P15" s="213" t="s">
        <v>159</v>
      </c>
      <c r="Q15" s="213" t="s">
        <v>65</v>
      </c>
      <c r="R15" s="214" t="s">
        <v>134</v>
      </c>
    </row>
    <row r="16" spans="1:18" x14ac:dyDescent="0.2">
      <c r="B16" s="196">
        <v>1</v>
      </c>
      <c r="C16" s="203" t="s">
        <v>145</v>
      </c>
      <c r="D16" s="196">
        <v>1</v>
      </c>
      <c r="E16" s="315">
        <v>69422738</v>
      </c>
      <c r="F16" s="315">
        <v>62785344</v>
      </c>
      <c r="G16" s="315">
        <v>57023525</v>
      </c>
      <c r="H16" s="315">
        <v>47589273</v>
      </c>
      <c r="I16" s="315">
        <v>40937517</v>
      </c>
      <c r="J16" s="315">
        <v>52579686</v>
      </c>
      <c r="K16" s="315">
        <v>69189873</v>
      </c>
      <c r="L16" s="315">
        <v>73265632</v>
      </c>
      <c r="M16" s="315">
        <v>63810080</v>
      </c>
      <c r="N16" s="315">
        <v>45584685</v>
      </c>
      <c r="O16" s="315">
        <v>40394480</v>
      </c>
      <c r="P16" s="315">
        <v>56166626</v>
      </c>
      <c r="Q16" s="210">
        <f>SUM(E16:P16)</f>
        <v>678749459</v>
      </c>
      <c r="R16" s="210">
        <f>Q16/12</f>
        <v>56562454.916666664</v>
      </c>
    </row>
    <row r="17" spans="2:18" x14ac:dyDescent="0.2">
      <c r="B17" s="196">
        <v>2</v>
      </c>
      <c r="C17" s="203" t="s">
        <v>146</v>
      </c>
      <c r="D17" s="196">
        <v>3</v>
      </c>
      <c r="E17" s="315">
        <v>9733084</v>
      </c>
      <c r="F17" s="315">
        <v>9533971</v>
      </c>
      <c r="G17" s="315">
        <v>8542940</v>
      </c>
      <c r="H17" s="315">
        <v>7983161</v>
      </c>
      <c r="I17" s="315">
        <v>8181559</v>
      </c>
      <c r="J17" s="315">
        <v>10010563</v>
      </c>
      <c r="K17" s="315">
        <v>12196188</v>
      </c>
      <c r="L17" s="315">
        <v>12814725</v>
      </c>
      <c r="M17" s="315">
        <v>11604702</v>
      </c>
      <c r="N17" s="315">
        <v>10655617</v>
      </c>
      <c r="O17" s="315">
        <v>9053634</v>
      </c>
      <c r="P17" s="315">
        <v>8994551</v>
      </c>
      <c r="Q17" s="210">
        <f t="shared" ref="Q17:Q21" si="3">SUM(E17:P17)</f>
        <v>119304695</v>
      </c>
      <c r="R17" s="210">
        <f t="shared" ref="R17:R22" si="4">Q17/12</f>
        <v>9942057.916666666</v>
      </c>
    </row>
    <row r="18" spans="2:18" x14ac:dyDescent="0.2">
      <c r="B18" s="196">
        <v>3</v>
      </c>
      <c r="C18" s="203" t="s">
        <v>178</v>
      </c>
      <c r="D18" s="196">
        <v>5</v>
      </c>
      <c r="E18" s="315">
        <v>14216727</v>
      </c>
      <c r="F18" s="315">
        <v>14191698</v>
      </c>
      <c r="G18" s="315">
        <v>12956430</v>
      </c>
      <c r="H18" s="315">
        <v>12779598</v>
      </c>
      <c r="I18" s="315">
        <v>12788371</v>
      </c>
      <c r="J18" s="315">
        <v>14431525</v>
      </c>
      <c r="K18" s="315">
        <v>15935072</v>
      </c>
      <c r="L18" s="315">
        <v>17282517</v>
      </c>
      <c r="M18" s="315">
        <v>16760751</v>
      </c>
      <c r="N18" s="315">
        <v>15942252</v>
      </c>
      <c r="O18" s="315">
        <v>14138446</v>
      </c>
      <c r="P18" s="315">
        <v>13552848</v>
      </c>
      <c r="Q18" s="210">
        <f t="shared" si="3"/>
        <v>174976235</v>
      </c>
      <c r="R18" s="210">
        <f t="shared" si="4"/>
        <v>14581352.916666666</v>
      </c>
    </row>
    <row r="19" spans="2:18" x14ac:dyDescent="0.2">
      <c r="B19" s="196">
        <v>4</v>
      </c>
      <c r="C19" s="203" t="s">
        <v>176</v>
      </c>
      <c r="D19" s="196">
        <v>7</v>
      </c>
      <c r="E19" s="315">
        <v>6394680</v>
      </c>
      <c r="F19" s="315">
        <v>6977760</v>
      </c>
      <c r="G19" s="315">
        <v>6872640</v>
      </c>
      <c r="H19" s="315">
        <v>6825600</v>
      </c>
      <c r="I19" s="315">
        <v>7165080</v>
      </c>
      <c r="J19" s="315">
        <v>7560960</v>
      </c>
      <c r="K19" s="315">
        <v>7539240</v>
      </c>
      <c r="L19" s="315">
        <v>7587000</v>
      </c>
      <c r="M19" s="315">
        <v>7794720</v>
      </c>
      <c r="N19" s="315">
        <v>7371960</v>
      </c>
      <c r="O19" s="315">
        <v>6995520</v>
      </c>
      <c r="P19" s="315">
        <v>6843360</v>
      </c>
      <c r="Q19" s="210">
        <f t="shared" si="3"/>
        <v>85928520</v>
      </c>
      <c r="R19" s="210">
        <f t="shared" si="4"/>
        <v>7160710</v>
      </c>
    </row>
    <row r="20" spans="2:18" x14ac:dyDescent="0.2">
      <c r="B20" s="196">
        <v>5</v>
      </c>
      <c r="C20" s="203" t="s">
        <v>177</v>
      </c>
      <c r="D20" s="196">
        <v>15</v>
      </c>
      <c r="E20" s="315">
        <v>158400</v>
      </c>
      <c r="F20" s="315">
        <v>175200</v>
      </c>
      <c r="G20" s="315">
        <v>158400</v>
      </c>
      <c r="H20" s="315">
        <v>141600</v>
      </c>
      <c r="I20" s="315">
        <v>134400</v>
      </c>
      <c r="J20" s="315">
        <v>124800</v>
      </c>
      <c r="K20" s="315">
        <v>116400</v>
      </c>
      <c r="L20" s="315">
        <v>144000</v>
      </c>
      <c r="M20" s="315">
        <v>178800</v>
      </c>
      <c r="N20" s="315">
        <v>159600</v>
      </c>
      <c r="O20" s="315">
        <v>132000</v>
      </c>
      <c r="P20" s="315">
        <v>159600</v>
      </c>
      <c r="Q20" s="210">
        <f t="shared" si="3"/>
        <v>1783200</v>
      </c>
      <c r="R20" s="210">
        <f t="shared" si="4"/>
        <v>148600</v>
      </c>
    </row>
    <row r="21" spans="2:18" x14ac:dyDescent="0.2">
      <c r="B21" s="196">
        <v>6</v>
      </c>
      <c r="C21" s="203" t="s">
        <v>140</v>
      </c>
      <c r="D21" s="196">
        <v>33</v>
      </c>
      <c r="E21" s="315">
        <v>687777.08333333337</v>
      </c>
      <c r="F21" s="315">
        <f>E21</f>
        <v>687777.08333333337</v>
      </c>
      <c r="G21" s="315">
        <f t="shared" ref="G21:P21" si="5">F21</f>
        <v>687777.08333333337</v>
      </c>
      <c r="H21" s="315">
        <f t="shared" si="5"/>
        <v>687777.08333333337</v>
      </c>
      <c r="I21" s="315">
        <f t="shared" si="5"/>
        <v>687777.08333333337</v>
      </c>
      <c r="J21" s="315">
        <f t="shared" si="5"/>
        <v>687777.08333333337</v>
      </c>
      <c r="K21" s="315">
        <f t="shared" si="5"/>
        <v>687777.08333333337</v>
      </c>
      <c r="L21" s="315">
        <f t="shared" si="5"/>
        <v>687777.08333333337</v>
      </c>
      <c r="M21" s="315">
        <f t="shared" si="5"/>
        <v>687777.08333333337</v>
      </c>
      <c r="N21" s="315">
        <f t="shared" si="5"/>
        <v>687777.08333333337</v>
      </c>
      <c r="O21" s="315">
        <f t="shared" si="5"/>
        <v>687777.08333333337</v>
      </c>
      <c r="P21" s="315">
        <f t="shared" si="5"/>
        <v>687777.08333333337</v>
      </c>
      <c r="Q21" s="210">
        <f t="shared" si="3"/>
        <v>8253324.9999999991</v>
      </c>
      <c r="R21" s="210">
        <f t="shared" si="4"/>
        <v>687777.08333333326</v>
      </c>
    </row>
    <row r="22" spans="2:18" x14ac:dyDescent="0.2">
      <c r="B22" s="215"/>
      <c r="C22" s="216" t="s">
        <v>65</v>
      </c>
      <c r="D22" s="215"/>
      <c r="E22" s="217">
        <f t="shared" ref="E22:Q22" si="6">SUM(E16:E21)</f>
        <v>100613406.08333333</v>
      </c>
      <c r="F22" s="217">
        <f t="shared" si="6"/>
        <v>94351750.083333328</v>
      </c>
      <c r="G22" s="217">
        <f t="shared" si="6"/>
        <v>86241712.083333328</v>
      </c>
      <c r="H22" s="217">
        <f t="shared" si="6"/>
        <v>76007009.083333328</v>
      </c>
      <c r="I22" s="217">
        <f t="shared" si="6"/>
        <v>69894704.083333328</v>
      </c>
      <c r="J22" s="217">
        <f t="shared" si="6"/>
        <v>85395311.083333328</v>
      </c>
      <c r="K22" s="217">
        <f t="shared" si="6"/>
        <v>105664550.08333333</v>
      </c>
      <c r="L22" s="217">
        <f t="shared" si="6"/>
        <v>111781651.08333333</v>
      </c>
      <c r="M22" s="217">
        <f t="shared" si="6"/>
        <v>100836830.08333333</v>
      </c>
      <c r="N22" s="217">
        <f t="shared" si="6"/>
        <v>80401891.083333328</v>
      </c>
      <c r="O22" s="217">
        <f t="shared" si="6"/>
        <v>71401857.083333328</v>
      </c>
      <c r="P22" s="217">
        <f t="shared" si="6"/>
        <v>86404762.083333328</v>
      </c>
      <c r="Q22" s="217">
        <f t="shared" si="6"/>
        <v>1068995434</v>
      </c>
      <c r="R22" s="217">
        <f t="shared" si="4"/>
        <v>89082952.833333328</v>
      </c>
    </row>
    <row r="23" spans="2:18" x14ac:dyDescent="0.2">
      <c r="E23" s="219">
        <f>E19+E20</f>
        <v>6553080</v>
      </c>
      <c r="F23" s="219">
        <f t="shared" ref="F23:P23" si="7">F19+F20</f>
        <v>7152960</v>
      </c>
      <c r="G23" s="219">
        <f t="shared" si="7"/>
        <v>7031040</v>
      </c>
      <c r="H23" s="219">
        <f t="shared" si="7"/>
        <v>6967200</v>
      </c>
      <c r="I23" s="219">
        <f t="shared" si="7"/>
        <v>7299480</v>
      </c>
      <c r="J23" s="219">
        <f t="shared" si="7"/>
        <v>7685760</v>
      </c>
      <c r="K23" s="219">
        <f t="shared" si="7"/>
        <v>7655640</v>
      </c>
      <c r="L23" s="219">
        <f t="shared" si="7"/>
        <v>7731000</v>
      </c>
      <c r="M23" s="219">
        <f t="shared" si="7"/>
        <v>7973520</v>
      </c>
      <c r="N23" s="219">
        <f t="shared" si="7"/>
        <v>7531560</v>
      </c>
      <c r="O23" s="219">
        <f t="shared" si="7"/>
        <v>7127520</v>
      </c>
      <c r="P23" s="219">
        <f t="shared" si="7"/>
        <v>7002960</v>
      </c>
    </row>
    <row r="24" spans="2:18" x14ac:dyDescent="0.2">
      <c r="B24" s="212" t="s">
        <v>161</v>
      </c>
    </row>
    <row r="25" spans="2:18" x14ac:dyDescent="0.2">
      <c r="E25" s="213" t="s">
        <v>149</v>
      </c>
      <c r="F25" s="213" t="s">
        <v>150</v>
      </c>
      <c r="G25" s="213" t="s">
        <v>151</v>
      </c>
      <c r="H25" s="213" t="s">
        <v>152</v>
      </c>
      <c r="I25" s="213" t="s">
        <v>133</v>
      </c>
      <c r="J25" s="213" t="s">
        <v>153</v>
      </c>
      <c r="K25" s="213" t="s">
        <v>154</v>
      </c>
      <c r="L25" s="213" t="s">
        <v>155</v>
      </c>
      <c r="M25" s="213" t="s">
        <v>156</v>
      </c>
      <c r="N25" s="213" t="s">
        <v>157</v>
      </c>
      <c r="O25" s="213" t="s">
        <v>158</v>
      </c>
      <c r="P25" s="213" t="s">
        <v>159</v>
      </c>
      <c r="Q25" s="213" t="s">
        <v>65</v>
      </c>
      <c r="R25" s="214" t="s">
        <v>134</v>
      </c>
    </row>
    <row r="26" spans="2:18" x14ac:dyDescent="0.2">
      <c r="B26" s="196">
        <v>1</v>
      </c>
      <c r="C26" s="203" t="s">
        <v>145</v>
      </c>
      <c r="D26" s="196">
        <v>1</v>
      </c>
      <c r="E26" s="315">
        <v>0</v>
      </c>
      <c r="F26" s="315">
        <v>0</v>
      </c>
      <c r="G26" s="315">
        <v>0</v>
      </c>
      <c r="H26" s="315">
        <v>0</v>
      </c>
      <c r="I26" s="315">
        <v>0</v>
      </c>
      <c r="J26" s="315">
        <v>0</v>
      </c>
      <c r="K26" s="315">
        <v>0</v>
      </c>
      <c r="L26" s="315">
        <v>0</v>
      </c>
      <c r="M26" s="315">
        <v>0</v>
      </c>
      <c r="N26" s="315">
        <v>0</v>
      </c>
      <c r="O26" s="315">
        <v>0</v>
      </c>
      <c r="P26" s="315">
        <v>0</v>
      </c>
      <c r="Q26" s="210">
        <f>SUM(E26:P26)</f>
        <v>0</v>
      </c>
      <c r="R26" s="210">
        <f>Q26/12</f>
        <v>0</v>
      </c>
    </row>
    <row r="27" spans="2:18" x14ac:dyDescent="0.2">
      <c r="B27" s="196">
        <v>2</v>
      </c>
      <c r="C27" s="203" t="s">
        <v>146</v>
      </c>
      <c r="D27" s="196">
        <v>3</v>
      </c>
      <c r="E27" s="315">
        <v>0</v>
      </c>
      <c r="F27" s="315">
        <v>0</v>
      </c>
      <c r="G27" s="315">
        <v>0</v>
      </c>
      <c r="H27" s="315">
        <v>0</v>
      </c>
      <c r="I27" s="315">
        <v>0</v>
      </c>
      <c r="J27" s="315">
        <v>0</v>
      </c>
      <c r="K27" s="315">
        <v>0</v>
      </c>
      <c r="L27" s="315">
        <v>0</v>
      </c>
      <c r="M27" s="315">
        <v>0</v>
      </c>
      <c r="N27" s="315">
        <v>0</v>
      </c>
      <c r="O27" s="315">
        <v>0</v>
      </c>
      <c r="P27" s="315">
        <v>0</v>
      </c>
      <c r="Q27" s="210">
        <f t="shared" ref="Q27:Q31" si="8">SUM(E27:P27)</f>
        <v>0</v>
      </c>
      <c r="R27" s="210">
        <f t="shared" ref="R27:R32" si="9">Q27/12</f>
        <v>0</v>
      </c>
    </row>
    <row r="28" spans="2:18" x14ac:dyDescent="0.2">
      <c r="B28" s="196">
        <v>3</v>
      </c>
      <c r="C28" s="203" t="s">
        <v>178</v>
      </c>
      <c r="D28" s="196">
        <v>5</v>
      </c>
      <c r="E28" s="315">
        <v>51555.247000000003</v>
      </c>
      <c r="F28" s="315">
        <v>49102.439999999995</v>
      </c>
      <c r="G28" s="315">
        <v>49166.18</v>
      </c>
      <c r="H28" s="315">
        <v>47578.69</v>
      </c>
      <c r="I28" s="315">
        <v>48090.919000000002</v>
      </c>
      <c r="J28" s="315">
        <v>51051.267999999996</v>
      </c>
      <c r="K28" s="315">
        <v>53617.52</v>
      </c>
      <c r="L28" s="315">
        <v>56211.059000000001</v>
      </c>
      <c r="M28" s="315">
        <v>56751.885999999999</v>
      </c>
      <c r="N28" s="315">
        <v>61660.411999999997</v>
      </c>
      <c r="O28" s="315">
        <v>55533.263999999996</v>
      </c>
      <c r="P28" s="315">
        <v>52156.105000000003</v>
      </c>
      <c r="Q28" s="210">
        <f t="shared" si="8"/>
        <v>632474.99</v>
      </c>
      <c r="R28" s="210">
        <f t="shared" si="9"/>
        <v>52706.249166666668</v>
      </c>
    </row>
    <row r="29" spans="2:18" x14ac:dyDescent="0.2">
      <c r="B29" s="196">
        <v>4</v>
      </c>
      <c r="C29" s="203" t="s">
        <v>176</v>
      </c>
      <c r="D29" s="196">
        <v>7</v>
      </c>
      <c r="E29" s="315">
        <v>14661.6</v>
      </c>
      <c r="F29" s="315">
        <v>14804</v>
      </c>
      <c r="G29" s="315">
        <v>14534.4</v>
      </c>
      <c r="H29" s="315">
        <v>14588.2</v>
      </c>
      <c r="I29" s="315">
        <v>15017.2</v>
      </c>
      <c r="J29" s="315">
        <v>15407.2</v>
      </c>
      <c r="K29" s="315">
        <v>15561</v>
      </c>
      <c r="L29" s="315">
        <v>15433.6</v>
      </c>
      <c r="M29" s="315">
        <v>15520.6</v>
      </c>
      <c r="N29" s="315">
        <v>15021.4</v>
      </c>
      <c r="O29" s="315">
        <v>14407</v>
      </c>
      <c r="P29" s="315">
        <v>14626</v>
      </c>
      <c r="Q29" s="210">
        <f t="shared" si="8"/>
        <v>179582.19999999998</v>
      </c>
      <c r="R29" s="210">
        <f t="shared" si="9"/>
        <v>14965.183333333332</v>
      </c>
    </row>
    <row r="30" spans="2:18" x14ac:dyDescent="0.2">
      <c r="B30" s="196">
        <v>5</v>
      </c>
      <c r="C30" s="203" t="s">
        <v>177</v>
      </c>
      <c r="D30" s="196">
        <v>15</v>
      </c>
      <c r="E30" s="315">
        <v>1001</v>
      </c>
      <c r="F30" s="315">
        <v>1001</v>
      </c>
      <c r="G30" s="315">
        <v>1001</v>
      </c>
      <c r="H30" s="315">
        <v>1001</v>
      </c>
      <c r="I30" s="315">
        <v>1001</v>
      </c>
      <c r="J30" s="315">
        <v>1001</v>
      </c>
      <c r="K30" s="315">
        <v>1001</v>
      </c>
      <c r="L30" s="315">
        <v>1001</v>
      </c>
      <c r="M30" s="315">
        <v>1001</v>
      </c>
      <c r="N30" s="315">
        <v>1001</v>
      </c>
      <c r="O30" s="315">
        <v>1001</v>
      </c>
      <c r="P30" s="315">
        <v>1001</v>
      </c>
      <c r="Q30" s="210">
        <f t="shared" si="8"/>
        <v>12012</v>
      </c>
      <c r="R30" s="210">
        <f t="shared" si="9"/>
        <v>1001</v>
      </c>
    </row>
    <row r="31" spans="2:18" x14ac:dyDescent="0.2">
      <c r="B31" s="196">
        <v>6</v>
      </c>
      <c r="C31" s="203" t="s">
        <v>140</v>
      </c>
      <c r="D31" s="196">
        <v>33</v>
      </c>
      <c r="E31" s="315">
        <v>0</v>
      </c>
      <c r="F31" s="315">
        <v>0</v>
      </c>
      <c r="G31" s="315">
        <v>0</v>
      </c>
      <c r="H31" s="315">
        <v>0</v>
      </c>
      <c r="I31" s="315">
        <v>0</v>
      </c>
      <c r="J31" s="315">
        <v>0</v>
      </c>
      <c r="K31" s="315">
        <v>0</v>
      </c>
      <c r="L31" s="315">
        <v>0</v>
      </c>
      <c r="M31" s="315">
        <v>0</v>
      </c>
      <c r="N31" s="315">
        <v>0</v>
      </c>
      <c r="O31" s="315">
        <v>0</v>
      </c>
      <c r="P31" s="315">
        <v>0</v>
      </c>
      <c r="Q31" s="210">
        <f t="shared" si="8"/>
        <v>0</v>
      </c>
      <c r="R31" s="210">
        <f t="shared" si="9"/>
        <v>0</v>
      </c>
    </row>
    <row r="32" spans="2:18" x14ac:dyDescent="0.2">
      <c r="B32" s="215"/>
      <c r="C32" s="216" t="s">
        <v>65</v>
      </c>
      <c r="D32" s="215"/>
      <c r="E32" s="217">
        <f t="shared" ref="E32:Q32" si="10">SUM(E26:E31)</f>
        <v>67217.847000000009</v>
      </c>
      <c r="F32" s="217">
        <f t="shared" si="10"/>
        <v>64907.439999999995</v>
      </c>
      <c r="G32" s="217">
        <f t="shared" si="10"/>
        <v>64701.58</v>
      </c>
      <c r="H32" s="217">
        <f t="shared" si="10"/>
        <v>63167.89</v>
      </c>
      <c r="I32" s="217">
        <f t="shared" si="10"/>
        <v>64109.119000000006</v>
      </c>
      <c r="J32" s="217">
        <f t="shared" si="10"/>
        <v>67459.467999999993</v>
      </c>
      <c r="K32" s="217">
        <f t="shared" si="10"/>
        <v>70179.51999999999</v>
      </c>
      <c r="L32" s="217">
        <f t="shared" si="10"/>
        <v>72645.659</v>
      </c>
      <c r="M32" s="217">
        <f t="shared" si="10"/>
        <v>73273.486000000004</v>
      </c>
      <c r="N32" s="217">
        <f t="shared" si="10"/>
        <v>77682.811999999991</v>
      </c>
      <c r="O32" s="217">
        <f t="shared" si="10"/>
        <v>70941.263999999996</v>
      </c>
      <c r="P32" s="217">
        <f t="shared" si="10"/>
        <v>67783.10500000001</v>
      </c>
      <c r="Q32" s="217">
        <f t="shared" si="10"/>
        <v>824069.19</v>
      </c>
      <c r="R32" s="217">
        <f t="shared" si="9"/>
        <v>68672.432499999995</v>
      </c>
    </row>
    <row r="33" spans="2:18" x14ac:dyDescent="0.2">
      <c r="C33" s="203"/>
      <c r="E33" s="218">
        <f>E29+E30</f>
        <v>15662.6</v>
      </c>
      <c r="F33" s="218">
        <f t="shared" ref="F33:P33" si="11">F29+F30</f>
        <v>15805</v>
      </c>
      <c r="G33" s="218">
        <f t="shared" si="11"/>
        <v>15535.4</v>
      </c>
      <c r="H33" s="218">
        <f t="shared" si="11"/>
        <v>15589.2</v>
      </c>
      <c r="I33" s="218">
        <f t="shared" si="11"/>
        <v>16018.2</v>
      </c>
      <c r="J33" s="218">
        <f t="shared" si="11"/>
        <v>16408.2</v>
      </c>
      <c r="K33" s="218">
        <f t="shared" si="11"/>
        <v>16562</v>
      </c>
      <c r="L33" s="218">
        <f t="shared" si="11"/>
        <v>16434.599999999999</v>
      </c>
      <c r="M33" s="218">
        <f t="shared" si="11"/>
        <v>16521.599999999999</v>
      </c>
      <c r="N33" s="218">
        <f t="shared" si="11"/>
        <v>16022.4</v>
      </c>
      <c r="O33" s="218">
        <f t="shared" si="11"/>
        <v>15408</v>
      </c>
      <c r="P33" s="218">
        <f t="shared" si="11"/>
        <v>15627</v>
      </c>
      <c r="R33" s="218"/>
    </row>
    <row r="35" spans="2:18" x14ac:dyDescent="0.2">
      <c r="B35" s="212" t="s">
        <v>162</v>
      </c>
    </row>
    <row r="36" spans="2:18" x14ac:dyDescent="0.2">
      <c r="E36" s="213" t="s">
        <v>149</v>
      </c>
      <c r="F36" s="213" t="s">
        <v>150</v>
      </c>
      <c r="G36" s="213" t="s">
        <v>151</v>
      </c>
      <c r="H36" s="213" t="s">
        <v>152</v>
      </c>
      <c r="I36" s="213" t="s">
        <v>133</v>
      </c>
      <c r="J36" s="213" t="s">
        <v>153</v>
      </c>
      <c r="K36" s="213" t="s">
        <v>154</v>
      </c>
      <c r="L36" s="213" t="s">
        <v>155</v>
      </c>
      <c r="M36" s="213" t="s">
        <v>156</v>
      </c>
      <c r="N36" s="213" t="s">
        <v>157</v>
      </c>
      <c r="O36" s="213" t="s">
        <v>158</v>
      </c>
      <c r="P36" s="213" t="s">
        <v>159</v>
      </c>
      <c r="Q36" s="213" t="s">
        <v>65</v>
      </c>
      <c r="R36" s="214" t="s">
        <v>134</v>
      </c>
    </row>
    <row r="37" spans="2:18" x14ac:dyDescent="0.2">
      <c r="B37" s="196">
        <v>1</v>
      </c>
      <c r="C37" s="203" t="s">
        <v>145</v>
      </c>
      <c r="D37" s="196">
        <v>1</v>
      </c>
      <c r="E37" s="315">
        <v>2169508.8899999997</v>
      </c>
      <c r="F37" s="315">
        <v>942399.25</v>
      </c>
      <c r="G37" s="315">
        <v>545488.44999999995</v>
      </c>
      <c r="H37" s="315">
        <v>483107.66000000003</v>
      </c>
      <c r="I37" s="315">
        <v>960190.42999999993</v>
      </c>
      <c r="J37" s="315">
        <v>969453.7</v>
      </c>
      <c r="K37" s="315">
        <v>1496147.4200000002</v>
      </c>
      <c r="L37" s="315">
        <v>263066.19</v>
      </c>
      <c r="M37" s="315">
        <v>1052482.67</v>
      </c>
      <c r="N37" s="315">
        <v>1030586.4299999999</v>
      </c>
      <c r="O37" s="315">
        <v>1561476.75</v>
      </c>
      <c r="P37" s="315">
        <v>2152934.61</v>
      </c>
      <c r="Q37" s="210">
        <f>SUM(E37:P37)</f>
        <v>13626842.449999999</v>
      </c>
      <c r="R37" s="210">
        <f>Q37/12</f>
        <v>1135570.2041666666</v>
      </c>
    </row>
    <row r="38" spans="2:18" x14ac:dyDescent="0.2">
      <c r="B38" s="196">
        <v>2</v>
      </c>
      <c r="C38" s="203" t="s">
        <v>146</v>
      </c>
      <c r="D38" s="196">
        <v>3</v>
      </c>
      <c r="E38" s="315">
        <v>304807.56999999995</v>
      </c>
      <c r="F38" s="315">
        <v>143084.5</v>
      </c>
      <c r="G38" s="315">
        <v>81721.81</v>
      </c>
      <c r="H38" s="315">
        <v>81039.98</v>
      </c>
      <c r="I38" s="315">
        <v>191897.24000000002</v>
      </c>
      <c r="J38" s="315">
        <v>184573.16999999998</v>
      </c>
      <c r="K38" s="315">
        <v>263725.99</v>
      </c>
      <c r="L38" s="315">
        <v>45982.969999999994</v>
      </c>
      <c r="M38" s="315">
        <v>191409.32</v>
      </c>
      <c r="N38" s="315">
        <v>240903.69999999998</v>
      </c>
      <c r="O38" s="315">
        <v>349975.62</v>
      </c>
      <c r="P38" s="315">
        <v>344767.62000000005</v>
      </c>
      <c r="Q38" s="210">
        <f t="shared" ref="Q38:Q42" si="12">SUM(E38:P38)</f>
        <v>2423889.4899999998</v>
      </c>
      <c r="R38" s="210">
        <f t="shared" ref="R38:R43" si="13">Q38/12</f>
        <v>201990.7908333333</v>
      </c>
    </row>
    <row r="39" spans="2:18" x14ac:dyDescent="0.2">
      <c r="B39" s="196">
        <v>3</v>
      </c>
      <c r="C39" s="203" t="s">
        <v>178</v>
      </c>
      <c r="D39" s="196">
        <v>5</v>
      </c>
      <c r="E39" s="315">
        <v>444397.65</v>
      </c>
      <c r="F39" s="315">
        <v>212762.66</v>
      </c>
      <c r="G39" s="315">
        <v>123942.5</v>
      </c>
      <c r="H39" s="315">
        <v>129733.27</v>
      </c>
      <c r="I39" s="315">
        <v>299951.28999999998</v>
      </c>
      <c r="J39" s="315">
        <v>266085.96999999997</v>
      </c>
      <c r="K39" s="315">
        <v>344576.8</v>
      </c>
      <c r="L39" s="315">
        <v>62054.700000000004</v>
      </c>
      <c r="M39" s="315">
        <v>276450.34000000003</v>
      </c>
      <c r="N39" s="315">
        <v>360423.94</v>
      </c>
      <c r="O39" s="315">
        <v>546521.69999999995</v>
      </c>
      <c r="P39" s="315">
        <v>519497.03</v>
      </c>
      <c r="Q39" s="210">
        <f t="shared" si="12"/>
        <v>3586397.8500000006</v>
      </c>
      <c r="R39" s="210">
        <f t="shared" si="13"/>
        <v>298866.48750000005</v>
      </c>
    </row>
    <row r="40" spans="2:18" x14ac:dyDescent="0.2">
      <c r="B40" s="196">
        <v>4</v>
      </c>
      <c r="C40" s="203" t="s">
        <v>176</v>
      </c>
      <c r="D40" s="196">
        <v>7</v>
      </c>
      <c r="E40" s="315">
        <v>204841.42</v>
      </c>
      <c r="F40" s="315">
        <v>107363.78</v>
      </c>
      <c r="G40" s="315">
        <v>67259.63</v>
      </c>
      <c r="H40" s="315">
        <v>70728.23</v>
      </c>
      <c r="I40" s="315">
        <v>171209.29</v>
      </c>
      <c r="J40" s="315">
        <v>141708.51</v>
      </c>
      <c r="K40" s="315">
        <v>165544.04</v>
      </c>
      <c r="L40" s="315">
        <v>27758.93</v>
      </c>
      <c r="M40" s="315">
        <v>131514.45000000001</v>
      </c>
      <c r="N40" s="315">
        <v>170274.3</v>
      </c>
      <c r="O40" s="315">
        <v>275519.98</v>
      </c>
      <c r="P40" s="315">
        <v>268431.8</v>
      </c>
      <c r="Q40" s="210">
        <f t="shared" si="12"/>
        <v>1802154.36</v>
      </c>
      <c r="R40" s="210">
        <f t="shared" si="13"/>
        <v>150179.53</v>
      </c>
    </row>
    <row r="41" spans="2:18" x14ac:dyDescent="0.2">
      <c r="B41" s="196">
        <v>5</v>
      </c>
      <c r="C41" s="203" t="s">
        <v>177</v>
      </c>
      <c r="D41" s="196">
        <v>15</v>
      </c>
      <c r="E41" s="314"/>
      <c r="F41" s="314"/>
      <c r="G41" s="314"/>
      <c r="H41" s="314"/>
      <c r="I41" s="314"/>
      <c r="J41" s="314"/>
      <c r="K41" s="314"/>
      <c r="L41" s="314"/>
      <c r="M41" s="314"/>
      <c r="N41" s="314"/>
      <c r="O41" s="314"/>
      <c r="P41" s="314"/>
      <c r="Q41" s="210">
        <f t="shared" si="12"/>
        <v>0</v>
      </c>
      <c r="R41" s="210">
        <f t="shared" si="13"/>
        <v>0</v>
      </c>
    </row>
    <row r="42" spans="2:18" x14ac:dyDescent="0.2">
      <c r="B42" s="196">
        <v>6</v>
      </c>
      <c r="C42" s="203" t="s">
        <v>140</v>
      </c>
      <c r="D42" s="196">
        <v>33</v>
      </c>
      <c r="E42" s="315">
        <v>21234.29</v>
      </c>
      <c r="F42" s="315">
        <v>10168.450000000001</v>
      </c>
      <c r="G42" s="315">
        <v>6685.65</v>
      </c>
      <c r="H42" s="315">
        <v>7057.09</v>
      </c>
      <c r="I42" s="315">
        <v>16288.94</v>
      </c>
      <c r="J42" s="315">
        <v>12827.68</v>
      </c>
      <c r="K42" s="315">
        <v>14911.17</v>
      </c>
      <c r="L42" s="315">
        <v>2509.65</v>
      </c>
      <c r="M42" s="315">
        <v>11371.5</v>
      </c>
      <c r="N42" s="315">
        <v>15452.83</v>
      </c>
      <c r="O42" s="315">
        <v>26409</v>
      </c>
      <c r="P42" s="315">
        <v>26014.19</v>
      </c>
      <c r="Q42" s="210">
        <f t="shared" si="12"/>
        <v>170930.44</v>
      </c>
      <c r="R42" s="210">
        <f t="shared" si="13"/>
        <v>14244.203333333333</v>
      </c>
    </row>
    <row r="43" spans="2:18" x14ac:dyDescent="0.2">
      <c r="B43" s="215"/>
      <c r="C43" s="216" t="s">
        <v>65</v>
      </c>
      <c r="D43" s="215"/>
      <c r="E43" s="217">
        <f t="shared" ref="E43:Q43" si="14">SUM(E37:E42)</f>
        <v>3144789.8199999994</v>
      </c>
      <c r="F43" s="217">
        <f t="shared" si="14"/>
        <v>1415778.64</v>
      </c>
      <c r="G43" s="217">
        <f t="shared" si="14"/>
        <v>825098.04</v>
      </c>
      <c r="H43" s="217">
        <f t="shared" si="14"/>
        <v>771666.23</v>
      </c>
      <c r="I43" s="217">
        <f t="shared" si="14"/>
        <v>1639537.19</v>
      </c>
      <c r="J43" s="217">
        <f t="shared" si="14"/>
        <v>1574649.0299999998</v>
      </c>
      <c r="K43" s="217">
        <f t="shared" si="14"/>
        <v>2284905.42</v>
      </c>
      <c r="L43" s="217">
        <f t="shared" si="14"/>
        <v>401372.44</v>
      </c>
      <c r="M43" s="217">
        <f t="shared" si="14"/>
        <v>1663228.28</v>
      </c>
      <c r="N43" s="217">
        <f t="shared" si="14"/>
        <v>1817641.2</v>
      </c>
      <c r="O43" s="217">
        <f t="shared" si="14"/>
        <v>2759903.0500000003</v>
      </c>
      <c r="P43" s="217">
        <f t="shared" si="14"/>
        <v>3311645.2499999995</v>
      </c>
      <c r="Q43" s="217">
        <f t="shared" si="14"/>
        <v>21610214.59</v>
      </c>
      <c r="R43" s="217">
        <f t="shared" si="13"/>
        <v>1800851.2158333333</v>
      </c>
    </row>
    <row r="44" spans="2:18" x14ac:dyDescent="0.2">
      <c r="E44" s="219"/>
      <c r="F44" s="219"/>
      <c r="G44" s="219"/>
      <c r="H44" s="219"/>
      <c r="I44" s="219"/>
      <c r="J44" s="219"/>
      <c r="K44" s="219"/>
      <c r="L44" s="219"/>
      <c r="M44" s="219"/>
      <c r="N44" s="219"/>
      <c r="O44" s="219"/>
      <c r="P44" s="219"/>
    </row>
    <row r="45" spans="2:18" x14ac:dyDescent="0.2">
      <c r="B45" s="212" t="s">
        <v>163</v>
      </c>
    </row>
    <row r="46" spans="2:18" x14ac:dyDescent="0.2">
      <c r="E46" s="213" t="s">
        <v>149</v>
      </c>
      <c r="F46" s="213" t="s">
        <v>150</v>
      </c>
      <c r="G46" s="213" t="s">
        <v>151</v>
      </c>
      <c r="H46" s="213" t="s">
        <v>152</v>
      </c>
      <c r="I46" s="213" t="s">
        <v>133</v>
      </c>
      <c r="J46" s="213" t="s">
        <v>153</v>
      </c>
      <c r="K46" s="213" t="s">
        <v>154</v>
      </c>
      <c r="L46" s="213" t="s">
        <v>155</v>
      </c>
      <c r="M46" s="213" t="s">
        <v>156</v>
      </c>
      <c r="N46" s="213" t="s">
        <v>157</v>
      </c>
      <c r="O46" s="213" t="s">
        <v>158</v>
      </c>
      <c r="P46" s="213" t="s">
        <v>159</v>
      </c>
      <c r="Q46" s="213" t="s">
        <v>65</v>
      </c>
      <c r="R46" s="214" t="s">
        <v>134</v>
      </c>
    </row>
    <row r="47" spans="2:18" x14ac:dyDescent="0.2">
      <c r="B47" s="196">
        <v>1</v>
      </c>
      <c r="C47" s="203" t="s">
        <v>145</v>
      </c>
      <c r="D47" s="196">
        <v>1</v>
      </c>
      <c r="E47" s="315">
        <v>306085.62</v>
      </c>
      <c r="F47" s="315">
        <v>224997.09999999998</v>
      </c>
      <c r="G47" s="315">
        <v>404479.28</v>
      </c>
      <c r="H47" s="315">
        <v>355666.75</v>
      </c>
      <c r="I47" s="315">
        <v>327725.76</v>
      </c>
      <c r="J47" s="315">
        <v>420979.6</v>
      </c>
      <c r="K47" s="315">
        <v>373820.04</v>
      </c>
      <c r="L47" s="315">
        <v>331790.44</v>
      </c>
      <c r="M47" s="315">
        <v>221516.48</v>
      </c>
      <c r="N47" s="315">
        <v>199232.84</v>
      </c>
      <c r="O47" s="315">
        <v>180717.78</v>
      </c>
      <c r="P47" s="315">
        <v>354255.86</v>
      </c>
      <c r="Q47" s="210">
        <f>SUM(E47:P47)</f>
        <v>3701267.5499999993</v>
      </c>
      <c r="R47" s="210">
        <f>Q47/12</f>
        <v>308438.96249999997</v>
      </c>
    </row>
    <row r="48" spans="2:18" x14ac:dyDescent="0.2">
      <c r="B48" s="196">
        <v>2</v>
      </c>
      <c r="C48" s="203" t="s">
        <v>146</v>
      </c>
      <c r="D48" s="196">
        <v>3</v>
      </c>
      <c r="E48" s="315">
        <v>42848.6</v>
      </c>
      <c r="F48" s="315">
        <v>34308.960000000006</v>
      </c>
      <c r="G48" s="315">
        <v>60597.88</v>
      </c>
      <c r="H48" s="315">
        <v>59662.89</v>
      </c>
      <c r="I48" s="315">
        <v>65496.39</v>
      </c>
      <c r="J48" s="315">
        <v>80148.289999999994</v>
      </c>
      <c r="K48" s="315">
        <v>65894.3</v>
      </c>
      <c r="L48" s="315">
        <v>58030.239999999998</v>
      </c>
      <c r="M48" s="315">
        <v>40285.040000000001</v>
      </c>
      <c r="N48" s="315">
        <v>46570.049999999996</v>
      </c>
      <c r="O48" s="315">
        <v>40503.67</v>
      </c>
      <c r="P48" s="315">
        <v>56733.3</v>
      </c>
      <c r="Q48" s="210">
        <f t="shared" ref="Q48:Q52" si="15">SUM(E48:P48)</f>
        <v>651079.6100000001</v>
      </c>
      <c r="R48" s="210">
        <f t="shared" ref="R48:R53" si="16">Q48/12</f>
        <v>54256.634166666678</v>
      </c>
    </row>
    <row r="49" spans="2:18" x14ac:dyDescent="0.2">
      <c r="B49" s="196">
        <v>3</v>
      </c>
      <c r="C49" s="203" t="s">
        <v>178</v>
      </c>
      <c r="D49" s="196">
        <v>5</v>
      </c>
      <c r="E49" s="315">
        <v>62670.25</v>
      </c>
      <c r="F49" s="315">
        <v>51167.53</v>
      </c>
      <c r="G49" s="315">
        <v>91902.43</v>
      </c>
      <c r="H49" s="315">
        <v>95511.03</v>
      </c>
      <c r="I49" s="315">
        <v>102377.25</v>
      </c>
      <c r="J49" s="315">
        <v>115545.94</v>
      </c>
      <c r="K49" s="315">
        <v>86094</v>
      </c>
      <c r="L49" s="315">
        <v>78265.51999999999</v>
      </c>
      <c r="M49" s="315">
        <v>58185.09</v>
      </c>
      <c r="N49" s="315">
        <v>69677.34</v>
      </c>
      <c r="O49" s="315">
        <v>63252.75</v>
      </c>
      <c r="P49" s="315">
        <v>85481.97</v>
      </c>
      <c r="Q49" s="210">
        <f t="shared" si="15"/>
        <v>960131.09999999986</v>
      </c>
      <c r="R49" s="210">
        <f t="shared" si="16"/>
        <v>80010.924999999988</v>
      </c>
    </row>
    <row r="50" spans="2:18" x14ac:dyDescent="0.2">
      <c r="B50" s="196">
        <v>4</v>
      </c>
      <c r="C50" s="203" t="s">
        <v>176</v>
      </c>
      <c r="D50" s="196">
        <v>7</v>
      </c>
      <c r="E50" s="315">
        <v>28887.279999999999</v>
      </c>
      <c r="F50" s="315">
        <v>25801.42</v>
      </c>
      <c r="G50" s="315">
        <v>49872.56</v>
      </c>
      <c r="H50" s="315">
        <v>52070.77</v>
      </c>
      <c r="I50" s="315">
        <v>58435.97</v>
      </c>
      <c r="J50" s="315">
        <v>61536.04</v>
      </c>
      <c r="K50" s="315">
        <v>41361.89</v>
      </c>
      <c r="L50" s="315">
        <v>35010.61</v>
      </c>
      <c r="M50" s="315">
        <v>27680.09</v>
      </c>
      <c r="N50" s="315">
        <v>32917.449999999997</v>
      </c>
      <c r="O50" s="315">
        <v>31887.1</v>
      </c>
      <c r="P50" s="315">
        <v>44169.78</v>
      </c>
      <c r="Q50" s="210">
        <f t="shared" si="15"/>
        <v>489630.95999999996</v>
      </c>
      <c r="R50" s="210">
        <f t="shared" si="16"/>
        <v>40802.579999999994</v>
      </c>
    </row>
    <row r="51" spans="2:18" x14ac:dyDescent="0.2">
      <c r="B51" s="196">
        <v>5</v>
      </c>
      <c r="C51" s="203" t="s">
        <v>177</v>
      </c>
      <c r="D51" s="196">
        <v>15</v>
      </c>
      <c r="E51" s="314"/>
      <c r="F51" s="314"/>
      <c r="G51" s="314"/>
      <c r="H51" s="314"/>
      <c r="I51" s="314"/>
      <c r="J51" s="314"/>
      <c r="K51" s="314"/>
      <c r="L51" s="314"/>
      <c r="M51" s="314"/>
      <c r="N51" s="314"/>
      <c r="O51" s="314"/>
      <c r="P51" s="314"/>
      <c r="Q51" s="210">
        <f t="shared" si="15"/>
        <v>0</v>
      </c>
      <c r="R51" s="210">
        <f t="shared" si="16"/>
        <v>0</v>
      </c>
    </row>
    <row r="52" spans="2:18" x14ac:dyDescent="0.2">
      <c r="B52" s="196">
        <v>6</v>
      </c>
      <c r="C52" s="203" t="s">
        <v>140</v>
      </c>
      <c r="D52" s="196">
        <v>33</v>
      </c>
      <c r="E52" s="315">
        <v>2946.39</v>
      </c>
      <c r="F52" s="315">
        <v>2451.1999999999998</v>
      </c>
      <c r="G52" s="315">
        <v>4981.76</v>
      </c>
      <c r="H52" s="315">
        <v>5213.91</v>
      </c>
      <c r="I52" s="315">
        <v>5581.09</v>
      </c>
      <c r="J52" s="315">
        <v>5578.63</v>
      </c>
      <c r="K52" s="315">
        <v>3713.98</v>
      </c>
      <c r="L52" s="315">
        <v>3180.25</v>
      </c>
      <c r="M52" s="315">
        <v>2361.5100000000002</v>
      </c>
      <c r="N52" s="315">
        <v>2996.18</v>
      </c>
      <c r="O52" s="315">
        <v>3020.45</v>
      </c>
      <c r="P52" s="315">
        <v>4262.82</v>
      </c>
      <c r="Q52" s="210">
        <f t="shared" si="15"/>
        <v>46288.17</v>
      </c>
      <c r="R52" s="210">
        <f t="shared" si="16"/>
        <v>3857.3474999999999</v>
      </c>
    </row>
    <row r="53" spans="2:18" x14ac:dyDescent="0.2">
      <c r="B53" s="215"/>
      <c r="C53" s="216" t="s">
        <v>65</v>
      </c>
      <c r="D53" s="215"/>
      <c r="E53" s="217">
        <f t="shared" ref="E53:Q53" si="17">SUM(E47:E52)</f>
        <v>443438.14</v>
      </c>
      <c r="F53" s="217">
        <f t="shared" si="17"/>
        <v>338726.20999999996</v>
      </c>
      <c r="G53" s="217">
        <f t="shared" si="17"/>
        <v>611833.91000000015</v>
      </c>
      <c r="H53" s="217">
        <f t="shared" si="17"/>
        <v>568125.35000000009</v>
      </c>
      <c r="I53" s="217">
        <f t="shared" si="17"/>
        <v>559616.46</v>
      </c>
      <c r="J53" s="217">
        <f t="shared" si="17"/>
        <v>683788.5</v>
      </c>
      <c r="K53" s="217">
        <f t="shared" si="17"/>
        <v>570884.21</v>
      </c>
      <c r="L53" s="217">
        <f t="shared" si="17"/>
        <v>506277.05999999994</v>
      </c>
      <c r="M53" s="217">
        <f t="shared" si="17"/>
        <v>350028.21</v>
      </c>
      <c r="N53" s="217">
        <f t="shared" si="17"/>
        <v>351393.86</v>
      </c>
      <c r="O53" s="217">
        <f t="shared" si="17"/>
        <v>319381.75</v>
      </c>
      <c r="P53" s="217">
        <f t="shared" si="17"/>
        <v>544903.73</v>
      </c>
      <c r="Q53" s="217">
        <f t="shared" si="17"/>
        <v>5848397.3899999987</v>
      </c>
      <c r="R53" s="217">
        <f t="shared" si="16"/>
        <v>487366.44916666654</v>
      </c>
    </row>
    <row r="54" spans="2:18" x14ac:dyDescent="0.2">
      <c r="E54" s="219"/>
      <c r="F54" s="219"/>
      <c r="G54" s="219"/>
      <c r="H54" s="219"/>
      <c r="I54" s="219"/>
      <c r="J54" s="219"/>
      <c r="K54" s="219"/>
      <c r="L54" s="219"/>
      <c r="M54" s="219"/>
      <c r="N54" s="219"/>
      <c r="O54" s="219"/>
      <c r="P54" s="219"/>
    </row>
    <row r="55" spans="2:18" x14ac:dyDescent="0.2">
      <c r="B55" s="212" t="s">
        <v>164</v>
      </c>
    </row>
    <row r="56" spans="2:18" x14ac:dyDescent="0.2">
      <c r="E56" s="213" t="s">
        <v>149</v>
      </c>
      <c r="F56" s="213" t="s">
        <v>150</v>
      </c>
      <c r="G56" s="213" t="s">
        <v>151</v>
      </c>
      <c r="H56" s="213" t="s">
        <v>152</v>
      </c>
      <c r="I56" s="213" t="s">
        <v>133</v>
      </c>
      <c r="J56" s="213" t="s">
        <v>153</v>
      </c>
      <c r="K56" s="213" t="s">
        <v>154</v>
      </c>
      <c r="L56" s="213" t="s">
        <v>155</v>
      </c>
      <c r="M56" s="213" t="s">
        <v>156</v>
      </c>
      <c r="N56" s="213" t="s">
        <v>157</v>
      </c>
      <c r="O56" s="213" t="s">
        <v>158</v>
      </c>
      <c r="P56" s="213" t="s">
        <v>159</v>
      </c>
      <c r="Q56" s="213" t="s">
        <v>65</v>
      </c>
      <c r="R56" s="214" t="s">
        <v>134</v>
      </c>
    </row>
    <row r="57" spans="2:18" x14ac:dyDescent="0.2">
      <c r="B57" s="196">
        <v>1</v>
      </c>
      <c r="C57" s="203" t="s">
        <v>145</v>
      </c>
      <c r="D57" s="196">
        <v>1</v>
      </c>
      <c r="E57" s="315">
        <v>-594886.67000000004</v>
      </c>
      <c r="F57" s="315">
        <v>-253807.46999999997</v>
      </c>
      <c r="G57" s="315">
        <v>-267673.01</v>
      </c>
      <c r="H57" s="315">
        <v>-232659.11</v>
      </c>
      <c r="I57" s="315">
        <v>-373337.91000000003</v>
      </c>
      <c r="J57" s="315">
        <v>-511559.48</v>
      </c>
      <c r="K57" s="315">
        <v>-600458.78</v>
      </c>
      <c r="L57" s="315">
        <v>-339688.75999999995</v>
      </c>
      <c r="M57" s="315">
        <v>-213002.43999999997</v>
      </c>
      <c r="N57" s="315">
        <v>-236991.71</v>
      </c>
      <c r="O57" s="315">
        <v>-310378.47000000003</v>
      </c>
      <c r="P57" s="315">
        <v>-594037.91999999993</v>
      </c>
      <c r="Q57" s="210">
        <f>SUM(E57:P57)</f>
        <v>-4528481.7299999995</v>
      </c>
      <c r="R57" s="210">
        <f>Q57/12</f>
        <v>-377373.47749999998</v>
      </c>
    </row>
    <row r="58" spans="2:18" x14ac:dyDescent="0.2">
      <c r="B58" s="196">
        <v>2</v>
      </c>
      <c r="C58" s="203" t="s">
        <v>146</v>
      </c>
      <c r="D58" s="196">
        <v>3</v>
      </c>
      <c r="E58" s="315">
        <v>-83478.820000000007</v>
      </c>
      <c r="F58" s="315">
        <v>-38670.170000000006</v>
      </c>
      <c r="G58" s="315">
        <v>-40100.92</v>
      </c>
      <c r="H58" s="315">
        <v>-39027.72</v>
      </c>
      <c r="I58" s="315">
        <v>-74614.590000000011</v>
      </c>
      <c r="J58" s="315">
        <v>-97396.83</v>
      </c>
      <c r="K58" s="315">
        <v>-105842.85</v>
      </c>
      <c r="L58" s="315">
        <v>-59406.851000000002</v>
      </c>
      <c r="M58" s="315">
        <v>-38734.89</v>
      </c>
      <c r="N58" s="315">
        <v>-55399.75</v>
      </c>
      <c r="O58" s="315">
        <v>-69566.429999999993</v>
      </c>
      <c r="P58" s="315">
        <v>-95131.78</v>
      </c>
      <c r="Q58" s="210">
        <f t="shared" ref="Q58:Q62" si="18">SUM(E58:P58)</f>
        <v>-797371.60100000002</v>
      </c>
      <c r="R58" s="210">
        <f t="shared" ref="R58:R63" si="19">Q58/12</f>
        <v>-66447.633416666664</v>
      </c>
    </row>
    <row r="59" spans="2:18" x14ac:dyDescent="0.2">
      <c r="B59" s="196">
        <v>3</v>
      </c>
      <c r="C59" s="203" t="s">
        <v>178</v>
      </c>
      <c r="D59" s="196">
        <v>5</v>
      </c>
      <c r="E59" s="315">
        <v>-121837.43</v>
      </c>
      <c r="F59" s="315">
        <v>-57628.649999999994</v>
      </c>
      <c r="G59" s="315">
        <v>-60818.79</v>
      </c>
      <c r="H59" s="315">
        <v>-62478.19</v>
      </c>
      <c r="I59" s="315">
        <v>-116626.08</v>
      </c>
      <c r="J59" s="315">
        <v>-140407.54999999999</v>
      </c>
      <c r="K59" s="315">
        <v>-138291.17000000001</v>
      </c>
      <c r="L59" s="315">
        <v>-80128.72</v>
      </c>
      <c r="M59" s="315">
        <v>-55948.68</v>
      </c>
      <c r="N59" s="315">
        <v>-82882.240000000005</v>
      </c>
      <c r="O59" s="315">
        <v>-108634.06</v>
      </c>
      <c r="P59" s="315">
        <v>-143340.47</v>
      </c>
      <c r="Q59" s="210">
        <f t="shared" si="18"/>
        <v>-1169022.03</v>
      </c>
      <c r="R59" s="210">
        <f t="shared" si="19"/>
        <v>-97418.502500000002</v>
      </c>
    </row>
    <row r="60" spans="2:18" x14ac:dyDescent="0.2">
      <c r="B60" s="196">
        <v>4</v>
      </c>
      <c r="C60" s="203" t="s">
        <v>176</v>
      </c>
      <c r="D60" s="196">
        <v>7</v>
      </c>
      <c r="E60" s="315">
        <v>-56159.9</v>
      </c>
      <c r="F60" s="315">
        <v>-29071.8</v>
      </c>
      <c r="G60" s="315">
        <v>-33004.410000000003</v>
      </c>
      <c r="H60" s="315">
        <v>-34061.949999999997</v>
      </c>
      <c r="I60" s="315">
        <v>-66569.070000000007</v>
      </c>
      <c r="J60" s="315">
        <v>-74776.289999999994</v>
      </c>
      <c r="K60" s="315">
        <v>-66438.720000000001</v>
      </c>
      <c r="L60" s="315">
        <v>-35843.39</v>
      </c>
      <c r="M60" s="315">
        <v>-26616.41</v>
      </c>
      <c r="N60" s="315">
        <v>-39155.800000000003</v>
      </c>
      <c r="O60" s="315">
        <v>-54765.73</v>
      </c>
      <c r="P60" s="315">
        <v>-74066.100000000006</v>
      </c>
      <c r="Q60" s="210">
        <f t="shared" si="18"/>
        <v>-590529.56999999995</v>
      </c>
      <c r="R60" s="210">
        <f t="shared" si="19"/>
        <v>-49210.797499999993</v>
      </c>
    </row>
    <row r="61" spans="2:18" x14ac:dyDescent="0.2">
      <c r="B61" s="196">
        <v>5</v>
      </c>
      <c r="C61" s="203" t="s">
        <v>177</v>
      </c>
      <c r="D61" s="196">
        <v>15</v>
      </c>
      <c r="E61" s="314"/>
      <c r="F61" s="314"/>
      <c r="G61" s="314"/>
      <c r="H61" s="314"/>
      <c r="I61" s="314"/>
      <c r="J61" s="314"/>
      <c r="K61" s="314"/>
      <c r="L61" s="314"/>
      <c r="M61" s="314"/>
      <c r="N61" s="314"/>
      <c r="O61" s="314"/>
      <c r="P61" s="314"/>
      <c r="Q61" s="210">
        <f t="shared" si="18"/>
        <v>0</v>
      </c>
      <c r="R61" s="210">
        <f t="shared" si="19"/>
        <v>0</v>
      </c>
    </row>
    <row r="62" spans="2:18" x14ac:dyDescent="0.2">
      <c r="B62" s="196">
        <v>6</v>
      </c>
      <c r="C62" s="203" t="s">
        <v>140</v>
      </c>
      <c r="D62" s="196">
        <v>33</v>
      </c>
      <c r="E62" s="315">
        <v>-5803.5</v>
      </c>
      <c r="F62" s="315">
        <v>-2756.86</v>
      </c>
      <c r="G62" s="315">
        <v>-3297.16</v>
      </c>
      <c r="H62" s="315">
        <v>-3377.12</v>
      </c>
      <c r="I62" s="315">
        <v>-6336.8</v>
      </c>
      <c r="J62" s="315">
        <v>-6727.32</v>
      </c>
      <c r="K62" s="315">
        <v>-5987</v>
      </c>
      <c r="L62" s="315">
        <v>-3200.29</v>
      </c>
      <c r="M62" s="315">
        <v>-2278.7600000000002</v>
      </c>
      <c r="N62" s="315">
        <v>-3549.72</v>
      </c>
      <c r="O62" s="315">
        <v>-5243.48</v>
      </c>
      <c r="P62" s="315">
        <v>-7175.65</v>
      </c>
      <c r="Q62" s="210">
        <f t="shared" si="18"/>
        <v>-55733.659999999996</v>
      </c>
      <c r="R62" s="210">
        <f t="shared" si="19"/>
        <v>-4644.4716666666664</v>
      </c>
    </row>
    <row r="63" spans="2:18" x14ac:dyDescent="0.2">
      <c r="B63" s="215"/>
      <c r="C63" s="216" t="s">
        <v>65</v>
      </c>
      <c r="D63" s="215"/>
      <c r="E63" s="217">
        <f t="shared" ref="E63:Q63" si="20">SUM(E57:E62)</f>
        <v>-862166.32</v>
      </c>
      <c r="F63" s="217">
        <f t="shared" si="20"/>
        <v>-381934.9499999999</v>
      </c>
      <c r="G63" s="217">
        <f t="shared" si="20"/>
        <v>-404894.29</v>
      </c>
      <c r="H63" s="217">
        <f t="shared" si="20"/>
        <v>-371604.08999999997</v>
      </c>
      <c r="I63" s="217">
        <f t="shared" si="20"/>
        <v>-637484.45000000019</v>
      </c>
      <c r="J63" s="217">
        <f t="shared" si="20"/>
        <v>-830867.46999999986</v>
      </c>
      <c r="K63" s="217">
        <f t="shared" si="20"/>
        <v>-917018.52</v>
      </c>
      <c r="L63" s="217">
        <f t="shared" si="20"/>
        <v>-518268.011</v>
      </c>
      <c r="M63" s="217">
        <f t="shared" si="20"/>
        <v>-336581.17999999993</v>
      </c>
      <c r="N63" s="217">
        <f t="shared" si="20"/>
        <v>-417979.21999999991</v>
      </c>
      <c r="O63" s="217">
        <f t="shared" si="20"/>
        <v>-548588.17000000004</v>
      </c>
      <c r="P63" s="217">
        <f t="shared" si="20"/>
        <v>-913751.91999999993</v>
      </c>
      <c r="Q63" s="217">
        <f t="shared" si="20"/>
        <v>-7141138.591</v>
      </c>
      <c r="R63" s="217">
        <f t="shared" si="19"/>
        <v>-595094.8825833333</v>
      </c>
    </row>
    <row r="64" spans="2:18" x14ac:dyDescent="0.2">
      <c r="E64" s="219"/>
      <c r="F64" s="219"/>
      <c r="G64" s="219"/>
      <c r="H64" s="219"/>
      <c r="I64" s="219"/>
      <c r="J64" s="219"/>
      <c r="K64" s="219"/>
      <c r="L64" s="219"/>
      <c r="M64" s="219"/>
      <c r="N64" s="219"/>
      <c r="O64" s="219"/>
      <c r="P64" s="219"/>
    </row>
    <row r="65" spans="2:18" x14ac:dyDescent="0.2">
      <c r="B65" s="212" t="s">
        <v>165</v>
      </c>
    </row>
    <row r="66" spans="2:18" x14ac:dyDescent="0.2">
      <c r="E66" s="213" t="s">
        <v>149</v>
      </c>
      <c r="F66" s="213" t="s">
        <v>150</v>
      </c>
      <c r="G66" s="213" t="s">
        <v>151</v>
      </c>
      <c r="H66" s="213" t="s">
        <v>152</v>
      </c>
      <c r="I66" s="213" t="s">
        <v>133</v>
      </c>
      <c r="J66" s="213" t="s">
        <v>153</v>
      </c>
      <c r="K66" s="213" t="s">
        <v>154</v>
      </c>
      <c r="L66" s="213" t="s">
        <v>155</v>
      </c>
      <c r="M66" s="213" t="s">
        <v>156</v>
      </c>
      <c r="N66" s="213" t="s">
        <v>157</v>
      </c>
      <c r="O66" s="213" t="s">
        <v>158</v>
      </c>
      <c r="P66" s="213" t="s">
        <v>159</v>
      </c>
      <c r="Q66" s="213" t="s">
        <v>65</v>
      </c>
      <c r="R66" s="214" t="s">
        <v>134</v>
      </c>
    </row>
    <row r="67" spans="2:18" x14ac:dyDescent="0.2">
      <c r="B67" s="196">
        <v>1</v>
      </c>
      <c r="C67" s="203" t="s">
        <v>145</v>
      </c>
      <c r="D67" s="196">
        <v>1</v>
      </c>
      <c r="E67" s="315">
        <v>515212.16</v>
      </c>
      <c r="F67" s="315">
        <v>329216.16000000003</v>
      </c>
      <c r="G67" s="315">
        <v>137882.35999999999</v>
      </c>
      <c r="H67" s="315">
        <v>90448.3</v>
      </c>
      <c r="I67" s="315">
        <v>141799.6</v>
      </c>
      <c r="J67" s="315">
        <v>161855.66</v>
      </c>
      <c r="K67" s="315">
        <v>208206.99</v>
      </c>
      <c r="L67" s="315">
        <v>155536.95000000001</v>
      </c>
      <c r="M67" s="315">
        <v>122789.52</v>
      </c>
      <c r="N67" s="315">
        <v>106229.36</v>
      </c>
      <c r="O67" s="315">
        <v>265233.49</v>
      </c>
      <c r="P67" s="315">
        <v>399394.48000000004</v>
      </c>
      <c r="Q67" s="210">
        <f>SUM(E67:P67)</f>
        <v>2633805.0299999998</v>
      </c>
      <c r="R67" s="210">
        <f>Q67/12</f>
        <v>219483.75249999997</v>
      </c>
    </row>
    <row r="68" spans="2:18" x14ac:dyDescent="0.2">
      <c r="B68" s="196">
        <v>2</v>
      </c>
      <c r="C68" s="203" t="s">
        <v>146</v>
      </c>
      <c r="D68" s="196">
        <v>3</v>
      </c>
      <c r="E68" s="315">
        <v>72377.22</v>
      </c>
      <c r="F68" s="315">
        <v>49872</v>
      </c>
      <c r="G68" s="315">
        <v>20656.57</v>
      </c>
      <c r="H68" s="315">
        <v>15173.25</v>
      </c>
      <c r="I68" s="315">
        <v>28338.890000000003</v>
      </c>
      <c r="J68" s="315">
        <v>30814.46</v>
      </c>
      <c r="K68" s="315">
        <v>36700.26</v>
      </c>
      <c r="L68" s="315">
        <v>27202.7</v>
      </c>
      <c r="M68" s="315">
        <v>22331.32</v>
      </c>
      <c r="N68" s="315">
        <v>24830.589999999997</v>
      </c>
      <c r="O68" s="315">
        <v>59447.630000000005</v>
      </c>
      <c r="P68" s="315">
        <v>63959.9</v>
      </c>
      <c r="Q68" s="210">
        <f t="shared" ref="Q68:Q72" si="21">SUM(E68:P68)</f>
        <v>451704.79000000004</v>
      </c>
      <c r="R68" s="210">
        <f t="shared" ref="R68:R73" si="22">Q68/12</f>
        <v>37642.065833333334</v>
      </c>
    </row>
    <row r="69" spans="2:18" x14ac:dyDescent="0.2">
      <c r="B69" s="196">
        <v>3</v>
      </c>
      <c r="C69" s="203" t="s">
        <v>178</v>
      </c>
      <c r="D69" s="196">
        <v>5</v>
      </c>
      <c r="E69" s="315">
        <v>105533.52</v>
      </c>
      <c r="F69" s="315">
        <v>74183.09</v>
      </c>
      <c r="G69" s="315">
        <v>31328.75</v>
      </c>
      <c r="H69" s="315">
        <v>24288.79</v>
      </c>
      <c r="I69" s="315">
        <v>44296.49</v>
      </c>
      <c r="J69" s="315">
        <v>44424.74</v>
      </c>
      <c r="K69" s="315">
        <v>47951.7</v>
      </c>
      <c r="L69" s="315">
        <v>36688.81</v>
      </c>
      <c r="M69" s="315">
        <v>32252.75</v>
      </c>
      <c r="N69" s="315">
        <v>37151.769999999997</v>
      </c>
      <c r="O69" s="315">
        <v>92831.17</v>
      </c>
      <c r="P69" s="315">
        <v>96373.06</v>
      </c>
      <c r="Q69" s="210">
        <f t="shared" si="21"/>
        <v>667304.64000000013</v>
      </c>
      <c r="R69" s="210">
        <f t="shared" si="22"/>
        <v>55608.720000000008</v>
      </c>
    </row>
    <row r="70" spans="2:18" x14ac:dyDescent="0.2">
      <c r="B70" s="196">
        <v>4</v>
      </c>
      <c r="C70" s="203" t="s">
        <v>176</v>
      </c>
      <c r="D70" s="196">
        <v>7</v>
      </c>
      <c r="E70" s="315">
        <v>48644.82</v>
      </c>
      <c r="F70" s="315">
        <v>37370.639999999999</v>
      </c>
      <c r="G70" s="315">
        <v>17001.05</v>
      </c>
      <c r="H70" s="315">
        <v>13241.85</v>
      </c>
      <c r="I70" s="315">
        <v>25283.93</v>
      </c>
      <c r="J70" s="315">
        <v>23659.07</v>
      </c>
      <c r="K70" s="315">
        <v>23037.360000000001</v>
      </c>
      <c r="L70" s="315">
        <v>16412.13</v>
      </c>
      <c r="M70" s="315">
        <v>15343.44</v>
      </c>
      <c r="N70" s="315">
        <v>17551.53</v>
      </c>
      <c r="O70" s="315">
        <v>46800.01</v>
      </c>
      <c r="P70" s="315">
        <v>49797.34</v>
      </c>
      <c r="Q70" s="210">
        <f t="shared" si="21"/>
        <v>334143.17000000004</v>
      </c>
      <c r="R70" s="210">
        <f t="shared" si="22"/>
        <v>27845.264166666671</v>
      </c>
    </row>
    <row r="71" spans="2:18" x14ac:dyDescent="0.2">
      <c r="B71" s="196">
        <v>5</v>
      </c>
      <c r="C71" s="203" t="s">
        <v>177</v>
      </c>
      <c r="D71" s="196">
        <v>15</v>
      </c>
      <c r="E71" s="314"/>
      <c r="F71" s="314"/>
      <c r="G71" s="314"/>
      <c r="H71" s="314"/>
      <c r="I71" s="314"/>
      <c r="J71" s="314"/>
      <c r="K71" s="314"/>
      <c r="L71" s="314"/>
      <c r="M71" s="314"/>
      <c r="N71" s="314"/>
      <c r="O71" s="314"/>
      <c r="P71" s="314"/>
      <c r="Q71" s="210">
        <f t="shared" si="21"/>
        <v>0</v>
      </c>
      <c r="R71" s="210">
        <f t="shared" si="22"/>
        <v>0</v>
      </c>
    </row>
    <row r="72" spans="2:18" x14ac:dyDescent="0.2">
      <c r="B72" s="196">
        <v>6</v>
      </c>
      <c r="C72" s="203" t="s">
        <v>140</v>
      </c>
      <c r="D72" s="196">
        <v>33</v>
      </c>
      <c r="E72" s="315">
        <v>5050.12</v>
      </c>
      <c r="F72" s="315">
        <v>3536.53</v>
      </c>
      <c r="G72" s="315">
        <v>1682.83</v>
      </c>
      <c r="H72" s="315">
        <v>1315.48</v>
      </c>
      <c r="I72" s="315">
        <v>2382.67</v>
      </c>
      <c r="J72" s="315">
        <v>2116.0500000000002</v>
      </c>
      <c r="K72" s="315">
        <v>2052.1799999999998</v>
      </c>
      <c r="L72" s="315">
        <v>1441.85</v>
      </c>
      <c r="M72" s="315">
        <v>1305</v>
      </c>
      <c r="N72" s="315">
        <v>1594.88</v>
      </c>
      <c r="O72" s="315">
        <v>4496.25</v>
      </c>
      <c r="P72" s="315">
        <v>4846.3999999999996</v>
      </c>
      <c r="Q72" s="210">
        <f t="shared" si="21"/>
        <v>31820.239999999998</v>
      </c>
      <c r="R72" s="210">
        <f t="shared" si="22"/>
        <v>2651.6866666666665</v>
      </c>
    </row>
    <row r="73" spans="2:18" x14ac:dyDescent="0.2">
      <c r="B73" s="215"/>
      <c r="C73" s="216" t="s">
        <v>65</v>
      </c>
      <c r="D73" s="215"/>
      <c r="E73" s="217">
        <f t="shared" ref="E73:Q73" si="23">SUM(E67:E72)</f>
        <v>746817.84</v>
      </c>
      <c r="F73" s="217">
        <f t="shared" si="23"/>
        <v>494178.42000000004</v>
      </c>
      <c r="G73" s="217">
        <f t="shared" si="23"/>
        <v>208551.55999999997</v>
      </c>
      <c r="H73" s="217">
        <f t="shared" si="23"/>
        <v>144467.67000000001</v>
      </c>
      <c r="I73" s="217">
        <f t="shared" si="23"/>
        <v>242101.58000000002</v>
      </c>
      <c r="J73" s="217">
        <f t="shared" si="23"/>
        <v>262869.98</v>
      </c>
      <c r="K73" s="217">
        <f t="shared" si="23"/>
        <v>317948.49</v>
      </c>
      <c r="L73" s="217">
        <f t="shared" si="23"/>
        <v>237282.44000000003</v>
      </c>
      <c r="M73" s="217">
        <f t="shared" si="23"/>
        <v>194022.03</v>
      </c>
      <c r="N73" s="217">
        <f t="shared" si="23"/>
        <v>187358.13</v>
      </c>
      <c r="O73" s="217">
        <f t="shared" si="23"/>
        <v>468808.55</v>
      </c>
      <c r="P73" s="217">
        <f t="shared" si="23"/>
        <v>614371.18000000005</v>
      </c>
      <c r="Q73" s="217">
        <f t="shared" si="23"/>
        <v>4118777.87</v>
      </c>
      <c r="R73" s="217">
        <f t="shared" si="22"/>
        <v>343231.4891666667</v>
      </c>
    </row>
    <row r="74" spans="2:18" x14ac:dyDescent="0.2">
      <c r="C74" s="203"/>
      <c r="E74" s="218"/>
      <c r="F74" s="218"/>
      <c r="G74" s="218"/>
      <c r="H74" s="218"/>
      <c r="I74" s="218"/>
      <c r="J74" s="218"/>
      <c r="K74" s="218"/>
      <c r="L74" s="218"/>
      <c r="M74" s="218"/>
      <c r="N74" s="218"/>
      <c r="O74" s="218"/>
      <c r="P74" s="218"/>
      <c r="Q74" s="218"/>
      <c r="R74" s="218"/>
    </row>
  </sheetData>
  <pageMargins left="0.7" right="0.7" top="0.75" bottom="0.75" header="0.3" footer="0.3"/>
  <pageSetup orientation="portrait" r:id="rId1"/>
  <ignoredErrors>
    <ignoredError sqref="Q6:R11 Q13:R21 Q23:R31 Q33:R42 Q44:R52 Q54:R62 Q64:R7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C000"/>
  </sheetPr>
  <dimension ref="A1:AP548"/>
  <sheetViews>
    <sheetView topLeftCell="A98" workbookViewId="0">
      <selection activeCell="I116" sqref="I116"/>
    </sheetView>
  </sheetViews>
  <sheetFormatPr defaultRowHeight="12.75" x14ac:dyDescent="0.2"/>
  <cols>
    <col min="1" max="1" width="4.7109375" customWidth="1"/>
    <col min="2" max="2" width="39.85546875" customWidth="1"/>
    <col min="3" max="3" width="14" bestFit="1" customWidth="1"/>
    <col min="4" max="4" width="11.85546875" bestFit="1" customWidth="1"/>
    <col min="5" max="5" width="12.85546875" bestFit="1" customWidth="1"/>
    <col min="6" max="6" width="12.7109375" bestFit="1" customWidth="1"/>
    <col min="7" max="7" width="14.5703125" bestFit="1" customWidth="1"/>
    <col min="8" max="8" width="14" customWidth="1"/>
    <col min="9" max="9" width="10.140625" customWidth="1"/>
    <col min="10" max="10" width="14.42578125" customWidth="1"/>
    <col min="11" max="11" width="12.85546875" customWidth="1"/>
    <col min="12" max="12" width="12.5703125" customWidth="1"/>
    <col min="13" max="13" width="12.42578125" customWidth="1"/>
    <col min="14" max="14" width="13.7109375" customWidth="1"/>
    <col min="15" max="15" width="13.28515625" customWidth="1"/>
    <col min="16" max="16" width="14.140625" customWidth="1"/>
    <col min="17" max="18" width="12.28515625" bestFit="1" customWidth="1"/>
    <col min="19" max="19" width="14.28515625" bestFit="1" customWidth="1"/>
    <col min="20" max="20" width="12.5703125" bestFit="1" customWidth="1"/>
    <col min="21" max="21" width="14.28515625" bestFit="1" customWidth="1"/>
    <col min="22" max="27" width="12.28515625" bestFit="1" customWidth="1"/>
    <col min="28" max="28" width="12.42578125" bestFit="1" customWidth="1"/>
    <col min="29" max="29" width="8.85546875" style="292"/>
    <col min="33" max="33" width="12.42578125" bestFit="1" customWidth="1"/>
  </cols>
  <sheetData>
    <row r="1" spans="1:21" ht="13.9" customHeight="1" x14ac:dyDescent="0.25">
      <c r="A1" s="203"/>
      <c r="B1" s="629" t="s">
        <v>139</v>
      </c>
      <c r="C1" s="629"/>
      <c r="D1" s="629"/>
      <c r="E1" s="629"/>
      <c r="F1" s="629"/>
      <c r="G1" s="629"/>
      <c r="H1" s="629"/>
      <c r="I1" s="629"/>
      <c r="J1" s="629"/>
      <c r="K1" s="629"/>
      <c r="L1" s="629"/>
      <c r="M1" s="629"/>
      <c r="N1" s="629"/>
    </row>
    <row r="2" spans="1:21" ht="13.9" customHeight="1" x14ac:dyDescent="0.25">
      <c r="A2" s="203"/>
      <c r="B2" s="629" t="s">
        <v>315</v>
      </c>
      <c r="C2" s="629"/>
      <c r="D2" s="629"/>
      <c r="E2" s="629"/>
      <c r="F2" s="629"/>
      <c r="G2" s="629"/>
      <c r="H2" s="629"/>
      <c r="I2" s="629"/>
      <c r="J2" s="629"/>
      <c r="K2" s="629"/>
      <c r="L2" s="629"/>
      <c r="M2" s="629"/>
      <c r="N2" s="629"/>
    </row>
    <row r="3" spans="1:21" ht="13.9" customHeight="1" x14ac:dyDescent="0.25">
      <c r="A3" s="203"/>
      <c r="B3" s="629" t="s">
        <v>316</v>
      </c>
      <c r="C3" s="629"/>
      <c r="D3" s="629"/>
      <c r="E3" s="629"/>
      <c r="F3" s="629"/>
      <c r="G3" s="629"/>
      <c r="H3" s="629"/>
      <c r="I3" s="629"/>
      <c r="J3" s="629"/>
      <c r="K3" s="629"/>
      <c r="L3" s="629"/>
      <c r="M3" s="629"/>
      <c r="N3" s="629"/>
    </row>
    <row r="4" spans="1:21" ht="15" x14ac:dyDescent="0.25">
      <c r="A4" s="203"/>
      <c r="B4" s="163"/>
      <c r="C4" s="163"/>
      <c r="D4" s="163"/>
      <c r="E4" s="163"/>
      <c r="F4" s="163"/>
      <c r="G4" s="163"/>
      <c r="H4" s="230"/>
      <c r="I4" s="230"/>
      <c r="J4" s="230"/>
      <c r="K4" s="230"/>
      <c r="L4" s="230"/>
      <c r="M4" s="230"/>
      <c r="N4" s="230"/>
    </row>
    <row r="5" spans="1:21" x14ac:dyDescent="0.2">
      <c r="A5" s="231" t="s">
        <v>268</v>
      </c>
      <c r="B5" s="232" t="s">
        <v>269</v>
      </c>
      <c r="C5" s="232" t="s">
        <v>270</v>
      </c>
      <c r="D5" s="232" t="s">
        <v>271</v>
      </c>
      <c r="E5" s="232" t="s">
        <v>272</v>
      </c>
      <c r="F5" s="232" t="s">
        <v>273</v>
      </c>
      <c r="G5" s="232" t="s">
        <v>274</v>
      </c>
      <c r="H5" s="232" t="s">
        <v>275</v>
      </c>
      <c r="I5" s="232" t="s">
        <v>276</v>
      </c>
    </row>
    <row r="6" spans="1:21" x14ac:dyDescent="0.2">
      <c r="A6" s="231" t="s">
        <v>277</v>
      </c>
      <c r="B6" s="232"/>
      <c r="C6" s="232"/>
      <c r="D6" s="232"/>
      <c r="E6" s="232"/>
      <c r="F6" s="232"/>
      <c r="G6" s="232"/>
      <c r="H6" s="640" t="s">
        <v>278</v>
      </c>
      <c r="I6" s="640"/>
      <c r="J6" s="640"/>
      <c r="K6" s="640"/>
      <c r="L6" s="640"/>
      <c r="M6" s="232"/>
      <c r="N6" s="232"/>
    </row>
    <row r="7" spans="1:21" ht="15" x14ac:dyDescent="0.25">
      <c r="B7" s="228"/>
      <c r="C7" s="641" t="s">
        <v>279</v>
      </c>
      <c r="D7" s="641"/>
      <c r="E7" s="641"/>
      <c r="F7" s="641"/>
      <c r="G7" s="641"/>
      <c r="H7" s="228"/>
      <c r="I7" s="228" t="s">
        <v>111</v>
      </c>
      <c r="J7" s="228"/>
      <c r="K7" s="228"/>
      <c r="L7" s="228"/>
      <c r="M7" s="228" t="s">
        <v>280</v>
      </c>
      <c r="N7" s="228" t="s">
        <v>280</v>
      </c>
    </row>
    <row r="8" spans="1:21" ht="15" x14ac:dyDescent="0.25">
      <c r="A8" s="203"/>
      <c r="B8" s="229"/>
      <c r="C8" s="227" t="s">
        <v>281</v>
      </c>
      <c r="D8" s="227" t="s">
        <v>282</v>
      </c>
      <c r="E8" s="227" t="s">
        <v>8</v>
      </c>
      <c r="F8" s="227" t="s">
        <v>5</v>
      </c>
      <c r="G8" s="227" t="s">
        <v>41</v>
      </c>
      <c r="H8" s="227" t="s">
        <v>281</v>
      </c>
      <c r="I8" s="227" t="s">
        <v>283</v>
      </c>
      <c r="J8" s="227" t="s">
        <v>284</v>
      </c>
      <c r="K8" s="227" t="s">
        <v>55</v>
      </c>
      <c r="L8" s="227" t="s">
        <v>55</v>
      </c>
      <c r="M8" s="227" t="s">
        <v>57</v>
      </c>
      <c r="N8" s="227" t="s">
        <v>57</v>
      </c>
    </row>
    <row r="9" spans="1:21" ht="15.75" thickBot="1" x14ac:dyDescent="0.3">
      <c r="A9" s="203"/>
      <c r="B9" s="233" t="s">
        <v>285</v>
      </c>
      <c r="C9" s="234" t="s">
        <v>286</v>
      </c>
      <c r="D9" s="233" t="s">
        <v>287</v>
      </c>
      <c r="E9" s="233" t="s">
        <v>282</v>
      </c>
      <c r="F9" s="233" t="s">
        <v>282</v>
      </c>
      <c r="G9" s="233" t="s">
        <v>282</v>
      </c>
      <c r="H9" s="234" t="s">
        <v>286</v>
      </c>
      <c r="I9" s="234" t="s">
        <v>288</v>
      </c>
      <c r="J9" s="234"/>
      <c r="K9" s="233" t="s">
        <v>289</v>
      </c>
      <c r="L9" s="233" t="s">
        <v>41</v>
      </c>
      <c r="M9" s="233" t="s">
        <v>5</v>
      </c>
      <c r="N9" s="233" t="s">
        <v>41</v>
      </c>
    </row>
    <row r="10" spans="1:21" ht="15" x14ac:dyDescent="0.25">
      <c r="A10" s="196">
        <v>1</v>
      </c>
      <c r="B10" s="227" t="s">
        <v>195</v>
      </c>
      <c r="C10" s="227"/>
      <c r="D10" s="227"/>
      <c r="E10" s="227"/>
      <c r="F10" s="227"/>
      <c r="G10" s="227"/>
      <c r="H10" s="235"/>
      <c r="I10" s="235"/>
      <c r="J10" s="235"/>
      <c r="K10" s="227"/>
      <c r="L10" s="227"/>
      <c r="M10" s="203"/>
      <c r="N10" s="203"/>
    </row>
    <row r="11" spans="1:21" ht="15" x14ac:dyDescent="0.25">
      <c r="A11" s="196">
        <f>A10+1</f>
        <v>2</v>
      </c>
      <c r="B11" s="227" t="s">
        <v>196</v>
      </c>
      <c r="C11" s="236"/>
      <c r="D11" s="236"/>
      <c r="E11" s="237"/>
      <c r="F11" s="236"/>
      <c r="G11" s="236"/>
      <c r="H11" s="235"/>
      <c r="I11" s="235"/>
      <c r="J11" s="235"/>
      <c r="K11" s="227"/>
      <c r="L11" s="227"/>
      <c r="M11" s="203"/>
      <c r="N11" s="203"/>
    </row>
    <row r="12" spans="1:21" ht="15" x14ac:dyDescent="0.25">
      <c r="A12" s="196">
        <f t="shared" ref="A12:A75" si="0">A11+1</f>
        <v>3</v>
      </c>
      <c r="B12" s="228" t="s">
        <v>197</v>
      </c>
      <c r="C12" s="238"/>
      <c r="D12" s="238"/>
      <c r="E12" s="239"/>
      <c r="F12" s="238"/>
      <c r="G12" s="238"/>
      <c r="H12" s="240"/>
      <c r="I12" s="240"/>
      <c r="J12" s="240"/>
      <c r="K12" s="228"/>
      <c r="L12" s="228"/>
      <c r="M12" s="203"/>
      <c r="N12" s="203"/>
    </row>
    <row r="13" spans="1:21" ht="15" x14ac:dyDescent="0.25">
      <c r="A13" s="196">
        <f t="shared" si="0"/>
        <v>4</v>
      </c>
      <c r="B13" s="228" t="s">
        <v>198</v>
      </c>
      <c r="C13" s="238"/>
      <c r="D13" s="238"/>
      <c r="E13" s="239"/>
      <c r="F13" s="238"/>
      <c r="G13" s="238"/>
      <c r="H13" s="240"/>
      <c r="I13" s="240"/>
      <c r="J13" s="240"/>
      <c r="K13" s="228"/>
      <c r="L13" s="228"/>
      <c r="M13" s="203"/>
      <c r="N13" s="203"/>
    </row>
    <row r="14" spans="1:21" ht="14.25" x14ac:dyDescent="0.2">
      <c r="A14" s="316">
        <f t="shared" si="0"/>
        <v>5</v>
      </c>
      <c r="B14" s="229" t="s">
        <v>199</v>
      </c>
      <c r="C14" s="241">
        <v>48566</v>
      </c>
      <c r="D14" s="243">
        <v>70</v>
      </c>
      <c r="E14" s="241">
        <f>C14*D14</f>
        <v>3399620</v>
      </c>
      <c r="F14" s="242">
        <v>11.28</v>
      </c>
      <c r="G14" s="242">
        <f>C14*F14</f>
        <v>547824.48</v>
      </c>
      <c r="H14" s="243">
        <f>C14</f>
        <v>48566</v>
      </c>
      <c r="I14" s="243">
        <v>70</v>
      </c>
      <c r="J14" s="243">
        <f>H14*I14</f>
        <v>3399620</v>
      </c>
      <c r="K14" s="244">
        <v>11.28</v>
      </c>
      <c r="L14" s="245">
        <f t="shared" ref="L14:L26" si="1">$H14*K14</f>
        <v>547824.48</v>
      </c>
      <c r="M14" s="246">
        <f>K14</f>
        <v>11.28</v>
      </c>
      <c r="N14" s="198">
        <f t="shared" ref="N14:N26" si="2">H14*M14</f>
        <v>547824.48</v>
      </c>
      <c r="O14" s="247"/>
      <c r="Q14" s="248"/>
      <c r="R14" s="249"/>
      <c r="S14" s="250"/>
      <c r="T14" s="251"/>
      <c r="U14" s="250"/>
    </row>
    <row r="15" spans="1:21" ht="14.25" x14ac:dyDescent="0.2">
      <c r="A15" s="316">
        <f t="shared" si="0"/>
        <v>6</v>
      </c>
      <c r="B15" s="229" t="s">
        <v>200</v>
      </c>
      <c r="C15" s="241">
        <v>745</v>
      </c>
      <c r="D15" s="243">
        <v>97</v>
      </c>
      <c r="E15" s="241">
        <f t="shared" ref="E15:E26" si="3">C15*D15</f>
        <v>72265</v>
      </c>
      <c r="F15" s="244">
        <v>13.74</v>
      </c>
      <c r="G15" s="242">
        <f t="shared" ref="G15:G26" si="4">C15*F15</f>
        <v>10236.299999999999</v>
      </c>
      <c r="H15" s="243">
        <f t="shared" ref="H15:H26" si="5">C15</f>
        <v>745</v>
      </c>
      <c r="I15" s="243">
        <v>97</v>
      </c>
      <c r="J15" s="243">
        <f t="shared" ref="J15:J22" si="6">H15*I15</f>
        <v>72265</v>
      </c>
      <c r="K15" s="244">
        <v>13.74</v>
      </c>
      <c r="L15" s="245">
        <f t="shared" si="1"/>
        <v>10236.299999999999</v>
      </c>
      <c r="M15" s="246">
        <f t="shared" ref="M15:M26" si="7">K15</f>
        <v>13.74</v>
      </c>
      <c r="N15" s="198">
        <f t="shared" si="2"/>
        <v>10236.299999999999</v>
      </c>
      <c r="Q15" s="248"/>
      <c r="R15" s="249"/>
      <c r="S15" s="250"/>
      <c r="T15" s="251"/>
      <c r="U15" s="250"/>
    </row>
    <row r="16" spans="1:21" ht="14.25" x14ac:dyDescent="0.2">
      <c r="A16" s="316">
        <f t="shared" si="0"/>
        <v>7</v>
      </c>
      <c r="B16" s="229" t="s">
        <v>201</v>
      </c>
      <c r="C16" s="241">
        <v>1817</v>
      </c>
      <c r="D16" s="243">
        <v>155</v>
      </c>
      <c r="E16" s="241">
        <f t="shared" si="3"/>
        <v>281635</v>
      </c>
      <c r="F16" s="244">
        <v>16.809999999999999</v>
      </c>
      <c r="G16" s="242">
        <f t="shared" si="4"/>
        <v>30543.769999999997</v>
      </c>
      <c r="H16" s="243">
        <f t="shared" si="5"/>
        <v>1817</v>
      </c>
      <c r="I16" s="243">
        <v>155</v>
      </c>
      <c r="J16" s="243">
        <f t="shared" si="6"/>
        <v>281635</v>
      </c>
      <c r="K16" s="244">
        <v>16.809999999999999</v>
      </c>
      <c r="L16" s="245">
        <f t="shared" si="1"/>
        <v>30543.769999999997</v>
      </c>
      <c r="M16" s="246">
        <f t="shared" si="7"/>
        <v>16.809999999999999</v>
      </c>
      <c r="N16" s="198">
        <f t="shared" si="2"/>
        <v>30543.769999999997</v>
      </c>
      <c r="Q16" s="252"/>
      <c r="R16" s="253"/>
      <c r="S16" s="254"/>
      <c r="T16" s="251"/>
      <c r="U16" s="250"/>
    </row>
    <row r="17" spans="1:21" ht="14.25" x14ac:dyDescent="0.2">
      <c r="A17" s="316">
        <f t="shared" si="0"/>
        <v>8</v>
      </c>
      <c r="B17" s="229" t="s">
        <v>202</v>
      </c>
      <c r="C17" s="241">
        <v>983</v>
      </c>
      <c r="D17" s="243">
        <v>44</v>
      </c>
      <c r="E17" s="241">
        <f t="shared" si="3"/>
        <v>43252</v>
      </c>
      <c r="F17" s="244">
        <v>10.02</v>
      </c>
      <c r="G17" s="242">
        <f t="shared" si="4"/>
        <v>9849.66</v>
      </c>
      <c r="H17" s="243">
        <f t="shared" si="5"/>
        <v>983</v>
      </c>
      <c r="I17" s="243">
        <v>44</v>
      </c>
      <c r="J17" s="243">
        <f t="shared" si="6"/>
        <v>43252</v>
      </c>
      <c r="K17" s="244">
        <v>10.02</v>
      </c>
      <c r="L17" s="245">
        <f t="shared" si="1"/>
        <v>9849.66</v>
      </c>
      <c r="M17" s="246">
        <f t="shared" si="7"/>
        <v>10.02</v>
      </c>
      <c r="N17" s="198">
        <f t="shared" si="2"/>
        <v>9849.66</v>
      </c>
      <c r="Q17" s="248"/>
      <c r="R17" s="249"/>
      <c r="S17" s="250"/>
      <c r="T17" s="251"/>
      <c r="U17" s="250"/>
    </row>
    <row r="18" spans="1:21" ht="14.25" x14ac:dyDescent="0.2">
      <c r="A18" s="316">
        <f t="shared" si="0"/>
        <v>9</v>
      </c>
      <c r="B18" s="229" t="s">
        <v>203</v>
      </c>
      <c r="C18" s="241">
        <v>1865</v>
      </c>
      <c r="D18" s="243">
        <v>42</v>
      </c>
      <c r="E18" s="241">
        <f t="shared" si="3"/>
        <v>78330</v>
      </c>
      <c r="F18" s="244">
        <v>9.4499999999999993</v>
      </c>
      <c r="G18" s="242">
        <f t="shared" si="4"/>
        <v>17624.25</v>
      </c>
      <c r="H18" s="243">
        <f t="shared" si="5"/>
        <v>1865</v>
      </c>
      <c r="I18" s="243">
        <v>42</v>
      </c>
      <c r="J18" s="243">
        <f t="shared" si="6"/>
        <v>78330</v>
      </c>
      <c r="K18" s="244">
        <v>9.4499999999999993</v>
      </c>
      <c r="L18" s="245">
        <f t="shared" si="1"/>
        <v>17624.25</v>
      </c>
      <c r="M18" s="246">
        <f t="shared" si="7"/>
        <v>9.4499999999999993</v>
      </c>
      <c r="N18" s="198">
        <f t="shared" si="2"/>
        <v>17624.25</v>
      </c>
      <c r="Q18" s="248"/>
      <c r="R18" s="249"/>
      <c r="S18" s="250"/>
      <c r="T18" s="251"/>
      <c r="U18" s="250"/>
    </row>
    <row r="19" spans="1:21" ht="14.25" x14ac:dyDescent="0.2">
      <c r="A19" s="316">
        <f t="shared" si="0"/>
        <v>10</v>
      </c>
      <c r="B19" s="229" t="s">
        <v>204</v>
      </c>
      <c r="C19" s="241">
        <v>144</v>
      </c>
      <c r="D19" s="243">
        <v>156</v>
      </c>
      <c r="E19" s="241">
        <f t="shared" si="3"/>
        <v>22464</v>
      </c>
      <c r="F19" s="244">
        <v>20.32</v>
      </c>
      <c r="G19" s="242">
        <f t="shared" si="4"/>
        <v>2926.08</v>
      </c>
      <c r="H19" s="243">
        <f t="shared" si="5"/>
        <v>144</v>
      </c>
      <c r="I19" s="243">
        <v>156</v>
      </c>
      <c r="J19" s="243">
        <f t="shared" si="6"/>
        <v>22464</v>
      </c>
      <c r="K19" s="244">
        <v>20.32</v>
      </c>
      <c r="L19" s="245">
        <f t="shared" si="1"/>
        <v>2926.08</v>
      </c>
      <c r="M19" s="246">
        <f t="shared" si="7"/>
        <v>20.32</v>
      </c>
      <c r="N19" s="198">
        <f t="shared" si="2"/>
        <v>2926.08</v>
      </c>
      <c r="Q19" s="248"/>
      <c r="R19" s="249"/>
      <c r="S19" s="250"/>
      <c r="T19" s="251"/>
      <c r="U19" s="250"/>
    </row>
    <row r="20" spans="1:21" ht="15" x14ac:dyDescent="0.25">
      <c r="A20" s="316">
        <f t="shared" si="0"/>
        <v>11</v>
      </c>
      <c r="B20" s="228" t="s">
        <v>205</v>
      </c>
      <c r="C20" s="241"/>
      <c r="D20" s="243"/>
      <c r="E20" s="241"/>
      <c r="F20" s="242"/>
      <c r="G20" s="242"/>
      <c r="H20" s="243"/>
      <c r="I20" s="243"/>
      <c r="J20" s="243"/>
      <c r="K20" s="244"/>
      <c r="L20" s="245"/>
      <c r="M20" s="246"/>
      <c r="N20" s="198"/>
      <c r="Q20" s="248"/>
      <c r="R20" s="249"/>
      <c r="S20" s="250"/>
      <c r="T20" s="251"/>
      <c r="U20" s="250"/>
    </row>
    <row r="21" spans="1:21" ht="14.25" x14ac:dyDescent="0.2">
      <c r="A21" s="316">
        <f t="shared" si="0"/>
        <v>12</v>
      </c>
      <c r="B21" s="229" t="s">
        <v>206</v>
      </c>
      <c r="C21" s="317">
        <f>1260+36</f>
        <v>1296</v>
      </c>
      <c r="D21" s="243">
        <v>101</v>
      </c>
      <c r="E21" s="241">
        <f t="shared" si="3"/>
        <v>130896</v>
      </c>
      <c r="F21" s="244">
        <v>15.06</v>
      </c>
      <c r="G21" s="242">
        <f t="shared" si="4"/>
        <v>19517.760000000002</v>
      </c>
      <c r="H21" s="243">
        <f t="shared" si="5"/>
        <v>1296</v>
      </c>
      <c r="I21" s="243">
        <v>101</v>
      </c>
      <c r="J21" s="243">
        <f t="shared" si="6"/>
        <v>130896</v>
      </c>
      <c r="K21" s="244">
        <v>15.06</v>
      </c>
      <c r="L21" s="245">
        <f t="shared" si="1"/>
        <v>19517.760000000002</v>
      </c>
      <c r="M21" s="246">
        <f t="shared" si="7"/>
        <v>15.06</v>
      </c>
      <c r="N21" s="198">
        <f t="shared" si="2"/>
        <v>19517.760000000002</v>
      </c>
      <c r="Q21" s="248"/>
      <c r="R21" s="249"/>
      <c r="S21" s="250"/>
      <c r="T21" s="251"/>
      <c r="U21" s="250"/>
    </row>
    <row r="22" spans="1:21" ht="14.25" x14ac:dyDescent="0.2">
      <c r="A22" s="316">
        <f t="shared" si="0"/>
        <v>13</v>
      </c>
      <c r="B22" s="229" t="s">
        <v>207</v>
      </c>
      <c r="C22" s="241">
        <v>387</v>
      </c>
      <c r="D22" s="243">
        <v>159</v>
      </c>
      <c r="E22" s="241">
        <f t="shared" si="3"/>
        <v>61533</v>
      </c>
      <c r="F22" s="244">
        <v>18.88</v>
      </c>
      <c r="G22" s="242">
        <f t="shared" si="4"/>
        <v>7306.5599999999995</v>
      </c>
      <c r="H22" s="243">
        <f t="shared" si="5"/>
        <v>387</v>
      </c>
      <c r="I22" s="243">
        <v>159</v>
      </c>
      <c r="J22" s="243">
        <f t="shared" si="6"/>
        <v>61533</v>
      </c>
      <c r="K22" s="244">
        <v>18.88</v>
      </c>
      <c r="L22" s="245">
        <f t="shared" si="1"/>
        <v>7306.5599999999995</v>
      </c>
      <c r="M22" s="246">
        <f t="shared" si="7"/>
        <v>18.88</v>
      </c>
      <c r="N22" s="198">
        <f t="shared" si="2"/>
        <v>7306.5599999999995</v>
      </c>
      <c r="Q22" s="248"/>
      <c r="R22" s="249"/>
      <c r="S22" s="250"/>
      <c r="T22" s="251"/>
      <c r="U22" s="250"/>
    </row>
    <row r="23" spans="1:21" ht="15" x14ac:dyDescent="0.25">
      <c r="A23" s="316">
        <f t="shared" si="0"/>
        <v>14</v>
      </c>
      <c r="B23" s="228" t="s">
        <v>208</v>
      </c>
      <c r="C23" s="241"/>
      <c r="D23" s="243"/>
      <c r="E23" s="241"/>
      <c r="F23" s="242"/>
      <c r="G23" s="242"/>
      <c r="H23" s="243"/>
      <c r="I23" s="243"/>
      <c r="J23" s="243"/>
      <c r="K23" s="244"/>
      <c r="L23" s="245"/>
      <c r="M23" s="246"/>
      <c r="N23" s="198"/>
      <c r="Q23" s="248"/>
      <c r="R23" s="249"/>
      <c r="S23" s="250"/>
      <c r="T23" s="251"/>
      <c r="U23" s="250"/>
    </row>
    <row r="24" spans="1:21" ht="14.25" x14ac:dyDescent="0.2">
      <c r="A24" s="316">
        <f t="shared" si="0"/>
        <v>15</v>
      </c>
      <c r="B24" s="229" t="s">
        <v>209</v>
      </c>
      <c r="C24" s="241">
        <v>86947</v>
      </c>
      <c r="D24" s="243">
        <v>21</v>
      </c>
      <c r="E24" s="241">
        <f t="shared" si="3"/>
        <v>1825887</v>
      </c>
      <c r="F24" s="244">
        <v>8.56</v>
      </c>
      <c r="G24" s="242">
        <f t="shared" si="4"/>
        <v>744266.32000000007</v>
      </c>
      <c r="H24" s="243">
        <f t="shared" si="5"/>
        <v>86947</v>
      </c>
      <c r="I24" s="243">
        <v>21</v>
      </c>
      <c r="J24" s="243">
        <f>H24*I24</f>
        <v>1825887</v>
      </c>
      <c r="K24" s="244">
        <v>8.56</v>
      </c>
      <c r="L24" s="245">
        <f t="shared" si="1"/>
        <v>744266.32000000007</v>
      </c>
      <c r="M24" s="246">
        <f t="shared" si="7"/>
        <v>8.56</v>
      </c>
      <c r="N24" s="198">
        <f t="shared" si="2"/>
        <v>744266.32000000007</v>
      </c>
      <c r="Q24" s="248"/>
      <c r="R24" s="249"/>
      <c r="S24" s="250"/>
      <c r="T24" s="251"/>
      <c r="U24" s="250"/>
    </row>
    <row r="25" spans="1:21" ht="14.25" x14ac:dyDescent="0.2">
      <c r="A25" s="316">
        <f t="shared" si="0"/>
        <v>16</v>
      </c>
      <c r="B25" s="229" t="s">
        <v>210</v>
      </c>
      <c r="C25" s="241"/>
      <c r="D25" s="243">
        <v>37</v>
      </c>
      <c r="E25" s="241">
        <f t="shared" si="3"/>
        <v>0</v>
      </c>
      <c r="F25" s="244">
        <v>10.86</v>
      </c>
      <c r="G25" s="242">
        <f t="shared" si="4"/>
        <v>0</v>
      </c>
      <c r="H25" s="243">
        <f t="shared" si="5"/>
        <v>0</v>
      </c>
      <c r="I25" s="243">
        <v>37</v>
      </c>
      <c r="J25" s="243">
        <f>H25*I25</f>
        <v>0</v>
      </c>
      <c r="K25" s="244">
        <v>10.86</v>
      </c>
      <c r="L25" s="245">
        <f t="shared" si="1"/>
        <v>0</v>
      </c>
      <c r="M25" s="246">
        <f t="shared" si="7"/>
        <v>10.86</v>
      </c>
      <c r="N25" s="198">
        <f t="shared" si="2"/>
        <v>0</v>
      </c>
      <c r="Q25" s="248"/>
      <c r="R25" s="249"/>
      <c r="S25" s="250"/>
      <c r="T25" s="251"/>
      <c r="U25" s="250"/>
    </row>
    <row r="26" spans="1:21" ht="14.25" x14ac:dyDescent="0.2">
      <c r="A26" s="316">
        <f t="shared" si="0"/>
        <v>17</v>
      </c>
      <c r="B26" s="229" t="s">
        <v>211</v>
      </c>
      <c r="C26" s="241">
        <v>7228</v>
      </c>
      <c r="D26" s="243">
        <v>46</v>
      </c>
      <c r="E26" s="241">
        <f t="shared" si="3"/>
        <v>332488</v>
      </c>
      <c r="F26" s="244">
        <v>13.28</v>
      </c>
      <c r="G26" s="242">
        <f t="shared" si="4"/>
        <v>95987.839999999997</v>
      </c>
      <c r="H26" s="243">
        <f t="shared" si="5"/>
        <v>7228</v>
      </c>
      <c r="I26" s="243">
        <v>46</v>
      </c>
      <c r="J26" s="243">
        <f>H26*I26</f>
        <v>332488</v>
      </c>
      <c r="K26" s="244">
        <v>13.28</v>
      </c>
      <c r="L26" s="245">
        <f t="shared" si="1"/>
        <v>95987.839999999997</v>
      </c>
      <c r="M26" s="246">
        <f t="shared" si="7"/>
        <v>13.28</v>
      </c>
      <c r="N26" s="198">
        <f t="shared" si="2"/>
        <v>95987.839999999997</v>
      </c>
      <c r="Q26" s="248"/>
      <c r="R26" s="249"/>
      <c r="S26" s="250"/>
      <c r="T26" s="251"/>
      <c r="U26" s="250"/>
    </row>
    <row r="27" spans="1:21" ht="15" x14ac:dyDescent="0.25">
      <c r="A27" s="316">
        <f t="shared" si="0"/>
        <v>18</v>
      </c>
      <c r="B27" s="227" t="s">
        <v>212</v>
      </c>
      <c r="C27" s="255"/>
      <c r="D27" s="203"/>
      <c r="E27" s="255"/>
      <c r="F27" s="256"/>
      <c r="G27" s="256"/>
      <c r="H27" s="203"/>
      <c r="I27" s="203"/>
      <c r="J27" s="203"/>
      <c r="K27" s="257"/>
      <c r="L27" s="203"/>
      <c r="M27" s="203"/>
      <c r="N27" s="203"/>
      <c r="R27" s="258"/>
      <c r="T27" s="258"/>
    </row>
    <row r="28" spans="1:21" ht="15" x14ac:dyDescent="0.25">
      <c r="A28" s="316">
        <f t="shared" si="0"/>
        <v>19</v>
      </c>
      <c r="B28" s="228" t="s">
        <v>213</v>
      </c>
      <c r="C28" s="259"/>
      <c r="D28" s="203"/>
      <c r="E28" s="259"/>
      <c r="F28" s="260"/>
      <c r="G28" s="260"/>
      <c r="H28" s="203"/>
      <c r="I28" s="203"/>
      <c r="J28" s="203"/>
      <c r="K28" s="257"/>
      <c r="L28" s="203"/>
      <c r="M28" s="203"/>
      <c r="N28" s="203"/>
      <c r="R28" s="258"/>
      <c r="T28" s="258"/>
    </row>
    <row r="29" spans="1:21" ht="15" x14ac:dyDescent="0.25">
      <c r="A29" s="316">
        <f t="shared" si="0"/>
        <v>20</v>
      </c>
      <c r="B29" s="228" t="s">
        <v>208</v>
      </c>
      <c r="C29" s="259"/>
      <c r="D29" s="203"/>
      <c r="E29" s="259"/>
      <c r="F29" s="260"/>
      <c r="G29" s="260"/>
      <c r="H29" s="203"/>
      <c r="I29" s="203"/>
      <c r="J29" s="203"/>
      <c r="K29" s="257"/>
      <c r="L29" s="203"/>
      <c r="M29" s="203"/>
      <c r="N29" s="203"/>
      <c r="R29" s="258"/>
      <c r="T29" s="258"/>
    </row>
    <row r="30" spans="1:21" ht="15" x14ac:dyDescent="0.25">
      <c r="A30" s="316">
        <f t="shared" si="0"/>
        <v>21</v>
      </c>
      <c r="B30" s="228" t="s">
        <v>214</v>
      </c>
      <c r="C30" s="259"/>
      <c r="D30" s="203"/>
      <c r="E30" s="259"/>
      <c r="F30" s="260"/>
      <c r="G30" s="260"/>
      <c r="H30" s="203"/>
      <c r="I30" s="203"/>
      <c r="J30" s="203"/>
      <c r="K30" s="257"/>
      <c r="L30" s="203"/>
      <c r="M30" s="203"/>
      <c r="N30" s="203"/>
      <c r="R30" s="258"/>
      <c r="T30" s="258"/>
    </row>
    <row r="31" spans="1:21" ht="14.25" x14ac:dyDescent="0.2">
      <c r="A31" s="316">
        <f t="shared" si="0"/>
        <v>22</v>
      </c>
      <c r="B31" s="229" t="s">
        <v>215</v>
      </c>
      <c r="C31" s="241">
        <v>6384</v>
      </c>
      <c r="D31" s="243">
        <v>66</v>
      </c>
      <c r="E31" s="241">
        <f t="shared" ref="E31:E38" si="8">C31*D31</f>
        <v>421344</v>
      </c>
      <c r="F31" s="244">
        <v>17.260000000000002</v>
      </c>
      <c r="G31" s="242">
        <f t="shared" ref="G31:G38" si="9">C31*F31</f>
        <v>110187.84000000001</v>
      </c>
      <c r="H31" s="243">
        <f t="shared" ref="H31:H38" si="10">C31</f>
        <v>6384</v>
      </c>
      <c r="I31" s="243">
        <v>66</v>
      </c>
      <c r="J31" s="243">
        <f>H31*I31</f>
        <v>421344</v>
      </c>
      <c r="K31" s="244">
        <v>17.260000000000002</v>
      </c>
      <c r="L31" s="245">
        <f t="shared" ref="L31:L38" si="11">$H31*K31</f>
        <v>110187.84000000001</v>
      </c>
      <c r="M31" s="246">
        <f t="shared" ref="M31:M38" si="12">K31</f>
        <v>17.260000000000002</v>
      </c>
      <c r="N31" s="198">
        <f t="shared" ref="N31:N38" si="13">H31*M31</f>
        <v>110187.84000000001</v>
      </c>
      <c r="Q31" s="248"/>
      <c r="R31" s="249"/>
      <c r="S31" s="250"/>
      <c r="T31" s="251"/>
      <c r="U31" s="250"/>
    </row>
    <row r="32" spans="1:21" ht="15" x14ac:dyDescent="0.25">
      <c r="A32" s="316">
        <f t="shared" si="0"/>
        <v>23</v>
      </c>
      <c r="B32" s="228" t="s">
        <v>198</v>
      </c>
      <c r="C32" s="241"/>
      <c r="D32" s="243"/>
      <c r="E32" s="241"/>
      <c r="F32" s="244"/>
      <c r="G32" s="242"/>
      <c r="H32" s="243"/>
      <c r="I32" s="243"/>
      <c r="J32" s="243"/>
      <c r="K32" s="244"/>
      <c r="L32" s="245"/>
      <c r="M32" s="246"/>
      <c r="N32" s="198"/>
      <c r="Q32" s="248"/>
      <c r="R32" s="249"/>
      <c r="S32" s="250"/>
      <c r="T32" s="251"/>
      <c r="U32" s="250"/>
    </row>
    <row r="33" spans="1:21" ht="14.25" x14ac:dyDescent="0.2">
      <c r="A33" s="316">
        <f t="shared" si="0"/>
        <v>24</v>
      </c>
      <c r="B33" s="229" t="s">
        <v>216</v>
      </c>
      <c r="C33" s="241">
        <v>526</v>
      </c>
      <c r="D33" s="243">
        <v>103</v>
      </c>
      <c r="E33" s="241">
        <f t="shared" si="8"/>
        <v>54178</v>
      </c>
      <c r="F33" s="244">
        <v>14.6</v>
      </c>
      <c r="G33" s="242">
        <f t="shared" si="9"/>
        <v>7679.5999999999995</v>
      </c>
      <c r="H33" s="243">
        <f t="shared" si="10"/>
        <v>526</v>
      </c>
      <c r="I33" s="243">
        <v>103</v>
      </c>
      <c r="J33" s="243">
        <f t="shared" ref="J33:J54" si="14">H33*I33</f>
        <v>54178</v>
      </c>
      <c r="K33" s="244">
        <v>14.6</v>
      </c>
      <c r="L33" s="245">
        <f t="shared" si="11"/>
        <v>7679.5999999999995</v>
      </c>
      <c r="M33" s="246">
        <f t="shared" si="12"/>
        <v>14.6</v>
      </c>
      <c r="N33" s="198">
        <f t="shared" si="13"/>
        <v>7679.5999999999995</v>
      </c>
      <c r="Q33" s="248"/>
      <c r="R33" s="249"/>
      <c r="S33" s="250"/>
      <c r="T33" s="251"/>
      <c r="U33" s="250"/>
    </row>
    <row r="34" spans="1:21" ht="14.25" x14ac:dyDescent="0.2">
      <c r="A34" s="316">
        <f t="shared" si="0"/>
        <v>25</v>
      </c>
      <c r="B34" s="229" t="s">
        <v>207</v>
      </c>
      <c r="C34" s="241">
        <v>480</v>
      </c>
      <c r="D34" s="243">
        <v>160</v>
      </c>
      <c r="E34" s="241">
        <f t="shared" si="8"/>
        <v>76800</v>
      </c>
      <c r="F34" s="244">
        <v>18.88</v>
      </c>
      <c r="G34" s="242">
        <f t="shared" si="9"/>
        <v>9062.4</v>
      </c>
      <c r="H34" s="243">
        <f t="shared" si="10"/>
        <v>480</v>
      </c>
      <c r="I34" s="243">
        <v>160</v>
      </c>
      <c r="J34" s="243">
        <f t="shared" si="14"/>
        <v>76800</v>
      </c>
      <c r="K34" s="244">
        <v>18.88</v>
      </c>
      <c r="L34" s="245">
        <f t="shared" si="11"/>
        <v>9062.4</v>
      </c>
      <c r="M34" s="246">
        <f t="shared" si="12"/>
        <v>18.88</v>
      </c>
      <c r="N34" s="198">
        <f t="shared" si="13"/>
        <v>9062.4</v>
      </c>
      <c r="Q34" s="248"/>
      <c r="R34" s="249"/>
      <c r="S34" s="250"/>
      <c r="T34" s="251"/>
      <c r="U34" s="250"/>
    </row>
    <row r="35" spans="1:21" ht="14.25" x14ac:dyDescent="0.2">
      <c r="A35" s="316">
        <f t="shared" si="0"/>
        <v>26</v>
      </c>
      <c r="B35" s="229" t="s">
        <v>217</v>
      </c>
      <c r="C35" s="241">
        <v>12</v>
      </c>
      <c r="D35" s="243">
        <v>377</v>
      </c>
      <c r="E35" s="241">
        <f t="shared" si="8"/>
        <v>4524</v>
      </c>
      <c r="F35" s="244">
        <v>41.78</v>
      </c>
      <c r="G35" s="242">
        <f t="shared" si="9"/>
        <v>501.36</v>
      </c>
      <c r="H35" s="243">
        <f t="shared" si="10"/>
        <v>12</v>
      </c>
      <c r="I35" s="243">
        <v>377</v>
      </c>
      <c r="J35" s="243">
        <f t="shared" si="14"/>
        <v>4524</v>
      </c>
      <c r="K35" s="244">
        <v>41.78</v>
      </c>
      <c r="L35" s="245">
        <f t="shared" si="11"/>
        <v>501.36</v>
      </c>
      <c r="M35" s="246">
        <f t="shared" si="12"/>
        <v>41.78</v>
      </c>
      <c r="N35" s="198">
        <f t="shared" si="13"/>
        <v>501.36</v>
      </c>
      <c r="Q35" s="248"/>
      <c r="R35" s="249"/>
      <c r="S35" s="250"/>
      <c r="T35" s="251"/>
      <c r="U35" s="250"/>
    </row>
    <row r="36" spans="1:21" ht="14.25" x14ac:dyDescent="0.2">
      <c r="A36" s="316">
        <f t="shared" si="0"/>
        <v>27</v>
      </c>
      <c r="B36" s="229" t="s">
        <v>218</v>
      </c>
      <c r="C36" s="241">
        <v>173</v>
      </c>
      <c r="D36" s="243">
        <v>98</v>
      </c>
      <c r="E36" s="241">
        <f t="shared" si="8"/>
        <v>16954</v>
      </c>
      <c r="F36" s="244">
        <v>13.97</v>
      </c>
      <c r="G36" s="242">
        <f t="shared" si="9"/>
        <v>2416.81</v>
      </c>
      <c r="H36" s="243">
        <f t="shared" si="10"/>
        <v>173</v>
      </c>
      <c r="I36" s="243">
        <v>98</v>
      </c>
      <c r="J36" s="243">
        <f t="shared" si="14"/>
        <v>16954</v>
      </c>
      <c r="K36" s="244">
        <v>13.97</v>
      </c>
      <c r="L36" s="245">
        <f t="shared" si="11"/>
        <v>2416.81</v>
      </c>
      <c r="M36" s="246">
        <f t="shared" si="12"/>
        <v>13.97</v>
      </c>
      <c r="N36" s="198">
        <f t="shared" si="13"/>
        <v>2416.81</v>
      </c>
      <c r="Q36" s="248"/>
      <c r="R36" s="249"/>
      <c r="S36" s="250"/>
      <c r="T36" s="251"/>
      <c r="U36" s="250"/>
    </row>
    <row r="37" spans="1:21" ht="14.25" x14ac:dyDescent="0.2">
      <c r="A37" s="316">
        <f t="shared" si="0"/>
        <v>28</v>
      </c>
      <c r="B37" s="229" t="s">
        <v>219</v>
      </c>
      <c r="C37" s="241">
        <v>320</v>
      </c>
      <c r="D37" s="243">
        <v>156</v>
      </c>
      <c r="E37" s="241">
        <f t="shared" si="8"/>
        <v>49920</v>
      </c>
      <c r="F37" s="244">
        <v>18.8</v>
      </c>
      <c r="G37" s="242">
        <f t="shared" si="9"/>
        <v>6016</v>
      </c>
      <c r="H37" s="243">
        <f t="shared" si="10"/>
        <v>320</v>
      </c>
      <c r="I37" s="243">
        <v>156</v>
      </c>
      <c r="J37" s="243">
        <f t="shared" si="14"/>
        <v>49920</v>
      </c>
      <c r="K37" s="244">
        <v>18.8</v>
      </c>
      <c r="L37" s="245">
        <f t="shared" si="11"/>
        <v>6016</v>
      </c>
      <c r="M37" s="246">
        <f t="shared" si="12"/>
        <v>18.8</v>
      </c>
      <c r="N37" s="198">
        <f t="shared" si="13"/>
        <v>6016</v>
      </c>
      <c r="Q37" s="248"/>
      <c r="R37" s="249"/>
      <c r="S37" s="250"/>
      <c r="T37" s="251"/>
      <c r="U37" s="250"/>
    </row>
    <row r="38" spans="1:21" ht="14.25" x14ac:dyDescent="0.2">
      <c r="A38" s="316">
        <f t="shared" si="0"/>
        <v>29</v>
      </c>
      <c r="B38" s="229" t="s">
        <v>220</v>
      </c>
      <c r="C38" s="241">
        <v>104</v>
      </c>
      <c r="D38" s="243">
        <v>373</v>
      </c>
      <c r="E38" s="241">
        <f t="shared" si="8"/>
        <v>38792</v>
      </c>
      <c r="F38" s="244">
        <v>41.16</v>
      </c>
      <c r="G38" s="242">
        <f t="shared" si="9"/>
        <v>4280.6399999999994</v>
      </c>
      <c r="H38" s="243">
        <f t="shared" si="10"/>
        <v>104</v>
      </c>
      <c r="I38" s="243">
        <v>373</v>
      </c>
      <c r="J38" s="243">
        <f t="shared" si="14"/>
        <v>38792</v>
      </c>
      <c r="K38" s="244">
        <v>41.16</v>
      </c>
      <c r="L38" s="245">
        <f t="shared" si="11"/>
        <v>4280.6399999999994</v>
      </c>
      <c r="M38" s="246">
        <f t="shared" si="12"/>
        <v>41.16</v>
      </c>
      <c r="N38" s="198">
        <f t="shared" si="13"/>
        <v>4280.6399999999994</v>
      </c>
      <c r="Q38" s="248"/>
      <c r="R38" s="249"/>
      <c r="S38" s="250"/>
      <c r="T38" s="251"/>
      <c r="U38" s="250"/>
    </row>
    <row r="39" spans="1:21" ht="15" x14ac:dyDescent="0.25">
      <c r="A39" s="316">
        <f t="shared" si="0"/>
        <v>30</v>
      </c>
      <c r="B39" s="228" t="s">
        <v>221</v>
      </c>
      <c r="C39" s="241"/>
      <c r="D39" s="243"/>
      <c r="E39" s="241"/>
      <c r="F39" s="244"/>
      <c r="G39" s="242"/>
      <c r="H39" s="243"/>
      <c r="I39" s="243"/>
      <c r="J39" s="243"/>
      <c r="K39" s="244"/>
      <c r="L39" s="245"/>
      <c r="M39" s="246"/>
      <c r="N39" s="198"/>
      <c r="Q39" s="248"/>
      <c r="R39" s="249"/>
      <c r="S39" s="250"/>
      <c r="T39" s="251"/>
      <c r="U39" s="250"/>
    </row>
    <row r="40" spans="1:21" ht="15" x14ac:dyDescent="0.25">
      <c r="A40" s="316">
        <f t="shared" si="0"/>
        <v>31</v>
      </c>
      <c r="B40" s="228" t="s">
        <v>222</v>
      </c>
      <c r="C40" s="259"/>
      <c r="D40" s="203"/>
      <c r="E40" s="259"/>
      <c r="F40" s="257"/>
      <c r="G40" s="260"/>
      <c r="H40" s="203"/>
      <c r="I40" s="203"/>
      <c r="J40" s="203"/>
      <c r="K40" s="257"/>
      <c r="L40" s="203"/>
      <c r="M40" s="203"/>
      <c r="N40" s="203"/>
      <c r="Q40" s="248"/>
      <c r="R40" s="258"/>
      <c r="S40" s="250"/>
      <c r="T40" s="258"/>
      <c r="U40" s="250"/>
    </row>
    <row r="41" spans="1:21" ht="14.25" x14ac:dyDescent="0.2">
      <c r="A41" s="316">
        <f t="shared" si="0"/>
        <v>32</v>
      </c>
      <c r="B41" s="229" t="s">
        <v>223</v>
      </c>
      <c r="C41" s="241">
        <v>36</v>
      </c>
      <c r="D41" s="243">
        <v>103</v>
      </c>
      <c r="E41" s="241">
        <f t="shared" ref="E41:E46" si="15">C41*D41</f>
        <v>3708</v>
      </c>
      <c r="F41" s="244">
        <v>15.96</v>
      </c>
      <c r="G41" s="242">
        <f t="shared" ref="G41:G46" si="16">C41*F41</f>
        <v>574.56000000000006</v>
      </c>
      <c r="H41" s="243">
        <f t="shared" ref="H41:H46" si="17">C41</f>
        <v>36</v>
      </c>
      <c r="I41" s="243">
        <v>103</v>
      </c>
      <c r="J41" s="243">
        <f t="shared" si="14"/>
        <v>3708</v>
      </c>
      <c r="K41" s="244">
        <v>15.96</v>
      </c>
      <c r="L41" s="245">
        <f t="shared" ref="L41:L46" si="18">$H41*K41</f>
        <v>574.56000000000006</v>
      </c>
      <c r="M41" s="246">
        <f t="shared" ref="M41:M46" si="19">K41</f>
        <v>15.96</v>
      </c>
      <c r="N41" s="198">
        <f t="shared" ref="N41:N46" si="20">H41*M41</f>
        <v>574.56000000000006</v>
      </c>
      <c r="Q41" s="248"/>
      <c r="R41" s="249"/>
      <c r="S41" s="250"/>
      <c r="T41" s="261"/>
      <c r="U41" s="250"/>
    </row>
    <row r="42" spans="1:21" ht="14.25" x14ac:dyDescent="0.2">
      <c r="A42" s="316">
        <f t="shared" si="0"/>
        <v>33</v>
      </c>
      <c r="B42" s="229" t="s">
        <v>224</v>
      </c>
      <c r="C42" s="241">
        <v>10</v>
      </c>
      <c r="D42" s="243">
        <v>160</v>
      </c>
      <c r="E42" s="241">
        <f t="shared" si="15"/>
        <v>1600</v>
      </c>
      <c r="F42" s="244">
        <v>20.9</v>
      </c>
      <c r="G42" s="242">
        <f t="shared" si="16"/>
        <v>209</v>
      </c>
      <c r="H42" s="243">
        <f t="shared" si="17"/>
        <v>10</v>
      </c>
      <c r="I42" s="243">
        <v>160</v>
      </c>
      <c r="J42" s="243">
        <f t="shared" si="14"/>
        <v>1600</v>
      </c>
      <c r="K42" s="244">
        <v>20.9</v>
      </c>
      <c r="L42" s="245">
        <f t="shared" si="18"/>
        <v>209</v>
      </c>
      <c r="M42" s="246">
        <f t="shared" si="19"/>
        <v>20.9</v>
      </c>
      <c r="N42" s="198">
        <f t="shared" si="20"/>
        <v>209</v>
      </c>
      <c r="Q42" s="248"/>
      <c r="R42" s="249"/>
      <c r="S42" s="250"/>
      <c r="T42" s="261"/>
      <c r="U42" s="250"/>
    </row>
    <row r="43" spans="1:21" ht="14.25" x14ac:dyDescent="0.2">
      <c r="A43" s="318">
        <f t="shared" si="0"/>
        <v>34</v>
      </c>
      <c r="B43" s="229" t="s">
        <v>225</v>
      </c>
      <c r="C43" s="319"/>
      <c r="D43" s="243">
        <v>377</v>
      </c>
      <c r="E43" s="241">
        <f t="shared" si="15"/>
        <v>0</v>
      </c>
      <c r="F43" s="244">
        <v>41.98</v>
      </c>
      <c r="G43" s="242">
        <f t="shared" si="16"/>
        <v>0</v>
      </c>
      <c r="H43" s="243">
        <f t="shared" si="17"/>
        <v>0</v>
      </c>
      <c r="I43" s="243">
        <v>377</v>
      </c>
      <c r="J43" s="243">
        <f t="shared" si="14"/>
        <v>0</v>
      </c>
      <c r="K43" s="244">
        <v>41.98</v>
      </c>
      <c r="L43" s="245">
        <f t="shared" si="18"/>
        <v>0</v>
      </c>
      <c r="M43" s="246">
        <f t="shared" si="19"/>
        <v>41.98</v>
      </c>
      <c r="N43" s="198">
        <f t="shared" si="20"/>
        <v>0</v>
      </c>
      <c r="Q43" s="248"/>
      <c r="R43" s="249"/>
      <c r="S43" s="250"/>
      <c r="T43" s="261"/>
      <c r="U43" s="250"/>
    </row>
    <row r="44" spans="1:21" ht="14.25" x14ac:dyDescent="0.2">
      <c r="A44" s="316">
        <f t="shared" si="0"/>
        <v>35</v>
      </c>
      <c r="B44" s="229" t="s">
        <v>226</v>
      </c>
      <c r="C44" s="241">
        <v>0</v>
      </c>
      <c r="D44" s="243">
        <v>98</v>
      </c>
      <c r="E44" s="241">
        <f t="shared" si="15"/>
        <v>0</v>
      </c>
      <c r="F44" s="244">
        <v>15.79</v>
      </c>
      <c r="G44" s="242">
        <f t="shared" si="16"/>
        <v>0</v>
      </c>
      <c r="H44" s="243">
        <f t="shared" si="17"/>
        <v>0</v>
      </c>
      <c r="I44" s="243">
        <v>98</v>
      </c>
      <c r="J44" s="243">
        <f t="shared" si="14"/>
        <v>0</v>
      </c>
      <c r="K44" s="244">
        <v>15.79</v>
      </c>
      <c r="L44" s="245">
        <f t="shared" si="18"/>
        <v>0</v>
      </c>
      <c r="M44" s="246">
        <f t="shared" si="19"/>
        <v>15.79</v>
      </c>
      <c r="N44" s="198">
        <f t="shared" si="20"/>
        <v>0</v>
      </c>
      <c r="Q44" s="248"/>
      <c r="R44" s="249"/>
      <c r="S44" s="250"/>
      <c r="T44" s="261"/>
      <c r="U44" s="250"/>
    </row>
    <row r="45" spans="1:21" ht="14.25" x14ac:dyDescent="0.2">
      <c r="A45" s="316">
        <f t="shared" si="0"/>
        <v>36</v>
      </c>
      <c r="B45" s="229" t="s">
        <v>227</v>
      </c>
      <c r="C45" s="241">
        <v>36</v>
      </c>
      <c r="D45" s="243">
        <v>156</v>
      </c>
      <c r="E45" s="241">
        <f t="shared" si="15"/>
        <v>5616</v>
      </c>
      <c r="F45" s="244">
        <v>20.49</v>
      </c>
      <c r="G45" s="242">
        <f t="shared" si="16"/>
        <v>737.64</v>
      </c>
      <c r="H45" s="243">
        <f t="shared" si="17"/>
        <v>36</v>
      </c>
      <c r="I45" s="243">
        <v>156</v>
      </c>
      <c r="J45" s="243">
        <f t="shared" si="14"/>
        <v>5616</v>
      </c>
      <c r="K45" s="244">
        <v>20.49</v>
      </c>
      <c r="L45" s="245">
        <f t="shared" si="18"/>
        <v>737.64</v>
      </c>
      <c r="M45" s="246">
        <f t="shared" si="19"/>
        <v>20.49</v>
      </c>
      <c r="N45" s="198">
        <f t="shared" si="20"/>
        <v>737.64</v>
      </c>
      <c r="Q45" s="248"/>
      <c r="R45" s="249"/>
      <c r="S45" s="250"/>
      <c r="T45" s="261"/>
      <c r="U45" s="250"/>
    </row>
    <row r="46" spans="1:21" ht="14.25" x14ac:dyDescent="0.2">
      <c r="A46" s="316">
        <f t="shared" si="0"/>
        <v>37</v>
      </c>
      <c r="B46" s="229" t="s">
        <v>228</v>
      </c>
      <c r="C46" s="241">
        <v>12</v>
      </c>
      <c r="D46" s="243">
        <v>373</v>
      </c>
      <c r="E46" s="241">
        <f t="shared" si="15"/>
        <v>4476</v>
      </c>
      <c r="F46" s="244">
        <v>43.47</v>
      </c>
      <c r="G46" s="242">
        <f t="shared" si="16"/>
        <v>521.64</v>
      </c>
      <c r="H46" s="243">
        <f t="shared" si="17"/>
        <v>12</v>
      </c>
      <c r="I46" s="243">
        <v>373</v>
      </c>
      <c r="J46" s="243">
        <f t="shared" si="14"/>
        <v>4476</v>
      </c>
      <c r="K46" s="244">
        <v>43.47</v>
      </c>
      <c r="L46" s="245">
        <f t="shared" si="18"/>
        <v>521.64</v>
      </c>
      <c r="M46" s="246">
        <f t="shared" si="19"/>
        <v>43.47</v>
      </c>
      <c r="N46" s="198">
        <f t="shared" si="20"/>
        <v>521.64</v>
      </c>
      <c r="Q46" s="248"/>
      <c r="R46" s="249"/>
      <c r="S46" s="250"/>
      <c r="T46" s="261"/>
      <c r="U46" s="250"/>
    </row>
    <row r="47" spans="1:21" ht="15" x14ac:dyDescent="0.25">
      <c r="A47" s="316">
        <f t="shared" si="0"/>
        <v>38</v>
      </c>
      <c r="B47" s="228" t="s">
        <v>221</v>
      </c>
      <c r="C47" s="241"/>
      <c r="D47" s="243"/>
      <c r="E47" s="241"/>
      <c r="F47" s="244"/>
      <c r="G47" s="242"/>
      <c r="H47" s="243"/>
      <c r="I47" s="243"/>
      <c r="J47" s="243"/>
      <c r="K47" s="244"/>
      <c r="L47" s="245"/>
      <c r="M47" s="246"/>
      <c r="N47" s="198"/>
      <c r="Q47" s="248"/>
      <c r="R47" s="249"/>
      <c r="S47" s="250"/>
      <c r="T47" s="261"/>
      <c r="U47" s="250"/>
    </row>
    <row r="48" spans="1:21" ht="15" x14ac:dyDescent="0.25">
      <c r="A48" s="316">
        <f t="shared" si="0"/>
        <v>39</v>
      </c>
      <c r="B48" s="228" t="s">
        <v>229</v>
      </c>
      <c r="C48" s="259"/>
      <c r="D48" s="203"/>
      <c r="E48" s="259"/>
      <c r="F48" s="257"/>
      <c r="G48" s="260"/>
      <c r="H48" s="203"/>
      <c r="I48" s="203"/>
      <c r="J48" s="203"/>
      <c r="K48" s="257"/>
      <c r="L48" s="203"/>
      <c r="M48" s="203"/>
      <c r="N48" s="203"/>
      <c r="Q48" s="248"/>
      <c r="R48" s="249"/>
      <c r="T48" s="261"/>
      <c r="U48" s="250"/>
    </row>
    <row r="49" spans="1:21" ht="14.25" x14ac:dyDescent="0.2">
      <c r="A49" s="316">
        <f t="shared" si="0"/>
        <v>40</v>
      </c>
      <c r="B49" s="229" t="s">
        <v>230</v>
      </c>
      <c r="C49" s="241">
        <f>228+76-228</f>
        <v>76</v>
      </c>
      <c r="D49" s="243">
        <v>42</v>
      </c>
      <c r="E49" s="241">
        <f t="shared" ref="E49:E54" si="21">C49*D49</f>
        <v>3192</v>
      </c>
      <c r="F49" s="244">
        <v>13.73</v>
      </c>
      <c r="G49" s="242">
        <f t="shared" ref="G49:G54" si="22">C49*F49</f>
        <v>1043.48</v>
      </c>
      <c r="H49" s="243">
        <f t="shared" ref="H49:H54" si="23">C49</f>
        <v>76</v>
      </c>
      <c r="I49" s="243">
        <v>42</v>
      </c>
      <c r="J49" s="243">
        <f t="shared" si="14"/>
        <v>3192</v>
      </c>
      <c r="K49" s="244">
        <v>13.73</v>
      </c>
      <c r="L49" s="245">
        <f t="shared" ref="L49:L54" si="24">$H49*K49</f>
        <v>1043.48</v>
      </c>
      <c r="M49" s="246">
        <f t="shared" ref="M49:M54" si="25">K49</f>
        <v>13.73</v>
      </c>
      <c r="N49" s="198">
        <f t="shared" ref="N49:N54" si="26">H49*M49</f>
        <v>1043.48</v>
      </c>
      <c r="Q49" s="248"/>
      <c r="R49" s="249"/>
      <c r="S49" s="250"/>
      <c r="T49" s="261"/>
      <c r="U49" s="250"/>
    </row>
    <row r="50" spans="1:21" ht="14.25" x14ac:dyDescent="0.2">
      <c r="A50" s="316">
        <f t="shared" si="0"/>
        <v>41</v>
      </c>
      <c r="B50" s="229" t="s">
        <v>231</v>
      </c>
      <c r="C50" s="241">
        <f>0-0+228</f>
        <v>228</v>
      </c>
      <c r="D50" s="243">
        <v>71</v>
      </c>
      <c r="E50" s="241">
        <f t="shared" si="21"/>
        <v>16188</v>
      </c>
      <c r="F50" s="244">
        <v>16.91</v>
      </c>
      <c r="G50" s="242">
        <f t="shared" si="22"/>
        <v>3855.48</v>
      </c>
      <c r="H50" s="243">
        <f t="shared" si="23"/>
        <v>228</v>
      </c>
      <c r="I50" s="243">
        <v>71</v>
      </c>
      <c r="J50" s="243">
        <f t="shared" si="14"/>
        <v>16188</v>
      </c>
      <c r="K50" s="244">
        <v>16.91</v>
      </c>
      <c r="L50" s="245">
        <f t="shared" si="24"/>
        <v>3855.48</v>
      </c>
      <c r="M50" s="246">
        <f t="shared" si="25"/>
        <v>16.91</v>
      </c>
      <c r="N50" s="198">
        <f t="shared" si="26"/>
        <v>3855.48</v>
      </c>
      <c r="Q50" s="248"/>
      <c r="R50" s="249"/>
      <c r="S50" s="250"/>
      <c r="T50" s="261"/>
      <c r="U50" s="250"/>
    </row>
    <row r="51" spans="1:21" ht="14.25" x14ac:dyDescent="0.2">
      <c r="A51" s="316">
        <f t="shared" si="0"/>
        <v>42</v>
      </c>
      <c r="B51" s="229" t="s">
        <v>232</v>
      </c>
      <c r="C51" s="241"/>
      <c r="D51" s="243">
        <v>42</v>
      </c>
      <c r="E51" s="241">
        <f t="shared" si="21"/>
        <v>0</v>
      </c>
      <c r="F51" s="244">
        <v>13.47</v>
      </c>
      <c r="G51" s="242">
        <f t="shared" si="22"/>
        <v>0</v>
      </c>
      <c r="H51" s="243">
        <f t="shared" si="23"/>
        <v>0</v>
      </c>
      <c r="I51" s="243">
        <v>42</v>
      </c>
      <c r="J51" s="243">
        <f t="shared" si="14"/>
        <v>0</v>
      </c>
      <c r="K51" s="244">
        <v>13.47</v>
      </c>
      <c r="L51" s="245">
        <f t="shared" si="24"/>
        <v>0</v>
      </c>
      <c r="M51" s="246">
        <f t="shared" si="25"/>
        <v>13.47</v>
      </c>
      <c r="N51" s="198">
        <f t="shared" si="26"/>
        <v>0</v>
      </c>
      <c r="Q51" s="248"/>
      <c r="R51" s="249"/>
      <c r="S51" s="250"/>
      <c r="T51" s="251"/>
      <c r="U51" s="250"/>
    </row>
    <row r="52" spans="1:21" ht="14.25" x14ac:dyDescent="0.2">
      <c r="A52" s="316">
        <f t="shared" si="0"/>
        <v>43</v>
      </c>
      <c r="B52" s="229" t="s">
        <v>233</v>
      </c>
      <c r="C52" s="241">
        <v>57</v>
      </c>
      <c r="D52" s="243">
        <v>71</v>
      </c>
      <c r="E52" s="241">
        <f t="shared" si="21"/>
        <v>4047</v>
      </c>
      <c r="F52" s="244">
        <v>16.440000000000001</v>
      </c>
      <c r="G52" s="242">
        <f t="shared" si="22"/>
        <v>937.08</v>
      </c>
      <c r="H52" s="243">
        <f t="shared" si="23"/>
        <v>57</v>
      </c>
      <c r="I52" s="243">
        <v>71</v>
      </c>
      <c r="J52" s="243">
        <f t="shared" si="14"/>
        <v>4047</v>
      </c>
      <c r="K52" s="244">
        <v>16.440000000000001</v>
      </c>
      <c r="L52" s="245">
        <f t="shared" si="24"/>
        <v>937.08</v>
      </c>
      <c r="M52" s="246">
        <f t="shared" si="25"/>
        <v>16.440000000000001</v>
      </c>
      <c r="N52" s="198">
        <f t="shared" si="26"/>
        <v>937.08</v>
      </c>
      <c r="Q52" s="248"/>
      <c r="R52" s="249"/>
      <c r="S52" s="250"/>
      <c r="T52" s="251"/>
      <c r="U52" s="250"/>
    </row>
    <row r="53" spans="1:21" ht="14.25" x14ac:dyDescent="0.2">
      <c r="A53" s="316">
        <f t="shared" si="0"/>
        <v>44</v>
      </c>
      <c r="B53" s="229" t="s">
        <v>234</v>
      </c>
      <c r="C53" s="241"/>
      <c r="D53" s="243">
        <v>71</v>
      </c>
      <c r="E53" s="243">
        <f t="shared" si="21"/>
        <v>0</v>
      </c>
      <c r="F53" s="244">
        <v>15.85</v>
      </c>
      <c r="G53" s="242">
        <f t="shared" si="22"/>
        <v>0</v>
      </c>
      <c r="H53" s="243">
        <f t="shared" si="23"/>
        <v>0</v>
      </c>
      <c r="I53" s="243">
        <v>71</v>
      </c>
      <c r="J53" s="243">
        <f t="shared" si="14"/>
        <v>0</v>
      </c>
      <c r="K53" s="244">
        <v>15.85</v>
      </c>
      <c r="L53" s="245">
        <f t="shared" si="24"/>
        <v>0</v>
      </c>
      <c r="M53" s="246">
        <f t="shared" si="25"/>
        <v>15.85</v>
      </c>
      <c r="N53" s="198">
        <f t="shared" si="26"/>
        <v>0</v>
      </c>
      <c r="Q53" s="248"/>
      <c r="R53" s="249"/>
      <c r="S53" s="250"/>
      <c r="T53" s="251"/>
      <c r="U53" s="250"/>
    </row>
    <row r="54" spans="1:21" ht="14.25" x14ac:dyDescent="0.2">
      <c r="A54" s="316">
        <f t="shared" si="0"/>
        <v>45</v>
      </c>
      <c r="B54" s="229" t="s">
        <v>235</v>
      </c>
      <c r="C54" s="241"/>
      <c r="D54" s="262">
        <v>42</v>
      </c>
      <c r="E54" s="243">
        <f t="shared" si="21"/>
        <v>0</v>
      </c>
      <c r="F54" s="244">
        <v>15.49</v>
      </c>
      <c r="G54" s="242">
        <f t="shared" si="22"/>
        <v>0</v>
      </c>
      <c r="H54" s="243">
        <f t="shared" si="23"/>
        <v>0</v>
      </c>
      <c r="I54" s="262">
        <v>42</v>
      </c>
      <c r="J54" s="243">
        <f t="shared" si="14"/>
        <v>0</v>
      </c>
      <c r="K54" s="244">
        <v>15.49</v>
      </c>
      <c r="L54" s="245">
        <f t="shared" si="24"/>
        <v>0</v>
      </c>
      <c r="M54" s="246">
        <f t="shared" si="25"/>
        <v>15.49</v>
      </c>
      <c r="N54" s="198">
        <f t="shared" si="26"/>
        <v>0</v>
      </c>
      <c r="Q54" s="248"/>
      <c r="R54" s="249"/>
      <c r="S54" s="250"/>
      <c r="T54" s="251"/>
      <c r="U54" s="250"/>
    </row>
    <row r="55" spans="1:21" ht="15" x14ac:dyDescent="0.25">
      <c r="A55" s="316">
        <f t="shared" si="0"/>
        <v>46</v>
      </c>
      <c r="B55" s="227" t="s">
        <v>236</v>
      </c>
      <c r="C55" s="263"/>
      <c r="D55" s="262"/>
      <c r="E55" s="263"/>
      <c r="F55" s="257"/>
      <c r="G55" s="264"/>
      <c r="H55" s="262"/>
      <c r="I55" s="262"/>
      <c r="J55" s="262"/>
      <c r="K55" s="257"/>
      <c r="L55" s="245"/>
      <c r="M55" s="203"/>
      <c r="N55" s="203"/>
      <c r="Q55" s="248"/>
      <c r="R55" s="258"/>
      <c r="S55" s="250"/>
      <c r="T55" s="258"/>
      <c r="U55" s="250"/>
    </row>
    <row r="56" spans="1:21" ht="15" x14ac:dyDescent="0.25">
      <c r="A56" s="316">
        <f t="shared" si="0"/>
        <v>47</v>
      </c>
      <c r="B56" s="227" t="s">
        <v>237</v>
      </c>
      <c r="C56" s="263"/>
      <c r="D56" s="262"/>
      <c r="E56" s="263"/>
      <c r="F56" s="257"/>
      <c r="G56" s="264"/>
      <c r="H56" s="262"/>
      <c r="I56" s="262"/>
      <c r="J56" s="262"/>
      <c r="K56" s="257"/>
      <c r="L56" s="245"/>
      <c r="M56" s="203"/>
      <c r="N56" s="203"/>
      <c r="Q56" s="248"/>
      <c r="R56" s="258"/>
      <c r="S56" s="250"/>
      <c r="T56" s="258"/>
      <c r="U56" s="250"/>
    </row>
    <row r="57" spans="1:21" ht="15" x14ac:dyDescent="0.25">
      <c r="A57" s="316">
        <f t="shared" si="0"/>
        <v>48</v>
      </c>
      <c r="B57" s="228" t="s">
        <v>221</v>
      </c>
      <c r="C57" s="263"/>
      <c r="D57" s="262"/>
      <c r="E57" s="263"/>
      <c r="F57" s="257"/>
      <c r="G57" s="264"/>
      <c r="H57" s="262"/>
      <c r="I57" s="262"/>
      <c r="J57" s="262"/>
      <c r="K57" s="257"/>
      <c r="L57" s="245"/>
      <c r="M57" s="203"/>
      <c r="N57" s="203"/>
      <c r="Q57" s="248"/>
      <c r="R57" s="258"/>
      <c r="S57" s="250"/>
      <c r="T57" s="258"/>
      <c r="U57" s="250"/>
    </row>
    <row r="58" spans="1:21" ht="14.25" x14ac:dyDescent="0.2">
      <c r="A58" s="316">
        <f t="shared" si="0"/>
        <v>49</v>
      </c>
      <c r="B58" s="229" t="s">
        <v>238</v>
      </c>
      <c r="C58" s="241">
        <v>384</v>
      </c>
      <c r="D58" s="243"/>
      <c r="E58" s="243">
        <f t="shared" ref="E58:E66" si="27">C58*D58</f>
        <v>0</v>
      </c>
      <c r="F58" s="244">
        <v>9.36</v>
      </c>
      <c r="G58" s="242">
        <f t="shared" ref="G58:G66" si="28">C58*F58</f>
        <v>3594.24</v>
      </c>
      <c r="H58" s="243">
        <f t="shared" ref="H58:H66" si="29">C58</f>
        <v>384</v>
      </c>
      <c r="I58" s="243"/>
      <c r="J58" s="243"/>
      <c r="K58" s="244">
        <v>9.36</v>
      </c>
      <c r="L58" s="245">
        <f t="shared" ref="L58:L66" si="30">$H58*K58</f>
        <v>3594.24</v>
      </c>
      <c r="M58" s="246">
        <f t="shared" ref="M58:M66" si="31">K58</f>
        <v>9.36</v>
      </c>
      <c r="N58" s="198">
        <f t="shared" ref="N58:N66" si="32">H58*M58</f>
        <v>3594.24</v>
      </c>
      <c r="Q58" s="248"/>
      <c r="R58" s="249"/>
      <c r="S58" s="250"/>
      <c r="T58" s="251"/>
      <c r="U58" s="250"/>
    </row>
    <row r="59" spans="1:21" ht="14.25" x14ac:dyDescent="0.2">
      <c r="A59" s="316">
        <f t="shared" si="0"/>
        <v>50</v>
      </c>
      <c r="B59" s="229" t="s">
        <v>239</v>
      </c>
      <c r="C59" s="241">
        <v>1104</v>
      </c>
      <c r="D59" s="243"/>
      <c r="E59" s="243">
        <f t="shared" si="27"/>
        <v>0</v>
      </c>
      <c r="F59" s="244">
        <v>10.52</v>
      </c>
      <c r="G59" s="242">
        <f t="shared" si="28"/>
        <v>11614.08</v>
      </c>
      <c r="H59" s="243">
        <f t="shared" si="29"/>
        <v>1104</v>
      </c>
      <c r="I59" s="243"/>
      <c r="J59" s="243"/>
      <c r="K59" s="244">
        <v>10.52</v>
      </c>
      <c r="L59" s="245">
        <f t="shared" si="30"/>
        <v>11614.08</v>
      </c>
      <c r="M59" s="246">
        <f t="shared" si="31"/>
        <v>10.52</v>
      </c>
      <c r="N59" s="198">
        <f t="shared" si="32"/>
        <v>11614.08</v>
      </c>
      <c r="Q59" s="248"/>
      <c r="R59" s="249"/>
      <c r="S59" s="250"/>
      <c r="T59" s="251"/>
      <c r="U59" s="250"/>
    </row>
    <row r="60" spans="1:21" ht="14.25" x14ac:dyDescent="0.2">
      <c r="A60" s="316">
        <f t="shared" si="0"/>
        <v>51</v>
      </c>
      <c r="B60" s="229" t="s">
        <v>240</v>
      </c>
      <c r="C60" s="241">
        <v>132</v>
      </c>
      <c r="D60" s="243"/>
      <c r="E60" s="243">
        <f t="shared" si="27"/>
        <v>0</v>
      </c>
      <c r="F60" s="244">
        <v>16.440000000000001</v>
      </c>
      <c r="G60" s="242">
        <f t="shared" si="28"/>
        <v>2170.0800000000004</v>
      </c>
      <c r="H60" s="243">
        <f t="shared" si="29"/>
        <v>132</v>
      </c>
      <c r="I60" s="243"/>
      <c r="J60" s="243"/>
      <c r="K60" s="244">
        <v>16.440000000000001</v>
      </c>
      <c r="L60" s="245">
        <f t="shared" si="30"/>
        <v>2170.0800000000004</v>
      </c>
      <c r="M60" s="246">
        <f t="shared" si="31"/>
        <v>16.440000000000001</v>
      </c>
      <c r="N60" s="198">
        <f t="shared" si="32"/>
        <v>2170.0800000000004</v>
      </c>
      <c r="Q60" s="248"/>
      <c r="R60" s="249"/>
      <c r="S60" s="250"/>
      <c r="T60" s="251"/>
      <c r="U60" s="250"/>
    </row>
    <row r="61" spans="1:21" ht="15" x14ac:dyDescent="0.25">
      <c r="A61" s="316">
        <f t="shared" si="0"/>
        <v>52</v>
      </c>
      <c r="B61" s="228" t="s">
        <v>241</v>
      </c>
      <c r="C61" s="241"/>
      <c r="D61" s="243"/>
      <c r="E61" s="241"/>
      <c r="F61" s="244"/>
      <c r="G61" s="242"/>
      <c r="H61" s="243">
        <f t="shared" si="29"/>
        <v>0</v>
      </c>
      <c r="I61" s="243"/>
      <c r="J61" s="243"/>
      <c r="K61" s="244"/>
      <c r="L61" s="245"/>
      <c r="M61" s="246">
        <f t="shared" si="31"/>
        <v>0</v>
      </c>
      <c r="N61" s="198"/>
      <c r="Q61" s="248"/>
      <c r="R61" s="249"/>
      <c r="S61" s="250"/>
      <c r="T61" s="251"/>
      <c r="U61" s="250"/>
    </row>
    <row r="62" spans="1:21" ht="14.25" x14ac:dyDescent="0.2">
      <c r="A62" s="316">
        <f t="shared" si="0"/>
        <v>53</v>
      </c>
      <c r="B62" s="229" t="s">
        <v>242</v>
      </c>
      <c r="C62" s="241">
        <v>796</v>
      </c>
      <c r="D62" s="243"/>
      <c r="E62" s="243">
        <f t="shared" si="27"/>
        <v>0</v>
      </c>
      <c r="F62" s="244">
        <v>5.44</v>
      </c>
      <c r="G62" s="242">
        <f t="shared" si="28"/>
        <v>4330.2400000000007</v>
      </c>
      <c r="H62" s="243">
        <f t="shared" si="29"/>
        <v>796</v>
      </c>
      <c r="I62" s="243"/>
      <c r="J62" s="243"/>
      <c r="K62" s="244">
        <v>5.44</v>
      </c>
      <c r="L62" s="245">
        <f t="shared" si="30"/>
        <v>4330.2400000000007</v>
      </c>
      <c r="M62" s="246">
        <f t="shared" si="31"/>
        <v>5.44</v>
      </c>
      <c r="N62" s="198">
        <f t="shared" si="32"/>
        <v>4330.2400000000007</v>
      </c>
      <c r="Q62" s="248"/>
      <c r="R62" s="249"/>
      <c r="S62" s="250"/>
      <c r="T62" s="251"/>
      <c r="U62" s="250"/>
    </row>
    <row r="63" spans="1:21" ht="14.25" x14ac:dyDescent="0.2">
      <c r="A63" s="316">
        <f t="shared" si="0"/>
        <v>54</v>
      </c>
      <c r="B63" s="229" t="s">
        <v>243</v>
      </c>
      <c r="C63" s="241">
        <v>51</v>
      </c>
      <c r="D63" s="243"/>
      <c r="E63" s="243">
        <f t="shared" si="27"/>
        <v>0</v>
      </c>
      <c r="F63" s="244">
        <v>12.05</v>
      </c>
      <c r="G63" s="242">
        <f t="shared" si="28"/>
        <v>614.55000000000007</v>
      </c>
      <c r="H63" s="243">
        <f t="shared" si="29"/>
        <v>51</v>
      </c>
      <c r="I63" s="243"/>
      <c r="J63" s="243"/>
      <c r="K63" s="244">
        <v>12.05</v>
      </c>
      <c r="L63" s="245">
        <f t="shared" si="30"/>
        <v>614.55000000000007</v>
      </c>
      <c r="M63" s="246">
        <f t="shared" si="31"/>
        <v>12.05</v>
      </c>
      <c r="N63" s="198">
        <f t="shared" si="32"/>
        <v>614.55000000000007</v>
      </c>
      <c r="Q63" s="248"/>
      <c r="R63" s="249"/>
      <c r="S63" s="250"/>
      <c r="T63" s="251"/>
      <c r="U63" s="250"/>
    </row>
    <row r="64" spans="1:21" ht="15" x14ac:dyDescent="0.25">
      <c r="A64" s="316">
        <f t="shared" si="0"/>
        <v>55</v>
      </c>
      <c r="B64" s="228" t="s">
        <v>221</v>
      </c>
      <c r="C64" s="241"/>
      <c r="D64" s="243"/>
      <c r="E64" s="241"/>
      <c r="F64" s="244"/>
      <c r="G64" s="242"/>
      <c r="H64" s="243">
        <f t="shared" si="29"/>
        <v>0</v>
      </c>
      <c r="I64" s="243"/>
      <c r="J64" s="243"/>
      <c r="K64" s="244"/>
      <c r="L64" s="245"/>
      <c r="M64" s="246">
        <f t="shared" si="31"/>
        <v>0</v>
      </c>
      <c r="N64" s="198"/>
      <c r="Q64" s="248"/>
      <c r="R64" s="249"/>
      <c r="S64" s="250"/>
      <c r="T64" s="251"/>
      <c r="U64" s="250"/>
    </row>
    <row r="65" spans="1:22" ht="14.25" x14ac:dyDescent="0.2">
      <c r="A65" s="316">
        <f t="shared" si="0"/>
        <v>56</v>
      </c>
      <c r="B65" s="229" t="s">
        <v>244</v>
      </c>
      <c r="C65" s="241">
        <v>326</v>
      </c>
      <c r="D65" s="243"/>
      <c r="E65" s="243">
        <f t="shared" si="27"/>
        <v>0</v>
      </c>
      <c r="F65" s="244">
        <v>12.88</v>
      </c>
      <c r="G65" s="242">
        <f t="shared" si="28"/>
        <v>4198.88</v>
      </c>
      <c r="H65" s="243">
        <f t="shared" si="29"/>
        <v>326</v>
      </c>
      <c r="I65" s="243"/>
      <c r="J65" s="243"/>
      <c r="K65" s="244">
        <v>12.88</v>
      </c>
      <c r="L65" s="245">
        <f t="shared" si="30"/>
        <v>4198.88</v>
      </c>
      <c r="M65" s="246">
        <f t="shared" si="31"/>
        <v>12.88</v>
      </c>
      <c r="N65" s="198">
        <f t="shared" si="32"/>
        <v>4198.88</v>
      </c>
      <c r="Q65" s="248"/>
      <c r="R65" s="249"/>
      <c r="S65" s="250"/>
      <c r="T65" s="251"/>
      <c r="U65" s="250"/>
    </row>
    <row r="66" spans="1:22" ht="14.25" x14ac:dyDescent="0.2">
      <c r="A66" s="316">
        <f t="shared" si="0"/>
        <v>57</v>
      </c>
      <c r="B66" s="229" t="s">
        <v>245</v>
      </c>
      <c r="C66" s="241">
        <v>120</v>
      </c>
      <c r="D66" s="243"/>
      <c r="E66" s="243">
        <f t="shared" si="27"/>
        <v>0</v>
      </c>
      <c r="F66" s="244">
        <v>14.14</v>
      </c>
      <c r="G66" s="242">
        <f t="shared" si="28"/>
        <v>1696.8000000000002</v>
      </c>
      <c r="H66" s="243">
        <f t="shared" si="29"/>
        <v>120</v>
      </c>
      <c r="I66" s="243"/>
      <c r="J66" s="243"/>
      <c r="K66" s="244">
        <v>14.14</v>
      </c>
      <c r="L66" s="245">
        <f t="shared" si="30"/>
        <v>1696.8000000000002</v>
      </c>
      <c r="M66" s="246">
        <f t="shared" si="31"/>
        <v>14.14</v>
      </c>
      <c r="N66" s="198">
        <f t="shared" si="32"/>
        <v>1696.8000000000002</v>
      </c>
      <c r="O66" s="248"/>
      <c r="Q66" s="248"/>
      <c r="R66" s="249"/>
      <c r="S66" s="250"/>
      <c r="T66" s="251"/>
      <c r="U66" s="250"/>
      <c r="V66" s="248">
        <f>SUM(U58:U66)</f>
        <v>0</v>
      </c>
    </row>
    <row r="67" spans="1:22" ht="15" x14ac:dyDescent="0.25">
      <c r="A67" s="316">
        <f t="shared" si="0"/>
        <v>58</v>
      </c>
      <c r="B67" s="227" t="s">
        <v>246</v>
      </c>
      <c r="C67" s="255"/>
      <c r="D67" s="243"/>
      <c r="E67" s="255"/>
      <c r="F67" s="257"/>
      <c r="G67" s="256"/>
      <c r="H67" s="243"/>
      <c r="I67" s="243"/>
      <c r="J67" s="243"/>
      <c r="K67" s="257"/>
      <c r="L67" s="245"/>
      <c r="M67" s="203"/>
      <c r="N67" s="203"/>
      <c r="Q67" s="248"/>
      <c r="R67" s="249"/>
      <c r="S67" s="250"/>
      <c r="T67" s="258"/>
      <c r="U67" s="250"/>
    </row>
    <row r="68" spans="1:22" ht="15" x14ac:dyDescent="0.25">
      <c r="A68" s="316">
        <f t="shared" si="0"/>
        <v>59</v>
      </c>
      <c r="B68" s="227" t="s">
        <v>247</v>
      </c>
      <c r="C68" s="255"/>
      <c r="D68" s="243"/>
      <c r="E68" s="255"/>
      <c r="F68" s="257"/>
      <c r="G68" s="256"/>
      <c r="H68" s="243"/>
      <c r="I68" s="243"/>
      <c r="J68" s="243"/>
      <c r="K68" s="257"/>
      <c r="L68" s="245"/>
      <c r="M68" s="203"/>
      <c r="N68" s="203"/>
      <c r="Q68" s="248"/>
      <c r="R68" s="249"/>
      <c r="S68" s="250"/>
      <c r="T68" s="258"/>
      <c r="U68" s="250"/>
    </row>
    <row r="69" spans="1:22" ht="15" x14ac:dyDescent="0.25">
      <c r="A69" s="316">
        <f t="shared" si="0"/>
        <v>60</v>
      </c>
      <c r="B69" s="227" t="s">
        <v>248</v>
      </c>
      <c r="C69" s="255"/>
      <c r="D69" s="243"/>
      <c r="E69" s="255"/>
      <c r="F69" s="257"/>
      <c r="G69" s="256"/>
      <c r="H69" s="243"/>
      <c r="I69" s="243"/>
      <c r="J69" s="243"/>
      <c r="K69" s="257"/>
      <c r="L69" s="245"/>
      <c r="M69" s="203"/>
      <c r="N69" s="203"/>
      <c r="Q69" s="248"/>
      <c r="R69" s="249"/>
      <c r="S69" s="250"/>
      <c r="T69" s="258"/>
      <c r="U69" s="250"/>
    </row>
    <row r="70" spans="1:22" ht="14.25" x14ac:dyDescent="0.2">
      <c r="A70" s="316">
        <f t="shared" si="0"/>
        <v>61</v>
      </c>
      <c r="B70" s="229" t="s">
        <v>249</v>
      </c>
      <c r="C70" s="320">
        <v>804</v>
      </c>
      <c r="D70" s="243">
        <v>23</v>
      </c>
      <c r="E70" s="243">
        <f t="shared" ref="E70:E81" si="33">C70*D70</f>
        <v>18492</v>
      </c>
      <c r="F70" s="257">
        <v>3.87</v>
      </c>
      <c r="G70" s="242">
        <f t="shared" ref="G70:G81" si="34">C70*F70</f>
        <v>3111.48</v>
      </c>
      <c r="H70" s="243">
        <f t="shared" ref="H70:H81" si="35">C70</f>
        <v>804</v>
      </c>
      <c r="I70" s="243">
        <v>23</v>
      </c>
      <c r="J70" s="243">
        <f>H70*I70</f>
        <v>18492</v>
      </c>
      <c r="K70" s="257">
        <v>3.87</v>
      </c>
      <c r="L70" s="245">
        <f>$H70*K70</f>
        <v>3111.48</v>
      </c>
      <c r="M70" s="246">
        <f t="shared" ref="M70:M81" si="36">K70</f>
        <v>3.87</v>
      </c>
      <c r="N70" s="198">
        <f>H70*M70</f>
        <v>3111.48</v>
      </c>
      <c r="Q70" s="248"/>
      <c r="R70" s="249"/>
      <c r="S70" s="250"/>
      <c r="T70" s="258"/>
      <c r="U70" s="250"/>
    </row>
    <row r="71" spans="1:22" ht="14.25" x14ac:dyDescent="0.2">
      <c r="A71" s="316">
        <f t="shared" si="0"/>
        <v>62</v>
      </c>
      <c r="B71" s="229" t="s">
        <v>250</v>
      </c>
      <c r="C71" s="320">
        <v>360</v>
      </c>
      <c r="D71" s="243">
        <v>23</v>
      </c>
      <c r="E71" s="243">
        <f t="shared" si="33"/>
        <v>8280</v>
      </c>
      <c r="F71" s="257">
        <v>3.52</v>
      </c>
      <c r="G71" s="242">
        <f t="shared" si="34"/>
        <v>1267.2</v>
      </c>
      <c r="H71" s="243">
        <f t="shared" si="35"/>
        <v>360</v>
      </c>
      <c r="I71" s="243">
        <v>23</v>
      </c>
      <c r="J71" s="243">
        <f>H71*I71</f>
        <v>8280</v>
      </c>
      <c r="K71" s="257">
        <v>3.52</v>
      </c>
      <c r="L71" s="245">
        <f>$H71*K71</f>
        <v>1267.2</v>
      </c>
      <c r="M71" s="246">
        <f t="shared" si="36"/>
        <v>3.52</v>
      </c>
      <c r="N71" s="198">
        <f>H71*M71</f>
        <v>1267.2</v>
      </c>
      <c r="Q71" s="248"/>
      <c r="R71" s="249"/>
      <c r="S71" s="250"/>
      <c r="T71" s="258"/>
      <c r="U71" s="250"/>
    </row>
    <row r="72" spans="1:22" ht="14.25" x14ac:dyDescent="0.2">
      <c r="A72" s="316">
        <f t="shared" si="0"/>
        <v>63</v>
      </c>
      <c r="B72" s="229" t="s">
        <v>251</v>
      </c>
      <c r="C72" s="320">
        <v>683</v>
      </c>
      <c r="D72" s="243">
        <v>23</v>
      </c>
      <c r="E72" s="243">
        <f t="shared" si="33"/>
        <v>15709</v>
      </c>
      <c r="F72" s="257">
        <v>4.3600000000000003</v>
      </c>
      <c r="G72" s="242">
        <f t="shared" si="34"/>
        <v>2977.88</v>
      </c>
      <c r="H72" s="243">
        <f t="shared" si="35"/>
        <v>683</v>
      </c>
      <c r="I72" s="243">
        <v>23</v>
      </c>
      <c r="J72" s="243">
        <f>H72*I72</f>
        <v>15709</v>
      </c>
      <c r="K72" s="257">
        <v>4.3600000000000003</v>
      </c>
      <c r="L72" s="245">
        <f>$H72*K72</f>
        <v>2977.88</v>
      </c>
      <c r="M72" s="246">
        <f t="shared" si="36"/>
        <v>4.3600000000000003</v>
      </c>
      <c r="N72" s="198">
        <f>H72*M72</f>
        <v>2977.88</v>
      </c>
      <c r="Q72" s="248"/>
      <c r="R72" s="249"/>
      <c r="S72" s="250"/>
      <c r="T72" s="258"/>
      <c r="U72" s="250"/>
    </row>
    <row r="73" spans="1:22" ht="15" x14ac:dyDescent="0.25">
      <c r="A73" s="316">
        <f t="shared" si="0"/>
        <v>64</v>
      </c>
      <c r="B73" s="228" t="s">
        <v>221</v>
      </c>
      <c r="C73" s="255"/>
      <c r="D73" s="243"/>
      <c r="E73" s="255"/>
      <c r="F73" s="257"/>
      <c r="G73" s="256"/>
      <c r="H73" s="243">
        <f t="shared" si="35"/>
        <v>0</v>
      </c>
      <c r="I73" s="243"/>
      <c r="J73" s="243"/>
      <c r="K73" s="257"/>
      <c r="L73" s="245"/>
      <c r="M73" s="246">
        <f t="shared" si="36"/>
        <v>0</v>
      </c>
      <c r="N73" s="203"/>
      <c r="Q73" s="248"/>
      <c r="R73" s="249"/>
      <c r="S73" s="250"/>
      <c r="T73" s="258"/>
      <c r="U73" s="250"/>
    </row>
    <row r="74" spans="1:22" ht="14.25" x14ac:dyDescent="0.2">
      <c r="A74" s="316">
        <f t="shared" si="0"/>
        <v>65</v>
      </c>
      <c r="B74" s="229" t="s">
        <v>199</v>
      </c>
      <c r="C74" s="241">
        <v>1962</v>
      </c>
      <c r="D74" s="243">
        <v>70</v>
      </c>
      <c r="E74" s="243">
        <f t="shared" si="33"/>
        <v>137340</v>
      </c>
      <c r="F74" s="244">
        <v>11.15</v>
      </c>
      <c r="G74" s="242">
        <f t="shared" si="34"/>
        <v>21876.3</v>
      </c>
      <c r="H74" s="243">
        <f t="shared" si="35"/>
        <v>1962</v>
      </c>
      <c r="I74" s="243">
        <v>70</v>
      </c>
      <c r="J74" s="243">
        <f t="shared" ref="J74:J81" si="37">H74*I74</f>
        <v>137340</v>
      </c>
      <c r="K74" s="244">
        <v>11.15</v>
      </c>
      <c r="L74" s="245">
        <f t="shared" ref="L74:L86" si="38">$H74*K74</f>
        <v>21876.3</v>
      </c>
      <c r="M74" s="246">
        <f t="shared" si="36"/>
        <v>11.15</v>
      </c>
      <c r="N74" s="198">
        <f t="shared" ref="N74:N86" si="39">H74*M74</f>
        <v>21876.3</v>
      </c>
      <c r="Q74" s="248"/>
      <c r="R74" s="249"/>
      <c r="S74" s="250"/>
      <c r="T74" s="251"/>
      <c r="U74" s="250"/>
    </row>
    <row r="75" spans="1:22" ht="14.25" x14ac:dyDescent="0.2">
      <c r="A75" s="316">
        <f t="shared" si="0"/>
        <v>66</v>
      </c>
      <c r="B75" s="229" t="s">
        <v>201</v>
      </c>
      <c r="C75" s="241">
        <v>1197</v>
      </c>
      <c r="D75" s="243">
        <v>155</v>
      </c>
      <c r="E75" s="243">
        <f t="shared" si="33"/>
        <v>185535</v>
      </c>
      <c r="F75" s="244">
        <v>16.809999999999999</v>
      </c>
      <c r="G75" s="242">
        <f t="shared" si="34"/>
        <v>20121.57</v>
      </c>
      <c r="H75" s="243">
        <f t="shared" si="35"/>
        <v>1197</v>
      </c>
      <c r="I75" s="243">
        <v>155</v>
      </c>
      <c r="J75" s="243">
        <f t="shared" si="37"/>
        <v>185535</v>
      </c>
      <c r="K75" s="244">
        <v>16.809999999999999</v>
      </c>
      <c r="L75" s="245">
        <f t="shared" si="38"/>
        <v>20121.57</v>
      </c>
      <c r="M75" s="246">
        <f t="shared" si="36"/>
        <v>16.809999999999999</v>
      </c>
      <c r="N75" s="198">
        <f t="shared" si="39"/>
        <v>20121.57</v>
      </c>
      <c r="Q75" s="248"/>
      <c r="R75" s="249"/>
      <c r="S75" s="250"/>
      <c r="T75" s="251"/>
      <c r="U75" s="250"/>
    </row>
    <row r="76" spans="1:22" ht="15" x14ac:dyDescent="0.25">
      <c r="A76" s="316">
        <f t="shared" ref="A76:A133" si="40">A75+1</f>
        <v>67</v>
      </c>
      <c r="B76" s="228" t="s">
        <v>205</v>
      </c>
      <c r="C76" s="241"/>
      <c r="D76" s="243"/>
      <c r="E76" s="241"/>
      <c r="F76" s="244"/>
      <c r="G76" s="242"/>
      <c r="H76" s="243">
        <f t="shared" si="35"/>
        <v>0</v>
      </c>
      <c r="I76" s="243"/>
      <c r="J76" s="243"/>
      <c r="K76" s="244"/>
      <c r="L76" s="245"/>
      <c r="M76" s="246">
        <f t="shared" si="36"/>
        <v>0</v>
      </c>
      <c r="N76" s="198"/>
      <c r="Q76" s="248"/>
      <c r="R76" s="249"/>
      <c r="S76" s="250"/>
      <c r="T76" s="251"/>
      <c r="U76" s="250"/>
    </row>
    <row r="77" spans="1:22" ht="14.25" x14ac:dyDescent="0.2">
      <c r="A77" s="316">
        <f t="shared" si="40"/>
        <v>68</v>
      </c>
      <c r="B77" s="229" t="s">
        <v>252</v>
      </c>
      <c r="C77" s="241">
        <v>2534</v>
      </c>
      <c r="D77" s="243">
        <v>43</v>
      </c>
      <c r="E77" s="243">
        <f t="shared" si="33"/>
        <v>108962</v>
      </c>
      <c r="F77" s="244">
        <v>10.02</v>
      </c>
      <c r="G77" s="242">
        <f t="shared" si="34"/>
        <v>25390.68</v>
      </c>
      <c r="H77" s="243">
        <f t="shared" si="35"/>
        <v>2534</v>
      </c>
      <c r="I77" s="243">
        <v>43</v>
      </c>
      <c r="J77" s="243">
        <f t="shared" si="37"/>
        <v>108962</v>
      </c>
      <c r="K77" s="244">
        <v>10.02</v>
      </c>
      <c r="L77" s="245">
        <f t="shared" si="38"/>
        <v>25390.68</v>
      </c>
      <c r="M77" s="246">
        <f t="shared" si="36"/>
        <v>10.02</v>
      </c>
      <c r="N77" s="198">
        <f t="shared" si="39"/>
        <v>25390.68</v>
      </c>
      <c r="Q77" s="248"/>
      <c r="R77" s="249"/>
      <c r="S77" s="250"/>
      <c r="T77" s="251"/>
      <c r="U77" s="250"/>
    </row>
    <row r="78" spans="1:22" ht="14.25" x14ac:dyDescent="0.2">
      <c r="A78" s="316">
        <f t="shared" si="40"/>
        <v>69</v>
      </c>
      <c r="B78" s="229" t="s">
        <v>253</v>
      </c>
      <c r="C78" s="241">
        <v>252</v>
      </c>
      <c r="D78" s="243">
        <v>85</v>
      </c>
      <c r="E78" s="243">
        <f t="shared" si="33"/>
        <v>21420</v>
      </c>
      <c r="F78" s="244">
        <v>15.65</v>
      </c>
      <c r="G78" s="242">
        <f t="shared" si="34"/>
        <v>3943.8</v>
      </c>
      <c r="H78" s="243">
        <f t="shared" si="35"/>
        <v>252</v>
      </c>
      <c r="I78" s="243">
        <v>85</v>
      </c>
      <c r="J78" s="243">
        <f t="shared" si="37"/>
        <v>21420</v>
      </c>
      <c r="K78" s="244">
        <v>15.65</v>
      </c>
      <c r="L78" s="245">
        <f t="shared" si="38"/>
        <v>3943.8</v>
      </c>
      <c r="M78" s="246">
        <f t="shared" si="36"/>
        <v>15.65</v>
      </c>
      <c r="N78" s="198">
        <f t="shared" si="39"/>
        <v>3943.8</v>
      </c>
      <c r="Q78" s="248"/>
      <c r="R78" s="249"/>
      <c r="S78" s="250"/>
      <c r="T78" s="251"/>
      <c r="U78" s="250"/>
    </row>
    <row r="79" spans="1:22" ht="15" x14ac:dyDescent="0.25">
      <c r="A79" s="316">
        <f t="shared" si="40"/>
        <v>70</v>
      </c>
      <c r="B79" s="228" t="s">
        <v>221</v>
      </c>
      <c r="C79" s="241"/>
      <c r="D79" s="243"/>
      <c r="E79" s="241"/>
      <c r="F79" s="244"/>
      <c r="G79" s="242"/>
      <c r="H79" s="243">
        <f t="shared" si="35"/>
        <v>0</v>
      </c>
      <c r="I79" s="243"/>
      <c r="J79" s="243"/>
      <c r="K79" s="244"/>
      <c r="L79" s="245"/>
      <c r="M79" s="246">
        <f t="shared" si="36"/>
        <v>0</v>
      </c>
      <c r="N79" s="198"/>
      <c r="Q79" s="248"/>
      <c r="R79" s="249"/>
      <c r="S79" s="250"/>
      <c r="T79" s="251"/>
      <c r="U79" s="250"/>
    </row>
    <row r="80" spans="1:22" ht="14.25" x14ac:dyDescent="0.2">
      <c r="A80" s="316">
        <f t="shared" si="40"/>
        <v>71</v>
      </c>
      <c r="B80" s="229" t="s">
        <v>254</v>
      </c>
      <c r="C80" s="241">
        <v>-13</v>
      </c>
      <c r="D80" s="243">
        <v>42</v>
      </c>
      <c r="E80" s="243">
        <f t="shared" si="33"/>
        <v>-546</v>
      </c>
      <c r="F80" s="244">
        <v>9.4499999999999993</v>
      </c>
      <c r="G80" s="242">
        <f t="shared" si="34"/>
        <v>-122.85</v>
      </c>
      <c r="H80" s="243">
        <f t="shared" si="35"/>
        <v>-13</v>
      </c>
      <c r="I80" s="243">
        <v>42</v>
      </c>
      <c r="J80" s="243">
        <f t="shared" si="37"/>
        <v>-546</v>
      </c>
      <c r="K80" s="244">
        <v>9.4499999999999993</v>
      </c>
      <c r="L80" s="245">
        <f t="shared" si="38"/>
        <v>-122.85</v>
      </c>
      <c r="M80" s="246">
        <f t="shared" si="36"/>
        <v>9.4499999999999993</v>
      </c>
      <c r="N80" s="198">
        <f t="shared" si="39"/>
        <v>-122.85</v>
      </c>
      <c r="Q80" s="248"/>
      <c r="R80" s="249"/>
      <c r="S80" s="250"/>
      <c r="T80" s="251"/>
      <c r="U80" s="250"/>
    </row>
    <row r="81" spans="1:21" ht="14.25" x14ac:dyDescent="0.2">
      <c r="A81" s="316">
        <f t="shared" si="40"/>
        <v>72</v>
      </c>
      <c r="B81" s="229" t="s">
        <v>255</v>
      </c>
      <c r="C81" s="241">
        <v>12</v>
      </c>
      <c r="D81" s="243">
        <v>156</v>
      </c>
      <c r="E81" s="243">
        <f t="shared" si="33"/>
        <v>1872</v>
      </c>
      <c r="F81" s="244">
        <v>20.61</v>
      </c>
      <c r="G81" s="242">
        <f t="shared" si="34"/>
        <v>247.32</v>
      </c>
      <c r="H81" s="243">
        <f t="shared" si="35"/>
        <v>12</v>
      </c>
      <c r="I81" s="243">
        <v>156</v>
      </c>
      <c r="J81" s="243">
        <f t="shared" si="37"/>
        <v>1872</v>
      </c>
      <c r="K81" s="244">
        <v>20.61</v>
      </c>
      <c r="L81" s="245">
        <f t="shared" si="38"/>
        <v>247.32</v>
      </c>
      <c r="M81" s="246">
        <f t="shared" si="36"/>
        <v>20.61</v>
      </c>
      <c r="N81" s="198">
        <f t="shared" si="39"/>
        <v>247.32</v>
      </c>
      <c r="Q81" s="248"/>
      <c r="R81" s="249"/>
      <c r="S81" s="250"/>
      <c r="T81" s="251"/>
      <c r="U81" s="250"/>
    </row>
    <row r="82" spans="1:21" ht="15" x14ac:dyDescent="0.25">
      <c r="A82" s="316">
        <f t="shared" si="40"/>
        <v>73</v>
      </c>
      <c r="B82" s="227" t="s">
        <v>256</v>
      </c>
      <c r="C82" s="241"/>
      <c r="D82" s="243"/>
      <c r="E82" s="241"/>
      <c r="F82" s="244"/>
      <c r="G82" s="242"/>
      <c r="H82" s="243"/>
      <c r="I82" s="243"/>
      <c r="J82" s="243"/>
      <c r="K82" s="244"/>
      <c r="L82" s="245"/>
      <c r="M82" s="246"/>
      <c r="N82" s="198"/>
      <c r="Q82" s="248"/>
      <c r="R82" s="249"/>
      <c r="S82" s="250"/>
      <c r="T82" s="251"/>
      <c r="U82" s="250"/>
    </row>
    <row r="83" spans="1:21" ht="15" x14ac:dyDescent="0.25">
      <c r="A83" s="316">
        <f t="shared" si="40"/>
        <v>74</v>
      </c>
      <c r="B83" s="228" t="s">
        <v>208</v>
      </c>
      <c r="C83" s="241"/>
      <c r="D83" s="243"/>
      <c r="E83" s="241"/>
      <c r="F83" s="244"/>
      <c r="G83" s="242"/>
      <c r="H83" s="243"/>
      <c r="I83" s="243"/>
      <c r="J83" s="243"/>
      <c r="K83" s="244"/>
      <c r="L83" s="245"/>
      <c r="M83" s="246"/>
      <c r="N83" s="198"/>
      <c r="Q83" s="248"/>
      <c r="R83" s="249"/>
      <c r="S83" s="250"/>
      <c r="T83" s="251"/>
      <c r="U83" s="250"/>
    </row>
    <row r="84" spans="1:21" ht="14.25" x14ac:dyDescent="0.2">
      <c r="A84" s="321">
        <f t="shared" si="40"/>
        <v>75</v>
      </c>
      <c r="B84" s="229" t="s">
        <v>209</v>
      </c>
      <c r="C84" s="241"/>
      <c r="D84" s="243">
        <v>21</v>
      </c>
      <c r="E84" s="243">
        <f t="shared" ref="E84:E90" si="41">C84*D84</f>
        <v>0</v>
      </c>
      <c r="F84" s="244">
        <v>8.56</v>
      </c>
      <c r="G84" s="242">
        <f t="shared" ref="G84:G90" si="42">C84*F84</f>
        <v>0</v>
      </c>
      <c r="H84" s="243">
        <f t="shared" ref="H84:H90" si="43">C84</f>
        <v>0</v>
      </c>
      <c r="I84" s="243">
        <v>21</v>
      </c>
      <c r="J84" s="243">
        <f>H84*I84</f>
        <v>0</v>
      </c>
      <c r="K84" s="244">
        <v>8.56</v>
      </c>
      <c r="L84" s="245">
        <f t="shared" si="38"/>
        <v>0</v>
      </c>
      <c r="M84" s="246">
        <f t="shared" ref="M84:M90" si="44">K84</f>
        <v>8.56</v>
      </c>
      <c r="N84" s="198">
        <f t="shared" si="39"/>
        <v>0</v>
      </c>
      <c r="Q84" s="248"/>
      <c r="R84" s="249"/>
      <c r="S84" s="250"/>
      <c r="T84" s="251"/>
      <c r="U84" s="250"/>
    </row>
    <row r="85" spans="1:21" ht="14.25" x14ac:dyDescent="0.2">
      <c r="A85" s="316">
        <f t="shared" si="40"/>
        <v>76</v>
      </c>
      <c r="B85" s="229" t="s">
        <v>210</v>
      </c>
      <c r="C85" s="241">
        <v>14930</v>
      </c>
      <c r="D85" s="243">
        <v>37</v>
      </c>
      <c r="E85" s="243">
        <f t="shared" si="41"/>
        <v>552410</v>
      </c>
      <c r="F85" s="244">
        <v>10.86</v>
      </c>
      <c r="G85" s="242">
        <f t="shared" si="42"/>
        <v>162139.79999999999</v>
      </c>
      <c r="H85" s="243">
        <f t="shared" si="43"/>
        <v>14930</v>
      </c>
      <c r="I85" s="243">
        <v>37</v>
      </c>
      <c r="J85" s="243">
        <f>H85*I85</f>
        <v>552410</v>
      </c>
      <c r="K85" s="244">
        <v>10.86</v>
      </c>
      <c r="L85" s="245">
        <f t="shared" si="38"/>
        <v>162139.79999999999</v>
      </c>
      <c r="M85" s="246">
        <f t="shared" si="44"/>
        <v>10.86</v>
      </c>
      <c r="N85" s="198">
        <f t="shared" si="39"/>
        <v>162139.79999999999</v>
      </c>
      <c r="Q85" s="248"/>
      <c r="R85" s="249"/>
      <c r="S85" s="250"/>
      <c r="T85" s="251"/>
      <c r="U85" s="250"/>
    </row>
    <row r="86" spans="1:21" ht="14.25" x14ac:dyDescent="0.2">
      <c r="A86" s="316">
        <f t="shared" si="40"/>
        <v>77</v>
      </c>
      <c r="B86" s="229" t="s">
        <v>211</v>
      </c>
      <c r="C86" s="322"/>
      <c r="D86" s="243">
        <v>46</v>
      </c>
      <c r="E86" s="323">
        <f t="shared" si="41"/>
        <v>0</v>
      </c>
      <c r="F86" s="244">
        <v>13.28</v>
      </c>
      <c r="G86" s="242">
        <f t="shared" si="42"/>
        <v>0</v>
      </c>
      <c r="H86" s="243">
        <f t="shared" si="43"/>
        <v>0</v>
      </c>
      <c r="I86" s="243">
        <v>46</v>
      </c>
      <c r="J86" s="243">
        <f>H86*I86</f>
        <v>0</v>
      </c>
      <c r="K86" s="244">
        <v>13.28</v>
      </c>
      <c r="L86" s="245">
        <f t="shared" si="38"/>
        <v>0</v>
      </c>
      <c r="M86" s="246">
        <f t="shared" si="44"/>
        <v>13.28</v>
      </c>
      <c r="N86" s="198">
        <f t="shared" si="39"/>
        <v>0</v>
      </c>
      <c r="Q86" s="248"/>
      <c r="R86" s="249"/>
      <c r="S86" s="250"/>
      <c r="T86" s="251"/>
      <c r="U86" s="250"/>
    </row>
    <row r="87" spans="1:21" ht="15" x14ac:dyDescent="0.25">
      <c r="A87" s="316">
        <f t="shared" si="40"/>
        <v>78</v>
      </c>
      <c r="B87" s="227" t="s">
        <v>257</v>
      </c>
      <c r="C87" s="255"/>
      <c r="D87" s="243"/>
      <c r="E87" s="255"/>
      <c r="F87" s="257"/>
      <c r="G87" s="256"/>
      <c r="H87" s="243"/>
      <c r="I87" s="243"/>
      <c r="J87" s="243"/>
      <c r="K87" s="257"/>
      <c r="L87" s="245"/>
      <c r="M87" s="203"/>
      <c r="N87" s="203"/>
      <c r="Q87" s="248"/>
      <c r="R87" s="249"/>
      <c r="S87" s="250"/>
      <c r="T87" s="258"/>
      <c r="U87" s="250"/>
    </row>
    <row r="88" spans="1:21" ht="14.25" x14ac:dyDescent="0.2">
      <c r="A88" s="316">
        <f t="shared" si="40"/>
        <v>79</v>
      </c>
      <c r="B88" s="229" t="s">
        <v>258</v>
      </c>
      <c r="C88" s="241">
        <v>6564</v>
      </c>
      <c r="D88" s="243"/>
      <c r="E88" s="243">
        <f t="shared" si="41"/>
        <v>0</v>
      </c>
      <c r="F88" s="244">
        <v>7.33</v>
      </c>
      <c r="G88" s="242">
        <f t="shared" si="42"/>
        <v>48114.12</v>
      </c>
      <c r="H88" s="265">
        <f t="shared" si="43"/>
        <v>6564</v>
      </c>
      <c r="I88" s="243"/>
      <c r="J88" s="243"/>
      <c r="K88" s="244">
        <v>7.33</v>
      </c>
      <c r="L88" s="245">
        <f>$H88*K88</f>
        <v>48114.12</v>
      </c>
      <c r="M88" s="246">
        <f t="shared" si="44"/>
        <v>7.33</v>
      </c>
      <c r="N88" s="198">
        <f>H88*M88</f>
        <v>48114.12</v>
      </c>
      <c r="Q88" s="248"/>
      <c r="R88" s="249"/>
      <c r="S88" s="250"/>
      <c r="T88" s="251"/>
      <c r="U88" s="250"/>
    </row>
    <row r="89" spans="1:21" ht="15" x14ac:dyDescent="0.25">
      <c r="A89" s="316">
        <f t="shared" si="40"/>
        <v>80</v>
      </c>
      <c r="B89" s="228" t="s">
        <v>259</v>
      </c>
      <c r="C89" s="259"/>
      <c r="D89" s="243"/>
      <c r="E89" s="259"/>
      <c r="F89" s="257"/>
      <c r="G89" s="260"/>
      <c r="H89" s="243"/>
      <c r="I89" s="243"/>
      <c r="J89" s="243"/>
      <c r="K89" s="257"/>
      <c r="L89" s="245"/>
      <c r="M89" s="203"/>
      <c r="N89" s="203"/>
      <c r="Q89" s="248"/>
      <c r="R89" s="249"/>
      <c r="S89" s="250"/>
      <c r="T89" s="258"/>
      <c r="U89" s="250"/>
    </row>
    <row r="90" spans="1:21" ht="14.25" x14ac:dyDescent="0.2">
      <c r="A90" s="316">
        <f t="shared" si="40"/>
        <v>81</v>
      </c>
      <c r="B90" s="229" t="s">
        <v>260</v>
      </c>
      <c r="C90" s="241">
        <v>144</v>
      </c>
      <c r="D90" s="243"/>
      <c r="E90" s="243">
        <f t="shared" si="41"/>
        <v>0</v>
      </c>
      <c r="F90" s="244">
        <v>3.07</v>
      </c>
      <c r="G90" s="242">
        <f t="shared" si="42"/>
        <v>442.08</v>
      </c>
      <c r="H90" s="265">
        <f t="shared" si="43"/>
        <v>144</v>
      </c>
      <c r="I90" s="243"/>
      <c r="J90" s="243"/>
      <c r="K90" s="244">
        <v>3.07</v>
      </c>
      <c r="L90" s="245">
        <f>$H90*K90</f>
        <v>442.08</v>
      </c>
      <c r="M90" s="246">
        <f t="shared" si="44"/>
        <v>3.07</v>
      </c>
      <c r="N90" s="198">
        <f>H90*M90</f>
        <v>442.08</v>
      </c>
      <c r="Q90" s="248"/>
      <c r="R90" s="249"/>
      <c r="S90" s="250"/>
      <c r="T90" s="251"/>
      <c r="U90" s="250"/>
    </row>
    <row r="91" spans="1:21" ht="15" x14ac:dyDescent="0.25">
      <c r="A91" s="316">
        <f t="shared" si="40"/>
        <v>82</v>
      </c>
      <c r="B91" s="227" t="s">
        <v>261</v>
      </c>
      <c r="C91" s="255"/>
      <c r="D91" s="243"/>
      <c r="E91" s="255"/>
      <c r="F91" s="257"/>
      <c r="G91" s="256"/>
      <c r="H91" s="243"/>
      <c r="I91" s="243"/>
      <c r="J91" s="243"/>
      <c r="K91" s="257"/>
      <c r="L91" s="245"/>
      <c r="M91" s="203"/>
      <c r="N91" s="203"/>
      <c r="Q91" s="248"/>
      <c r="R91" s="249"/>
      <c r="S91" s="250"/>
      <c r="T91" s="258"/>
      <c r="U91" s="250"/>
    </row>
    <row r="92" spans="1:21" ht="15" x14ac:dyDescent="0.25">
      <c r="A92" s="316">
        <f t="shared" si="40"/>
        <v>83</v>
      </c>
      <c r="B92" s="228" t="s">
        <v>221</v>
      </c>
      <c r="C92" s="255"/>
      <c r="D92" s="243"/>
      <c r="E92" s="255"/>
      <c r="F92" s="257"/>
      <c r="G92" s="256"/>
      <c r="H92" s="243"/>
      <c r="I92" s="243"/>
      <c r="J92" s="243"/>
      <c r="K92" s="257"/>
      <c r="L92" s="245"/>
      <c r="M92" s="203"/>
      <c r="N92" s="203"/>
      <c r="Q92" s="248"/>
      <c r="R92" s="249"/>
      <c r="S92" s="250"/>
      <c r="T92" s="258"/>
      <c r="U92" s="250"/>
    </row>
    <row r="93" spans="1:21" ht="14.25" x14ac:dyDescent="0.2">
      <c r="A93" s="316">
        <f t="shared" si="40"/>
        <v>84</v>
      </c>
      <c r="B93" s="229" t="s">
        <v>262</v>
      </c>
      <c r="C93" s="241">
        <v>2651</v>
      </c>
      <c r="D93" s="243">
        <v>30</v>
      </c>
      <c r="E93" s="243">
        <f>C93*D93</f>
        <v>79530</v>
      </c>
      <c r="F93" s="244">
        <v>14.89</v>
      </c>
      <c r="G93" s="242">
        <f>C93*F93</f>
        <v>39473.39</v>
      </c>
      <c r="H93" s="265">
        <f>C93</f>
        <v>2651</v>
      </c>
      <c r="I93" s="243">
        <v>30</v>
      </c>
      <c r="J93" s="243">
        <f t="shared" ref="J93:J100" si="45">H93*I93</f>
        <v>79530</v>
      </c>
      <c r="K93" s="244">
        <v>14.89</v>
      </c>
      <c r="L93" s="245">
        <f>$H93*K93</f>
        <v>39473.39</v>
      </c>
      <c r="M93" s="246">
        <f>K93</f>
        <v>14.89</v>
      </c>
      <c r="N93" s="198">
        <f>H93*M93</f>
        <v>39473.39</v>
      </c>
      <c r="Q93" s="248"/>
      <c r="R93" s="249"/>
      <c r="S93" s="250"/>
      <c r="T93" s="251"/>
      <c r="U93" s="250"/>
    </row>
    <row r="94" spans="1:21" ht="14.25" x14ac:dyDescent="0.2">
      <c r="A94" s="316">
        <f t="shared" si="40"/>
        <v>85</v>
      </c>
      <c r="B94" s="229" t="s">
        <v>263</v>
      </c>
      <c r="C94" s="241">
        <v>1731</v>
      </c>
      <c r="D94" s="243">
        <v>30</v>
      </c>
      <c r="E94" s="243">
        <f>C94*D94</f>
        <v>51930</v>
      </c>
      <c r="F94" s="244">
        <v>14.89</v>
      </c>
      <c r="G94" s="242">
        <f>C94*F94</f>
        <v>25774.59</v>
      </c>
      <c r="H94" s="265">
        <f>C94</f>
        <v>1731</v>
      </c>
      <c r="I94" s="243">
        <v>30</v>
      </c>
      <c r="J94" s="243">
        <f t="shared" si="45"/>
        <v>51930</v>
      </c>
      <c r="K94" s="244">
        <v>14.89</v>
      </c>
      <c r="L94" s="245">
        <f>$H94*K94</f>
        <v>25774.59</v>
      </c>
      <c r="M94" s="246">
        <f>K94</f>
        <v>14.89</v>
      </c>
      <c r="N94" s="198">
        <f>H94*M94</f>
        <v>25774.59</v>
      </c>
      <c r="Q94" s="248"/>
      <c r="R94" s="249"/>
      <c r="S94" s="267"/>
      <c r="T94" s="251"/>
      <c r="U94" s="250"/>
    </row>
    <row r="95" spans="1:21" ht="14.25" x14ac:dyDescent="0.2">
      <c r="A95" s="316">
        <f t="shared" si="40"/>
        <v>86</v>
      </c>
      <c r="B95" s="229" t="s">
        <v>264</v>
      </c>
      <c r="C95" s="241">
        <v>109</v>
      </c>
      <c r="D95" s="243">
        <v>60</v>
      </c>
      <c r="E95" s="243">
        <f>C95*D95</f>
        <v>6540</v>
      </c>
      <c r="F95" s="244">
        <v>24.49</v>
      </c>
      <c r="G95" s="242">
        <f>C95*F95</f>
        <v>2669.41</v>
      </c>
      <c r="H95" s="265">
        <f>C95</f>
        <v>109</v>
      </c>
      <c r="I95" s="243">
        <v>60</v>
      </c>
      <c r="J95" s="243">
        <f t="shared" si="45"/>
        <v>6540</v>
      </c>
      <c r="K95" s="244">
        <v>24.49</v>
      </c>
      <c r="L95" s="245">
        <f>$H95*K95</f>
        <v>2669.41</v>
      </c>
      <c r="M95" s="246">
        <f>K95</f>
        <v>24.49</v>
      </c>
      <c r="N95" s="198">
        <f>H95*M95</f>
        <v>2669.41</v>
      </c>
      <c r="Q95" s="248"/>
      <c r="R95" s="249"/>
      <c r="T95" s="251"/>
      <c r="U95" s="250"/>
    </row>
    <row r="96" spans="1:21" ht="15" x14ac:dyDescent="0.25">
      <c r="A96" s="316">
        <f t="shared" si="40"/>
        <v>87</v>
      </c>
      <c r="B96" s="227" t="s">
        <v>265</v>
      </c>
      <c r="C96" s="241"/>
      <c r="D96" s="243"/>
      <c r="E96" s="241"/>
      <c r="F96" s="244"/>
      <c r="G96" s="242"/>
      <c r="H96" s="243"/>
      <c r="I96" s="243"/>
      <c r="J96" s="243"/>
      <c r="K96" s="244"/>
      <c r="L96" s="245"/>
      <c r="M96" s="246"/>
      <c r="N96" s="198"/>
      <c r="Q96" s="248"/>
      <c r="R96" s="249"/>
      <c r="T96" s="251"/>
      <c r="U96" s="250"/>
    </row>
    <row r="97" spans="1:42" ht="15" x14ac:dyDescent="0.25">
      <c r="A97" s="316">
        <f t="shared" si="40"/>
        <v>88</v>
      </c>
      <c r="B97" s="228" t="s">
        <v>205</v>
      </c>
      <c r="C97" s="241"/>
      <c r="D97" s="243"/>
      <c r="E97" s="241"/>
      <c r="F97" s="242"/>
      <c r="G97" s="242"/>
      <c r="H97" s="243"/>
      <c r="I97" s="243"/>
      <c r="J97" s="243"/>
      <c r="K97" s="244"/>
      <c r="L97" s="245"/>
      <c r="M97" s="246"/>
      <c r="N97" s="198"/>
      <c r="Q97" s="248"/>
      <c r="R97" s="249"/>
      <c r="T97" s="251"/>
      <c r="U97" s="250"/>
    </row>
    <row r="98" spans="1:42" ht="14.25" x14ac:dyDescent="0.2">
      <c r="A98" s="316">
        <f t="shared" si="40"/>
        <v>89</v>
      </c>
      <c r="B98" s="229" t="s">
        <v>266</v>
      </c>
      <c r="C98" s="241">
        <v>768</v>
      </c>
      <c r="D98" s="243">
        <v>43</v>
      </c>
      <c r="E98" s="243">
        <f>C98*D98</f>
        <v>33024</v>
      </c>
      <c r="F98" s="244">
        <v>26.75</v>
      </c>
      <c r="G98" s="242">
        <f>C98*F98</f>
        <v>20544</v>
      </c>
      <c r="H98" s="265">
        <f>C98</f>
        <v>768</v>
      </c>
      <c r="I98" s="243">
        <v>43</v>
      </c>
      <c r="J98" s="243">
        <f t="shared" si="45"/>
        <v>33024</v>
      </c>
      <c r="K98" s="244">
        <v>26.75</v>
      </c>
      <c r="L98" s="245">
        <f>$H98*K98</f>
        <v>20544</v>
      </c>
      <c r="M98" s="246">
        <f>K98</f>
        <v>26.75</v>
      </c>
      <c r="N98" s="198">
        <f>H98*M98</f>
        <v>20544</v>
      </c>
      <c r="O98" s="270"/>
      <c r="Q98" s="270"/>
      <c r="R98" s="270"/>
      <c r="S98" s="270"/>
      <c r="T98" s="270"/>
      <c r="U98" s="270"/>
      <c r="V98" s="270"/>
      <c r="W98" s="270"/>
      <c r="X98" s="270"/>
      <c r="Y98" s="270"/>
      <c r="Z98" s="270"/>
      <c r="AA98" s="270"/>
      <c r="AB98" s="270"/>
    </row>
    <row r="99" spans="1:42" ht="15" x14ac:dyDescent="0.25">
      <c r="A99" s="316">
        <f t="shared" si="40"/>
        <v>90</v>
      </c>
      <c r="B99" s="228" t="s">
        <v>208</v>
      </c>
      <c r="C99" s="241"/>
      <c r="D99" s="243"/>
      <c r="E99" s="241"/>
      <c r="F99" s="244"/>
      <c r="G99" s="242"/>
      <c r="H99" s="243"/>
      <c r="I99" s="243"/>
      <c r="J99" s="243"/>
      <c r="K99" s="244"/>
      <c r="L99" s="245"/>
      <c r="M99" s="246"/>
      <c r="N99" s="198"/>
      <c r="O99" s="275"/>
      <c r="Q99" s="294"/>
      <c r="R99" s="294"/>
      <c r="S99" s="294"/>
      <c r="T99" s="294"/>
      <c r="U99" s="294"/>
      <c r="V99" s="294"/>
      <c r="W99" s="294"/>
      <c r="X99" s="294"/>
      <c r="Y99" s="294"/>
      <c r="Z99" s="294"/>
      <c r="AA99" s="294"/>
      <c r="AB99" s="294"/>
    </row>
    <row r="100" spans="1:42" ht="14.25" x14ac:dyDescent="0.2">
      <c r="A100" s="316">
        <f t="shared" si="40"/>
        <v>91</v>
      </c>
      <c r="B100" s="229" t="s">
        <v>267</v>
      </c>
      <c r="C100" s="241">
        <v>5937</v>
      </c>
      <c r="D100" s="243">
        <v>14</v>
      </c>
      <c r="E100" s="243">
        <f>C100*D100</f>
        <v>83118</v>
      </c>
      <c r="F100" s="244">
        <v>23.13</v>
      </c>
      <c r="G100" s="242">
        <f>C100*F100</f>
        <v>137322.81</v>
      </c>
      <c r="H100" s="265">
        <f>C100</f>
        <v>5937</v>
      </c>
      <c r="I100" s="243">
        <v>14</v>
      </c>
      <c r="J100" s="243">
        <f t="shared" si="45"/>
        <v>83118</v>
      </c>
      <c r="K100" s="244">
        <v>23.13</v>
      </c>
      <c r="L100" s="245">
        <f>$H100*K100</f>
        <v>137322.81</v>
      </c>
      <c r="M100" s="246">
        <f>K100</f>
        <v>23.13</v>
      </c>
      <c r="N100" s="198">
        <f>H100*M100</f>
        <v>137322.81</v>
      </c>
      <c r="Q100" s="248"/>
      <c r="R100" s="249"/>
      <c r="S100" s="275"/>
      <c r="T100" s="251"/>
      <c r="U100" s="250"/>
      <c r="AD100" s="203" t="s">
        <v>149</v>
      </c>
      <c r="AE100" s="203" t="s">
        <v>150</v>
      </c>
      <c r="AF100" s="203" t="s">
        <v>151</v>
      </c>
      <c r="AG100" s="203" t="s">
        <v>152</v>
      </c>
      <c r="AH100" s="203" t="s">
        <v>133</v>
      </c>
      <c r="AI100" s="203" t="s">
        <v>153</v>
      </c>
      <c r="AJ100" s="203" t="s">
        <v>154</v>
      </c>
      <c r="AK100" s="203" t="s">
        <v>155</v>
      </c>
      <c r="AL100" s="203" t="s">
        <v>156</v>
      </c>
      <c r="AM100" s="203" t="s">
        <v>157</v>
      </c>
      <c r="AN100" s="203" t="s">
        <v>158</v>
      </c>
      <c r="AO100" s="203" t="s">
        <v>159</v>
      </c>
      <c r="AP100" s="203" t="s">
        <v>65</v>
      </c>
    </row>
    <row r="101" spans="1:42" x14ac:dyDescent="0.2">
      <c r="A101" s="316">
        <f t="shared" si="40"/>
        <v>92</v>
      </c>
      <c r="B101" s="203" t="s">
        <v>290</v>
      </c>
      <c r="C101" s="273"/>
      <c r="D101" s="203"/>
      <c r="E101" s="266">
        <f>SUM(E14:E100)</f>
        <v>8253325</v>
      </c>
      <c r="F101" s="203"/>
      <c r="G101" s="266">
        <f>SUM(G14:G100)</f>
        <v>2177619.0000000005</v>
      </c>
      <c r="J101" s="266">
        <f>SUM(J14:J100)</f>
        <v>8253325</v>
      </c>
      <c r="K101" s="203"/>
      <c r="L101" s="266">
        <f>SUM(L14:L100)</f>
        <v>2177619.0000000005</v>
      </c>
      <c r="M101" s="203"/>
      <c r="N101" s="266">
        <f>SUM(N14:N100)</f>
        <v>2177619.0000000005</v>
      </c>
      <c r="O101" s="267">
        <f>SUM(Q101:AB101)</f>
        <v>2179467.4700000002</v>
      </c>
      <c r="P101" t="s">
        <v>291</v>
      </c>
      <c r="Q101" s="254">
        <v>181924.01</v>
      </c>
      <c r="R101" s="267">
        <v>181947.47</v>
      </c>
      <c r="S101" s="254">
        <v>181967.07</v>
      </c>
      <c r="T101" s="254">
        <v>181606.67</v>
      </c>
      <c r="U101" s="254">
        <v>181479.87</v>
      </c>
      <c r="V101" s="254">
        <v>181625.07</v>
      </c>
      <c r="W101" s="254">
        <v>181688.05</v>
      </c>
      <c r="X101" s="254">
        <v>181463.4</v>
      </c>
      <c r="Y101" s="254">
        <v>181753.85</v>
      </c>
      <c r="Z101" s="254">
        <v>181463.05</v>
      </c>
      <c r="AA101" s="254">
        <v>181461.32</v>
      </c>
      <c r="AB101" s="254">
        <v>181087.64</v>
      </c>
      <c r="AP101">
        <f>SUM(AD101:AO101)</f>
        <v>0</v>
      </c>
    </row>
    <row r="102" spans="1:42" x14ac:dyDescent="0.2">
      <c r="A102" s="316"/>
      <c r="B102" s="203" t="s">
        <v>292</v>
      </c>
      <c r="C102" s="273"/>
      <c r="D102" s="203"/>
      <c r="E102" s="266"/>
      <c r="F102" s="268">
        <f>G102/E101</f>
        <v>2.3421491338339401E-2</v>
      </c>
      <c r="G102" s="266">
        <f>O102+O104</f>
        <v>193305.18000000002</v>
      </c>
      <c r="K102" s="269"/>
      <c r="L102" s="203">
        <f>J101*K102</f>
        <v>0</v>
      </c>
      <c r="M102" s="203"/>
      <c r="N102" s="203">
        <f>L102</f>
        <v>0</v>
      </c>
      <c r="O102" s="267">
        <f>SUM(Q102:AB102)</f>
        <v>193429.50000000003</v>
      </c>
      <c r="P102" t="s">
        <v>293</v>
      </c>
      <c r="Q102" s="254">
        <f>10184.67+2459.06-2764.53+3541.73</f>
        <v>13420.929999999998</v>
      </c>
      <c r="R102">
        <f>21252.98+2970.2-5822.58+5059.57</f>
        <v>23460.17</v>
      </c>
      <c r="S102" s="254">
        <f>26036.6+4267.18-7182.17+4850.32</f>
        <v>27971.93</v>
      </c>
      <c r="T102" s="254">
        <f>26424.26+3022.35-5246.62+4498.82</f>
        <v>28698.809999999998</v>
      </c>
      <c r="U102" s="254">
        <f>15452.83+2996.18-3549.72+1594.88</f>
        <v>16494.169999999998</v>
      </c>
      <c r="V102" s="254">
        <f>11372.65+2361.75-2278.99+1305.13</f>
        <v>12760.54</v>
      </c>
      <c r="W102" s="254">
        <f>2509.65+3180.25-3200.29+1441.85</f>
        <v>3931.4599999999996</v>
      </c>
      <c r="X102" s="254">
        <f>14916.2+3725.84-5996.43+2056.51</f>
        <v>14702.12</v>
      </c>
      <c r="Y102" s="254">
        <f>12828.46+5578.97-6727.72+2116.17</f>
        <v>13795.88</v>
      </c>
      <c r="Z102" s="254">
        <f>16293.16+5583.36-6338.64+2383.41</f>
        <v>17921.29</v>
      </c>
      <c r="AA102" s="254">
        <f>7057.8+5214.43-3377.46+1315.61</f>
        <v>10210.380000000001</v>
      </c>
      <c r="AB102" s="254">
        <f>6687.95+4991.62-3304.18+1686.43</f>
        <v>10061.82</v>
      </c>
    </row>
    <row r="103" spans="1:42" x14ac:dyDescent="0.2">
      <c r="A103" s="316"/>
      <c r="B103" s="203" t="s">
        <v>295</v>
      </c>
      <c r="C103" s="273"/>
      <c r="D103" s="203"/>
      <c r="E103" s="266">
        <f>E101+E102</f>
        <v>8253325</v>
      </c>
      <c r="F103" s="203"/>
      <c r="G103" s="266">
        <f>G101+G102</f>
        <v>2370924.1800000006</v>
      </c>
      <c r="K103" s="203"/>
      <c r="L103" s="266">
        <f>SUM(L101:L102)</f>
        <v>2177619.0000000005</v>
      </c>
      <c r="M103" s="203"/>
      <c r="N103" s="266">
        <f>SUM(N101:N102)</f>
        <v>2177619.0000000005</v>
      </c>
      <c r="O103" s="267">
        <f>SUM(Q103:AB103)</f>
        <v>-1848.4699999999998</v>
      </c>
      <c r="P103" t="s">
        <v>294</v>
      </c>
      <c r="Q103" s="254">
        <v>-300.85000000000002</v>
      </c>
      <c r="R103">
        <f>-620.4</f>
        <v>-620.4</v>
      </c>
      <c r="S103" s="254">
        <f>-147.04</f>
        <v>-147.04</v>
      </c>
      <c r="T103" s="254">
        <v>-90.64</v>
      </c>
      <c r="U103" s="254">
        <v>0</v>
      </c>
      <c r="V103" s="254">
        <v>-11.28</v>
      </c>
      <c r="W103" s="254">
        <v>0</v>
      </c>
      <c r="X103" s="254">
        <v>-313.12</v>
      </c>
      <c r="Y103" s="254">
        <v>-17.12</v>
      </c>
      <c r="Z103" s="254">
        <v>-53.68</v>
      </c>
      <c r="AA103" s="254">
        <v>-11.28</v>
      </c>
      <c r="AB103" s="254">
        <v>-283.06</v>
      </c>
    </row>
    <row r="104" spans="1:42" x14ac:dyDescent="0.2">
      <c r="A104" s="316"/>
      <c r="B104" s="203" t="s">
        <v>297</v>
      </c>
      <c r="C104" s="273"/>
      <c r="D104" s="203"/>
      <c r="E104" s="270"/>
      <c r="F104" s="271"/>
      <c r="G104" s="267"/>
      <c r="J104" s="270">
        <f>E104</f>
        <v>0</v>
      </c>
      <c r="K104" s="203"/>
      <c r="L104" s="272">
        <f>G104</f>
        <v>0</v>
      </c>
      <c r="M104" s="203"/>
      <c r="N104" s="272">
        <f>L104</f>
        <v>0</v>
      </c>
      <c r="O104" s="267">
        <f>SUM(Q104:AB104)</f>
        <v>-124.32000000000001</v>
      </c>
      <c r="P104" t="s">
        <v>296</v>
      </c>
      <c r="Q104" s="254">
        <f>-16.22-7.86+7.67-5.2</f>
        <v>-21.609999999999996</v>
      </c>
      <c r="R104">
        <f>-18.69-23.81+19.08-9.45</f>
        <v>-32.870000000000005</v>
      </c>
      <c r="S104" s="254">
        <f>-22.42-4.36+6.52-3.92</f>
        <v>-24.18</v>
      </c>
      <c r="T104" s="254">
        <f>-15.26-1.9+3.14-2.57</f>
        <v>-16.59</v>
      </c>
      <c r="U104" s="254">
        <v>0</v>
      </c>
      <c r="V104" s="254">
        <f>-1.15-0.24+0.23-0.13</f>
        <v>-1.29</v>
      </c>
      <c r="W104" s="254">
        <v>0</v>
      </c>
      <c r="X104" s="254">
        <f>-5.03-11.86+9.43-4.33</f>
        <v>-11.790000000000001</v>
      </c>
      <c r="Y104" s="254">
        <f>-0.78-0.34+0.4-0.12</f>
        <v>-0.84000000000000008</v>
      </c>
      <c r="Z104" s="254">
        <f>-4.22-2.27+1.84-0.74</f>
        <v>-5.3900000000000006</v>
      </c>
      <c r="AA104" s="254">
        <f>-0.71-0.52+0.34-0.13</f>
        <v>-1.02</v>
      </c>
      <c r="AB104" s="254">
        <f>-2.3-9.86+7.02-3.6</f>
        <v>-8.74</v>
      </c>
    </row>
    <row r="105" spans="1:42" x14ac:dyDescent="0.2">
      <c r="A105" s="316"/>
      <c r="C105" s="273">
        <f>SUM(C14:C100)</f>
        <v>201970</v>
      </c>
      <c r="D105" s="273">
        <f>SUM(D14:D100)</f>
        <v>4768</v>
      </c>
      <c r="E105" s="273"/>
      <c r="F105" s="203" t="e">
        <f>G105/E104</f>
        <v>#DIV/0!</v>
      </c>
      <c r="G105" s="266"/>
      <c r="K105" s="269">
        <f>K102</f>
        <v>0</v>
      </c>
      <c r="L105" s="266">
        <f>J104*K105</f>
        <v>0</v>
      </c>
      <c r="M105" s="203"/>
      <c r="N105" s="266">
        <f>L105</f>
        <v>0</v>
      </c>
      <c r="O105" s="267">
        <f>SUM(O101:O104)</f>
        <v>2370924.1800000002</v>
      </c>
      <c r="Q105" s="254"/>
      <c r="R105" s="267"/>
      <c r="S105" s="254"/>
      <c r="T105" s="254"/>
      <c r="U105" s="254"/>
      <c r="V105" s="254"/>
      <c r="W105" s="254"/>
      <c r="X105" s="254"/>
      <c r="Y105" s="254"/>
      <c r="Z105" s="254"/>
      <c r="AA105" s="254"/>
      <c r="AB105" s="254"/>
    </row>
    <row r="106" spans="1:42" x14ac:dyDescent="0.2">
      <c r="A106" s="316"/>
      <c r="B106" s="203"/>
      <c r="C106" s="274"/>
      <c r="D106" s="203"/>
      <c r="E106" s="273">
        <f>E103+E104+E105</f>
        <v>8253325</v>
      </c>
      <c r="F106" s="203"/>
      <c r="G106" s="266">
        <f>G103+G104+G105</f>
        <v>2370924.1800000006</v>
      </c>
      <c r="H106" s="203"/>
      <c r="I106" s="203"/>
      <c r="J106" s="266">
        <f>J101+J104</f>
        <v>8253325</v>
      </c>
      <c r="K106" s="203"/>
      <c r="L106" s="266">
        <f>L103+L104+L105</f>
        <v>2177619.0000000005</v>
      </c>
      <c r="M106" s="203"/>
      <c r="N106" s="266">
        <f>SUM(N103:N105)</f>
        <v>2177619.0000000005</v>
      </c>
      <c r="O106" s="275">
        <f>SUM(Q106:AB106)</f>
        <v>8263973</v>
      </c>
      <c r="P106" t="s">
        <v>298</v>
      </c>
      <c r="Q106" s="275">
        <v>675751</v>
      </c>
      <c r="R106" s="275">
        <v>678602</v>
      </c>
      <c r="S106" s="275">
        <v>680493</v>
      </c>
      <c r="T106" s="275">
        <v>683538</v>
      </c>
      <c r="U106" s="275">
        <v>685372</v>
      </c>
      <c r="V106" s="275">
        <v>689057</v>
      </c>
      <c r="W106" s="275">
        <v>691137</v>
      </c>
      <c r="X106" s="275">
        <v>691986</v>
      </c>
      <c r="Y106" s="275">
        <v>694927</v>
      </c>
      <c r="Z106" s="275">
        <v>695488</v>
      </c>
      <c r="AA106" s="275">
        <v>697272</v>
      </c>
      <c r="AB106" s="275">
        <v>700350</v>
      </c>
    </row>
    <row r="107" spans="1:42" x14ac:dyDescent="0.2">
      <c r="A107" s="316"/>
      <c r="B107" s="203"/>
      <c r="C107" s="274"/>
      <c r="D107" s="203"/>
      <c r="E107" s="273">
        <f>E106/12</f>
        <v>687777.08333333337</v>
      </c>
      <c r="F107" s="203"/>
      <c r="G107" s="266"/>
      <c r="H107" s="203"/>
      <c r="I107" s="203"/>
      <c r="J107" s="203"/>
      <c r="K107" s="203"/>
      <c r="L107" s="203"/>
      <c r="M107" s="203"/>
      <c r="N107" s="203"/>
      <c r="O107" s="275">
        <f>SUM(Q107:AB107)</f>
        <v>-10648</v>
      </c>
      <c r="P107" t="s">
        <v>299</v>
      </c>
      <c r="Q107" s="275">
        <v>-1454</v>
      </c>
      <c r="R107" s="275">
        <v>-3850</v>
      </c>
      <c r="S107" s="275">
        <v>-784</v>
      </c>
      <c r="T107" s="275">
        <v>-434</v>
      </c>
      <c r="U107" s="275">
        <v>0</v>
      </c>
      <c r="V107" s="275">
        <v>-70</v>
      </c>
      <c r="W107" s="275">
        <v>0</v>
      </c>
      <c r="X107" s="275">
        <v>-1911</v>
      </c>
      <c r="Y107" s="275">
        <v>-42</v>
      </c>
      <c r="Z107" s="275">
        <v>-301</v>
      </c>
      <c r="AA107" s="275">
        <v>-70</v>
      </c>
      <c r="AB107" s="275">
        <v>-1732</v>
      </c>
    </row>
    <row r="108" spans="1:42" x14ac:dyDescent="0.2">
      <c r="A108" s="316"/>
      <c r="B108" s="203"/>
      <c r="C108" s="274"/>
      <c r="D108" s="203"/>
      <c r="E108" s="273"/>
      <c r="F108" s="203"/>
      <c r="G108" s="266"/>
      <c r="H108" s="203"/>
      <c r="I108" s="203"/>
      <c r="J108" s="203"/>
      <c r="K108" s="203"/>
      <c r="L108" s="203"/>
      <c r="M108" s="203"/>
      <c r="N108" s="203"/>
      <c r="O108" s="270">
        <f>O106+O107</f>
        <v>8253325</v>
      </c>
    </row>
    <row r="109" spans="1:42" ht="15" thickBot="1" x14ac:dyDescent="0.25">
      <c r="A109" s="316">
        <f>A101+1</f>
        <v>93</v>
      </c>
      <c r="B109" s="276"/>
      <c r="C109" s="276"/>
      <c r="D109" s="276"/>
      <c r="E109" s="276"/>
      <c r="F109" s="276"/>
      <c r="G109" s="276"/>
      <c r="H109" s="277"/>
      <c r="I109" s="277"/>
      <c r="J109" s="277"/>
      <c r="K109" s="276"/>
      <c r="L109" s="276"/>
      <c r="M109" s="276"/>
      <c r="N109" s="276"/>
      <c r="O109" s="285">
        <f>O108-E106</f>
        <v>0</v>
      </c>
      <c r="Q109" s="278">
        <v>44958</v>
      </c>
      <c r="R109" s="278">
        <v>44927</v>
      </c>
      <c r="S109" s="278">
        <v>44896</v>
      </c>
      <c r="T109" s="278">
        <v>44866</v>
      </c>
      <c r="U109" s="278">
        <v>44835</v>
      </c>
      <c r="V109" s="278">
        <v>44805</v>
      </c>
      <c r="W109" s="278">
        <v>44774</v>
      </c>
      <c r="X109" s="278">
        <v>44743</v>
      </c>
      <c r="Y109" s="278">
        <v>44713</v>
      </c>
      <c r="Z109" s="278">
        <v>44682</v>
      </c>
      <c r="AA109" s="278">
        <v>44652</v>
      </c>
      <c r="AB109" s="278">
        <v>44621</v>
      </c>
    </row>
    <row r="110" spans="1:42" ht="15" x14ac:dyDescent="0.25">
      <c r="A110" s="316">
        <f t="shared" si="40"/>
        <v>94</v>
      </c>
      <c r="B110" s="228"/>
      <c r="C110" s="279"/>
      <c r="D110" s="228"/>
      <c r="E110" s="280"/>
      <c r="F110" s="228"/>
      <c r="G110" s="281" t="s">
        <v>317</v>
      </c>
      <c r="H110" s="240"/>
      <c r="I110" s="240"/>
      <c r="J110" s="282"/>
      <c r="K110" s="283"/>
      <c r="L110" s="229"/>
      <c r="M110" s="284"/>
      <c r="N110" s="284"/>
      <c r="S110" s="284"/>
      <c r="U110" s="284"/>
    </row>
    <row r="111" spans="1:42" x14ac:dyDescent="0.2">
      <c r="A111" s="316">
        <f t="shared" si="40"/>
        <v>95</v>
      </c>
      <c r="B111" s="203"/>
      <c r="C111" s="203"/>
      <c r="D111" s="203"/>
      <c r="E111" s="275">
        <f>SUM(P121:AB121)</f>
        <v>8253325</v>
      </c>
      <c r="F111" s="203" t="s">
        <v>291</v>
      </c>
      <c r="G111" s="272">
        <f t="shared" ref="G111:G117" si="46">SUM(P111:AB111)</f>
        <v>2177619</v>
      </c>
      <c r="K111" s="285"/>
      <c r="Q111">
        <v>181623.16</v>
      </c>
      <c r="R111">
        <v>181327.07</v>
      </c>
      <c r="S111">
        <v>181820.03</v>
      </c>
      <c r="T111">
        <v>181516.03</v>
      </c>
      <c r="U111">
        <v>181479.87</v>
      </c>
      <c r="V111">
        <v>181613.79</v>
      </c>
      <c r="W111">
        <v>181688.05</v>
      </c>
      <c r="X111">
        <v>181150.28</v>
      </c>
      <c r="Y111">
        <v>181736.73</v>
      </c>
      <c r="Z111">
        <v>181409.37</v>
      </c>
      <c r="AA111" s="254">
        <v>181450.04</v>
      </c>
      <c r="AB111">
        <v>180804.58</v>
      </c>
      <c r="AD111">
        <f>R111</f>
        <v>181327.07</v>
      </c>
      <c r="AE111">
        <f>Q111</f>
        <v>181623.16</v>
      </c>
      <c r="AF111">
        <f>AB111</f>
        <v>180804.58</v>
      </c>
      <c r="AG111" s="252">
        <f>AA111</f>
        <v>181450.04</v>
      </c>
      <c r="AH111">
        <f>Z111</f>
        <v>181409.37</v>
      </c>
      <c r="AI111">
        <f>Y111</f>
        <v>181736.73</v>
      </c>
      <c r="AJ111">
        <f>X111</f>
        <v>181150.28</v>
      </c>
      <c r="AK111">
        <f>W111</f>
        <v>181688.05</v>
      </c>
      <c r="AL111">
        <f>V111</f>
        <v>181613.79</v>
      </c>
      <c r="AM111">
        <f>U111</f>
        <v>181479.87</v>
      </c>
      <c r="AN111">
        <f>T111</f>
        <v>181516.03</v>
      </c>
      <c r="AO111">
        <f>S111</f>
        <v>181820.03</v>
      </c>
      <c r="AP111">
        <f>SUM(AD111:AO111)</f>
        <v>2177619</v>
      </c>
    </row>
    <row r="112" spans="1:42" x14ac:dyDescent="0.2">
      <c r="A112" s="316">
        <f t="shared" si="40"/>
        <v>96</v>
      </c>
      <c r="B112" s="203"/>
      <c r="C112" s="203"/>
      <c r="D112" s="203"/>
      <c r="E112" s="203"/>
      <c r="F112" s="203" t="s">
        <v>300</v>
      </c>
      <c r="G112" s="203">
        <f t="shared" si="46"/>
        <v>170930.43999999997</v>
      </c>
      <c r="P112" s="203" t="s">
        <v>318</v>
      </c>
      <c r="Q112">
        <v>10168.450000000001</v>
      </c>
      <c r="R112">
        <v>21234.29</v>
      </c>
      <c r="S112">
        <v>26014.19</v>
      </c>
      <c r="T112">
        <v>26409</v>
      </c>
      <c r="U112">
        <v>15452.83</v>
      </c>
      <c r="V112">
        <v>11371.5</v>
      </c>
      <c r="W112">
        <v>2509.65</v>
      </c>
      <c r="X112">
        <v>14911.17</v>
      </c>
      <c r="Y112">
        <v>12827.68</v>
      </c>
      <c r="Z112">
        <v>16288.94</v>
      </c>
      <c r="AA112">
        <v>7057.09</v>
      </c>
      <c r="AB112">
        <v>6685.65</v>
      </c>
      <c r="AD112">
        <f t="shared" ref="AD112:AD115" si="47">R112</f>
        <v>21234.29</v>
      </c>
      <c r="AE112">
        <f t="shared" ref="AE112:AE115" si="48">Q112</f>
        <v>10168.450000000001</v>
      </c>
      <c r="AF112">
        <f t="shared" ref="AF112:AF115" si="49">AB112</f>
        <v>6685.65</v>
      </c>
      <c r="AG112" s="252">
        <f t="shared" ref="AG112:AG115" si="50">AA112</f>
        <v>7057.09</v>
      </c>
      <c r="AH112">
        <f t="shared" ref="AH112:AH115" si="51">Z112</f>
        <v>16288.94</v>
      </c>
      <c r="AI112">
        <f t="shared" ref="AI112:AI115" si="52">Y112</f>
        <v>12827.68</v>
      </c>
      <c r="AJ112">
        <f t="shared" ref="AJ112:AJ115" si="53">X112</f>
        <v>14911.17</v>
      </c>
      <c r="AK112">
        <f t="shared" ref="AK112:AK115" si="54">W112</f>
        <v>2509.65</v>
      </c>
      <c r="AL112">
        <f t="shared" ref="AL112:AL115" si="55">V112</f>
        <v>11371.5</v>
      </c>
      <c r="AM112">
        <f t="shared" ref="AM112:AM115" si="56">U112</f>
        <v>15452.83</v>
      </c>
      <c r="AN112">
        <f t="shared" ref="AN112:AN115" si="57">T112</f>
        <v>26409</v>
      </c>
      <c r="AO112">
        <f t="shared" ref="AO112:AO115" si="58">S112</f>
        <v>26014.19</v>
      </c>
      <c r="AP112">
        <f t="shared" ref="AP112:AP115" si="59">SUM(AD112:AO112)</f>
        <v>170930.44</v>
      </c>
    </row>
    <row r="113" spans="1:42" x14ac:dyDescent="0.2">
      <c r="A113" s="316">
        <f t="shared" si="40"/>
        <v>97</v>
      </c>
      <c r="B113" s="203"/>
      <c r="C113" s="203"/>
      <c r="D113" s="203"/>
      <c r="E113" s="203"/>
      <c r="F113" s="203" t="s">
        <v>301</v>
      </c>
      <c r="G113" s="203">
        <f t="shared" si="46"/>
        <v>46288.170000000006</v>
      </c>
      <c r="P113" s="203" t="s">
        <v>307</v>
      </c>
      <c r="Q113">
        <v>2451.1999999999998</v>
      </c>
      <c r="R113">
        <v>2946.39</v>
      </c>
      <c r="S113">
        <v>4262.82</v>
      </c>
      <c r="T113">
        <v>3020.45</v>
      </c>
      <c r="U113">
        <v>2996.18</v>
      </c>
      <c r="V113">
        <v>2361.5100000000002</v>
      </c>
      <c r="W113">
        <v>3180.25</v>
      </c>
      <c r="X113">
        <v>3713.98</v>
      </c>
      <c r="Y113">
        <v>5578.63</v>
      </c>
      <c r="Z113">
        <v>5581.09</v>
      </c>
      <c r="AA113">
        <v>5213.91</v>
      </c>
      <c r="AB113">
        <v>4981.76</v>
      </c>
      <c r="AD113">
        <f t="shared" si="47"/>
        <v>2946.39</v>
      </c>
      <c r="AE113">
        <f t="shared" si="48"/>
        <v>2451.1999999999998</v>
      </c>
      <c r="AF113">
        <f t="shared" si="49"/>
        <v>4981.76</v>
      </c>
      <c r="AG113" s="252">
        <f t="shared" si="50"/>
        <v>5213.91</v>
      </c>
      <c r="AH113">
        <f t="shared" si="51"/>
        <v>5581.09</v>
      </c>
      <c r="AI113">
        <f t="shared" si="52"/>
        <v>5578.63</v>
      </c>
      <c r="AJ113">
        <f t="shared" si="53"/>
        <v>3713.98</v>
      </c>
      <c r="AK113">
        <f t="shared" si="54"/>
        <v>3180.25</v>
      </c>
      <c r="AL113">
        <f t="shared" si="55"/>
        <v>2361.5100000000002</v>
      </c>
      <c r="AM113">
        <f t="shared" si="56"/>
        <v>2996.18</v>
      </c>
      <c r="AN113">
        <f t="shared" si="57"/>
        <v>3020.45</v>
      </c>
      <c r="AO113">
        <f t="shared" si="58"/>
        <v>4262.82</v>
      </c>
      <c r="AP113">
        <f t="shared" si="59"/>
        <v>46288.17</v>
      </c>
    </row>
    <row r="114" spans="1:42" x14ac:dyDescent="0.2">
      <c r="A114" s="316">
        <f t="shared" si="40"/>
        <v>98</v>
      </c>
      <c r="B114" s="203"/>
      <c r="C114" s="203"/>
      <c r="D114" s="203"/>
      <c r="E114" s="203"/>
      <c r="F114" s="203" t="s">
        <v>302</v>
      </c>
      <c r="G114" s="203">
        <f t="shared" si="46"/>
        <v>-55733.66</v>
      </c>
      <c r="P114" s="203" t="s">
        <v>319</v>
      </c>
      <c r="Q114">
        <v>-2756.86</v>
      </c>
      <c r="R114">
        <v>-5803.5</v>
      </c>
      <c r="S114">
        <v>-7175.65</v>
      </c>
      <c r="T114">
        <v>-5243.48</v>
      </c>
      <c r="U114">
        <v>-3549.72</v>
      </c>
      <c r="V114">
        <v>-2278.7600000000002</v>
      </c>
      <c r="W114">
        <v>-3200.29</v>
      </c>
      <c r="X114">
        <v>-5987</v>
      </c>
      <c r="Y114">
        <v>-6727.32</v>
      </c>
      <c r="Z114">
        <v>-6336.8</v>
      </c>
      <c r="AA114">
        <v>-3377.12</v>
      </c>
      <c r="AB114">
        <v>-3297.16</v>
      </c>
      <c r="AD114">
        <f t="shared" si="47"/>
        <v>-5803.5</v>
      </c>
      <c r="AE114">
        <f t="shared" si="48"/>
        <v>-2756.86</v>
      </c>
      <c r="AF114">
        <f t="shared" si="49"/>
        <v>-3297.16</v>
      </c>
      <c r="AG114" s="252">
        <f t="shared" si="50"/>
        <v>-3377.12</v>
      </c>
      <c r="AH114">
        <f t="shared" si="51"/>
        <v>-6336.8</v>
      </c>
      <c r="AI114">
        <f t="shared" si="52"/>
        <v>-6727.32</v>
      </c>
      <c r="AJ114">
        <f t="shared" si="53"/>
        <v>-5987</v>
      </c>
      <c r="AK114">
        <f t="shared" si="54"/>
        <v>-3200.29</v>
      </c>
      <c r="AL114">
        <f t="shared" si="55"/>
        <v>-2278.7600000000002</v>
      </c>
      <c r="AM114">
        <f t="shared" si="56"/>
        <v>-3549.72</v>
      </c>
      <c r="AN114">
        <f t="shared" si="57"/>
        <v>-5243.48</v>
      </c>
      <c r="AO114">
        <f t="shared" si="58"/>
        <v>-7175.65</v>
      </c>
      <c r="AP114">
        <f t="shared" si="59"/>
        <v>-55733.659999999996</v>
      </c>
    </row>
    <row r="115" spans="1:42" x14ac:dyDescent="0.2">
      <c r="A115" s="316">
        <f t="shared" si="40"/>
        <v>99</v>
      </c>
      <c r="B115" s="203"/>
      <c r="C115" s="203"/>
      <c r="D115" s="203"/>
      <c r="E115" s="203"/>
      <c r="F115" s="203" t="s">
        <v>303</v>
      </c>
      <c r="G115" s="203">
        <f t="shared" si="46"/>
        <v>31820.239999999998</v>
      </c>
      <c r="P115" s="203" t="s">
        <v>320</v>
      </c>
      <c r="Q115">
        <v>3536.53</v>
      </c>
      <c r="R115">
        <v>5050.12</v>
      </c>
      <c r="S115">
        <v>4846.3999999999996</v>
      </c>
      <c r="T115">
        <v>4496.25</v>
      </c>
      <c r="U115">
        <v>1594.88</v>
      </c>
      <c r="V115">
        <v>1305</v>
      </c>
      <c r="W115">
        <v>1441.85</v>
      </c>
      <c r="X115">
        <v>2052.1799999999998</v>
      </c>
      <c r="Y115">
        <v>2116.0500000000002</v>
      </c>
      <c r="Z115">
        <v>2382.67</v>
      </c>
      <c r="AA115">
        <v>1315.48</v>
      </c>
      <c r="AB115">
        <v>1682.83</v>
      </c>
      <c r="AD115">
        <f t="shared" si="47"/>
        <v>5050.12</v>
      </c>
      <c r="AE115">
        <f t="shared" si="48"/>
        <v>3536.53</v>
      </c>
      <c r="AF115">
        <f t="shared" si="49"/>
        <v>1682.83</v>
      </c>
      <c r="AG115" s="252">
        <f t="shared" si="50"/>
        <v>1315.48</v>
      </c>
      <c r="AH115">
        <f t="shared" si="51"/>
        <v>2382.67</v>
      </c>
      <c r="AI115">
        <f t="shared" si="52"/>
        <v>2116.0500000000002</v>
      </c>
      <c r="AJ115">
        <f t="shared" si="53"/>
        <v>2052.1799999999998</v>
      </c>
      <c r="AK115">
        <f t="shared" si="54"/>
        <v>1441.85</v>
      </c>
      <c r="AL115">
        <f t="shared" si="55"/>
        <v>1305</v>
      </c>
      <c r="AM115">
        <f t="shared" si="56"/>
        <v>1594.88</v>
      </c>
      <c r="AN115">
        <f t="shared" si="57"/>
        <v>4496.25</v>
      </c>
      <c r="AO115">
        <f t="shared" si="58"/>
        <v>4846.3999999999996</v>
      </c>
      <c r="AP115">
        <f t="shared" si="59"/>
        <v>31820.239999999998</v>
      </c>
    </row>
    <row r="116" spans="1:42" x14ac:dyDescent="0.2">
      <c r="A116" s="316">
        <f t="shared" si="40"/>
        <v>100</v>
      </c>
      <c r="B116" s="203"/>
      <c r="C116" s="203"/>
      <c r="D116" s="203"/>
      <c r="E116" s="203"/>
      <c r="F116" s="203" t="s">
        <v>304</v>
      </c>
      <c r="G116" s="203">
        <f t="shared" si="46"/>
        <v>0</v>
      </c>
    </row>
    <row r="117" spans="1:42" x14ac:dyDescent="0.2">
      <c r="A117" s="196">
        <f t="shared" si="40"/>
        <v>101</v>
      </c>
      <c r="B117" s="203"/>
      <c r="C117" s="203"/>
      <c r="D117" s="203"/>
      <c r="E117" s="203"/>
      <c r="F117" s="203" t="s">
        <v>305</v>
      </c>
      <c r="G117" s="203">
        <f t="shared" si="46"/>
        <v>0</v>
      </c>
    </row>
    <row r="118" spans="1:42" x14ac:dyDescent="0.2">
      <c r="A118" s="196"/>
      <c r="B118" s="203"/>
      <c r="C118" s="203"/>
      <c r="D118" s="203"/>
      <c r="E118" s="203"/>
      <c r="F118" s="203"/>
      <c r="G118" s="203">
        <f>SUM(G112:G117)</f>
        <v>193305.18999999997</v>
      </c>
    </row>
    <row r="119" spans="1:42" x14ac:dyDescent="0.2">
      <c r="A119" s="196">
        <f>A117+1</f>
        <v>102</v>
      </c>
      <c r="B119" s="203"/>
      <c r="C119" s="203"/>
      <c r="D119" s="203"/>
      <c r="E119" s="203"/>
      <c r="F119" s="203"/>
      <c r="G119" s="203">
        <f>SUM(G111:G117)</f>
        <v>2370924.19</v>
      </c>
    </row>
    <row r="120" spans="1:42" x14ac:dyDescent="0.2">
      <c r="A120" s="196">
        <f t="shared" si="40"/>
        <v>103</v>
      </c>
      <c r="B120" s="203"/>
      <c r="C120" s="203"/>
      <c r="D120" s="203"/>
      <c r="E120" s="203"/>
      <c r="F120" s="203"/>
    </row>
    <row r="121" spans="1:42" x14ac:dyDescent="0.2">
      <c r="A121" s="196">
        <f t="shared" si="40"/>
        <v>104</v>
      </c>
      <c r="B121" s="203"/>
      <c r="C121" s="203"/>
      <c r="D121" s="203"/>
      <c r="E121" s="203"/>
      <c r="F121" s="203"/>
      <c r="G121" s="286"/>
      <c r="O121" s="248"/>
      <c r="Q121">
        <v>674297</v>
      </c>
      <c r="R121">
        <v>674752</v>
      </c>
      <c r="S121">
        <v>679709</v>
      </c>
      <c r="T121">
        <v>683104</v>
      </c>
      <c r="U121">
        <v>685372</v>
      </c>
      <c r="V121">
        <v>688987</v>
      </c>
      <c r="W121">
        <v>691137</v>
      </c>
      <c r="X121">
        <v>690075</v>
      </c>
      <c r="Y121">
        <v>694885</v>
      </c>
      <c r="Z121">
        <v>695187</v>
      </c>
      <c r="AA121">
        <v>697202</v>
      </c>
      <c r="AB121">
        <v>698618</v>
      </c>
    </row>
    <row r="122" spans="1:42" x14ac:dyDescent="0.2">
      <c r="A122" s="196">
        <f t="shared" si="40"/>
        <v>105</v>
      </c>
      <c r="B122" s="203"/>
      <c r="C122" s="203"/>
      <c r="D122" s="203"/>
      <c r="E122" s="203"/>
      <c r="F122" s="203"/>
      <c r="G122" s="203"/>
      <c r="O122" s="248"/>
    </row>
    <row r="123" spans="1:42" x14ac:dyDescent="0.2">
      <c r="A123" s="196">
        <f t="shared" si="40"/>
        <v>106</v>
      </c>
      <c r="B123" s="203"/>
      <c r="C123" s="203"/>
      <c r="D123" s="203"/>
      <c r="E123" s="203"/>
      <c r="F123" s="203"/>
      <c r="G123" s="252"/>
      <c r="O123" s="248"/>
    </row>
    <row r="124" spans="1:42" x14ac:dyDescent="0.2">
      <c r="A124" s="196">
        <f t="shared" si="40"/>
        <v>107</v>
      </c>
      <c r="B124" s="203"/>
      <c r="C124" s="203"/>
      <c r="D124" s="203"/>
      <c r="F124" s="203"/>
      <c r="V124" s="285"/>
    </row>
    <row r="125" spans="1:42" x14ac:dyDescent="0.2">
      <c r="A125" s="196">
        <f t="shared" si="40"/>
        <v>108</v>
      </c>
      <c r="B125" s="203"/>
      <c r="C125" s="203" t="s">
        <v>321</v>
      </c>
      <c r="D125" s="203"/>
      <c r="J125" s="285"/>
      <c r="P125" s="203" t="s">
        <v>300</v>
      </c>
      <c r="Q125" s="324">
        <f>Q112/SUM(Q$106:Q$107)</f>
        <v>1.5080075990253555E-2</v>
      </c>
      <c r="R125" s="324">
        <f t="shared" ref="R125:AB125" si="60">R112/SUM(R$106:R$107)</f>
        <v>3.1469769633880304E-2</v>
      </c>
      <c r="S125" s="324">
        <f t="shared" si="60"/>
        <v>3.8272540160568712E-2</v>
      </c>
      <c r="T125" s="324">
        <f t="shared" si="60"/>
        <v>3.8660291844287251E-2</v>
      </c>
      <c r="U125" s="324">
        <f t="shared" si="60"/>
        <v>2.2546631610278797E-2</v>
      </c>
      <c r="V125" s="324">
        <f t="shared" si="60"/>
        <v>1.650466554521348E-2</v>
      </c>
      <c r="W125" s="324">
        <f t="shared" si="60"/>
        <v>3.6311903428697927E-3</v>
      </c>
      <c r="X125" s="324">
        <f t="shared" si="60"/>
        <v>2.1608042604064775E-2</v>
      </c>
      <c r="Y125" s="324">
        <f t="shared" si="60"/>
        <v>1.8460148082056742E-2</v>
      </c>
      <c r="Z125" s="324">
        <f t="shared" si="60"/>
        <v>2.3431019279704597E-2</v>
      </c>
      <c r="AA125" s="324">
        <f t="shared" si="60"/>
        <v>1.0122016287962455E-2</v>
      </c>
      <c r="AB125" s="324">
        <f t="shared" si="60"/>
        <v>9.5698221345570829E-3</v>
      </c>
    </row>
    <row r="126" spans="1:42" x14ac:dyDescent="0.2">
      <c r="A126" s="196">
        <f t="shared" si="40"/>
        <v>109</v>
      </c>
      <c r="B126" s="203"/>
      <c r="C126" s="203"/>
      <c r="D126" s="203"/>
      <c r="P126" s="203" t="s">
        <v>301</v>
      </c>
      <c r="Q126" s="324">
        <f>Q113/SUM(Q$106:Q$107)</f>
        <v>3.6351933940088712E-3</v>
      </c>
      <c r="R126" s="324">
        <f t="shared" ref="R126:AB126" si="61">R113/SUM(R$106:R$107)</f>
        <v>4.3666265531632359E-3</v>
      </c>
      <c r="S126" s="324">
        <f t="shared" si="61"/>
        <v>6.2715367900086647E-3</v>
      </c>
      <c r="T126" s="324">
        <f t="shared" si="61"/>
        <v>4.4216546821567431E-3</v>
      </c>
      <c r="U126" s="324">
        <f t="shared" si="61"/>
        <v>4.3716113293218867E-3</v>
      </c>
      <c r="V126" s="324">
        <f t="shared" si="61"/>
        <v>3.427510243299221E-3</v>
      </c>
      <c r="W126" s="324">
        <f t="shared" si="61"/>
        <v>4.6014755395818773E-3</v>
      </c>
      <c r="X126" s="324">
        <f t="shared" si="61"/>
        <v>5.3819947107198495E-3</v>
      </c>
      <c r="Y126" s="324">
        <f t="shared" si="61"/>
        <v>8.0281341516941652E-3</v>
      </c>
      <c r="Z126" s="324">
        <f t="shared" si="61"/>
        <v>8.0281852221057073E-3</v>
      </c>
      <c r="AA126" s="324">
        <f t="shared" si="61"/>
        <v>7.4783348297910793E-3</v>
      </c>
      <c r="AB126" s="324">
        <f t="shared" si="61"/>
        <v>7.1308783913383283E-3</v>
      </c>
      <c r="AG126">
        <v>-66</v>
      </c>
    </row>
    <row r="127" spans="1:42" x14ac:dyDescent="0.2">
      <c r="A127" s="196">
        <f t="shared" si="40"/>
        <v>110</v>
      </c>
      <c r="B127" s="203"/>
      <c r="J127" s="203" t="s">
        <v>291</v>
      </c>
      <c r="K127" s="203" t="s">
        <v>300</v>
      </c>
      <c r="L127" s="203" t="s">
        <v>301</v>
      </c>
      <c r="N127" s="203" t="s">
        <v>302</v>
      </c>
      <c r="O127" s="203" t="s">
        <v>303</v>
      </c>
      <c r="AG127">
        <v>46</v>
      </c>
    </row>
    <row r="128" spans="1:42" x14ac:dyDescent="0.2">
      <c r="A128" s="196">
        <f t="shared" si="40"/>
        <v>111</v>
      </c>
      <c r="B128" s="203" t="s">
        <v>322</v>
      </c>
      <c r="D128" t="s">
        <v>323</v>
      </c>
      <c r="E128" t="s">
        <v>323</v>
      </c>
      <c r="J128" t="s">
        <v>323</v>
      </c>
      <c r="P128" s="203" t="s">
        <v>302</v>
      </c>
      <c r="Q128" s="324">
        <f>Q114/SUM(Q$106:Q$107)</f>
        <v>-4.0884951290010192E-3</v>
      </c>
      <c r="R128" s="324">
        <f t="shared" ref="R128:AB128" si="62">R114/SUM(R$106:R$107)</f>
        <v>-8.6009378260457174E-3</v>
      </c>
      <c r="S128" s="324">
        <f t="shared" si="62"/>
        <v>-1.0556944221718411E-2</v>
      </c>
      <c r="T128" s="324">
        <f t="shared" si="62"/>
        <v>-7.6759614934182787E-3</v>
      </c>
      <c r="U128" s="324">
        <f t="shared" si="62"/>
        <v>-5.1792603141067916E-3</v>
      </c>
      <c r="V128" s="324">
        <f t="shared" si="62"/>
        <v>-3.3074063806719143E-3</v>
      </c>
      <c r="W128" s="324">
        <f t="shared" si="62"/>
        <v>-4.6304712379745261E-3</v>
      </c>
      <c r="X128" s="324">
        <f t="shared" si="62"/>
        <v>-8.6758685650110499E-3</v>
      </c>
      <c r="Y128" s="324">
        <f t="shared" si="62"/>
        <v>-9.6811990473243768E-3</v>
      </c>
      <c r="Z128" s="324">
        <f t="shared" si="62"/>
        <v>-9.1152452505584829E-3</v>
      </c>
      <c r="AA128" s="324">
        <f t="shared" si="62"/>
        <v>-4.8438185776862371E-3</v>
      </c>
      <c r="AB128" s="324">
        <f t="shared" si="62"/>
        <v>-4.7195463042750112E-3</v>
      </c>
    </row>
    <row r="129" spans="1:28" x14ac:dyDescent="0.2">
      <c r="A129" s="196">
        <f t="shared" si="40"/>
        <v>112</v>
      </c>
      <c r="D129">
        <v>-966</v>
      </c>
      <c r="E129">
        <v>-217.34999999999991</v>
      </c>
      <c r="J129">
        <v>-217.34999999999991</v>
      </c>
      <c r="K129">
        <v>-8.2199999999999989</v>
      </c>
      <c r="L129">
        <v>-6.0699999999999994</v>
      </c>
      <c r="N129">
        <v>5.5200000000000005</v>
      </c>
      <c r="O129">
        <v>-2.5299999999999998</v>
      </c>
    </row>
    <row r="130" spans="1:28" x14ac:dyDescent="0.2">
      <c r="A130" s="196">
        <f t="shared" si="40"/>
        <v>113</v>
      </c>
      <c r="D130">
        <v>42</v>
      </c>
      <c r="E130" s="287">
        <v>9.4499999999999993</v>
      </c>
      <c r="F130" s="254"/>
      <c r="P130" s="203" t="s">
        <v>303</v>
      </c>
      <c r="Q130" s="324">
        <f>Q115/SUM(Q$106:Q$107)</f>
        <v>5.2447660303990675E-3</v>
      </c>
      <c r="R130" s="324">
        <f t="shared" ref="R130:AB130" si="63">R115/SUM(R$106:R$107)</f>
        <v>7.484409086597742E-3</v>
      </c>
      <c r="S130" s="324">
        <f t="shared" si="63"/>
        <v>7.1301100912302172E-3</v>
      </c>
      <c r="T130" s="324">
        <f t="shared" si="63"/>
        <v>6.5820870614137815E-3</v>
      </c>
      <c r="U130" s="324">
        <f t="shared" si="63"/>
        <v>2.327028241597264E-3</v>
      </c>
      <c r="V130" s="324">
        <f t="shared" si="63"/>
        <v>1.8940850843339569E-3</v>
      </c>
      <c r="W130" s="324">
        <f t="shared" si="63"/>
        <v>2.0861999863992231E-3</v>
      </c>
      <c r="X130" s="324">
        <f t="shared" si="63"/>
        <v>2.9738506684056079E-3</v>
      </c>
      <c r="Y130" s="324">
        <f t="shared" si="63"/>
        <v>3.0451801377206302E-3</v>
      </c>
      <c r="Z130" s="324">
        <f t="shared" si="63"/>
        <v>3.4273799711444547E-3</v>
      </c>
      <c r="AA130" s="324">
        <f t="shared" si="63"/>
        <v>1.8867989477941831E-3</v>
      </c>
      <c r="AB130" s="324">
        <f t="shared" si="63"/>
        <v>2.4087985136369231E-3</v>
      </c>
    </row>
    <row r="131" spans="1:28" x14ac:dyDescent="0.2">
      <c r="A131" s="196">
        <f t="shared" si="40"/>
        <v>114</v>
      </c>
      <c r="D131" s="292">
        <v>-23</v>
      </c>
      <c r="E131">
        <v>-22.999999999999993</v>
      </c>
      <c r="F131" s="254"/>
    </row>
    <row r="132" spans="1:28" x14ac:dyDescent="0.2">
      <c r="A132" s="196">
        <f t="shared" si="40"/>
        <v>115</v>
      </c>
      <c r="D132" t="s">
        <v>324</v>
      </c>
      <c r="E132" t="s">
        <v>324</v>
      </c>
      <c r="F132" s="254"/>
    </row>
    <row r="133" spans="1:28" x14ac:dyDescent="0.2">
      <c r="A133" s="196">
        <f t="shared" si="40"/>
        <v>116</v>
      </c>
      <c r="D133">
        <v>-84</v>
      </c>
      <c r="E133">
        <v>-18.899999999999999</v>
      </c>
      <c r="F133" s="254"/>
      <c r="J133">
        <v>-18.899999999999999</v>
      </c>
      <c r="K133">
        <v>-1.94</v>
      </c>
      <c r="L133">
        <v>-0.33999999999999997</v>
      </c>
      <c r="N133">
        <v>0.53</v>
      </c>
      <c r="O133" s="267">
        <v>-0.53</v>
      </c>
    </row>
    <row r="134" spans="1:28" x14ac:dyDescent="0.2">
      <c r="D134">
        <v>42</v>
      </c>
      <c r="E134">
        <v>9.4499999999999993</v>
      </c>
      <c r="F134" s="254"/>
      <c r="W134" s="267"/>
    </row>
    <row r="135" spans="1:28" x14ac:dyDescent="0.2">
      <c r="D135" s="292">
        <v>-2</v>
      </c>
      <c r="E135">
        <v>-2</v>
      </c>
      <c r="F135" s="254"/>
      <c r="G135" s="288"/>
      <c r="W135" s="267"/>
    </row>
    <row r="136" spans="1:28" x14ac:dyDescent="0.2">
      <c r="D136">
        <v>-25</v>
      </c>
      <c r="E136" s="289"/>
      <c r="F136" s="254"/>
      <c r="W136" s="267"/>
    </row>
    <row r="137" spans="1:28" x14ac:dyDescent="0.2">
      <c r="B137" t="s">
        <v>306</v>
      </c>
      <c r="D137">
        <f>D129+D133</f>
        <v>-1050</v>
      </c>
      <c r="F137" s="254"/>
      <c r="W137" s="267"/>
    </row>
    <row r="138" spans="1:28" x14ac:dyDescent="0.2">
      <c r="F138" s="254"/>
    </row>
    <row r="139" spans="1:28" x14ac:dyDescent="0.2">
      <c r="D139" t="s">
        <v>324</v>
      </c>
      <c r="F139" s="254"/>
      <c r="W139" s="275"/>
    </row>
    <row r="140" spans="1:28" x14ac:dyDescent="0.2">
      <c r="B140" t="s">
        <v>325</v>
      </c>
      <c r="D140">
        <v>-404</v>
      </c>
      <c r="F140" s="254"/>
      <c r="J140">
        <v>-64.599999999999994</v>
      </c>
      <c r="K140">
        <v>-6.06</v>
      </c>
      <c r="L140">
        <v>-1.45</v>
      </c>
      <c r="N140">
        <v>1.62</v>
      </c>
      <c r="O140">
        <v>-2.14</v>
      </c>
    </row>
    <row r="141" spans="1:28" x14ac:dyDescent="0.2">
      <c r="E141">
        <v>-404</v>
      </c>
      <c r="F141" s="254"/>
    </row>
    <row r="142" spans="1:28" x14ac:dyDescent="0.2">
      <c r="B142" t="s">
        <v>310</v>
      </c>
      <c r="E142">
        <v>21</v>
      </c>
      <c r="F142" s="254">
        <v>-1</v>
      </c>
      <c r="G142">
        <v>-21</v>
      </c>
      <c r="J142">
        <v>8.56</v>
      </c>
      <c r="K142">
        <v>-1</v>
      </c>
      <c r="L142">
        <v>-8.56</v>
      </c>
    </row>
    <row r="143" spans="1:28" x14ac:dyDescent="0.2">
      <c r="B143" t="s">
        <v>326</v>
      </c>
      <c r="E143">
        <v>70</v>
      </c>
      <c r="F143" s="254">
        <v>-6</v>
      </c>
      <c r="G143">
        <v>-420</v>
      </c>
      <c r="J143">
        <v>11.15</v>
      </c>
      <c r="K143">
        <v>-6</v>
      </c>
      <c r="L143">
        <v>-66.900000000000006</v>
      </c>
    </row>
    <row r="144" spans="1:28" x14ac:dyDescent="0.2">
      <c r="B144" t="s">
        <v>327</v>
      </c>
      <c r="E144">
        <v>37</v>
      </c>
      <c r="F144" s="254">
        <v>1</v>
      </c>
      <c r="G144">
        <v>37</v>
      </c>
      <c r="J144">
        <v>10.86</v>
      </c>
      <c r="K144">
        <v>1</v>
      </c>
      <c r="L144">
        <v>10.86</v>
      </c>
    </row>
    <row r="145" spans="2:15" x14ac:dyDescent="0.2">
      <c r="F145" s="254"/>
      <c r="G145">
        <v>-404</v>
      </c>
      <c r="L145">
        <v>-64.600000000000009</v>
      </c>
    </row>
    <row r="146" spans="2:15" x14ac:dyDescent="0.2">
      <c r="H146" s="292">
        <f>D137+D140</f>
        <v>-1454</v>
      </c>
      <c r="J146" s="292">
        <v>-300.84999999999991</v>
      </c>
      <c r="K146" s="292">
        <v>-16.220000000000002</v>
      </c>
      <c r="L146" s="292">
        <v>-7.8600000000000012</v>
      </c>
      <c r="M146" s="292">
        <v>0</v>
      </c>
      <c r="N146" s="292">
        <v>7.6700000000000008</v>
      </c>
      <c r="O146" s="292">
        <v>-5.2000000000000011</v>
      </c>
    </row>
    <row r="147" spans="2:15" x14ac:dyDescent="0.2">
      <c r="B147" s="203"/>
      <c r="C147" s="203" t="s">
        <v>328</v>
      </c>
      <c r="D147" s="203"/>
      <c r="K147" s="285"/>
    </row>
    <row r="148" spans="2:15" x14ac:dyDescent="0.2">
      <c r="B148" s="325"/>
      <c r="C148" s="325"/>
      <c r="D148" s="325"/>
      <c r="E148" s="325"/>
      <c r="F148" s="325"/>
      <c r="G148" s="325"/>
      <c r="H148" s="325"/>
      <c r="J148" s="325"/>
      <c r="K148" s="325"/>
      <c r="L148" s="325"/>
      <c r="N148" s="325"/>
      <c r="O148" s="325"/>
    </row>
    <row r="149" spans="2:15" x14ac:dyDescent="0.2">
      <c r="B149" s="325"/>
      <c r="C149" s="325"/>
      <c r="D149" s="325"/>
      <c r="E149" s="326"/>
      <c r="F149" s="325"/>
      <c r="G149" s="325"/>
      <c r="H149" s="325"/>
      <c r="J149" s="325" t="s">
        <v>291</v>
      </c>
      <c r="K149" s="325" t="s">
        <v>300</v>
      </c>
      <c r="L149" s="325" t="s">
        <v>301</v>
      </c>
      <c r="N149" s="325" t="s">
        <v>302</v>
      </c>
      <c r="O149" s="325" t="s">
        <v>303</v>
      </c>
    </row>
    <row r="150" spans="2:15" x14ac:dyDescent="0.2">
      <c r="B150" s="325" t="s">
        <v>329</v>
      </c>
      <c r="C150" s="325">
        <v>70</v>
      </c>
      <c r="D150" s="325">
        <v>-3710</v>
      </c>
      <c r="E150" s="325">
        <v>-53</v>
      </c>
      <c r="F150" s="325">
        <v>11.28</v>
      </c>
      <c r="G150" s="325">
        <v>-597.83999999999924</v>
      </c>
      <c r="H150" s="325"/>
      <c r="J150" s="325">
        <f>E150*F150</f>
        <v>-597.83999999999992</v>
      </c>
      <c r="K150" s="325">
        <v>-14.31</v>
      </c>
      <c r="L150" s="325">
        <v>-23.19</v>
      </c>
      <c r="N150" s="325">
        <v>17.88</v>
      </c>
      <c r="O150" s="325">
        <v>-8.41</v>
      </c>
    </row>
    <row r="151" spans="2:15" x14ac:dyDescent="0.2">
      <c r="B151" s="325">
        <v>2023</v>
      </c>
      <c r="C151" s="325">
        <v>70</v>
      </c>
      <c r="D151" s="325">
        <v>-140</v>
      </c>
      <c r="E151" s="325">
        <v>-2</v>
      </c>
      <c r="F151" s="325">
        <v>11.28</v>
      </c>
      <c r="G151" s="325">
        <v>-22.56</v>
      </c>
      <c r="H151" s="325" t="s">
        <v>308</v>
      </c>
      <c r="J151" s="325">
        <f>E151*F151</f>
        <v>-22.56</v>
      </c>
      <c r="K151" s="325">
        <v>-4.38</v>
      </c>
      <c r="L151" s="325">
        <v>-0.62</v>
      </c>
      <c r="N151" s="325">
        <v>1.2</v>
      </c>
      <c r="O151" s="325">
        <v>-1.04</v>
      </c>
    </row>
    <row r="152" spans="2:15" x14ac:dyDescent="0.2">
      <c r="B152" s="325"/>
      <c r="C152" s="325"/>
      <c r="D152" s="325">
        <v>-3850</v>
      </c>
      <c r="E152" s="325"/>
      <c r="F152" s="325"/>
      <c r="G152" s="325">
        <v>-620.39999999999918</v>
      </c>
      <c r="H152" s="325"/>
      <c r="J152" s="325">
        <v>-620.39999999999918</v>
      </c>
      <c r="K152" s="325">
        <f>K150+K151</f>
        <v>-18.690000000000001</v>
      </c>
      <c r="L152" s="325">
        <f>L150+L151</f>
        <v>-23.810000000000002</v>
      </c>
      <c r="N152" s="325">
        <f>N150+N151</f>
        <v>19.079999999999998</v>
      </c>
      <c r="O152" s="325">
        <f>O150+O151</f>
        <v>-9.4499999999999993</v>
      </c>
    </row>
    <row r="153" spans="2:15" x14ac:dyDescent="0.2">
      <c r="B153" s="203"/>
    </row>
    <row r="154" spans="2:15" x14ac:dyDescent="0.2">
      <c r="B154" s="203" t="s">
        <v>330</v>
      </c>
      <c r="C154">
        <v>70</v>
      </c>
      <c r="D154">
        <v>-2940</v>
      </c>
      <c r="E154">
        <v>-42</v>
      </c>
      <c r="F154">
        <v>11.28</v>
      </c>
      <c r="H154" s="203" t="s">
        <v>331</v>
      </c>
      <c r="J154">
        <v>-485.03999999999945</v>
      </c>
      <c r="K154">
        <v>-0.11999999999999994</v>
      </c>
      <c r="L154">
        <v>-19.05</v>
      </c>
      <c r="N154">
        <v>13.09</v>
      </c>
      <c r="O154">
        <v>-6.0399999999999991</v>
      </c>
    </row>
    <row r="155" spans="2:15" x14ac:dyDescent="0.2">
      <c r="B155">
        <v>2023</v>
      </c>
      <c r="C155">
        <v>70</v>
      </c>
      <c r="D155">
        <v>-840</v>
      </c>
      <c r="E155">
        <v>-12</v>
      </c>
      <c r="F155" s="254">
        <v>11.28</v>
      </c>
      <c r="J155">
        <v>-135.35999999999999</v>
      </c>
      <c r="K155">
        <v>-18.57</v>
      </c>
      <c r="L155">
        <v>-4.76</v>
      </c>
      <c r="N155">
        <v>5.99</v>
      </c>
      <c r="O155">
        <v>-3.41</v>
      </c>
    </row>
    <row r="156" spans="2:15" x14ac:dyDescent="0.2">
      <c r="D156" s="292">
        <v>-3780</v>
      </c>
      <c r="E156">
        <v>-54</v>
      </c>
      <c r="F156" s="254"/>
      <c r="J156" s="292">
        <v>-620.39999999999941</v>
      </c>
      <c r="K156" s="292">
        <v>-18.690000000000001</v>
      </c>
      <c r="L156" s="292">
        <v>-23.810000000000002</v>
      </c>
      <c r="M156" s="292"/>
      <c r="N156" s="292">
        <v>19.079999999999998</v>
      </c>
      <c r="O156" s="292">
        <v>-9.4499999999999993</v>
      </c>
    </row>
    <row r="157" spans="2:15" x14ac:dyDescent="0.2">
      <c r="C157">
        <v>70</v>
      </c>
      <c r="D157">
        <v>-70</v>
      </c>
      <c r="E157">
        <v>-1</v>
      </c>
      <c r="F157" s="254"/>
    </row>
    <row r="158" spans="2:15" x14ac:dyDescent="0.2">
      <c r="D158">
        <f>D156+D157</f>
        <v>-3850</v>
      </c>
      <c r="E158">
        <v>-55</v>
      </c>
      <c r="F158" s="254"/>
    </row>
    <row r="159" spans="2:15" x14ac:dyDescent="0.2">
      <c r="F159" s="254"/>
    </row>
    <row r="160" spans="2:15" x14ac:dyDescent="0.2">
      <c r="F160" s="254"/>
    </row>
    <row r="161" spans="2:15" x14ac:dyDescent="0.2">
      <c r="B161" s="203" t="s">
        <v>332</v>
      </c>
      <c r="F161" s="254"/>
    </row>
    <row r="162" spans="2:15" x14ac:dyDescent="0.2">
      <c r="F162" s="254"/>
    </row>
    <row r="163" spans="2:15" x14ac:dyDescent="0.2">
      <c r="D163">
        <v>-82.08</v>
      </c>
      <c r="F163" s="254"/>
      <c r="G163">
        <v>-434</v>
      </c>
      <c r="H163" t="s">
        <v>284</v>
      </c>
    </row>
    <row r="164" spans="2:15" x14ac:dyDescent="0.2">
      <c r="B164">
        <v>-5</v>
      </c>
      <c r="C164">
        <v>11.28</v>
      </c>
      <c r="D164">
        <v>-56.4</v>
      </c>
      <c r="E164">
        <v>70</v>
      </c>
      <c r="G164">
        <v>-350</v>
      </c>
    </row>
    <row r="165" spans="2:15" x14ac:dyDescent="0.2">
      <c r="B165">
        <v>-3</v>
      </c>
      <c r="C165">
        <v>8.56</v>
      </c>
      <c r="D165">
        <v>-25.68</v>
      </c>
      <c r="E165">
        <v>21</v>
      </c>
      <c r="G165">
        <v>-63</v>
      </c>
    </row>
    <row r="166" spans="2:15" x14ac:dyDescent="0.2">
      <c r="D166">
        <v>-82.08</v>
      </c>
      <c r="G166">
        <v>-413</v>
      </c>
      <c r="H166" t="s">
        <v>333</v>
      </c>
      <c r="J166">
        <v>-82.08</v>
      </c>
      <c r="K166">
        <v>-15.830000000000002</v>
      </c>
      <c r="L166">
        <v>-2.46</v>
      </c>
      <c r="M166">
        <v>0</v>
      </c>
      <c r="N166">
        <v>4.16</v>
      </c>
      <c r="O166">
        <v>-2.9099999999999997</v>
      </c>
    </row>
    <row r="167" spans="2:15" x14ac:dyDescent="0.2">
      <c r="H167" t="s">
        <v>334</v>
      </c>
    </row>
    <row r="169" spans="2:15" x14ac:dyDescent="0.2">
      <c r="D169">
        <v>-64.959999999999994</v>
      </c>
      <c r="G169">
        <v>-350</v>
      </c>
      <c r="H169" t="s">
        <v>284</v>
      </c>
    </row>
    <row r="170" spans="2:15" x14ac:dyDescent="0.2">
      <c r="B170">
        <v>-5</v>
      </c>
      <c r="C170">
        <v>11.28</v>
      </c>
      <c r="D170">
        <v>-56.4</v>
      </c>
      <c r="E170">
        <v>70</v>
      </c>
      <c r="G170">
        <v>-350</v>
      </c>
    </row>
    <row r="171" spans="2:15" x14ac:dyDescent="0.2">
      <c r="B171">
        <v>-1</v>
      </c>
      <c r="C171">
        <v>8.56</v>
      </c>
      <c r="D171">
        <v>-8.56</v>
      </c>
      <c r="E171">
        <v>21</v>
      </c>
      <c r="G171">
        <v>-21</v>
      </c>
    </row>
    <row r="172" spans="2:15" x14ac:dyDescent="0.2">
      <c r="D172">
        <v>-64.959999999999994</v>
      </c>
      <c r="G172">
        <v>-371</v>
      </c>
      <c r="H172" t="s">
        <v>335</v>
      </c>
      <c r="J172">
        <v>-64.959999999999994</v>
      </c>
      <c r="K172">
        <v>-6.59</v>
      </c>
      <c r="L172">
        <v>-1.9000000000000001</v>
      </c>
      <c r="M172">
        <v>0</v>
      </c>
      <c r="N172">
        <v>2.3600000000000003</v>
      </c>
      <c r="O172">
        <v>-1.01</v>
      </c>
    </row>
    <row r="173" spans="2:15" x14ac:dyDescent="0.2">
      <c r="H173" t="s">
        <v>336</v>
      </c>
      <c r="J173" s="292">
        <f>J166+J172</f>
        <v>-147.04</v>
      </c>
      <c r="K173" s="292">
        <f t="shared" ref="K173:O173" si="64">K166+K172</f>
        <v>-22.42</v>
      </c>
      <c r="L173" s="292">
        <f t="shared" si="64"/>
        <v>-4.3600000000000003</v>
      </c>
      <c r="M173" s="292">
        <f t="shared" si="64"/>
        <v>0</v>
      </c>
      <c r="N173" s="292">
        <f t="shared" si="64"/>
        <v>6.5200000000000005</v>
      </c>
      <c r="O173" s="292">
        <f t="shared" si="64"/>
        <v>-3.92</v>
      </c>
    </row>
    <row r="174" spans="2:15" x14ac:dyDescent="0.2">
      <c r="D174" s="198"/>
      <c r="E174" s="254"/>
      <c r="G174" s="292">
        <f>G166+G172</f>
        <v>-784</v>
      </c>
    </row>
    <row r="175" spans="2:15" x14ac:dyDescent="0.2">
      <c r="F175" s="254"/>
    </row>
    <row r="176" spans="2:15" x14ac:dyDescent="0.2">
      <c r="F176" s="254"/>
    </row>
    <row r="177" spans="2:15" x14ac:dyDescent="0.2">
      <c r="B177" s="203" t="s">
        <v>337</v>
      </c>
      <c r="C177" s="203"/>
      <c r="I177" s="285"/>
    </row>
    <row r="178" spans="2:15" x14ac:dyDescent="0.2">
      <c r="B178" s="203"/>
      <c r="C178" s="203"/>
    </row>
    <row r="179" spans="2:15" x14ac:dyDescent="0.2">
      <c r="D179" s="252"/>
      <c r="F179">
        <v>-45.52</v>
      </c>
    </row>
    <row r="180" spans="2:15" x14ac:dyDescent="0.2">
      <c r="C180" t="s">
        <v>313</v>
      </c>
      <c r="D180">
        <v>-1</v>
      </c>
      <c r="E180">
        <v>11.28</v>
      </c>
      <c r="F180">
        <v>-11.28</v>
      </c>
      <c r="G180">
        <v>70</v>
      </c>
      <c r="H180" t="s">
        <v>284</v>
      </c>
      <c r="I180">
        <v>-70</v>
      </c>
    </row>
    <row r="181" spans="2:15" x14ac:dyDescent="0.2">
      <c r="C181" t="s">
        <v>338</v>
      </c>
      <c r="D181">
        <v>-4</v>
      </c>
      <c r="E181">
        <v>8.56</v>
      </c>
      <c r="F181">
        <v>-34.24</v>
      </c>
      <c r="G181">
        <v>21</v>
      </c>
      <c r="H181" t="s">
        <v>284</v>
      </c>
      <c r="I181">
        <v>-84</v>
      </c>
    </row>
    <row r="182" spans="2:15" x14ac:dyDescent="0.2">
      <c r="F182">
        <v>-45.52</v>
      </c>
      <c r="H182" t="s">
        <v>284</v>
      </c>
      <c r="I182">
        <v>-154</v>
      </c>
    </row>
    <row r="185" spans="2:15" x14ac:dyDescent="0.2">
      <c r="F185" s="254">
        <v>-45.12</v>
      </c>
      <c r="J185">
        <v>-90.64</v>
      </c>
      <c r="K185">
        <v>-15.26</v>
      </c>
      <c r="L185">
        <v>-1.9</v>
      </c>
      <c r="M185">
        <v>0</v>
      </c>
      <c r="N185">
        <v>3.14</v>
      </c>
      <c r="O185">
        <v>-2.5700000000000003</v>
      </c>
    </row>
    <row r="186" spans="2:15" x14ac:dyDescent="0.2">
      <c r="C186" t="s">
        <v>313</v>
      </c>
      <c r="D186">
        <v>-4</v>
      </c>
      <c r="E186">
        <v>11.28</v>
      </c>
      <c r="F186" s="254">
        <v>-45.12</v>
      </c>
      <c r="G186">
        <v>70</v>
      </c>
      <c r="I186">
        <v>-280</v>
      </c>
    </row>
    <row r="187" spans="2:15" x14ac:dyDescent="0.2">
      <c r="F187" s="254"/>
      <c r="I187" s="292">
        <f>I186+I182</f>
        <v>-434</v>
      </c>
    </row>
    <row r="188" spans="2:15" x14ac:dyDescent="0.2">
      <c r="F188" s="254"/>
    </row>
    <row r="189" spans="2:15" x14ac:dyDescent="0.2">
      <c r="B189" s="203" t="s">
        <v>339</v>
      </c>
      <c r="F189" s="254"/>
    </row>
    <row r="190" spans="2:15" x14ac:dyDescent="0.2">
      <c r="F190" s="254"/>
    </row>
    <row r="191" spans="2:15" x14ac:dyDescent="0.2">
      <c r="B191" s="203" t="s">
        <v>340</v>
      </c>
      <c r="D191" s="327"/>
      <c r="F191" s="254"/>
    </row>
    <row r="192" spans="2:15" x14ac:dyDescent="0.2">
      <c r="F192" s="254"/>
    </row>
    <row r="193" spans="2:15" x14ac:dyDescent="0.2">
      <c r="F193" s="254"/>
    </row>
    <row r="194" spans="2:15" x14ac:dyDescent="0.2">
      <c r="F194" s="254"/>
    </row>
    <row r="195" spans="2:15" x14ac:dyDescent="0.2">
      <c r="B195" s="203" t="s">
        <v>312</v>
      </c>
      <c r="F195" s="254"/>
    </row>
    <row r="196" spans="2:15" x14ac:dyDescent="0.2">
      <c r="F196" s="254"/>
    </row>
    <row r="197" spans="2:15" x14ac:dyDescent="0.2">
      <c r="F197" s="254"/>
    </row>
    <row r="198" spans="2:15" x14ac:dyDescent="0.2">
      <c r="E198">
        <v>-11.28</v>
      </c>
      <c r="F198" s="254"/>
      <c r="J198" s="203" t="s">
        <v>291</v>
      </c>
      <c r="K198" s="203" t="s">
        <v>300</v>
      </c>
      <c r="L198" s="203" t="s">
        <v>301</v>
      </c>
      <c r="M198" s="203" t="s">
        <v>302</v>
      </c>
      <c r="N198" s="203" t="s">
        <v>303</v>
      </c>
    </row>
    <row r="199" spans="2:15" x14ac:dyDescent="0.2">
      <c r="B199" t="s">
        <v>308</v>
      </c>
      <c r="C199">
        <v>11.28</v>
      </c>
      <c r="D199">
        <v>-1</v>
      </c>
      <c r="F199" s="254">
        <v>70</v>
      </c>
      <c r="G199" s="292">
        <v>-70</v>
      </c>
      <c r="H199" t="s">
        <v>284</v>
      </c>
    </row>
    <row r="200" spans="2:15" x14ac:dyDescent="0.2">
      <c r="F200" s="254"/>
    </row>
    <row r="201" spans="2:15" x14ac:dyDescent="0.2">
      <c r="F201" s="254"/>
      <c r="J201">
        <v>-11.28</v>
      </c>
      <c r="K201">
        <v>-1.1499999999999999</v>
      </c>
      <c r="L201">
        <v>-0.24</v>
      </c>
      <c r="M201">
        <v>0</v>
      </c>
      <c r="N201">
        <v>0.23</v>
      </c>
      <c r="O201">
        <v>-0.13</v>
      </c>
    </row>
    <row r="202" spans="2:15" x14ac:dyDescent="0.2">
      <c r="F202" s="254"/>
    </row>
    <row r="203" spans="2:15" x14ac:dyDescent="0.2">
      <c r="F203" s="254"/>
    </row>
    <row r="204" spans="2:15" x14ac:dyDescent="0.2">
      <c r="B204" s="203" t="s">
        <v>311</v>
      </c>
      <c r="F204" s="254"/>
    </row>
    <row r="205" spans="2:15" x14ac:dyDescent="0.2">
      <c r="F205" s="254"/>
    </row>
    <row r="206" spans="2:15" x14ac:dyDescent="0.2">
      <c r="B206" s="203" t="s">
        <v>340</v>
      </c>
      <c r="F206" s="254"/>
    </row>
    <row r="207" spans="2:15" x14ac:dyDescent="0.2">
      <c r="F207" s="254"/>
    </row>
    <row r="208" spans="2:15" x14ac:dyDescent="0.2">
      <c r="F208" s="254"/>
    </row>
    <row r="209" spans="2:15" x14ac:dyDescent="0.2">
      <c r="F209" s="254"/>
    </row>
    <row r="210" spans="2:15" x14ac:dyDescent="0.2">
      <c r="B210" s="203" t="s">
        <v>309</v>
      </c>
      <c r="F210" s="254"/>
    </row>
    <row r="211" spans="2:15" x14ac:dyDescent="0.2">
      <c r="F211" s="254"/>
      <c r="J211">
        <v>-313.11999999999983</v>
      </c>
      <c r="K211">
        <v>-5.0299999999999994</v>
      </c>
      <c r="L211">
        <v>-11.860000000000003</v>
      </c>
      <c r="M211">
        <v>0</v>
      </c>
      <c r="N211">
        <v>9.4300000000000015</v>
      </c>
      <c r="O211">
        <v>-4.3300000000000018</v>
      </c>
    </row>
    <row r="212" spans="2:15" x14ac:dyDescent="0.2">
      <c r="E212">
        <v>-313.11999999999983</v>
      </c>
      <c r="F212" s="254"/>
    </row>
    <row r="213" spans="2:15" x14ac:dyDescent="0.2">
      <c r="B213" t="s">
        <v>341</v>
      </c>
      <c r="D213">
        <v>1</v>
      </c>
      <c r="E213">
        <v>-8.56</v>
      </c>
      <c r="F213" s="254">
        <v>-21</v>
      </c>
      <c r="G213">
        <v>-21</v>
      </c>
    </row>
    <row r="214" spans="2:15" x14ac:dyDescent="0.2">
      <c r="E214">
        <v>-304.55999999999989</v>
      </c>
      <c r="F214" s="254"/>
    </row>
    <row r="215" spans="2:15" x14ac:dyDescent="0.2">
      <c r="E215">
        <v>11.28</v>
      </c>
      <c r="F215" s="254"/>
    </row>
    <row r="216" spans="2:15" x14ac:dyDescent="0.2">
      <c r="C216" t="s">
        <v>342</v>
      </c>
      <c r="E216">
        <v>-26.999999999999993</v>
      </c>
      <c r="F216" s="254">
        <v>-70</v>
      </c>
      <c r="G216">
        <v>-1889.9999999999995</v>
      </c>
    </row>
    <row r="217" spans="2:15" x14ac:dyDescent="0.2">
      <c r="F217" s="254"/>
      <c r="G217" s="292">
        <v>-1910.9999999999995</v>
      </c>
      <c r="H217" t="s">
        <v>284</v>
      </c>
    </row>
    <row r="218" spans="2:15" x14ac:dyDescent="0.2">
      <c r="F218" s="254"/>
    </row>
    <row r="219" spans="2:15" x14ac:dyDescent="0.2">
      <c r="F219" s="254"/>
    </row>
    <row r="220" spans="2:15" x14ac:dyDescent="0.2">
      <c r="B220" s="203" t="s">
        <v>343</v>
      </c>
      <c r="F220" s="254"/>
    </row>
    <row r="221" spans="2:15" x14ac:dyDescent="0.2">
      <c r="F221" s="254"/>
      <c r="J221">
        <v>-17.12</v>
      </c>
      <c r="K221">
        <v>-0.78</v>
      </c>
      <c r="L221">
        <v>-0.34</v>
      </c>
      <c r="M221">
        <v>0</v>
      </c>
      <c r="N221">
        <v>0.4</v>
      </c>
      <c r="O221">
        <v>-0.12</v>
      </c>
    </row>
    <row r="222" spans="2:15" x14ac:dyDescent="0.2">
      <c r="B222" t="s">
        <v>344</v>
      </c>
      <c r="E222">
        <v>-17.12</v>
      </c>
      <c r="F222" s="254" t="s">
        <v>284</v>
      </c>
    </row>
    <row r="223" spans="2:15" x14ac:dyDescent="0.2">
      <c r="C223">
        <v>2</v>
      </c>
      <c r="D223">
        <v>-8.56</v>
      </c>
      <c r="E223">
        <v>-17.12</v>
      </c>
      <c r="F223" s="254">
        <v>-21</v>
      </c>
      <c r="G223">
        <v>2</v>
      </c>
      <c r="H223" s="292">
        <v>-42</v>
      </c>
    </row>
    <row r="224" spans="2:15" x14ac:dyDescent="0.2">
      <c r="F224" s="254"/>
    </row>
    <row r="225" spans="2:15" x14ac:dyDescent="0.2">
      <c r="F225" s="254"/>
    </row>
    <row r="226" spans="2:15" x14ac:dyDescent="0.2">
      <c r="B226" s="203" t="s">
        <v>133</v>
      </c>
      <c r="F226" s="254"/>
    </row>
    <row r="227" spans="2:15" x14ac:dyDescent="0.2">
      <c r="F227" s="254"/>
      <c r="J227">
        <v>-53.679999999999993</v>
      </c>
      <c r="K227">
        <v>-4.22</v>
      </c>
      <c r="L227">
        <v>-2.27</v>
      </c>
      <c r="M227">
        <v>0</v>
      </c>
      <c r="N227">
        <v>1.8399999999999999</v>
      </c>
      <c r="O227">
        <v>-0.74</v>
      </c>
    </row>
    <row r="228" spans="2:15" x14ac:dyDescent="0.2">
      <c r="B228" t="s">
        <v>345</v>
      </c>
      <c r="D228">
        <v>-22.56</v>
      </c>
      <c r="F228" s="254">
        <v>-140</v>
      </c>
      <c r="G228" t="s">
        <v>284</v>
      </c>
    </row>
    <row r="229" spans="2:15" x14ac:dyDescent="0.2">
      <c r="D229">
        <v>11.28</v>
      </c>
      <c r="F229" s="254">
        <v>70</v>
      </c>
    </row>
    <row r="230" spans="2:15" x14ac:dyDescent="0.2">
      <c r="D230">
        <v>-2</v>
      </c>
      <c r="F230" s="254">
        <v>-2</v>
      </c>
    </row>
    <row r="231" spans="2:15" x14ac:dyDescent="0.2">
      <c r="F231" s="254"/>
    </row>
    <row r="232" spans="2:15" x14ac:dyDescent="0.2">
      <c r="D232">
        <v>-31.119999999999997</v>
      </c>
      <c r="F232" s="252"/>
      <c r="H232" s="275"/>
    </row>
    <row r="233" spans="2:15" x14ac:dyDescent="0.2">
      <c r="B233" s="275"/>
      <c r="C233" s="270"/>
      <c r="F233" s="252"/>
      <c r="H233" s="275"/>
    </row>
    <row r="234" spans="2:15" x14ac:dyDescent="0.2">
      <c r="B234" t="s">
        <v>346</v>
      </c>
      <c r="D234">
        <v>-22.56</v>
      </c>
      <c r="F234" s="252">
        <v>-140</v>
      </c>
      <c r="H234" s="275"/>
    </row>
    <row r="235" spans="2:15" x14ac:dyDescent="0.2">
      <c r="D235">
        <v>11.28</v>
      </c>
      <c r="E235" s="290"/>
      <c r="F235">
        <v>70</v>
      </c>
    </row>
    <row r="236" spans="2:15" x14ac:dyDescent="0.2">
      <c r="D236">
        <v>-2</v>
      </c>
      <c r="F236">
        <v>-2</v>
      </c>
    </row>
    <row r="237" spans="2:15" x14ac:dyDescent="0.2">
      <c r="E237" s="290"/>
    </row>
    <row r="238" spans="2:15" x14ac:dyDescent="0.2">
      <c r="B238" t="s">
        <v>347</v>
      </c>
      <c r="D238">
        <v>-8.56</v>
      </c>
      <c r="F238">
        <v>-21</v>
      </c>
    </row>
    <row r="239" spans="2:15" x14ac:dyDescent="0.2">
      <c r="B239" t="s">
        <v>348</v>
      </c>
      <c r="D239">
        <v>8.56</v>
      </c>
      <c r="F239">
        <v>21</v>
      </c>
    </row>
    <row r="240" spans="2:15" x14ac:dyDescent="0.2">
      <c r="D240">
        <v>-1</v>
      </c>
      <c r="F240">
        <v>-1</v>
      </c>
    </row>
    <row r="242" spans="2:15" x14ac:dyDescent="0.2">
      <c r="G242" s="328">
        <f>F228+F234+F238</f>
        <v>-301</v>
      </c>
    </row>
    <row r="244" spans="2:15" x14ac:dyDescent="0.2">
      <c r="B244" s="203" t="s">
        <v>349</v>
      </c>
    </row>
    <row r="245" spans="2:15" x14ac:dyDescent="0.2">
      <c r="J245">
        <v>-11.28</v>
      </c>
      <c r="K245">
        <v>-0.71</v>
      </c>
      <c r="L245">
        <v>-0.52</v>
      </c>
      <c r="M245">
        <v>0</v>
      </c>
      <c r="N245">
        <v>0.34</v>
      </c>
      <c r="O245">
        <v>-0.13</v>
      </c>
    </row>
    <row r="247" spans="2:15" x14ac:dyDescent="0.2">
      <c r="B247" t="s">
        <v>308</v>
      </c>
      <c r="C247">
        <v>-11.28</v>
      </c>
      <c r="E247" s="292">
        <v>-70</v>
      </c>
      <c r="F247" t="s">
        <v>284</v>
      </c>
    </row>
    <row r="250" spans="2:15" x14ac:dyDescent="0.2">
      <c r="B250" s="203" t="s">
        <v>350</v>
      </c>
    </row>
    <row r="251" spans="2:15" x14ac:dyDescent="0.2">
      <c r="J251">
        <v>-283.05999999999995</v>
      </c>
      <c r="K251">
        <v>-2.2999999999999998</v>
      </c>
      <c r="L251">
        <v>-9.860000000000003</v>
      </c>
      <c r="M251">
        <v>0</v>
      </c>
      <c r="N251">
        <v>7.02</v>
      </c>
      <c r="O251">
        <v>-3.5999999999999996</v>
      </c>
    </row>
    <row r="253" spans="2:15" x14ac:dyDescent="0.2">
      <c r="E253">
        <v>-283.05999999999995</v>
      </c>
      <c r="F253" t="s">
        <v>284</v>
      </c>
      <c r="H253" t="s">
        <v>284</v>
      </c>
    </row>
    <row r="254" spans="2:15" x14ac:dyDescent="0.2">
      <c r="C254">
        <v>23</v>
      </c>
      <c r="D254">
        <v>-11.28</v>
      </c>
      <c r="E254">
        <v>-259.44</v>
      </c>
      <c r="F254">
        <v>-70</v>
      </c>
      <c r="G254">
        <v>23</v>
      </c>
      <c r="H254">
        <v>-1610</v>
      </c>
    </row>
    <row r="255" spans="2:15" x14ac:dyDescent="0.2">
      <c r="B255" t="s">
        <v>351</v>
      </c>
      <c r="C255">
        <v>1</v>
      </c>
      <c r="D255">
        <v>-15.06</v>
      </c>
      <c r="E255">
        <v>-15.06</v>
      </c>
      <c r="F255">
        <v>-101</v>
      </c>
      <c r="G255">
        <v>1</v>
      </c>
      <c r="H255">
        <v>-101</v>
      </c>
    </row>
    <row r="256" spans="2:15" x14ac:dyDescent="0.2">
      <c r="B256" t="s">
        <v>352</v>
      </c>
      <c r="C256">
        <v>1</v>
      </c>
      <c r="D256">
        <v>-8.56</v>
      </c>
      <c r="E256">
        <v>-8.56</v>
      </c>
      <c r="F256">
        <v>-21</v>
      </c>
      <c r="G256">
        <v>1</v>
      </c>
      <c r="H256">
        <v>-21</v>
      </c>
    </row>
    <row r="257" spans="2:16" x14ac:dyDescent="0.2">
      <c r="E257">
        <v>-283.06</v>
      </c>
      <c r="H257" s="292">
        <v>-1732</v>
      </c>
    </row>
    <row r="262" spans="2:16" x14ac:dyDescent="0.2">
      <c r="H262" s="203" t="s">
        <v>353</v>
      </c>
      <c r="I262" s="285">
        <f>H146+D156+G174+I187+G199+G217+H223+G242+E247+H257+D157</f>
        <v>-10648</v>
      </c>
      <c r="J262">
        <f>J146+J156+J173+J185+J201+J211+J221+J227+J245+J251</f>
        <v>-1848.4699999999991</v>
      </c>
      <c r="K262">
        <f t="shared" ref="K262:O262" si="65">K146+K156+K173+K185+K201+K211+K221+K227+K245+K251</f>
        <v>-86.78</v>
      </c>
      <c r="L262">
        <f t="shared" si="65"/>
        <v>-63.02000000000001</v>
      </c>
      <c r="M262">
        <f t="shared" si="65"/>
        <v>0</v>
      </c>
      <c r="N262">
        <f t="shared" si="65"/>
        <v>55.67</v>
      </c>
      <c r="O262">
        <f t="shared" si="65"/>
        <v>-30.189999999999998</v>
      </c>
    </row>
    <row r="263" spans="2:16" x14ac:dyDescent="0.2">
      <c r="K263">
        <f>K262+L262+N262+O262</f>
        <v>-124.32000000000001</v>
      </c>
    </row>
    <row r="268" spans="2:16" x14ac:dyDescent="0.2">
      <c r="E268" s="329">
        <v>44958</v>
      </c>
      <c r="F268" s="329">
        <v>44927</v>
      </c>
      <c r="G268" s="329">
        <v>44896</v>
      </c>
      <c r="H268" s="329">
        <v>44866</v>
      </c>
      <c r="I268" s="329">
        <v>44835</v>
      </c>
      <c r="J268" s="329">
        <v>44805</v>
      </c>
      <c r="K268" s="329">
        <v>44774</v>
      </c>
      <c r="L268" s="329">
        <v>44743</v>
      </c>
      <c r="M268" s="329">
        <v>44713</v>
      </c>
      <c r="N268" s="329">
        <v>44682</v>
      </c>
      <c r="O268" s="329">
        <v>44652</v>
      </c>
      <c r="P268" s="329">
        <v>44621</v>
      </c>
    </row>
    <row r="269" spans="2:16" x14ac:dyDescent="0.2">
      <c r="B269">
        <v>42</v>
      </c>
      <c r="C269">
        <f t="shared" ref="C269:C274" si="66">SUM(E269:P269)</f>
        <v>-25</v>
      </c>
      <c r="D269">
        <f>B269*C269</f>
        <v>-1050</v>
      </c>
      <c r="E269">
        <v>-25</v>
      </c>
    </row>
    <row r="270" spans="2:16" x14ac:dyDescent="0.2">
      <c r="B270">
        <v>21</v>
      </c>
      <c r="C270">
        <f t="shared" si="66"/>
        <v>-14</v>
      </c>
      <c r="D270">
        <f t="shared" ref="D270:D274" si="67">B270*C270</f>
        <v>-294</v>
      </c>
      <c r="E270">
        <v>-1</v>
      </c>
      <c r="G270">
        <v>-4</v>
      </c>
      <c r="H270">
        <v>-4</v>
      </c>
      <c r="L270">
        <v>-1</v>
      </c>
      <c r="M270">
        <v>-2</v>
      </c>
      <c r="N270">
        <v>-1</v>
      </c>
      <c r="P270">
        <v>-1</v>
      </c>
    </row>
    <row r="271" spans="2:16" x14ac:dyDescent="0.2">
      <c r="B271">
        <v>70</v>
      </c>
      <c r="C271">
        <f t="shared" si="66"/>
        <v>-6</v>
      </c>
      <c r="D271">
        <f t="shared" si="67"/>
        <v>-420</v>
      </c>
      <c r="E271">
        <v>-6</v>
      </c>
    </row>
    <row r="272" spans="2:16" x14ac:dyDescent="0.2">
      <c r="B272">
        <v>37</v>
      </c>
      <c r="C272">
        <f t="shared" si="66"/>
        <v>1</v>
      </c>
      <c r="D272">
        <f t="shared" si="67"/>
        <v>37</v>
      </c>
      <c r="E272">
        <v>1</v>
      </c>
    </row>
    <row r="273" spans="2:17" x14ac:dyDescent="0.2">
      <c r="B273">
        <v>70</v>
      </c>
      <c r="C273">
        <f t="shared" si="66"/>
        <v>-126</v>
      </c>
      <c r="D273">
        <f t="shared" si="67"/>
        <v>-8820</v>
      </c>
      <c r="F273">
        <v>-55</v>
      </c>
      <c r="G273">
        <v>-10</v>
      </c>
      <c r="H273">
        <v>-5</v>
      </c>
      <c r="J273">
        <v>-1</v>
      </c>
      <c r="L273">
        <v>-27</v>
      </c>
      <c r="N273">
        <v>-4</v>
      </c>
      <c r="O273">
        <v>-1</v>
      </c>
      <c r="P273">
        <v>-23</v>
      </c>
    </row>
    <row r="274" spans="2:17" x14ac:dyDescent="0.2">
      <c r="B274">
        <v>101</v>
      </c>
      <c r="C274">
        <f t="shared" si="66"/>
        <v>-1</v>
      </c>
      <c r="D274">
        <f t="shared" si="67"/>
        <v>-101</v>
      </c>
      <c r="P274">
        <v>-1</v>
      </c>
    </row>
    <row r="275" spans="2:17" x14ac:dyDescent="0.2">
      <c r="C275">
        <f>SUM(C269:C274)</f>
        <v>-171</v>
      </c>
      <c r="D275">
        <f>SUM(D269:D274)</f>
        <v>-10648</v>
      </c>
      <c r="E275">
        <f>E269*B269+E270*B270+E271*B271+E272*B272</f>
        <v>-1454</v>
      </c>
      <c r="F275">
        <f>F273*B273</f>
        <v>-3850</v>
      </c>
      <c r="G275">
        <f>G270*B270+G273*B273</f>
        <v>-784</v>
      </c>
      <c r="H275">
        <f>H270*B270+H273*B273</f>
        <v>-434</v>
      </c>
      <c r="J275">
        <f>J273*B273</f>
        <v>-70</v>
      </c>
      <c r="L275">
        <f>L270*B270+L273*B273</f>
        <v>-1911</v>
      </c>
      <c r="M275">
        <f>M270*B270</f>
        <v>-42</v>
      </c>
      <c r="N275">
        <f>N270*B270+N273*B273</f>
        <v>-301</v>
      </c>
      <c r="O275">
        <f>O273*B273</f>
        <v>-70</v>
      </c>
      <c r="P275">
        <f>P270*B270+P273*B273+P274*B274</f>
        <v>-1732</v>
      </c>
      <c r="Q275">
        <f>SUM(E275:P275)</f>
        <v>-10648</v>
      </c>
    </row>
    <row r="277" spans="2:17" x14ac:dyDescent="0.2">
      <c r="Q277" s="248"/>
    </row>
    <row r="278" spans="2:17" x14ac:dyDescent="0.2">
      <c r="Q278" s="275"/>
    </row>
    <row r="279" spans="2:17" x14ac:dyDescent="0.2">
      <c r="Q279" s="275"/>
    </row>
    <row r="280" spans="2:17" x14ac:dyDescent="0.2">
      <c r="Q280" s="275"/>
    </row>
    <row r="281" spans="2:17" x14ac:dyDescent="0.2">
      <c r="Q281" s="275"/>
    </row>
    <row r="282" spans="2:17" x14ac:dyDescent="0.2">
      <c r="Q282" s="275"/>
    </row>
    <row r="283" spans="2:17" x14ac:dyDescent="0.2">
      <c r="Q283" s="275"/>
    </row>
    <row r="284" spans="2:17" x14ac:dyDescent="0.2">
      <c r="Q284" s="275"/>
    </row>
    <row r="285" spans="2:17" x14ac:dyDescent="0.2">
      <c r="Q285" s="275"/>
    </row>
    <row r="287" spans="2:17" x14ac:dyDescent="0.2">
      <c r="Q287" s="275"/>
    </row>
    <row r="289" spans="17:19" x14ac:dyDescent="0.2">
      <c r="Q289" s="248"/>
    </row>
    <row r="290" spans="17:19" x14ac:dyDescent="0.2">
      <c r="Q290" s="248"/>
    </row>
    <row r="291" spans="17:19" x14ac:dyDescent="0.2">
      <c r="Q291" s="248"/>
    </row>
    <row r="292" spans="17:19" x14ac:dyDescent="0.2">
      <c r="Q292" s="248"/>
    </row>
    <row r="293" spans="17:19" x14ac:dyDescent="0.2">
      <c r="Q293" s="248"/>
    </row>
    <row r="294" spans="17:19" x14ac:dyDescent="0.2">
      <c r="Q294" s="248"/>
    </row>
    <row r="295" spans="17:19" x14ac:dyDescent="0.2">
      <c r="Q295" s="288"/>
    </row>
    <row r="300" spans="17:19" x14ac:dyDescent="0.2">
      <c r="R300" s="248"/>
    </row>
    <row r="301" spans="17:19" x14ac:dyDescent="0.2">
      <c r="R301" s="248"/>
    </row>
    <row r="302" spans="17:19" x14ac:dyDescent="0.2">
      <c r="R302" s="248"/>
    </row>
    <row r="303" spans="17:19" x14ac:dyDescent="0.2">
      <c r="S303" s="270"/>
    </row>
    <row r="305" spans="17:26" x14ac:dyDescent="0.2">
      <c r="S305" s="248"/>
    </row>
    <row r="306" spans="17:26" x14ac:dyDescent="0.2">
      <c r="R306" s="203"/>
      <c r="S306" s="248"/>
    </row>
    <row r="307" spans="17:26" x14ac:dyDescent="0.2">
      <c r="Q307" s="203"/>
    </row>
    <row r="308" spans="17:26" x14ac:dyDescent="0.2">
      <c r="Q308" s="198"/>
      <c r="R308" s="248"/>
    </row>
    <row r="309" spans="17:26" x14ac:dyDescent="0.2">
      <c r="R309" s="248"/>
      <c r="Z309" s="267"/>
    </row>
    <row r="310" spans="17:26" x14ac:dyDescent="0.2">
      <c r="R310" s="248"/>
      <c r="Z310" s="267"/>
    </row>
    <row r="311" spans="17:26" x14ac:dyDescent="0.2">
      <c r="R311" s="248"/>
      <c r="Z311" s="267"/>
    </row>
    <row r="312" spans="17:26" x14ac:dyDescent="0.2">
      <c r="R312" s="248"/>
      <c r="Z312" s="267"/>
    </row>
    <row r="313" spans="17:26" x14ac:dyDescent="0.2">
      <c r="R313" s="288"/>
      <c r="S313" s="288"/>
    </row>
    <row r="314" spans="17:26" x14ac:dyDescent="0.2">
      <c r="Q314" s="289"/>
      <c r="R314" s="288"/>
      <c r="Z314" s="275"/>
    </row>
    <row r="362" spans="20:21" x14ac:dyDescent="0.2">
      <c r="T362" s="248"/>
    </row>
    <row r="363" spans="20:21" x14ac:dyDescent="0.2">
      <c r="T363" s="248"/>
    </row>
    <row r="364" spans="20:21" x14ac:dyDescent="0.2">
      <c r="T364" s="248"/>
    </row>
    <row r="365" spans="20:21" x14ac:dyDescent="0.2">
      <c r="T365" s="248"/>
    </row>
    <row r="366" spans="20:21" x14ac:dyDescent="0.2">
      <c r="U366" s="270"/>
    </row>
    <row r="368" spans="20:21" x14ac:dyDescent="0.2">
      <c r="U368" s="248"/>
    </row>
    <row r="369" spans="17:28" x14ac:dyDescent="0.2">
      <c r="T369" s="203"/>
      <c r="U369" s="248"/>
    </row>
    <row r="370" spans="17:28" x14ac:dyDescent="0.2">
      <c r="Q370" s="203"/>
      <c r="R370" s="203"/>
      <c r="S370" s="203"/>
    </row>
    <row r="371" spans="17:28" x14ac:dyDescent="0.2">
      <c r="Q371" s="203"/>
      <c r="R371" s="198"/>
      <c r="S371" s="198"/>
      <c r="T371" s="248"/>
    </row>
    <row r="372" spans="17:28" x14ac:dyDescent="0.2">
      <c r="T372" s="248"/>
      <c r="AB372" s="267"/>
    </row>
    <row r="373" spans="17:28" x14ac:dyDescent="0.2">
      <c r="T373" s="248"/>
      <c r="AB373" s="267"/>
    </row>
    <row r="374" spans="17:28" x14ac:dyDescent="0.2">
      <c r="T374" s="248"/>
      <c r="AB374" s="267"/>
    </row>
    <row r="375" spans="17:28" x14ac:dyDescent="0.2">
      <c r="T375" s="248"/>
      <c r="AB375" s="267"/>
    </row>
    <row r="376" spans="17:28" x14ac:dyDescent="0.2">
      <c r="R376" s="288"/>
      <c r="T376" s="288"/>
      <c r="U376" s="288"/>
    </row>
    <row r="377" spans="17:28" x14ac:dyDescent="0.2">
      <c r="S377" s="289"/>
      <c r="T377" s="288"/>
      <c r="AB377" s="275"/>
    </row>
    <row r="401" spans="17:20" x14ac:dyDescent="0.2">
      <c r="S401" s="248"/>
    </row>
    <row r="402" spans="17:20" x14ac:dyDescent="0.2">
      <c r="S402" s="248"/>
    </row>
    <row r="403" spans="17:20" x14ac:dyDescent="0.2">
      <c r="S403" s="248"/>
    </row>
    <row r="405" spans="17:20" x14ac:dyDescent="0.2">
      <c r="S405" s="293"/>
    </row>
    <row r="407" spans="17:20" x14ac:dyDescent="0.2">
      <c r="T407" s="248"/>
    </row>
    <row r="408" spans="17:20" x14ac:dyDescent="0.2">
      <c r="S408" s="203"/>
      <c r="T408" s="248"/>
    </row>
    <row r="409" spans="17:20" x14ac:dyDescent="0.2">
      <c r="Q409" s="203"/>
      <c r="R409" s="203"/>
    </row>
    <row r="410" spans="17:20" x14ac:dyDescent="0.2">
      <c r="Q410" s="198"/>
      <c r="R410" s="198"/>
      <c r="S410" s="248"/>
    </row>
    <row r="411" spans="17:20" x14ac:dyDescent="0.2">
      <c r="S411" s="248"/>
    </row>
    <row r="412" spans="17:20" x14ac:dyDescent="0.2">
      <c r="S412" s="248"/>
    </row>
    <row r="413" spans="17:20" x14ac:dyDescent="0.2">
      <c r="S413" s="248"/>
    </row>
    <row r="414" spans="17:20" x14ac:dyDescent="0.2">
      <c r="S414" s="248"/>
    </row>
    <row r="415" spans="17:20" x14ac:dyDescent="0.2">
      <c r="Q415" s="288"/>
      <c r="S415" s="288"/>
      <c r="T415" s="288"/>
    </row>
    <row r="416" spans="17:20" x14ac:dyDescent="0.2">
      <c r="R416" s="289"/>
      <c r="S416" s="288"/>
    </row>
    <row r="494" spans="17:17" x14ac:dyDescent="0.2">
      <c r="Q494" s="292"/>
    </row>
    <row r="541" spans="2:9" x14ac:dyDescent="0.2">
      <c r="H541" s="203"/>
      <c r="I541" s="203"/>
    </row>
    <row r="542" spans="2:9" x14ac:dyDescent="0.2">
      <c r="H542" s="203"/>
      <c r="I542" s="203"/>
    </row>
    <row r="544" spans="2:9" x14ac:dyDescent="0.2">
      <c r="B544" s="291"/>
      <c r="C544" s="292"/>
      <c r="D544" s="292"/>
      <c r="E544" s="292"/>
    </row>
    <row r="548" spans="3:5" x14ac:dyDescent="0.2">
      <c r="C548" s="252"/>
      <c r="D548" s="294"/>
      <c r="E548" s="252"/>
    </row>
  </sheetData>
  <mergeCells count="5">
    <mergeCell ref="B1:N1"/>
    <mergeCell ref="B2:N2"/>
    <mergeCell ref="B3:N3"/>
    <mergeCell ref="H6:L6"/>
    <mergeCell ref="C7:G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137"/>
  <sheetViews>
    <sheetView view="pageBreakPreview" topLeftCell="A11" zoomScale="85" zoomScaleNormal="85" zoomScaleSheetLayoutView="85" workbookViewId="0">
      <selection activeCell="N24" sqref="N24"/>
    </sheetView>
  </sheetViews>
  <sheetFormatPr defaultColWidth="9.140625" defaultRowHeight="15.75" x14ac:dyDescent="0.25"/>
  <cols>
    <col min="1" max="1" width="4.7109375" style="2" customWidth="1"/>
    <col min="2" max="2" width="8.7109375" style="2" customWidth="1"/>
    <col min="3" max="3" width="5.28515625" style="2" customWidth="1"/>
    <col min="4" max="5" width="15.140625" style="2" bestFit="1" customWidth="1"/>
    <col min="6" max="6" width="3.140625" style="2" customWidth="1"/>
    <col min="7" max="7" width="17.7109375" style="2" customWidth="1"/>
    <col min="8" max="8" width="2.85546875" style="2" customWidth="1"/>
    <col min="9" max="9" width="4.28515625" style="2" customWidth="1"/>
    <col min="10" max="10" width="15.28515625" style="2" customWidth="1"/>
    <col min="11" max="11" width="2.28515625" style="2" customWidth="1"/>
    <col min="12" max="12" width="14.140625" style="2" customWidth="1"/>
    <col min="13" max="13" width="12.28515625" style="2" customWidth="1"/>
    <col min="14" max="14" width="4.28515625" style="2" customWidth="1"/>
    <col min="15" max="15" width="13.85546875" style="2" bestFit="1" customWidth="1"/>
    <col min="16" max="16" width="2.7109375" style="2" customWidth="1"/>
    <col min="17" max="17" width="2.28515625" style="2" customWidth="1"/>
    <col min="18" max="18" width="14.140625" style="2" customWidth="1"/>
    <col min="19" max="19" width="12.28515625" style="2" customWidth="1"/>
    <col min="20" max="20" width="4.28515625" style="2" customWidth="1"/>
    <col min="21" max="21" width="14.85546875" style="2" bestFit="1" customWidth="1"/>
    <col min="22" max="24" width="9.140625" style="2"/>
    <col min="25" max="25" width="17" style="2" customWidth="1"/>
    <col min="26" max="16384" width="9.140625" style="2"/>
  </cols>
  <sheetData>
    <row r="1" spans="1:23" x14ac:dyDescent="0.25">
      <c r="A1" s="1" t="str">
        <f>'Present and Proposed Rates'!A1</f>
        <v>KENERGY CORP.</v>
      </c>
      <c r="J1" s="1"/>
    </row>
    <row r="2" spans="1:23" x14ac:dyDescent="0.25">
      <c r="A2" s="2" t="str">
        <f>'Present and Proposed Rates'!B10</f>
        <v>Residential (Single and Three Phase)</v>
      </c>
    </row>
    <row r="3" spans="1:23" ht="16.5" thickBot="1" x14ac:dyDescent="0.3">
      <c r="A3" s="2">
        <f>'Present and Proposed Rates'!C10</f>
        <v>1</v>
      </c>
    </row>
    <row r="4" spans="1:23" x14ac:dyDescent="0.25">
      <c r="D4" s="601" t="s">
        <v>30</v>
      </c>
      <c r="E4" s="602"/>
      <c r="F4" s="602"/>
      <c r="G4" s="603"/>
      <c r="H4" s="394"/>
      <c r="L4" s="601" t="s">
        <v>194</v>
      </c>
      <c r="M4" s="602"/>
      <c r="N4" s="602"/>
      <c r="O4" s="603"/>
      <c r="P4" s="394"/>
      <c r="R4" s="601" t="s">
        <v>96</v>
      </c>
      <c r="S4" s="602"/>
      <c r="T4" s="602"/>
      <c r="U4" s="603"/>
    </row>
    <row r="5" spans="1:23" ht="16.5" thickBot="1" x14ac:dyDescent="0.3">
      <c r="A5" s="44"/>
      <c r="B5" s="54"/>
      <c r="C5" s="3"/>
      <c r="D5" s="604"/>
      <c r="E5" s="605"/>
      <c r="F5" s="605"/>
      <c r="G5" s="606"/>
      <c r="H5" s="394"/>
      <c r="I5" s="44"/>
      <c r="J5" s="54"/>
      <c r="K5" s="3"/>
      <c r="L5" s="604"/>
      <c r="M5" s="605"/>
      <c r="N5" s="605"/>
      <c r="O5" s="606"/>
      <c r="P5" s="394"/>
      <c r="Q5" s="3"/>
      <c r="R5" s="604"/>
      <c r="S5" s="605"/>
      <c r="T5" s="605"/>
      <c r="U5" s="606"/>
    </row>
    <row r="6" spans="1:23" x14ac:dyDescent="0.25">
      <c r="A6" s="4"/>
      <c r="B6" s="4"/>
      <c r="C6" s="4"/>
      <c r="D6" s="4" t="s">
        <v>1</v>
      </c>
      <c r="E6" s="4"/>
      <c r="F6" s="4"/>
      <c r="G6" s="4" t="s">
        <v>2</v>
      </c>
      <c r="H6" s="395"/>
      <c r="I6" s="4"/>
      <c r="J6" s="4"/>
      <c r="K6" s="4"/>
      <c r="L6" s="4" t="s">
        <v>1</v>
      </c>
      <c r="M6" s="4"/>
      <c r="N6" s="4"/>
      <c r="O6" s="4" t="s">
        <v>2</v>
      </c>
      <c r="P6" s="395"/>
      <c r="Q6" s="4"/>
      <c r="R6" s="4" t="s">
        <v>1</v>
      </c>
      <c r="S6" s="4"/>
      <c r="T6" s="4"/>
      <c r="U6" s="4" t="s">
        <v>2</v>
      </c>
    </row>
    <row r="7" spans="1:23" ht="16.5" thickBot="1" x14ac:dyDescent="0.3">
      <c r="A7" s="5"/>
      <c r="B7" s="5"/>
      <c r="C7" s="5"/>
      <c r="D7" s="5" t="s">
        <v>4</v>
      </c>
      <c r="E7" s="605" t="s">
        <v>5</v>
      </c>
      <c r="F7" s="605"/>
      <c r="G7" s="5" t="s">
        <v>6</v>
      </c>
      <c r="H7" s="396"/>
      <c r="I7" s="5"/>
      <c r="J7" s="5"/>
      <c r="K7" s="5"/>
      <c r="L7" s="5" t="s">
        <v>4</v>
      </c>
      <c r="M7" s="605" t="s">
        <v>5</v>
      </c>
      <c r="N7" s="605"/>
      <c r="O7" s="5" t="s">
        <v>6</v>
      </c>
      <c r="P7" s="396"/>
      <c r="Q7" s="5"/>
      <c r="R7" s="5" t="s">
        <v>4</v>
      </c>
      <c r="S7" s="605" t="s">
        <v>5</v>
      </c>
      <c r="T7" s="605"/>
      <c r="U7" s="5" t="s">
        <v>6</v>
      </c>
      <c r="V7" s="5" t="s">
        <v>64</v>
      </c>
    </row>
    <row r="8" spans="1:23" x14ac:dyDescent="0.25">
      <c r="H8" s="397"/>
      <c r="P8" s="397"/>
    </row>
    <row r="9" spans="1:23" x14ac:dyDescent="0.25">
      <c r="H9" s="397"/>
      <c r="P9" s="397"/>
    </row>
    <row r="10" spans="1:23" x14ac:dyDescent="0.25">
      <c r="A10" s="98" t="s">
        <v>10</v>
      </c>
      <c r="H10" s="397"/>
      <c r="I10" s="98" t="s">
        <v>10</v>
      </c>
      <c r="P10" s="397"/>
    </row>
    <row r="11" spans="1:23" x14ac:dyDescent="0.25">
      <c r="D11" s="398" t="s">
        <v>100</v>
      </c>
      <c r="E11" s="398" t="s">
        <v>109</v>
      </c>
      <c r="H11" s="397"/>
      <c r="L11" s="398" t="s">
        <v>100</v>
      </c>
      <c r="M11" s="398" t="s">
        <v>109</v>
      </c>
      <c r="P11" s="397"/>
      <c r="R11" s="398" t="s">
        <v>100</v>
      </c>
      <c r="S11" s="398" t="s">
        <v>109</v>
      </c>
    </row>
    <row r="12" spans="1:23" x14ac:dyDescent="0.25">
      <c r="B12" s="2" t="s">
        <v>98</v>
      </c>
      <c r="D12" s="8">
        <f>BillDet!Q6-1431</f>
        <v>564059</v>
      </c>
      <c r="E12" s="72">
        <f>'Present and Proposed Rates'!G10</f>
        <v>18.2</v>
      </c>
      <c r="G12" s="11">
        <f>D12*E12</f>
        <v>10265873.799999999</v>
      </c>
      <c r="H12" s="399"/>
      <c r="J12" s="2" t="s">
        <v>98</v>
      </c>
      <c r="L12" s="8">
        <f>BillDet!P6*12</f>
        <v>565896</v>
      </c>
      <c r="M12" s="72">
        <f>E12</f>
        <v>18.2</v>
      </c>
      <c r="O12" s="11">
        <f>L12*M12</f>
        <v>10299307.199999999</v>
      </c>
      <c r="P12" s="399"/>
      <c r="R12" s="8">
        <f>L12</f>
        <v>565896</v>
      </c>
      <c r="S12" s="72">
        <f>'Present and Proposed Rates'!H10</f>
        <v>21.95</v>
      </c>
      <c r="U12" s="11">
        <f>R12*S12</f>
        <v>12421417.199999999</v>
      </c>
      <c r="V12" s="410">
        <f>(U12-O12)/O12</f>
        <v>0.20604395604395606</v>
      </c>
    </row>
    <row r="13" spans="1:23" x14ac:dyDescent="0.25">
      <c r="D13" s="8"/>
      <c r="E13" s="72"/>
      <c r="G13" s="11"/>
      <c r="H13" s="399"/>
      <c r="L13" s="8"/>
      <c r="M13" s="72"/>
      <c r="O13" s="11"/>
      <c r="P13" s="399"/>
      <c r="R13" s="8"/>
      <c r="S13" s="72"/>
      <c r="U13" s="11"/>
    </row>
    <row r="14" spans="1:23" x14ac:dyDescent="0.25">
      <c r="D14" s="8"/>
      <c r="G14" s="11"/>
      <c r="H14" s="399"/>
      <c r="L14" s="8"/>
      <c r="O14" s="11"/>
      <c r="P14" s="399"/>
      <c r="R14" s="8"/>
      <c r="U14" s="11"/>
    </row>
    <row r="15" spans="1:23" x14ac:dyDescent="0.25">
      <c r="A15" s="1" t="s">
        <v>7</v>
      </c>
      <c r="D15" s="8"/>
      <c r="G15" s="11"/>
      <c r="H15" s="399"/>
      <c r="I15" s="1" t="s">
        <v>7</v>
      </c>
      <c r="L15" s="8"/>
      <c r="O15" s="11"/>
      <c r="P15" s="399"/>
      <c r="R15" s="8"/>
      <c r="U15" s="11"/>
    </row>
    <row r="16" spans="1:23" x14ac:dyDescent="0.25">
      <c r="D16" s="400" t="s">
        <v>8</v>
      </c>
      <c r="E16" s="401" t="s">
        <v>11</v>
      </c>
      <c r="G16" s="11"/>
      <c r="H16" s="399"/>
      <c r="L16" s="400" t="s">
        <v>8</v>
      </c>
      <c r="M16" s="401" t="s">
        <v>11</v>
      </c>
      <c r="O16" s="11"/>
      <c r="P16" s="399"/>
      <c r="R16" s="400" t="s">
        <v>8</v>
      </c>
      <c r="S16" s="401" t="s">
        <v>11</v>
      </c>
      <c r="U16" s="11"/>
      <c r="W16" s="8"/>
    </row>
    <row r="17" spans="1:22" x14ac:dyDescent="0.25">
      <c r="B17" s="2" t="s">
        <v>98</v>
      </c>
      <c r="D17" s="8">
        <f>BillDet!Q16</f>
        <v>678749459</v>
      </c>
      <c r="E17" s="402">
        <f>'Present and Proposed Rates'!G11</f>
        <v>0.107543</v>
      </c>
      <c r="G17" s="11">
        <f>D17*E17</f>
        <v>72994753.069236994</v>
      </c>
      <c r="H17" s="399"/>
      <c r="J17" s="2" t="s">
        <v>98</v>
      </c>
      <c r="L17" s="8">
        <f>D17</f>
        <v>678749459</v>
      </c>
      <c r="M17" s="402">
        <f>E17</f>
        <v>0.107543</v>
      </c>
      <c r="O17" s="11">
        <f>L17*M17</f>
        <v>72994753.069236994</v>
      </c>
      <c r="P17" s="399"/>
      <c r="R17" s="8">
        <f>L17+R36</f>
        <v>679239177</v>
      </c>
      <c r="S17" s="402">
        <f>'Present and Proposed Rates'!H11</f>
        <v>0.111511</v>
      </c>
      <c r="U17" s="11">
        <f>R17*S17</f>
        <v>75742639.866447002</v>
      </c>
      <c r="V17" s="410">
        <f>(U17-O17)/O17</f>
        <v>3.7644990655747293E-2</v>
      </c>
    </row>
    <row r="18" spans="1:22" x14ac:dyDescent="0.25">
      <c r="D18" s="8"/>
      <c r="E18" s="18"/>
      <c r="G18" s="11"/>
      <c r="H18" s="399"/>
      <c r="L18" s="8"/>
      <c r="M18" s="18"/>
      <c r="O18" s="11"/>
      <c r="P18" s="399"/>
      <c r="R18" s="8"/>
      <c r="S18" s="18"/>
      <c r="U18" s="11"/>
    </row>
    <row r="19" spans="1:22" x14ac:dyDescent="0.25">
      <c r="A19" s="1" t="s">
        <v>99</v>
      </c>
      <c r="D19" s="8"/>
      <c r="E19" s="18"/>
      <c r="G19" s="11"/>
      <c r="H19" s="399"/>
      <c r="I19" s="1" t="s">
        <v>99</v>
      </c>
      <c r="L19" s="8"/>
      <c r="M19" s="18"/>
      <c r="O19" s="11"/>
      <c r="P19" s="399"/>
      <c r="R19" s="8"/>
      <c r="S19" s="18"/>
      <c r="U19" s="11"/>
    </row>
    <row r="20" spans="1:22" x14ac:dyDescent="0.25">
      <c r="B20" s="2" t="s">
        <v>104</v>
      </c>
      <c r="D20" s="8"/>
      <c r="E20" s="403">
        <f>G20/D$17</f>
        <v>2.0076395302143436E-2</v>
      </c>
      <c r="G20" s="11">
        <f>BillDet!Q37</f>
        <v>13626842.449999999</v>
      </c>
      <c r="H20" s="399"/>
      <c r="J20" s="2" t="str">
        <f>B20</f>
        <v>Fuel Adjustment Clause</v>
      </c>
      <c r="L20" s="8"/>
      <c r="M20" s="403">
        <f>E20</f>
        <v>2.0076395302143436E-2</v>
      </c>
      <c r="O20" s="11">
        <f>L17*M20</f>
        <v>13626842.449999999</v>
      </c>
      <c r="P20" s="399"/>
      <c r="R20" s="8"/>
      <c r="S20" s="403">
        <f>U20/R$17</f>
        <v>2.0061920618574685E-2</v>
      </c>
      <c r="U20" s="11">
        <f>O20</f>
        <v>13626842.449999999</v>
      </c>
      <c r="V20" s="410">
        <f>(U20-O20)/O20</f>
        <v>0</v>
      </c>
    </row>
    <row r="21" spans="1:22" x14ac:dyDescent="0.25">
      <c r="B21" s="2" t="s">
        <v>101</v>
      </c>
      <c r="D21" s="8"/>
      <c r="E21" s="403">
        <f t="shared" ref="E21:E23" si="0">G21/D$17</f>
        <v>5.4530688767738663E-3</v>
      </c>
      <c r="G21" s="11">
        <f>BillDet!Q47</f>
        <v>3701267.5499999993</v>
      </c>
      <c r="H21" s="399"/>
      <c r="J21" s="2" t="str">
        <f t="shared" ref="J21:J23" si="1">B21</f>
        <v>Environmental Surcharge</v>
      </c>
      <c r="L21" s="8"/>
      <c r="M21" s="403">
        <f t="shared" ref="M21:M23" si="2">E21</f>
        <v>5.4530688767738663E-3</v>
      </c>
      <c r="O21" s="11">
        <f>L17*M21</f>
        <v>3701267.5499999993</v>
      </c>
      <c r="P21" s="399"/>
      <c r="R21" s="8"/>
      <c r="S21" s="403">
        <f t="shared" ref="S21:S23" si="3">U21/R$17</f>
        <v>5.4491373220658607E-3</v>
      </c>
      <c r="U21" s="11">
        <f>O21</f>
        <v>3701267.5499999993</v>
      </c>
      <c r="V21" s="410">
        <f>(U21-O21)/O21</f>
        <v>0</v>
      </c>
    </row>
    <row r="22" spans="1:22" x14ac:dyDescent="0.25">
      <c r="B22" s="2" t="s">
        <v>102</v>
      </c>
      <c r="D22" s="8"/>
      <c r="E22" s="403">
        <f t="shared" si="0"/>
        <v>-6.6718016050750168E-3</v>
      </c>
      <c r="G22" s="11">
        <f>BillDet!Q57</f>
        <v>-4528481.7299999995</v>
      </c>
      <c r="H22" s="399"/>
      <c r="J22" s="2" t="str">
        <f t="shared" si="1"/>
        <v>Member Rate Stability</v>
      </c>
      <c r="L22" s="8"/>
      <c r="M22" s="403">
        <f t="shared" si="2"/>
        <v>-6.6718016050750168E-3</v>
      </c>
      <c r="O22" s="11">
        <f>L17*M22</f>
        <v>-4528481.7299999995</v>
      </c>
      <c r="P22" s="399"/>
      <c r="R22" s="8"/>
      <c r="S22" s="403">
        <f t="shared" si="3"/>
        <v>-6.6669913681966543E-3</v>
      </c>
      <c r="U22" s="11">
        <f>O22</f>
        <v>-4528481.7299999995</v>
      </c>
      <c r="V22" s="410">
        <f>(U22-O22)/O22</f>
        <v>0</v>
      </c>
    </row>
    <row r="23" spans="1:22" x14ac:dyDescent="0.25">
      <c r="B23" s="2" t="s">
        <v>103</v>
      </c>
      <c r="D23" s="8"/>
      <c r="E23" s="403">
        <f t="shared" si="0"/>
        <v>3.8803788276757945E-3</v>
      </c>
      <c r="G23" s="404">
        <f>BillDet!Q67</f>
        <v>2633805.0299999998</v>
      </c>
      <c r="H23" s="405"/>
      <c r="J23" s="2" t="str">
        <f t="shared" si="1"/>
        <v>Non-FAC PPA</v>
      </c>
      <c r="L23" s="8"/>
      <c r="M23" s="403">
        <f t="shared" si="2"/>
        <v>3.8803788276757945E-3</v>
      </c>
      <c r="O23" s="11">
        <f>L17*M23</f>
        <v>2633805.0299999998</v>
      </c>
      <c r="P23" s="405"/>
      <c r="R23" s="8"/>
      <c r="S23" s="403">
        <f t="shared" si="3"/>
        <v>3.8775811513592946E-3</v>
      </c>
      <c r="U23" s="11">
        <f>O23</f>
        <v>2633805.0299999998</v>
      </c>
      <c r="V23" s="410">
        <f>(U23-O23)/O23</f>
        <v>0</v>
      </c>
    </row>
    <row r="24" spans="1:22" x14ac:dyDescent="0.25">
      <c r="C24" s="16"/>
      <c r="D24" s="8"/>
      <c r="E24" s="406">
        <f>SUM(E20:E23)</f>
        <v>2.2738041401518083E-2</v>
      </c>
      <c r="G24" s="11"/>
      <c r="H24" s="399"/>
      <c r="K24" s="16"/>
      <c r="L24" s="8"/>
      <c r="M24" s="406">
        <f>SUM(M20:M23)</f>
        <v>2.2738041401518083E-2</v>
      </c>
      <c r="O24" s="11"/>
      <c r="P24" s="399"/>
      <c r="Q24" s="16"/>
      <c r="R24" s="8"/>
      <c r="S24" s="406">
        <f>SUM(S20:S23)</f>
        <v>2.2721647723803185E-2</v>
      </c>
      <c r="U24" s="11"/>
    </row>
    <row r="25" spans="1:22" x14ac:dyDescent="0.25">
      <c r="A25" s="1"/>
      <c r="C25" s="16"/>
      <c r="D25" s="8"/>
      <c r="E25" s="18"/>
      <c r="G25" s="11"/>
      <c r="H25" s="399"/>
      <c r="O25" s="11"/>
      <c r="P25" s="399"/>
      <c r="U25" s="11"/>
    </row>
    <row r="26" spans="1:22" ht="16.5" thickBot="1" x14ac:dyDescent="0.3">
      <c r="A26" s="1" t="s">
        <v>80</v>
      </c>
      <c r="G26" s="24">
        <f>SUM(G12:G25)</f>
        <v>98694060.169236988</v>
      </c>
      <c r="H26" s="399"/>
      <c r="I26" s="1" t="s">
        <v>80</v>
      </c>
      <c r="O26" s="24">
        <f>SUM(O12:O25)</f>
        <v>98727493.569236994</v>
      </c>
      <c r="P26" s="399"/>
      <c r="U26" s="24">
        <f>SUM(U12:U25)</f>
        <v>103597490.366447</v>
      </c>
      <c r="V26" s="410">
        <f>(U26-O26)/O26</f>
        <v>4.9327665690152546E-2</v>
      </c>
    </row>
    <row r="27" spans="1:22" ht="16.5" thickTop="1" x14ac:dyDescent="0.25">
      <c r="A27" s="1"/>
      <c r="B27" s="1"/>
      <c r="G27" s="11"/>
      <c r="H27" s="399"/>
      <c r="I27" s="1"/>
      <c r="J27" s="1"/>
      <c r="O27" s="11"/>
      <c r="P27" s="399"/>
      <c r="U27" s="11"/>
    </row>
    <row r="28" spans="1:22" x14ac:dyDescent="0.25">
      <c r="A28" s="1" t="s">
        <v>19</v>
      </c>
      <c r="B28" s="10"/>
      <c r="G28" s="11">
        <v>98694369.561486989</v>
      </c>
      <c r="H28" s="399"/>
      <c r="I28" s="1" t="s">
        <v>85</v>
      </c>
      <c r="J28" s="10"/>
      <c r="O28" s="84">
        <f>O26-G26</f>
        <v>33433.40000000596</v>
      </c>
      <c r="P28" s="399"/>
      <c r="U28" s="84">
        <f>U26-O26</f>
        <v>4869996.7972100079</v>
      </c>
    </row>
    <row r="29" spans="1:22" x14ac:dyDescent="0.25">
      <c r="A29" s="10"/>
      <c r="B29" s="10"/>
      <c r="G29" s="10"/>
      <c r="H29" s="407"/>
      <c r="J29" s="10"/>
      <c r="O29" s="10"/>
      <c r="P29" s="407"/>
      <c r="U29" s="10"/>
    </row>
    <row r="30" spans="1:22" x14ac:dyDescent="0.25">
      <c r="A30" s="1" t="s">
        <v>13</v>
      </c>
      <c r="B30" s="10"/>
      <c r="G30" s="408">
        <f>G26-G28</f>
        <v>-309.39225000143051</v>
      </c>
      <c r="H30" s="409"/>
      <c r="I30" s="1" t="s">
        <v>86</v>
      </c>
      <c r="J30" s="10"/>
      <c r="O30" s="410">
        <f>O28/G26</f>
        <v>3.3875797532977752E-4</v>
      </c>
      <c r="P30" s="409"/>
      <c r="U30" s="410">
        <f>U28/O26</f>
        <v>4.9327665690152546E-2</v>
      </c>
    </row>
    <row r="31" spans="1:22" x14ac:dyDescent="0.25">
      <c r="A31" s="10"/>
      <c r="B31" s="10"/>
      <c r="G31" s="11"/>
      <c r="H31" s="399"/>
      <c r="J31" s="10"/>
      <c r="O31" s="11"/>
      <c r="P31" s="399"/>
      <c r="U31" s="11"/>
    </row>
    <row r="32" spans="1:22" x14ac:dyDescent="0.25">
      <c r="A32" s="1" t="s">
        <v>26</v>
      </c>
      <c r="B32" s="10"/>
      <c r="G32" s="47">
        <f>G30/G28</f>
        <v>-3.1348520830124753E-6</v>
      </c>
      <c r="H32" s="411"/>
      <c r="I32" s="1" t="s">
        <v>87</v>
      </c>
      <c r="J32" s="10"/>
      <c r="O32" s="88">
        <f>O28/L12</f>
        <v>5.9080467082301275E-2</v>
      </c>
      <c r="P32" s="411"/>
      <c r="U32" s="88">
        <f>U28/R12</f>
        <v>8.6058159047068852</v>
      </c>
    </row>
    <row r="33" spans="1:21" x14ac:dyDescent="0.25">
      <c r="A33" s="1"/>
      <c r="B33" s="10"/>
      <c r="G33" s="47"/>
      <c r="H33" s="411"/>
      <c r="I33" s="1"/>
      <c r="J33" s="10"/>
      <c r="O33" s="47"/>
      <c r="P33" s="411"/>
      <c r="U33" s="47"/>
    </row>
    <row r="34" spans="1:21" x14ac:dyDescent="0.25">
      <c r="A34" s="1"/>
      <c r="B34" s="10"/>
      <c r="D34" s="45">
        <f>D17/D12</f>
        <v>1203.3306072591697</v>
      </c>
      <c r="G34" s="47"/>
      <c r="H34" s="47"/>
      <c r="I34" s="1"/>
      <c r="J34" s="10"/>
      <c r="L34" s="8">
        <f>L17/L12</f>
        <v>1199.4243800981099</v>
      </c>
      <c r="O34" s="47"/>
      <c r="P34" s="47"/>
      <c r="U34" s="47"/>
    </row>
    <row r="35" spans="1:21" x14ac:dyDescent="0.25">
      <c r="A35" s="1"/>
      <c r="B35" s="10"/>
      <c r="G35" s="52"/>
      <c r="H35" s="47"/>
      <c r="I35" s="1"/>
      <c r="J35" s="10"/>
      <c r="O35" s="47"/>
      <c r="P35" s="47"/>
      <c r="U35" s="47"/>
    </row>
    <row r="36" spans="1:21" x14ac:dyDescent="0.25">
      <c r="A36" s="1"/>
      <c r="B36" s="10"/>
      <c r="G36" s="412">
        <f>G12+G17</f>
        <v>83260626.869236991</v>
      </c>
      <c r="H36" s="47"/>
      <c r="I36" s="1"/>
      <c r="O36" s="47"/>
      <c r="P36" s="47"/>
      <c r="R36" s="45">
        <v>489718</v>
      </c>
      <c r="S36" s="10" t="s">
        <v>355</v>
      </c>
      <c r="U36" s="47"/>
    </row>
    <row r="37" spans="1:21" x14ac:dyDescent="0.25">
      <c r="A37" s="1"/>
      <c r="B37" s="10"/>
      <c r="G37" s="412"/>
      <c r="H37" s="47"/>
      <c r="I37" s="1"/>
      <c r="J37" s="10"/>
      <c r="O37" s="47"/>
      <c r="P37" s="47"/>
      <c r="U37" s="47"/>
    </row>
    <row r="38" spans="1:21" x14ac:dyDescent="0.25">
      <c r="A38" s="1"/>
      <c r="B38" s="10"/>
      <c r="G38" s="47"/>
      <c r="H38" s="47"/>
      <c r="I38" s="1"/>
      <c r="J38" s="10"/>
      <c r="O38" s="47"/>
      <c r="P38" s="47"/>
      <c r="U38" s="47"/>
    </row>
    <row r="39" spans="1:21" ht="18.75" customHeight="1" x14ac:dyDescent="0.25">
      <c r="A39" s="1"/>
      <c r="B39" s="11"/>
      <c r="G39" s="413">
        <f>G26/D12</f>
        <v>174.97116466404577</v>
      </c>
      <c r="H39" s="47"/>
      <c r="O39" s="72">
        <f>O26/L12</f>
        <v>174.46225732155202</v>
      </c>
      <c r="P39" s="72"/>
      <c r="U39" s="72">
        <f>U26/R12</f>
        <v>183.06807322625889</v>
      </c>
    </row>
    <row r="40" spans="1:21" x14ac:dyDescent="0.25">
      <c r="E40" s="11"/>
    </row>
    <row r="41" spans="1:21" x14ac:dyDescent="0.25">
      <c r="I41" s="41"/>
      <c r="J41" s="41"/>
    </row>
    <row r="42" spans="1:21" x14ac:dyDescent="0.25">
      <c r="I42" s="41"/>
      <c r="J42" s="41"/>
    </row>
    <row r="43" spans="1:21" x14ac:dyDescent="0.25">
      <c r="I43" s="41"/>
      <c r="J43" s="41"/>
    </row>
    <row r="44" spans="1:21" x14ac:dyDescent="0.25">
      <c r="I44" s="41"/>
      <c r="J44" s="71"/>
    </row>
    <row r="45" spans="1:21" x14ac:dyDescent="0.25">
      <c r="I45" s="41"/>
      <c r="J45" s="71"/>
    </row>
    <row r="46" spans="1:21" x14ac:dyDescent="0.25">
      <c r="I46" s="41"/>
      <c r="J46" s="71"/>
    </row>
    <row r="47" spans="1:21" x14ac:dyDescent="0.25">
      <c r="I47" s="41"/>
      <c r="J47" s="71"/>
    </row>
    <row r="48" spans="1:21" x14ac:dyDescent="0.25">
      <c r="I48" s="41"/>
      <c r="J48" s="71"/>
    </row>
    <row r="49" spans="9:10" x14ac:dyDescent="0.25">
      <c r="I49" s="41"/>
      <c r="J49" s="71"/>
    </row>
    <row r="50" spans="9:10" x14ac:dyDescent="0.25">
      <c r="I50" s="41"/>
      <c r="J50" s="71"/>
    </row>
    <row r="51" spans="9:10" x14ac:dyDescent="0.25">
      <c r="I51" s="41"/>
      <c r="J51" s="71"/>
    </row>
    <row r="52" spans="9:10" x14ac:dyDescent="0.25">
      <c r="I52" s="41"/>
      <c r="J52" s="71"/>
    </row>
    <row r="53" spans="9:10" x14ac:dyDescent="0.25">
      <c r="I53" s="41"/>
      <c r="J53" s="71"/>
    </row>
    <row r="54" spans="9:10" ht="16.5" customHeight="1" x14ac:dyDescent="0.25">
      <c r="I54" s="41"/>
      <c r="J54" s="71"/>
    </row>
    <row r="55" spans="9:10" x14ac:dyDescent="0.25">
      <c r="I55" s="41"/>
      <c r="J55" s="71"/>
    </row>
    <row r="56" spans="9:10" x14ac:dyDescent="0.25">
      <c r="I56" s="41"/>
      <c r="J56" s="71"/>
    </row>
    <row r="59" spans="9:10" x14ac:dyDescent="0.25">
      <c r="I59" s="41"/>
      <c r="J59" s="41"/>
    </row>
    <row r="60" spans="9:10" x14ac:dyDescent="0.25">
      <c r="I60" s="41"/>
      <c r="J60" s="41"/>
    </row>
    <row r="61" spans="9:10" x14ac:dyDescent="0.25">
      <c r="I61" s="41"/>
      <c r="J61" s="41"/>
    </row>
    <row r="62" spans="9:10" x14ac:dyDescent="0.25">
      <c r="I62" s="69"/>
      <c r="J62" s="61"/>
    </row>
    <row r="63" spans="9:10" x14ac:dyDescent="0.25">
      <c r="I63" s="69"/>
      <c r="J63" s="61"/>
    </row>
    <row r="64" spans="9:10" x14ac:dyDescent="0.25">
      <c r="I64" s="69"/>
      <c r="J64" s="61"/>
    </row>
    <row r="65" spans="9:10" x14ac:dyDescent="0.25">
      <c r="I65" s="69"/>
      <c r="J65" s="61"/>
    </row>
    <row r="66" spans="9:10" x14ac:dyDescent="0.25">
      <c r="I66" s="69"/>
      <c r="J66" s="61"/>
    </row>
    <row r="67" spans="9:10" x14ac:dyDescent="0.25">
      <c r="I67" s="69"/>
      <c r="J67" s="61"/>
    </row>
    <row r="68" spans="9:10" x14ac:dyDescent="0.25">
      <c r="I68" s="69"/>
      <c r="J68" s="61"/>
    </row>
    <row r="69" spans="9:10" x14ac:dyDescent="0.25">
      <c r="I69" s="69"/>
      <c r="J69" s="61"/>
    </row>
    <row r="70" spans="9:10" x14ac:dyDescent="0.25">
      <c r="I70" s="69"/>
      <c r="J70" s="61"/>
    </row>
    <row r="71" spans="9:10" x14ac:dyDescent="0.25">
      <c r="I71" s="69"/>
      <c r="J71" s="61"/>
    </row>
    <row r="72" spans="9:10" x14ac:dyDescent="0.25">
      <c r="I72" s="69"/>
      <c r="J72" s="61"/>
    </row>
    <row r="73" spans="9:10" x14ac:dyDescent="0.25">
      <c r="I73" s="69"/>
      <c r="J73" s="61"/>
    </row>
    <row r="74" spans="9:10" x14ac:dyDescent="0.25">
      <c r="I74" s="41"/>
      <c r="J74" s="41"/>
    </row>
    <row r="75" spans="9:10" x14ac:dyDescent="0.25">
      <c r="I75" s="41"/>
      <c r="J75" s="41"/>
    </row>
    <row r="76" spans="9:10" x14ac:dyDescent="0.25">
      <c r="I76" s="41"/>
      <c r="J76" s="41"/>
    </row>
    <row r="77" spans="9:10" x14ac:dyDescent="0.25">
      <c r="I77" s="41"/>
      <c r="J77" s="41"/>
    </row>
    <row r="78" spans="9:10" x14ac:dyDescent="0.25">
      <c r="I78" s="41"/>
      <c r="J78" s="41"/>
    </row>
    <row r="79" spans="9:10" x14ac:dyDescent="0.25">
      <c r="I79" s="41"/>
      <c r="J79" s="41"/>
    </row>
    <row r="80" spans="9:10" x14ac:dyDescent="0.25">
      <c r="I80" s="41"/>
      <c r="J80" s="41"/>
    </row>
    <row r="81" spans="9:10" x14ac:dyDescent="0.25">
      <c r="I81" s="41"/>
      <c r="J81" s="41"/>
    </row>
    <row r="82" spans="9:10" x14ac:dyDescent="0.25">
      <c r="I82" s="41"/>
      <c r="J82" s="41"/>
    </row>
    <row r="83" spans="9:10" x14ac:dyDescent="0.25">
      <c r="I83" s="41"/>
      <c r="J83" s="41"/>
    </row>
    <row r="84" spans="9:10" x14ac:dyDescent="0.25">
      <c r="I84" s="41"/>
      <c r="J84" s="41"/>
    </row>
    <row r="85" spans="9:10" x14ac:dyDescent="0.25">
      <c r="I85" s="41"/>
      <c r="J85" s="41"/>
    </row>
    <row r="86" spans="9:10" x14ac:dyDescent="0.25">
      <c r="I86" s="41"/>
      <c r="J86" s="41"/>
    </row>
    <row r="87" spans="9:10" ht="15" customHeight="1" x14ac:dyDescent="0.25">
      <c r="I87" s="41"/>
      <c r="J87" s="41"/>
    </row>
    <row r="88" spans="9:10" x14ac:dyDescent="0.25">
      <c r="I88" s="41"/>
      <c r="J88" s="41"/>
    </row>
    <row r="89" spans="9:10" x14ac:dyDescent="0.25">
      <c r="I89" s="41"/>
      <c r="J89" s="41"/>
    </row>
    <row r="90" spans="9:10" x14ac:dyDescent="0.25">
      <c r="I90" s="41"/>
      <c r="J90" s="41"/>
    </row>
    <row r="91" spans="9:10" x14ac:dyDescent="0.25">
      <c r="I91" s="41"/>
      <c r="J91" s="41"/>
    </row>
    <row r="92" spans="9:10" x14ac:dyDescent="0.25">
      <c r="I92" s="41"/>
      <c r="J92" s="41"/>
    </row>
    <row r="93" spans="9:10" x14ac:dyDescent="0.25">
      <c r="I93" s="41"/>
      <c r="J93" s="41"/>
    </row>
    <row r="94" spans="9:10" x14ac:dyDescent="0.25">
      <c r="I94" s="41"/>
      <c r="J94" s="41"/>
    </row>
    <row r="95" spans="9:10" x14ac:dyDescent="0.25">
      <c r="I95" s="41"/>
      <c r="J95" s="41"/>
    </row>
    <row r="96" spans="9:10" x14ac:dyDescent="0.25">
      <c r="I96" s="41"/>
      <c r="J96" s="41"/>
    </row>
    <row r="97" spans="9:10" x14ac:dyDescent="0.25">
      <c r="I97" s="41"/>
      <c r="J97" s="41"/>
    </row>
    <row r="98" spans="9:10" x14ac:dyDescent="0.25">
      <c r="I98" s="41"/>
      <c r="J98" s="41"/>
    </row>
    <row r="99" spans="9:10" x14ac:dyDescent="0.25">
      <c r="I99" s="41"/>
      <c r="J99" s="41"/>
    </row>
    <row r="100" spans="9:10" x14ac:dyDescent="0.25">
      <c r="I100" s="41"/>
      <c r="J100" s="41"/>
    </row>
    <row r="101" spans="9:10" x14ac:dyDescent="0.25">
      <c r="I101" s="41"/>
      <c r="J101" s="41"/>
    </row>
    <row r="102" spans="9:10" x14ac:dyDescent="0.25">
      <c r="I102" s="41"/>
      <c r="J102" s="41"/>
    </row>
    <row r="103" spans="9:10" x14ac:dyDescent="0.25">
      <c r="I103" s="41"/>
      <c r="J103" s="41"/>
    </row>
    <row r="104" spans="9:10" x14ac:dyDescent="0.25">
      <c r="I104" s="41"/>
      <c r="J104" s="41"/>
    </row>
    <row r="105" spans="9:10" x14ac:dyDescent="0.25">
      <c r="I105" s="41"/>
      <c r="J105" s="41"/>
    </row>
    <row r="106" spans="9:10" x14ac:dyDescent="0.25">
      <c r="I106" s="41"/>
      <c r="J106" s="41"/>
    </row>
    <row r="107" spans="9:10" x14ac:dyDescent="0.25">
      <c r="I107" s="41"/>
      <c r="J107" s="41"/>
    </row>
    <row r="108" spans="9:10" x14ac:dyDescent="0.25">
      <c r="I108" s="41"/>
      <c r="J108" s="41"/>
    </row>
    <row r="109" spans="9:10" x14ac:dyDescent="0.25">
      <c r="I109" s="41"/>
      <c r="J109" s="41"/>
    </row>
    <row r="110" spans="9:10" x14ac:dyDescent="0.25">
      <c r="I110" s="41"/>
      <c r="J110" s="41"/>
    </row>
    <row r="111" spans="9:10" x14ac:dyDescent="0.25">
      <c r="I111" s="41"/>
      <c r="J111" s="41"/>
    </row>
    <row r="112" spans="9:10" x14ac:dyDescent="0.25">
      <c r="I112" s="41"/>
      <c r="J112" s="41"/>
    </row>
    <row r="113" spans="9:10" x14ac:dyDescent="0.25">
      <c r="I113" s="41"/>
      <c r="J113" s="41"/>
    </row>
    <row r="114" spans="9:10" x14ac:dyDescent="0.25">
      <c r="I114" s="41"/>
      <c r="J114" s="41"/>
    </row>
    <row r="115" spans="9:10" x14ac:dyDescent="0.25">
      <c r="I115" s="41"/>
      <c r="J115" s="41"/>
    </row>
    <row r="116" spans="9:10" x14ac:dyDescent="0.25">
      <c r="I116" s="41"/>
      <c r="J116" s="41"/>
    </row>
    <row r="117" spans="9:10" x14ac:dyDescent="0.25">
      <c r="I117" s="41"/>
      <c r="J117" s="41"/>
    </row>
    <row r="118" spans="9:10" x14ac:dyDescent="0.25">
      <c r="I118" s="41"/>
      <c r="J118" s="41"/>
    </row>
    <row r="119" spans="9:10" x14ac:dyDescent="0.25">
      <c r="I119" s="41"/>
      <c r="J119" s="41"/>
    </row>
    <row r="134" spans="3:5" x14ac:dyDescent="0.25">
      <c r="C134" s="41"/>
      <c r="D134" s="41"/>
    </row>
    <row r="135" spans="3:5" x14ac:dyDescent="0.25">
      <c r="C135" s="43"/>
      <c r="D135" s="50"/>
      <c r="E135" s="55"/>
    </row>
    <row r="136" spans="3:5" x14ac:dyDescent="0.25">
      <c r="C136" s="43"/>
      <c r="D136" s="50"/>
      <c r="E136" s="55"/>
    </row>
    <row r="137" spans="3:5" x14ac:dyDescent="0.25">
      <c r="C137" s="43"/>
      <c r="D137" s="50"/>
      <c r="E137" s="55"/>
    </row>
  </sheetData>
  <mergeCells count="6">
    <mergeCell ref="D4:G5"/>
    <mergeCell ref="E7:F7"/>
    <mergeCell ref="R4:U5"/>
    <mergeCell ref="S7:T7"/>
    <mergeCell ref="L4:O5"/>
    <mergeCell ref="M7:N7"/>
  </mergeCells>
  <pageMargins left="0.75" right="0.75" top="1" bottom="1" header="0.5" footer="0.5"/>
  <pageSetup scale="62" orientation="landscape" r:id="rId1"/>
  <headerFooter alignWithMargins="0">
    <oddFooter>&amp;RExhibit JW-9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FF0000"/>
  </sheetPr>
  <dimension ref="A1:E12"/>
  <sheetViews>
    <sheetView workbookViewId="0">
      <selection activeCell="D20" sqref="D20"/>
    </sheetView>
  </sheetViews>
  <sheetFormatPr defaultRowHeight="12.75" x14ac:dyDescent="0.2"/>
  <cols>
    <col min="1" max="1" width="6.28515625" customWidth="1"/>
    <col min="2" max="2" width="50.28515625" bestFit="1" customWidth="1"/>
    <col min="3" max="3" width="9.140625" style="183"/>
  </cols>
  <sheetData>
    <row r="1" spans="1:5" x14ac:dyDescent="0.2">
      <c r="A1" s="182" t="str">
        <f>'Present and Proposed Rates'!A1</f>
        <v>KENERGY CORP.</v>
      </c>
    </row>
    <row r="2" spans="1:5" x14ac:dyDescent="0.2">
      <c r="A2" s="182" t="s">
        <v>132</v>
      </c>
    </row>
    <row r="3" spans="1:5" x14ac:dyDescent="0.2">
      <c r="A3" s="168"/>
    </row>
    <row r="4" spans="1:5" x14ac:dyDescent="0.2">
      <c r="A4" s="164" t="s">
        <v>122</v>
      </c>
      <c r="B4" s="164" t="s">
        <v>5</v>
      </c>
      <c r="C4" s="184" t="s">
        <v>60</v>
      </c>
    </row>
    <row r="5" spans="1:5" x14ac:dyDescent="0.2">
      <c r="A5" s="168">
        <v>1</v>
      </c>
      <c r="B5" s="203" t="s">
        <v>145</v>
      </c>
      <c r="C5" s="168">
        <v>1</v>
      </c>
      <c r="E5" s="120" t="s">
        <v>141</v>
      </c>
    </row>
    <row r="6" spans="1:5" x14ac:dyDescent="0.2">
      <c r="A6" s="168">
        <v>2</v>
      </c>
      <c r="B6" s="203" t="s">
        <v>146</v>
      </c>
      <c r="C6" s="168">
        <v>3</v>
      </c>
      <c r="E6" s="120" t="s">
        <v>142</v>
      </c>
    </row>
    <row r="7" spans="1:5" x14ac:dyDescent="0.2">
      <c r="A7" s="168">
        <v>3</v>
      </c>
      <c r="B7" s="203" t="s">
        <v>190</v>
      </c>
      <c r="C7" s="168">
        <v>5</v>
      </c>
      <c r="E7" s="120" t="s">
        <v>143</v>
      </c>
    </row>
    <row r="8" spans="1:5" x14ac:dyDescent="0.2">
      <c r="A8" s="168">
        <v>4</v>
      </c>
      <c r="B8" s="203" t="s">
        <v>191</v>
      </c>
      <c r="C8" s="168">
        <v>7</v>
      </c>
      <c r="E8" s="120" t="s">
        <v>144</v>
      </c>
    </row>
    <row r="9" spans="1:5" x14ac:dyDescent="0.2">
      <c r="A9" s="168">
        <v>5</v>
      </c>
      <c r="B9" s="120" t="s">
        <v>140</v>
      </c>
      <c r="C9" s="168">
        <v>15</v>
      </c>
      <c r="E9" s="120" t="s">
        <v>16</v>
      </c>
    </row>
    <row r="10" spans="1:5" x14ac:dyDescent="0.2">
      <c r="A10" s="168"/>
      <c r="B10" s="120"/>
      <c r="C10" s="168"/>
      <c r="E10" s="120"/>
    </row>
    <row r="11" spans="1:5" x14ac:dyDescent="0.2">
      <c r="A11" s="168"/>
      <c r="B11" s="120"/>
      <c r="C11" s="168"/>
      <c r="E11" s="120"/>
    </row>
    <row r="12" spans="1:5" x14ac:dyDescent="0.2">
      <c r="A12" s="196"/>
      <c r="B12" s="120"/>
      <c r="C12" s="168"/>
      <c r="E12" s="1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A032-AD37-4EBB-BF87-9B100762CE9C}">
  <dimension ref="A1"/>
  <sheetViews>
    <sheetView workbookViewId="0">
      <selection activeCell="N24" sqref="N24"/>
    </sheetView>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W84"/>
  <sheetViews>
    <sheetView view="pageBreakPreview" zoomScale="85" zoomScaleNormal="85" zoomScaleSheetLayoutView="85" workbookViewId="0">
      <selection activeCell="Y26" sqref="Y26"/>
    </sheetView>
  </sheetViews>
  <sheetFormatPr defaultColWidth="9.140625" defaultRowHeight="15.75" x14ac:dyDescent="0.25"/>
  <cols>
    <col min="1" max="1" width="4.7109375" style="2" customWidth="1"/>
    <col min="2" max="2" width="14.7109375" style="2" bestFit="1" customWidth="1"/>
    <col min="3" max="3" width="16.85546875" style="2" customWidth="1"/>
    <col min="4" max="5" width="15" style="2" bestFit="1" customWidth="1"/>
    <col min="6" max="6" width="18.140625" style="2" bestFit="1" customWidth="1"/>
    <col min="7" max="7" width="18" style="2" bestFit="1" customWidth="1"/>
    <col min="8" max="8" width="5.7109375" style="2" customWidth="1"/>
    <col min="9" max="9" width="15.140625" style="2" hidden="1" customWidth="1"/>
    <col min="10" max="10" width="4.7109375" style="2" hidden="1" customWidth="1"/>
    <col min="11" max="11" width="21.85546875" style="2" hidden="1" customWidth="1"/>
    <col min="12" max="12" width="15.140625" style="2" hidden="1" customWidth="1"/>
    <col min="13" max="13" width="14" style="2" hidden="1" customWidth="1"/>
    <col min="14" max="14" width="13.42578125" style="2" hidden="1" customWidth="1"/>
    <col min="15" max="15" width="15.7109375" style="2" hidden="1" customWidth="1"/>
    <col min="16" max="16" width="5.85546875" style="2" hidden="1" customWidth="1"/>
    <col min="17" max="17" width="13" style="2" hidden="1" customWidth="1"/>
    <col min="18" max="18" width="15.5703125" style="2" hidden="1" customWidth="1"/>
    <col min="19" max="19" width="22.7109375" style="2" hidden="1" customWidth="1"/>
    <col min="20" max="20" width="14.42578125" style="2" hidden="1" customWidth="1"/>
    <col min="21" max="21" width="12.7109375" style="2" hidden="1" customWidth="1"/>
    <col min="22" max="22" width="2.85546875" style="2" hidden="1" customWidth="1"/>
    <col min="23" max="23" width="17.85546875" style="2" hidden="1" customWidth="1"/>
    <col min="24" max="16384" width="9.140625" style="2"/>
  </cols>
  <sheetData>
    <row r="1" spans="1:23" x14ac:dyDescent="0.25">
      <c r="A1" s="1" t="s">
        <v>66</v>
      </c>
      <c r="I1" s="1"/>
      <c r="Q1" s="1"/>
    </row>
    <row r="2" spans="1:23" x14ac:dyDescent="0.25">
      <c r="A2" s="2" t="s">
        <v>28</v>
      </c>
    </row>
    <row r="3" spans="1:23" ht="16.5" thickBot="1" x14ac:dyDescent="0.3">
      <c r="A3" s="2" t="s">
        <v>82</v>
      </c>
    </row>
    <row r="4" spans="1:23" x14ac:dyDescent="0.25">
      <c r="D4" s="601" t="s">
        <v>30</v>
      </c>
      <c r="E4" s="602"/>
      <c r="F4" s="602"/>
      <c r="G4" s="603"/>
      <c r="L4" s="601" t="s">
        <v>42</v>
      </c>
      <c r="M4" s="602"/>
      <c r="N4" s="602"/>
      <c r="O4" s="603"/>
      <c r="T4" s="601" t="s">
        <v>0</v>
      </c>
      <c r="U4" s="602"/>
      <c r="V4" s="602"/>
      <c r="W4" s="603"/>
    </row>
    <row r="5" spans="1:23" ht="16.5" thickBot="1" x14ac:dyDescent="0.3">
      <c r="A5" s="44"/>
      <c r="B5" s="54"/>
      <c r="C5" s="3"/>
      <c r="D5" s="604"/>
      <c r="E5" s="605"/>
      <c r="F5" s="605"/>
      <c r="G5" s="606"/>
      <c r="I5" s="3"/>
      <c r="J5" s="3"/>
      <c r="K5" s="3"/>
      <c r="L5" s="604"/>
      <c r="M5" s="605"/>
      <c r="N5" s="605"/>
      <c r="O5" s="606"/>
      <c r="Q5" s="3"/>
      <c r="R5" s="3"/>
      <c r="S5" s="3"/>
      <c r="T5" s="604"/>
      <c r="U5" s="605"/>
      <c r="V5" s="605"/>
      <c r="W5" s="606"/>
    </row>
    <row r="6" spans="1:23" x14ac:dyDescent="0.25">
      <c r="A6" s="4"/>
      <c r="B6" s="4"/>
      <c r="C6" s="4"/>
      <c r="D6" s="4" t="s">
        <v>1</v>
      </c>
      <c r="E6" s="4"/>
      <c r="F6" s="4"/>
      <c r="G6" s="4" t="s">
        <v>2</v>
      </c>
      <c r="I6" s="4"/>
      <c r="J6" s="4"/>
      <c r="K6" s="4"/>
      <c r="L6" s="4" t="s">
        <v>1</v>
      </c>
      <c r="M6" s="4"/>
      <c r="N6" s="4"/>
      <c r="O6" s="4" t="s">
        <v>2</v>
      </c>
      <c r="Q6" s="4"/>
      <c r="R6" s="4"/>
      <c r="S6" s="4"/>
      <c r="T6" s="4" t="s">
        <v>1</v>
      </c>
      <c r="U6" s="4"/>
      <c r="V6" s="4"/>
      <c r="W6" s="4" t="s">
        <v>2</v>
      </c>
    </row>
    <row r="7" spans="1:23" ht="16.5" thickBot="1" x14ac:dyDescent="0.3">
      <c r="A7" s="5"/>
      <c r="B7" s="5"/>
      <c r="C7" s="5"/>
      <c r="D7" s="5" t="s">
        <v>4</v>
      </c>
      <c r="E7" s="605" t="s">
        <v>5</v>
      </c>
      <c r="F7" s="605"/>
      <c r="G7" s="5" t="s">
        <v>6</v>
      </c>
      <c r="I7" s="5"/>
      <c r="J7" s="5"/>
      <c r="K7" s="5"/>
      <c r="L7" s="5" t="s">
        <v>4</v>
      </c>
      <c r="M7" s="605" t="s">
        <v>5</v>
      </c>
      <c r="N7" s="605"/>
      <c r="O7" s="5" t="s">
        <v>6</v>
      </c>
      <c r="Q7" s="5"/>
      <c r="R7" s="5"/>
      <c r="S7" s="5"/>
      <c r="T7" s="5" t="s">
        <v>4</v>
      </c>
      <c r="U7" s="605" t="s">
        <v>5</v>
      </c>
      <c r="V7" s="605"/>
      <c r="W7" s="5" t="s">
        <v>6</v>
      </c>
    </row>
    <row r="10" spans="1:23" x14ac:dyDescent="0.25">
      <c r="A10" s="1" t="s">
        <v>34</v>
      </c>
      <c r="I10" s="1" t="s">
        <v>10</v>
      </c>
      <c r="Q10" s="1" t="s">
        <v>10</v>
      </c>
    </row>
    <row r="11" spans="1:23" ht="31.5" x14ac:dyDescent="0.25">
      <c r="D11" s="6" t="s">
        <v>9</v>
      </c>
      <c r="E11" s="6" t="s">
        <v>12</v>
      </c>
      <c r="L11" s="6" t="s">
        <v>9</v>
      </c>
      <c r="M11" s="6" t="s">
        <v>12</v>
      </c>
      <c r="T11" s="6" t="s">
        <v>9</v>
      </c>
      <c r="U11" s="6" t="s">
        <v>12</v>
      </c>
    </row>
    <row r="12" spans="1:23" x14ac:dyDescent="0.25">
      <c r="B12" s="2" t="s">
        <v>43</v>
      </c>
      <c r="D12" s="8">
        <f>C46+C66</f>
        <v>878829</v>
      </c>
      <c r="E12" s="33">
        <v>0</v>
      </c>
      <c r="G12" s="11">
        <f>D12*E12</f>
        <v>0</v>
      </c>
      <c r="J12" s="2" t="s">
        <v>29</v>
      </c>
      <c r="L12" s="8">
        <f>D12</f>
        <v>878829</v>
      </c>
      <c r="M12" s="33">
        <v>28.14</v>
      </c>
      <c r="O12" s="11">
        <f>L12*M12</f>
        <v>24730248.059999999</v>
      </c>
      <c r="R12" s="2" t="s">
        <v>9</v>
      </c>
      <c r="T12" s="8">
        <f>L12</f>
        <v>878829</v>
      </c>
      <c r="U12" s="33" t="e">
        <f>#REF!</f>
        <v>#REF!</v>
      </c>
      <c r="W12" s="11" t="e">
        <f>T12*U12</f>
        <v>#REF!</v>
      </c>
    </row>
    <row r="13" spans="1:23" x14ac:dyDescent="0.25">
      <c r="D13" s="65"/>
      <c r="G13" s="11"/>
      <c r="O13" s="11"/>
      <c r="W13" s="11"/>
    </row>
    <row r="14" spans="1:23" x14ac:dyDescent="0.25">
      <c r="A14" s="1" t="s">
        <v>7</v>
      </c>
      <c r="D14" s="8"/>
      <c r="G14" s="11"/>
      <c r="I14" s="1" t="s">
        <v>7</v>
      </c>
      <c r="L14" s="8"/>
      <c r="O14" s="11"/>
      <c r="Q14" s="1" t="s">
        <v>7</v>
      </c>
      <c r="T14" s="8"/>
      <c r="W14" s="11"/>
    </row>
    <row r="15" spans="1:23" x14ac:dyDescent="0.25">
      <c r="D15" s="13" t="s">
        <v>8</v>
      </c>
      <c r="E15" s="12" t="s">
        <v>11</v>
      </c>
      <c r="G15" s="11"/>
      <c r="L15" s="13" t="s">
        <v>8</v>
      </c>
      <c r="M15" s="12" t="s">
        <v>11</v>
      </c>
      <c r="O15" s="11"/>
      <c r="T15" s="13" t="s">
        <v>8</v>
      </c>
      <c r="U15" s="12" t="s">
        <v>11</v>
      </c>
      <c r="W15" s="11"/>
    </row>
    <row r="16" spans="1:23" x14ac:dyDescent="0.25">
      <c r="B16" s="2" t="s">
        <v>23</v>
      </c>
      <c r="D16" s="8">
        <f>D46+D66</f>
        <v>822412365</v>
      </c>
      <c r="E16" s="18">
        <v>0.11964</v>
      </c>
      <c r="G16" s="33">
        <f>D16*E16</f>
        <v>98393415.3486</v>
      </c>
      <c r="J16" s="2" t="s">
        <v>32</v>
      </c>
      <c r="L16" s="8">
        <f>D18</f>
        <v>4587729</v>
      </c>
      <c r="M16" s="48">
        <v>3.0599472934085808E-2</v>
      </c>
      <c r="O16" s="11">
        <f>L16*M16</f>
        <v>140382.08936442054</v>
      </c>
      <c r="R16" s="2" t="s">
        <v>32</v>
      </c>
      <c r="T16" s="8">
        <f>L18</f>
        <v>4587729</v>
      </c>
      <c r="U16" s="48">
        <v>0</v>
      </c>
      <c r="W16" s="11">
        <f>T16*U16</f>
        <v>0</v>
      </c>
    </row>
    <row r="17" spans="1:23" x14ac:dyDescent="0.25">
      <c r="D17" s="8"/>
      <c r="E17" s="18"/>
      <c r="G17" s="34"/>
      <c r="J17" s="2" t="s">
        <v>31</v>
      </c>
      <c r="L17" s="8">
        <f>L16</f>
        <v>4587729</v>
      </c>
      <c r="M17" s="78">
        <v>4.7909326518313644E-2</v>
      </c>
      <c r="O17" s="36">
        <f>L17*M17</f>
        <v>219795.00663853655</v>
      </c>
      <c r="R17" s="2" t="s">
        <v>31</v>
      </c>
      <c r="T17" s="8">
        <f>T16</f>
        <v>4587729</v>
      </c>
      <c r="U17" s="78">
        <v>0</v>
      </c>
      <c r="W17" s="36">
        <f>T17*U17</f>
        <v>0</v>
      </c>
    </row>
    <row r="18" spans="1:23" x14ac:dyDescent="0.25">
      <c r="B18" s="2" t="s">
        <v>18</v>
      </c>
      <c r="C18" s="16"/>
      <c r="D18" s="8">
        <v>4587729</v>
      </c>
      <c r="E18" s="18">
        <f>E16</f>
        <v>0.11964</v>
      </c>
      <c r="G18" s="33">
        <f>D18*E18</f>
        <v>548875.89755999995</v>
      </c>
      <c r="J18" s="7" t="s">
        <v>27</v>
      </c>
      <c r="K18" s="7"/>
      <c r="L18" s="17">
        <f>L16</f>
        <v>4587729</v>
      </c>
      <c r="M18" s="70">
        <v>1.994013128609894E-2</v>
      </c>
      <c r="N18" s="7"/>
      <c r="O18" s="37">
        <f>L18*M18</f>
        <v>91479.918565043408</v>
      </c>
      <c r="R18" s="7" t="s">
        <v>27</v>
      </c>
      <c r="S18" s="7"/>
      <c r="T18" s="17">
        <f>T16</f>
        <v>4587729</v>
      </c>
      <c r="U18" s="70">
        <v>0</v>
      </c>
      <c r="V18" s="7"/>
      <c r="W18" s="37">
        <f>T18*U18</f>
        <v>0</v>
      </c>
    </row>
    <row r="19" spans="1:23" x14ac:dyDescent="0.25">
      <c r="A19" s="1"/>
      <c r="G19" s="11"/>
      <c r="K19" s="16"/>
      <c r="L19" s="8"/>
      <c r="M19" s="48">
        <f>SUM(M16:M18)</f>
        <v>9.8448930738498391E-2</v>
      </c>
      <c r="O19" s="11">
        <f>SUM(O16:O18)</f>
        <v>451657.01456800051</v>
      </c>
      <c r="S19" s="16"/>
      <c r="T19" s="8"/>
      <c r="U19" s="48">
        <f>SUM(U16:U18)</f>
        <v>0</v>
      </c>
      <c r="W19" s="11">
        <f>SUM(W16:W18)</f>
        <v>0</v>
      </c>
    </row>
    <row r="20" spans="1:23" x14ac:dyDescent="0.25">
      <c r="A20" s="1"/>
      <c r="E20" s="60"/>
      <c r="G20" s="11"/>
      <c r="H20" s="15"/>
      <c r="P20" s="15"/>
    </row>
    <row r="21" spans="1:23" x14ac:dyDescent="0.25">
      <c r="A21" s="1"/>
      <c r="G21" s="11"/>
      <c r="H21" s="11"/>
      <c r="I21" s="1"/>
      <c r="L21" s="8"/>
      <c r="M21" s="69"/>
      <c r="O21" s="11"/>
      <c r="P21" s="11"/>
      <c r="Q21" s="1"/>
      <c r="T21" s="8"/>
      <c r="U21" s="69"/>
      <c r="W21" s="11"/>
    </row>
    <row r="22" spans="1:23" ht="16.5" thickBot="1" x14ac:dyDescent="0.3">
      <c r="A22" s="1" t="s">
        <v>80</v>
      </c>
      <c r="G22" s="24">
        <f>G12+G16+G18</f>
        <v>98942291.246160001</v>
      </c>
      <c r="H22" s="11"/>
      <c r="I22" s="1"/>
      <c r="L22" s="8"/>
      <c r="M22" s="18"/>
      <c r="O22" s="11"/>
      <c r="P22" s="11"/>
      <c r="Q22" s="1"/>
      <c r="T22" s="8"/>
      <c r="U22" s="18"/>
      <c r="W22" s="11"/>
    </row>
    <row r="23" spans="1:23" ht="17.25" thickTop="1" thickBot="1" x14ac:dyDescent="0.3">
      <c r="A23" s="1"/>
      <c r="B23" s="1"/>
      <c r="G23" s="11"/>
      <c r="H23" s="11"/>
      <c r="I23" s="1" t="s">
        <v>36</v>
      </c>
      <c r="O23" s="24">
        <f>O12+O19+O21</f>
        <v>25181905.074568</v>
      </c>
      <c r="P23" s="11"/>
      <c r="Q23" s="1" t="s">
        <v>36</v>
      </c>
      <c r="W23" s="24" t="e">
        <f>W12+W19+W21</f>
        <v>#REF!</v>
      </c>
    </row>
    <row r="24" spans="1:23" ht="16.5" thickTop="1" x14ac:dyDescent="0.25">
      <c r="A24" s="1" t="s">
        <v>19</v>
      </c>
      <c r="B24" s="10"/>
      <c r="G24" s="11">
        <f>E46+F46+E66+F66</f>
        <v>99247908.379999995</v>
      </c>
      <c r="I24" s="1"/>
      <c r="J24" s="1"/>
      <c r="O24" s="10"/>
      <c r="Q24" s="1"/>
      <c r="R24" s="1"/>
      <c r="W24" s="10"/>
    </row>
    <row r="25" spans="1:23" x14ac:dyDescent="0.25">
      <c r="A25" s="10"/>
      <c r="B25" s="11"/>
      <c r="G25" s="10"/>
      <c r="I25" s="1" t="s">
        <v>13</v>
      </c>
      <c r="J25" s="10"/>
      <c r="O25" s="22">
        <f>O23-G22</f>
        <v>-73760386.171591997</v>
      </c>
      <c r="Q25" s="1" t="s">
        <v>13</v>
      </c>
      <c r="R25" s="10"/>
      <c r="W25" s="22" t="e">
        <f>W23-G22</f>
        <v>#REF!</v>
      </c>
    </row>
    <row r="26" spans="1:23" x14ac:dyDescent="0.25">
      <c r="A26" s="1" t="s">
        <v>13</v>
      </c>
      <c r="B26" s="10"/>
      <c r="G26" s="22">
        <f>G22-G24</f>
        <v>-305617.13383999467</v>
      </c>
      <c r="H26" s="15"/>
      <c r="I26" s="10"/>
      <c r="J26" s="22"/>
      <c r="O26" s="11"/>
      <c r="P26" s="15"/>
      <c r="Q26" s="10"/>
      <c r="R26" s="22"/>
      <c r="W26" s="11"/>
    </row>
    <row r="27" spans="1:23" x14ac:dyDescent="0.25">
      <c r="A27" s="10"/>
      <c r="B27" s="22"/>
      <c r="G27" s="11"/>
      <c r="I27" s="1" t="s">
        <v>26</v>
      </c>
      <c r="J27" s="11"/>
      <c r="O27" s="23">
        <f>O25/G24</f>
        <v>-0.74319335667184572</v>
      </c>
      <c r="Q27" s="1" t="s">
        <v>26</v>
      </c>
      <c r="R27" s="11"/>
      <c r="W27" s="23" t="e">
        <f>W25/G22</f>
        <v>#REF!</v>
      </c>
    </row>
    <row r="28" spans="1:23" x14ac:dyDescent="0.25">
      <c r="A28" s="1" t="s">
        <v>26</v>
      </c>
      <c r="B28" s="11"/>
      <c r="G28" s="23">
        <f>G26/G24</f>
        <v>-3.0793307267479031E-3</v>
      </c>
    </row>
    <row r="29" spans="1:23" x14ac:dyDescent="0.25">
      <c r="I29" s="1"/>
      <c r="O29" s="11"/>
      <c r="W29" s="11"/>
    </row>
    <row r="30" spans="1:23" x14ac:dyDescent="0.25">
      <c r="E30" s="11"/>
    </row>
    <row r="31" spans="1:23" x14ac:dyDescent="0.25">
      <c r="C31" s="41" t="s">
        <v>69</v>
      </c>
      <c r="D31" s="41"/>
      <c r="E31" s="41"/>
      <c r="F31" s="41"/>
      <c r="G31" s="41"/>
      <c r="H31" s="41"/>
      <c r="I31" s="41"/>
      <c r="R31" s="41"/>
    </row>
    <row r="32" spans="1:23" x14ac:dyDescent="0.25">
      <c r="C32" s="41"/>
      <c r="D32" s="41"/>
      <c r="E32" s="41"/>
      <c r="F32" s="41"/>
      <c r="G32" s="41"/>
      <c r="H32" s="41"/>
      <c r="I32" s="41"/>
      <c r="R32" s="54"/>
      <c r="S32" s="41"/>
    </row>
    <row r="33" spans="1:19" x14ac:dyDescent="0.25">
      <c r="A33" s="11"/>
      <c r="C33" s="41" t="s">
        <v>37</v>
      </c>
      <c r="D33" s="41" t="s">
        <v>44</v>
      </c>
      <c r="E33" s="41" t="s">
        <v>67</v>
      </c>
      <c r="F33" s="41" t="s">
        <v>68</v>
      </c>
      <c r="H33" s="41"/>
      <c r="I33" s="41"/>
      <c r="R33" s="54"/>
      <c r="S33" s="41"/>
    </row>
    <row r="34" spans="1:19" x14ac:dyDescent="0.25">
      <c r="A34" s="11"/>
      <c r="B34" s="86">
        <v>40544</v>
      </c>
      <c r="C34" s="41">
        <v>40453</v>
      </c>
      <c r="D34" s="41">
        <v>47254873</v>
      </c>
      <c r="F34" s="61">
        <v>5708372.1200000001</v>
      </c>
      <c r="G34" s="61"/>
      <c r="H34" s="41"/>
      <c r="I34" s="71"/>
      <c r="R34" s="41"/>
      <c r="S34" s="41"/>
    </row>
    <row r="35" spans="1:19" x14ac:dyDescent="0.25">
      <c r="A35" s="11"/>
      <c r="B35" s="86">
        <v>40575</v>
      </c>
      <c r="C35" s="41">
        <v>40440</v>
      </c>
      <c r="D35" s="41">
        <v>44903940</v>
      </c>
      <c r="F35" s="61">
        <v>5426631.7800000003</v>
      </c>
      <c r="G35" s="61"/>
      <c r="H35" s="41"/>
      <c r="I35" s="71"/>
      <c r="R35" s="41"/>
      <c r="S35" s="41"/>
    </row>
    <row r="36" spans="1:19" x14ac:dyDescent="0.25">
      <c r="A36" s="10"/>
      <c r="B36" s="86">
        <v>40603</v>
      </c>
      <c r="C36" s="41">
        <v>40430</v>
      </c>
      <c r="D36" s="41">
        <v>37832486</v>
      </c>
      <c r="F36" s="61">
        <v>4587610.34</v>
      </c>
      <c r="G36" s="61"/>
      <c r="H36" s="41"/>
      <c r="I36" s="71"/>
      <c r="R36" s="41"/>
      <c r="S36" s="41"/>
    </row>
    <row r="37" spans="1:19" x14ac:dyDescent="0.25">
      <c r="A37" s="22"/>
      <c r="B37" s="86">
        <v>40634</v>
      </c>
      <c r="C37" s="41">
        <v>40432</v>
      </c>
      <c r="D37" s="41">
        <v>36808941</v>
      </c>
      <c r="F37" s="61">
        <v>4463624.74</v>
      </c>
      <c r="G37" s="61"/>
      <c r="H37" s="41"/>
      <c r="I37" s="71"/>
      <c r="R37" s="41"/>
      <c r="S37" s="41"/>
    </row>
    <row r="38" spans="1:19" x14ac:dyDescent="0.25">
      <c r="A38" s="11"/>
      <c r="B38" s="86">
        <v>40664</v>
      </c>
      <c r="C38" s="41">
        <v>40421</v>
      </c>
      <c r="D38" s="41">
        <v>31736684</v>
      </c>
      <c r="F38" s="61">
        <v>3860643.03</v>
      </c>
      <c r="G38" s="61"/>
      <c r="H38" s="41"/>
      <c r="I38" s="71"/>
      <c r="R38" s="41"/>
      <c r="S38" s="41"/>
    </row>
    <row r="39" spans="1:19" x14ac:dyDescent="0.25">
      <c r="A39" s="23"/>
      <c r="B39" s="86">
        <v>40695</v>
      </c>
      <c r="C39" s="41">
        <v>40422</v>
      </c>
      <c r="D39" s="41">
        <v>30238497</v>
      </c>
      <c r="F39" s="61">
        <v>3678583.0100000002</v>
      </c>
      <c r="G39" s="61"/>
      <c r="H39" s="41"/>
      <c r="I39" s="71"/>
      <c r="R39" s="41"/>
      <c r="S39" s="41"/>
    </row>
    <row r="40" spans="1:19" x14ac:dyDescent="0.25">
      <c r="B40" s="86">
        <v>40725</v>
      </c>
      <c r="C40" s="41">
        <v>40485</v>
      </c>
      <c r="D40" s="41">
        <v>30153828</v>
      </c>
      <c r="F40" s="61">
        <v>3667109.75</v>
      </c>
      <c r="G40" s="61"/>
      <c r="H40" s="41"/>
      <c r="I40" s="71"/>
      <c r="R40" s="41"/>
      <c r="S40" s="41"/>
    </row>
    <row r="41" spans="1:19" x14ac:dyDescent="0.25">
      <c r="B41" s="86">
        <v>40756</v>
      </c>
      <c r="C41" s="41">
        <v>40486</v>
      </c>
      <c r="D41" s="41">
        <v>27740784</v>
      </c>
      <c r="F41" s="61">
        <v>3383060.9699999997</v>
      </c>
      <c r="G41" s="61"/>
      <c r="H41" s="41"/>
      <c r="I41" s="71"/>
      <c r="R41" s="41"/>
      <c r="S41" s="41"/>
    </row>
    <row r="42" spans="1:19" x14ac:dyDescent="0.25">
      <c r="B42" s="86">
        <v>40422</v>
      </c>
      <c r="C42" s="41">
        <v>40415</v>
      </c>
      <c r="D42" s="41">
        <v>30072287</v>
      </c>
      <c r="F42" s="61">
        <v>3656481.8000000003</v>
      </c>
      <c r="G42" s="61"/>
      <c r="H42" s="41"/>
      <c r="I42" s="71"/>
      <c r="R42" s="41"/>
      <c r="S42" s="41"/>
    </row>
    <row r="43" spans="1:19" x14ac:dyDescent="0.25">
      <c r="B43" s="86">
        <v>40452</v>
      </c>
      <c r="C43" s="41">
        <v>40462</v>
      </c>
      <c r="D43" s="41">
        <v>27603624</v>
      </c>
      <c r="F43" s="61">
        <v>3366388.23</v>
      </c>
      <c r="G43" s="61"/>
      <c r="H43" s="41"/>
      <c r="I43" s="71"/>
      <c r="R43" s="41"/>
      <c r="S43" s="41"/>
    </row>
    <row r="44" spans="1:19" ht="16.5" customHeight="1" x14ac:dyDescent="0.25">
      <c r="B44" s="86">
        <v>40483</v>
      </c>
      <c r="C44" s="41">
        <v>40451</v>
      </c>
      <c r="D44" s="41">
        <v>32012599</v>
      </c>
      <c r="F44" s="61">
        <v>3891371.3200000003</v>
      </c>
      <c r="G44" s="61"/>
      <c r="H44" s="41"/>
      <c r="I44" s="71"/>
      <c r="R44" s="41"/>
      <c r="S44" s="41"/>
    </row>
    <row r="45" spans="1:19" x14ac:dyDescent="0.25">
      <c r="B45" s="86">
        <v>40513</v>
      </c>
      <c r="C45" s="53">
        <v>40449</v>
      </c>
      <c r="D45" s="53">
        <v>40242704</v>
      </c>
      <c r="E45" s="7"/>
      <c r="F45" s="87">
        <v>4872298.49</v>
      </c>
      <c r="G45" s="61"/>
      <c r="H45" s="41"/>
      <c r="I45" s="71"/>
      <c r="R45" s="41"/>
      <c r="S45" s="41"/>
    </row>
    <row r="46" spans="1:19" x14ac:dyDescent="0.25">
      <c r="C46" s="41">
        <f>SUM(C34:C45)</f>
        <v>485346</v>
      </c>
      <c r="D46" s="41">
        <f>SUM(D34:D45)</f>
        <v>416601247</v>
      </c>
      <c r="E46" s="67">
        <f>SUM(E34:E45)</f>
        <v>0</v>
      </c>
      <c r="F46" s="67">
        <f>SUM(F34:F45)</f>
        <v>50562175.579999998</v>
      </c>
      <c r="G46" s="61"/>
      <c r="H46" s="41"/>
      <c r="I46" s="71"/>
      <c r="R46" s="41"/>
      <c r="S46" s="41"/>
    </row>
    <row r="47" spans="1:19" x14ac:dyDescent="0.25">
      <c r="C47" s="41"/>
      <c r="D47" s="41"/>
      <c r="F47" s="41"/>
      <c r="G47" s="41"/>
      <c r="H47" s="41"/>
      <c r="I47" s="41"/>
      <c r="R47" s="41"/>
      <c r="S47" s="41"/>
    </row>
    <row r="48" spans="1:19" x14ac:dyDescent="0.25">
      <c r="C48" s="41"/>
      <c r="D48" s="41"/>
      <c r="F48" s="41"/>
      <c r="G48" s="41"/>
      <c r="H48" s="41"/>
      <c r="I48" s="41"/>
      <c r="R48" s="41"/>
      <c r="S48" s="41"/>
    </row>
    <row r="51" spans="2:19" x14ac:dyDescent="0.25">
      <c r="C51" s="41" t="s">
        <v>70</v>
      </c>
      <c r="D51" s="41"/>
      <c r="F51" s="41"/>
      <c r="G51" s="41"/>
      <c r="H51" s="41"/>
      <c r="I51" s="41"/>
      <c r="R51" s="41"/>
      <c r="S51" s="41"/>
    </row>
    <row r="52" spans="2:19" x14ac:dyDescent="0.25">
      <c r="C52" s="41"/>
      <c r="D52" s="41"/>
      <c r="E52" s="41"/>
      <c r="F52" s="41"/>
      <c r="G52" s="41"/>
      <c r="H52" s="41"/>
      <c r="I52" s="41"/>
      <c r="R52" s="54"/>
      <c r="S52" s="41"/>
    </row>
    <row r="53" spans="2:19" x14ac:dyDescent="0.25">
      <c r="C53" s="41" t="s">
        <v>37</v>
      </c>
      <c r="D53" s="41" t="s">
        <v>44</v>
      </c>
      <c r="E53" s="41" t="s">
        <v>67</v>
      </c>
      <c r="F53" s="41" t="s">
        <v>68</v>
      </c>
      <c r="H53" s="41"/>
      <c r="I53" s="41"/>
      <c r="R53" s="54"/>
      <c r="S53" s="41"/>
    </row>
    <row r="54" spans="2:19" x14ac:dyDescent="0.25">
      <c r="B54" s="86">
        <v>40544</v>
      </c>
      <c r="C54" s="41">
        <v>32711</v>
      </c>
      <c r="D54" s="71">
        <v>38739095</v>
      </c>
      <c r="E54" s="65"/>
      <c r="F54" s="41">
        <v>4642858.4400000004</v>
      </c>
      <c r="G54" s="41"/>
      <c r="H54" s="69"/>
      <c r="I54" s="61"/>
      <c r="R54" s="41"/>
      <c r="S54" s="41"/>
    </row>
    <row r="55" spans="2:19" x14ac:dyDescent="0.25">
      <c r="B55" s="86">
        <v>40575</v>
      </c>
      <c r="C55" s="41">
        <v>32658</v>
      </c>
      <c r="D55" s="71">
        <v>33796946</v>
      </c>
      <c r="E55" s="65"/>
      <c r="F55" s="41">
        <v>4051304.51</v>
      </c>
      <c r="G55" s="41"/>
      <c r="H55" s="69"/>
      <c r="I55" s="61"/>
      <c r="R55" s="41"/>
      <c r="S55" s="41"/>
    </row>
    <row r="56" spans="2:19" x14ac:dyDescent="0.25">
      <c r="B56" s="86">
        <v>40603</v>
      </c>
      <c r="C56" s="41">
        <v>32654</v>
      </c>
      <c r="D56" s="71">
        <v>29219051</v>
      </c>
      <c r="E56" s="65"/>
      <c r="F56" s="41">
        <v>3506038.41</v>
      </c>
      <c r="G56" s="41"/>
      <c r="H56" s="69"/>
      <c r="I56" s="61"/>
      <c r="R56" s="41"/>
      <c r="S56" s="41"/>
    </row>
    <row r="57" spans="2:19" x14ac:dyDescent="0.25">
      <c r="B57" s="86">
        <v>40634</v>
      </c>
      <c r="C57" s="41">
        <v>32666</v>
      </c>
      <c r="D57" s="71">
        <v>29963026</v>
      </c>
      <c r="E57" s="65"/>
      <c r="F57" s="41">
        <v>3595041.32</v>
      </c>
      <c r="G57" s="41"/>
      <c r="H57" s="69"/>
      <c r="I57" s="61"/>
      <c r="R57" s="41"/>
      <c r="S57" s="41"/>
    </row>
    <row r="58" spans="2:19" x14ac:dyDescent="0.25">
      <c r="B58" s="86">
        <v>40664</v>
      </c>
      <c r="C58" s="41">
        <v>32663</v>
      </c>
      <c r="D58" s="71">
        <v>27226378</v>
      </c>
      <c r="E58" s="65"/>
      <c r="F58" s="41">
        <v>3269294.02</v>
      </c>
      <c r="G58" s="41"/>
      <c r="H58" s="69"/>
      <c r="I58" s="61"/>
      <c r="R58" s="41"/>
      <c r="S58" s="41"/>
    </row>
    <row r="59" spans="2:19" x14ac:dyDescent="0.25">
      <c r="B59" s="86">
        <v>40695</v>
      </c>
      <c r="C59" s="41">
        <v>32674</v>
      </c>
      <c r="D59" s="71">
        <v>29585978</v>
      </c>
      <c r="E59" s="65"/>
      <c r="F59" s="41">
        <v>3553380.98</v>
      </c>
      <c r="G59" s="41"/>
      <c r="H59" s="69"/>
      <c r="I59" s="61"/>
      <c r="R59" s="41"/>
      <c r="S59" s="41"/>
    </row>
    <row r="60" spans="2:19" x14ac:dyDescent="0.25">
      <c r="B60" s="86">
        <v>40725</v>
      </c>
      <c r="C60" s="41">
        <v>32708</v>
      </c>
      <c r="D60" s="71">
        <v>40545480</v>
      </c>
      <c r="E60" s="65"/>
      <c r="F60" s="41">
        <v>4862924.8499999996</v>
      </c>
      <c r="G60" s="41"/>
      <c r="H60" s="69"/>
      <c r="I60" s="61"/>
      <c r="R60" s="41"/>
      <c r="S60" s="41"/>
    </row>
    <row r="61" spans="2:19" x14ac:dyDescent="0.25">
      <c r="B61" s="86">
        <v>40756</v>
      </c>
      <c r="C61" s="41">
        <v>32723</v>
      </c>
      <c r="D61" s="71">
        <v>42893395</v>
      </c>
      <c r="E61" s="65"/>
      <c r="F61" s="41">
        <v>5143921.6100000003</v>
      </c>
      <c r="G61" s="41"/>
      <c r="H61" s="69"/>
      <c r="I61" s="61"/>
      <c r="R61" s="41"/>
      <c r="S61" s="41"/>
    </row>
    <row r="62" spans="2:19" x14ac:dyDescent="0.25">
      <c r="B62" s="86">
        <v>40422</v>
      </c>
      <c r="C62" s="41">
        <v>32970</v>
      </c>
      <c r="D62" s="71">
        <v>41034418</v>
      </c>
      <c r="E62" s="65"/>
      <c r="F62" s="41">
        <v>4921012.88</v>
      </c>
      <c r="G62" s="41"/>
      <c r="H62" s="69"/>
      <c r="I62" s="61"/>
      <c r="R62" s="41"/>
      <c r="S62" s="41"/>
    </row>
    <row r="63" spans="2:19" x14ac:dyDescent="0.25">
      <c r="B63" s="86">
        <v>40452</v>
      </c>
      <c r="C63" s="41">
        <v>32979</v>
      </c>
      <c r="D63" s="71">
        <v>30703514</v>
      </c>
      <c r="E63" s="65"/>
      <c r="F63" s="41">
        <v>3686879.15</v>
      </c>
      <c r="G63" s="41"/>
      <c r="H63" s="69"/>
      <c r="I63" s="61"/>
      <c r="R63" s="41"/>
      <c r="S63" s="41"/>
    </row>
    <row r="64" spans="2:19" x14ac:dyDescent="0.25">
      <c r="B64" s="86">
        <v>40483</v>
      </c>
      <c r="C64" s="41">
        <v>33022</v>
      </c>
      <c r="D64" s="71">
        <v>28826499</v>
      </c>
      <c r="E64" s="65"/>
      <c r="F64" s="41">
        <v>3461400.44</v>
      </c>
      <c r="G64" s="41"/>
      <c r="H64" s="69"/>
      <c r="I64" s="61"/>
      <c r="R64" s="41"/>
      <c r="S64" s="41"/>
    </row>
    <row r="65" spans="2:19" x14ac:dyDescent="0.25">
      <c r="B65" s="86">
        <v>40513</v>
      </c>
      <c r="C65" s="53">
        <v>33055</v>
      </c>
      <c r="D65" s="76">
        <v>33277338</v>
      </c>
      <c r="E65" s="77"/>
      <c r="F65" s="53">
        <v>3991676.19</v>
      </c>
      <c r="G65" s="41"/>
      <c r="H65" s="69"/>
      <c r="I65" s="61"/>
      <c r="R65" s="41"/>
      <c r="S65" s="41"/>
    </row>
    <row r="66" spans="2:19" x14ac:dyDescent="0.25">
      <c r="C66" s="41">
        <f>SUM(C54:C65)</f>
        <v>393483</v>
      </c>
      <c r="D66" s="71">
        <f>SUM(D54:D65)</f>
        <v>405811118</v>
      </c>
      <c r="E66" s="67">
        <f>SUM(E54:E65)</f>
        <v>0</v>
      </c>
      <c r="F66" s="67">
        <f>SUM(F54:F65)</f>
        <v>48685732.799999997</v>
      </c>
      <c r="G66" s="67"/>
      <c r="H66" s="41"/>
      <c r="I66" s="41"/>
      <c r="R66" s="41"/>
      <c r="S66" s="41"/>
    </row>
    <row r="67" spans="2:19" x14ac:dyDescent="0.25">
      <c r="C67" s="41"/>
      <c r="D67" s="41"/>
      <c r="F67" s="41"/>
      <c r="G67" s="41"/>
      <c r="H67" s="41"/>
      <c r="I67" s="41"/>
      <c r="R67" s="41"/>
      <c r="S67" s="41"/>
    </row>
    <row r="68" spans="2:19" x14ac:dyDescent="0.25">
      <c r="C68" s="41"/>
      <c r="D68" s="71"/>
      <c r="F68" s="41"/>
      <c r="G68" s="41"/>
      <c r="H68" s="41"/>
      <c r="I68" s="41"/>
      <c r="R68" s="41"/>
      <c r="S68" s="41"/>
    </row>
    <row r="71" spans="2:19" x14ac:dyDescent="0.25">
      <c r="C71" s="41"/>
      <c r="D71" s="41"/>
    </row>
    <row r="72" spans="2:19" x14ac:dyDescent="0.25">
      <c r="C72" s="43"/>
      <c r="D72" s="50"/>
      <c r="E72" s="55"/>
    </row>
    <row r="73" spans="2:19" x14ac:dyDescent="0.25">
      <c r="C73" s="43"/>
      <c r="D73" s="50"/>
      <c r="E73" s="55"/>
    </row>
    <row r="74" spans="2:19" x14ac:dyDescent="0.25">
      <c r="C74" s="43"/>
      <c r="D74" s="50"/>
      <c r="E74" s="55"/>
    </row>
    <row r="75" spans="2:19" x14ac:dyDescent="0.25">
      <c r="C75" s="43"/>
      <c r="D75" s="50"/>
      <c r="E75" s="55"/>
    </row>
    <row r="76" spans="2:19" x14ac:dyDescent="0.25">
      <c r="C76" s="43"/>
      <c r="D76" s="50"/>
      <c r="E76" s="55"/>
    </row>
    <row r="77" spans="2:19" x14ac:dyDescent="0.25">
      <c r="C77" s="43"/>
      <c r="D77" s="50"/>
      <c r="E77" s="55"/>
    </row>
    <row r="78" spans="2:19" x14ac:dyDescent="0.25">
      <c r="C78" s="43"/>
      <c r="D78" s="50"/>
      <c r="E78" s="55"/>
    </row>
    <row r="79" spans="2:19" x14ac:dyDescent="0.25">
      <c r="C79" s="43"/>
      <c r="D79" s="50"/>
      <c r="E79" s="55"/>
    </row>
    <row r="80" spans="2:19" x14ac:dyDescent="0.25">
      <c r="C80" s="43"/>
      <c r="D80" s="50"/>
      <c r="E80" s="55"/>
    </row>
    <row r="81" spans="3:5" x14ac:dyDescent="0.25">
      <c r="C81" s="43"/>
      <c r="D81" s="50"/>
      <c r="E81" s="55"/>
    </row>
    <row r="82" spans="3:5" x14ac:dyDescent="0.25">
      <c r="C82" s="43"/>
      <c r="D82" s="50"/>
      <c r="E82" s="55"/>
    </row>
    <row r="83" spans="3:5" x14ac:dyDescent="0.25">
      <c r="C83" s="43"/>
      <c r="D83" s="50"/>
      <c r="E83" s="55"/>
    </row>
    <row r="84" spans="3:5" x14ac:dyDescent="0.25">
      <c r="D84" s="50"/>
    </row>
  </sheetData>
  <mergeCells count="6">
    <mergeCell ref="D4:G5"/>
    <mergeCell ref="E7:F7"/>
    <mergeCell ref="T4:W5"/>
    <mergeCell ref="U7:V7"/>
    <mergeCell ref="L4:O5"/>
    <mergeCell ref="M7:N7"/>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pageSetUpPr fitToPage="1"/>
  </sheetPr>
  <dimension ref="A1:W106"/>
  <sheetViews>
    <sheetView view="pageBreakPreview" topLeftCell="A4" zoomScale="85" zoomScaleNormal="85" zoomScaleSheetLayoutView="85" workbookViewId="0">
      <selection activeCell="Y26" sqref="Y26"/>
    </sheetView>
  </sheetViews>
  <sheetFormatPr defaultColWidth="9.140625" defaultRowHeight="15.75" x14ac:dyDescent="0.25"/>
  <cols>
    <col min="1" max="1" width="4.7109375" style="2" customWidth="1"/>
    <col min="2" max="2" width="15" style="2" bestFit="1" customWidth="1"/>
    <col min="3" max="3" width="22.28515625" style="2" customWidth="1"/>
    <col min="4" max="4" width="14.5703125" style="2" bestFit="1" customWidth="1"/>
    <col min="5" max="5" width="17" style="2" customWidth="1"/>
    <col min="6" max="6" width="2.7109375" style="2" customWidth="1"/>
    <col min="7" max="7" width="18" style="2" bestFit="1" customWidth="1"/>
    <col min="8" max="8" width="10" style="2" customWidth="1"/>
    <col min="9" max="10" width="4.7109375" style="2" customWidth="1"/>
    <col min="11" max="11" width="19.85546875" style="2" customWidth="1"/>
    <col min="12" max="12" width="14.5703125" style="2" customWidth="1"/>
    <col min="13" max="13" width="20.85546875" style="2" hidden="1" customWidth="1"/>
    <col min="14" max="14" width="2.7109375" style="2" hidden="1" customWidth="1"/>
    <col min="15" max="15" width="15.5703125" style="2" hidden="1" customWidth="1"/>
    <col min="16" max="16" width="10.28515625" style="2" hidden="1" customWidth="1"/>
    <col min="17" max="17" width="5" style="2" hidden="1" customWidth="1"/>
    <col min="18" max="18" width="9.140625" style="2" hidden="1" customWidth="1"/>
    <col min="19" max="19" width="22.7109375" style="2" hidden="1" customWidth="1"/>
    <col min="20" max="20" width="14.42578125" style="2" hidden="1" customWidth="1"/>
    <col min="21" max="21" width="12.7109375" style="2" hidden="1" customWidth="1"/>
    <col min="22" max="22" width="2.85546875" style="2" hidden="1" customWidth="1"/>
    <col min="23" max="23" width="17.7109375" style="2" hidden="1" customWidth="1"/>
    <col min="24" max="16384" width="9.140625" style="2"/>
  </cols>
  <sheetData>
    <row r="1" spans="1:23" x14ac:dyDescent="0.25">
      <c r="A1" s="1" t="s">
        <v>66</v>
      </c>
      <c r="I1" s="1"/>
      <c r="Q1" s="1"/>
    </row>
    <row r="2" spans="1:23" x14ac:dyDescent="0.25">
      <c r="A2" s="2" t="s">
        <v>73</v>
      </c>
    </row>
    <row r="3" spans="1:23" ht="16.5" thickBot="1" x14ac:dyDescent="0.3">
      <c r="A3" s="2" t="s">
        <v>83</v>
      </c>
    </row>
    <row r="4" spans="1:23" x14ac:dyDescent="0.25">
      <c r="D4" s="601" t="s">
        <v>30</v>
      </c>
      <c r="E4" s="602"/>
      <c r="F4" s="602"/>
      <c r="G4" s="603"/>
      <c r="L4" s="601" t="s">
        <v>47</v>
      </c>
      <c r="M4" s="602"/>
      <c r="N4" s="602"/>
      <c r="O4" s="603"/>
      <c r="T4" s="601" t="s">
        <v>51</v>
      </c>
      <c r="U4" s="602"/>
      <c r="V4" s="602"/>
      <c r="W4" s="603"/>
    </row>
    <row r="5" spans="1:23" ht="16.5" thickBot="1" x14ac:dyDescent="0.3">
      <c r="A5" s="3"/>
      <c r="B5" s="3"/>
      <c r="C5" s="3"/>
      <c r="D5" s="604"/>
      <c r="E5" s="605"/>
      <c r="F5" s="605"/>
      <c r="G5" s="606"/>
      <c r="I5" s="3"/>
      <c r="J5" s="3"/>
      <c r="K5" s="3"/>
      <c r="L5" s="604"/>
      <c r="M5" s="605"/>
      <c r="N5" s="605"/>
      <c r="O5" s="606"/>
      <c r="Q5" s="3"/>
      <c r="R5" s="3"/>
      <c r="S5" s="3"/>
      <c r="T5" s="604"/>
      <c r="U5" s="605"/>
      <c r="V5" s="605"/>
      <c r="W5" s="606"/>
    </row>
    <row r="6" spans="1:23" x14ac:dyDescent="0.25">
      <c r="A6" s="4"/>
      <c r="B6" s="4"/>
      <c r="C6" s="4"/>
      <c r="D6" s="4" t="s">
        <v>1</v>
      </c>
      <c r="E6" s="4"/>
      <c r="F6" s="4"/>
      <c r="G6" s="4" t="s">
        <v>2</v>
      </c>
      <c r="I6" s="4"/>
      <c r="J6" s="4"/>
      <c r="K6" s="4"/>
      <c r="L6" s="4" t="s">
        <v>1</v>
      </c>
      <c r="M6" s="4"/>
      <c r="N6" s="4"/>
      <c r="O6" s="4" t="s">
        <v>2</v>
      </c>
      <c r="Q6" s="4"/>
      <c r="R6" s="4"/>
      <c r="S6" s="4"/>
      <c r="T6" s="4" t="s">
        <v>1</v>
      </c>
      <c r="U6" s="4"/>
      <c r="V6" s="4"/>
      <c r="W6" s="4" t="s">
        <v>2</v>
      </c>
    </row>
    <row r="7" spans="1:23" ht="16.5" thickBot="1" x14ac:dyDescent="0.3">
      <c r="A7" s="5"/>
      <c r="B7" s="5"/>
      <c r="C7" s="5"/>
      <c r="D7" s="5" t="s">
        <v>4</v>
      </c>
      <c r="E7" s="605" t="s">
        <v>5</v>
      </c>
      <c r="F7" s="605"/>
      <c r="G7" s="5" t="s">
        <v>6</v>
      </c>
      <c r="I7" s="5"/>
      <c r="J7" s="5"/>
      <c r="K7" s="5"/>
      <c r="L7" s="5" t="s">
        <v>4</v>
      </c>
      <c r="M7" s="605" t="s">
        <v>5</v>
      </c>
      <c r="N7" s="605"/>
      <c r="O7" s="5" t="s">
        <v>6</v>
      </c>
      <c r="Q7" s="5"/>
      <c r="R7" s="5"/>
      <c r="S7" s="5"/>
      <c r="T7" s="5" t="s">
        <v>4</v>
      </c>
      <c r="U7" s="605" t="s">
        <v>5</v>
      </c>
      <c r="V7" s="605"/>
      <c r="W7" s="5" t="s">
        <v>6</v>
      </c>
    </row>
    <row r="10" spans="1:23" x14ac:dyDescent="0.25">
      <c r="A10" s="1" t="s">
        <v>34</v>
      </c>
      <c r="I10" s="1" t="s">
        <v>34</v>
      </c>
      <c r="Q10" s="1" t="s">
        <v>10</v>
      </c>
    </row>
    <row r="11" spans="1:23" ht="31.5" x14ac:dyDescent="0.25">
      <c r="D11" s="6" t="s">
        <v>9</v>
      </c>
      <c r="E11" s="6" t="s">
        <v>12</v>
      </c>
      <c r="L11" s="6" t="s">
        <v>9</v>
      </c>
      <c r="M11" s="6" t="s">
        <v>12</v>
      </c>
      <c r="T11" s="6" t="s">
        <v>9</v>
      </c>
      <c r="U11" s="6" t="s">
        <v>12</v>
      </c>
    </row>
    <row r="12" spans="1:23" x14ac:dyDescent="0.25">
      <c r="B12" s="2" t="s">
        <v>40</v>
      </c>
      <c r="D12" s="8">
        <f>D52+D70+D88+D106</f>
        <v>211</v>
      </c>
      <c r="E12" s="9">
        <v>5</v>
      </c>
      <c r="G12" s="11">
        <f>D12*E12</f>
        <v>1055</v>
      </c>
      <c r="J12" s="2" t="s">
        <v>40</v>
      </c>
      <c r="L12" s="8">
        <f>D12</f>
        <v>211</v>
      </c>
      <c r="M12" s="9">
        <v>28.119042541556922</v>
      </c>
      <c r="O12" s="11">
        <f>L12*M12</f>
        <v>5933.1179762685106</v>
      </c>
      <c r="R12" s="2" t="s">
        <v>9</v>
      </c>
      <c r="T12" s="8">
        <f>L12</f>
        <v>211</v>
      </c>
      <c r="U12" s="9">
        <f>M12</f>
        <v>28.119042541556922</v>
      </c>
      <c r="W12" s="11">
        <f>T12*U12</f>
        <v>5933.1179762685106</v>
      </c>
    </row>
    <row r="13" spans="1:23" x14ac:dyDescent="0.25">
      <c r="D13" s="8"/>
      <c r="G13" s="11"/>
      <c r="L13" s="8"/>
      <c r="O13" s="11"/>
      <c r="W13" s="11"/>
    </row>
    <row r="14" spans="1:23" x14ac:dyDescent="0.25">
      <c r="A14" s="1" t="s">
        <v>7</v>
      </c>
      <c r="D14" s="8"/>
      <c r="G14" s="11"/>
      <c r="I14" s="1" t="s">
        <v>7</v>
      </c>
      <c r="L14" s="8"/>
      <c r="O14" s="11"/>
    </row>
    <row r="15" spans="1:23" x14ac:dyDescent="0.25">
      <c r="D15" s="13" t="s">
        <v>8</v>
      </c>
      <c r="E15" s="12" t="s">
        <v>11</v>
      </c>
      <c r="G15" s="11"/>
      <c r="L15" s="13" t="s">
        <v>8</v>
      </c>
      <c r="M15" s="12" t="s">
        <v>11</v>
      </c>
      <c r="O15" s="11"/>
      <c r="Q15" s="1" t="s">
        <v>7</v>
      </c>
      <c r="T15" s="8"/>
      <c r="W15" s="11"/>
    </row>
    <row r="16" spans="1:23" x14ac:dyDescent="0.25">
      <c r="G16" s="11"/>
      <c r="H16" s="15"/>
      <c r="O16" s="11"/>
      <c r="P16" s="15"/>
      <c r="T16" s="13" t="s">
        <v>8</v>
      </c>
      <c r="U16" s="12" t="s">
        <v>11</v>
      </c>
      <c r="W16" s="11"/>
    </row>
    <row r="17" spans="1:23" x14ac:dyDescent="0.25">
      <c r="C17" s="2" t="s">
        <v>74</v>
      </c>
      <c r="D17" s="8">
        <f>L52+L70</f>
        <v>152656</v>
      </c>
      <c r="E17" s="18">
        <v>0.12958</v>
      </c>
      <c r="G17" s="11">
        <f>D17*E17</f>
        <v>19781.164479999999</v>
      </c>
      <c r="H17" s="15"/>
      <c r="K17" s="2" t="s">
        <v>48</v>
      </c>
      <c r="L17" s="8">
        <f>D21</f>
        <v>287187</v>
      </c>
      <c r="M17" s="48">
        <v>3.0599472934085808E-2</v>
      </c>
      <c r="O17" s="11">
        <f>L17*M17</f>
        <v>8787.770833521301</v>
      </c>
      <c r="P17" s="15"/>
      <c r="R17" s="2" t="s">
        <v>49</v>
      </c>
      <c r="S17" s="16"/>
      <c r="T17" s="8">
        <f>D17</f>
        <v>152656</v>
      </c>
      <c r="U17" s="48">
        <v>0.19430837118280289</v>
      </c>
      <c r="W17" s="39">
        <f>T17*U17</f>
        <v>29662.338711281958</v>
      </c>
    </row>
    <row r="18" spans="1:23" x14ac:dyDescent="0.25">
      <c r="C18" s="2" t="s">
        <v>75</v>
      </c>
      <c r="D18" s="8">
        <f>K52+K70</f>
        <v>98960</v>
      </c>
      <c r="E18" s="18">
        <v>8.4940000000000002E-2</v>
      </c>
      <c r="G18" s="36">
        <f>D18*E18</f>
        <v>8405.6623999999993</v>
      </c>
      <c r="K18" s="2" t="s">
        <v>31</v>
      </c>
      <c r="L18" s="8">
        <f>L17</f>
        <v>287187</v>
      </c>
      <c r="M18" s="79">
        <v>4.3642882987992938E-2</v>
      </c>
      <c r="O18" s="36">
        <f>L18*M18</f>
        <v>12533.668636672728</v>
      </c>
      <c r="R18" s="7" t="s">
        <v>50</v>
      </c>
      <c r="S18" s="12"/>
      <c r="T18" s="17">
        <f>D18</f>
        <v>98960</v>
      </c>
      <c r="U18" s="70">
        <f>M17+M21</f>
        <v>5.0224803372726182E-2</v>
      </c>
      <c r="V18" s="37"/>
      <c r="W18" s="37">
        <f>T18*U18</f>
        <v>4970.2465417649828</v>
      </c>
    </row>
    <row r="19" spans="1:23" x14ac:dyDescent="0.25">
      <c r="C19" s="2" t="s">
        <v>76</v>
      </c>
      <c r="D19" s="8">
        <f>L88+L106</f>
        <v>24841</v>
      </c>
      <c r="E19" s="18">
        <v>0.12009</v>
      </c>
      <c r="G19" s="36">
        <f>D19*E19</f>
        <v>2983.15569</v>
      </c>
      <c r="L19" s="8"/>
      <c r="M19" s="79"/>
      <c r="O19" s="36"/>
      <c r="S19" s="16"/>
      <c r="T19" s="8"/>
      <c r="U19" s="78"/>
      <c r="V19" s="36"/>
      <c r="W19" s="36"/>
    </row>
    <row r="20" spans="1:23" x14ac:dyDescent="0.25">
      <c r="C20" s="7" t="s">
        <v>77</v>
      </c>
      <c r="D20" s="17">
        <f>K88+K106</f>
        <v>10730</v>
      </c>
      <c r="E20" s="28">
        <v>7.5139999999999998E-2</v>
      </c>
      <c r="F20" s="7"/>
      <c r="G20" s="37">
        <f>D20*E20</f>
        <v>806.25220000000002</v>
      </c>
      <c r="L20" s="8"/>
      <c r="M20" s="79"/>
      <c r="O20" s="36"/>
      <c r="S20" s="16"/>
      <c r="T20" s="8"/>
      <c r="U20" s="78"/>
      <c r="V20" s="36"/>
      <c r="W20" s="36"/>
    </row>
    <row r="21" spans="1:23" x14ac:dyDescent="0.25">
      <c r="B21" s="2" t="s">
        <v>21</v>
      </c>
      <c r="C21" s="16"/>
      <c r="D21" s="8">
        <f>SUM(D17:D20)</f>
        <v>287187</v>
      </c>
      <c r="E21" s="18"/>
      <c r="G21" s="11">
        <f>SUM(G17:G20)</f>
        <v>31976.234769999999</v>
      </c>
      <c r="H21" s="15"/>
      <c r="K21" s="7" t="s">
        <v>27</v>
      </c>
      <c r="L21" s="17">
        <f>L17</f>
        <v>287187</v>
      </c>
      <c r="M21" s="70">
        <v>1.9625330438640377E-2</v>
      </c>
      <c r="N21" s="7"/>
      <c r="O21" s="37">
        <f>L21*M21</f>
        <v>5636.1397726818141</v>
      </c>
      <c r="P21" s="15"/>
      <c r="S21" s="16"/>
      <c r="T21" s="8"/>
      <c r="U21" s="78"/>
      <c r="V21" s="36"/>
      <c r="W21" s="36">
        <f>SUM(W17:W18)</f>
        <v>34632.585253046942</v>
      </c>
    </row>
    <row r="22" spans="1:23" x14ac:dyDescent="0.25">
      <c r="D22" s="8"/>
      <c r="E22" s="18"/>
      <c r="G22" s="11"/>
      <c r="J22" s="2" t="s">
        <v>21</v>
      </c>
      <c r="K22" s="16"/>
      <c r="L22" s="8"/>
      <c r="M22" s="49">
        <f>SUM(M17:M21)</f>
        <v>9.3867686360719127E-2</v>
      </c>
      <c r="O22" s="11">
        <f>SUM(O17:O21)</f>
        <v>26957.579242875843</v>
      </c>
    </row>
    <row r="23" spans="1:23" x14ac:dyDescent="0.25">
      <c r="A23" s="1"/>
      <c r="D23" s="8"/>
      <c r="E23" s="9"/>
      <c r="G23" s="11"/>
      <c r="L23" s="8"/>
      <c r="M23" s="18"/>
      <c r="O23" s="11"/>
    </row>
    <row r="24" spans="1:23" x14ac:dyDescent="0.25">
      <c r="D24" s="8"/>
      <c r="E24" s="18"/>
      <c r="G24" s="11"/>
      <c r="I24" s="1" t="s">
        <v>18</v>
      </c>
      <c r="L24" s="8">
        <v>0</v>
      </c>
      <c r="M24" s="9">
        <v>20</v>
      </c>
      <c r="O24" s="11">
        <f>L24*M24</f>
        <v>0</v>
      </c>
      <c r="Q24" s="1" t="s">
        <v>18</v>
      </c>
      <c r="T24" s="8">
        <f>S70</f>
        <v>0</v>
      </c>
      <c r="U24" s="9">
        <v>20</v>
      </c>
      <c r="W24" s="11">
        <f>T24*U24</f>
        <v>0</v>
      </c>
    </row>
    <row r="25" spans="1:23" x14ac:dyDescent="0.25">
      <c r="D25" s="8"/>
      <c r="G25" s="11"/>
      <c r="L25" s="8"/>
      <c r="M25" s="18"/>
      <c r="O25" s="11"/>
      <c r="T25" s="8"/>
      <c r="W25" s="11"/>
    </row>
    <row r="26" spans="1:23" ht="16.5" thickBot="1" x14ac:dyDescent="0.3">
      <c r="A26" s="64" t="s">
        <v>80</v>
      </c>
      <c r="E26" s="18"/>
      <c r="G26" s="24">
        <f>G21+G12</f>
        <v>33031.234769999995</v>
      </c>
      <c r="L26" s="8"/>
      <c r="O26" s="11"/>
      <c r="T26" s="8"/>
      <c r="W26" s="11"/>
    </row>
    <row r="27" spans="1:23" ht="17.25" thickTop="1" thickBot="1" x14ac:dyDescent="0.3">
      <c r="A27" s="64"/>
      <c r="B27" s="1"/>
      <c r="G27" s="11"/>
      <c r="I27" s="1" t="s">
        <v>35</v>
      </c>
      <c r="O27" s="24">
        <f>O22+O12+O24</f>
        <v>32890.697219144356</v>
      </c>
      <c r="Q27" s="1" t="s">
        <v>35</v>
      </c>
      <c r="W27" s="24">
        <f>W12+W21+W24</f>
        <v>40565.703229315455</v>
      </c>
    </row>
    <row r="28" spans="1:23" ht="16.5" thickTop="1" x14ac:dyDescent="0.25">
      <c r="A28" s="64" t="s">
        <v>19</v>
      </c>
      <c r="B28" s="10"/>
      <c r="G28" s="11">
        <f>G52+E52+E70+G70+E88+G88+E106+G106</f>
        <v>33198.890000000007</v>
      </c>
      <c r="H28" s="21"/>
      <c r="I28" s="1"/>
      <c r="J28" s="1"/>
      <c r="O28" s="11"/>
      <c r="P28" s="21"/>
    </row>
    <row r="29" spans="1:23" x14ac:dyDescent="0.25">
      <c r="A29" s="91"/>
      <c r="B29" s="10"/>
      <c r="G29" s="10"/>
      <c r="H29" s="21"/>
      <c r="I29" s="1" t="s">
        <v>13</v>
      </c>
      <c r="J29" s="10"/>
      <c r="O29" s="22">
        <f>O27-G26</f>
        <v>-140.53755085563898</v>
      </c>
      <c r="P29" s="21"/>
      <c r="Q29" s="1" t="s">
        <v>13</v>
      </c>
      <c r="T29" s="8"/>
      <c r="U29" s="18"/>
      <c r="W29" s="11">
        <f>W27-G26</f>
        <v>7534.4684593154598</v>
      </c>
    </row>
    <row r="30" spans="1:23" x14ac:dyDescent="0.25">
      <c r="A30" s="64" t="s">
        <v>13</v>
      </c>
      <c r="B30" s="10"/>
      <c r="G30" s="22">
        <f>G26-G28</f>
        <v>-167.65523000001122</v>
      </c>
      <c r="I30" s="10"/>
      <c r="J30" s="10"/>
      <c r="O30" s="11"/>
      <c r="T30" s="8"/>
      <c r="W30" s="10"/>
    </row>
    <row r="31" spans="1:23" x14ac:dyDescent="0.25">
      <c r="A31" s="91"/>
      <c r="B31" s="10"/>
      <c r="G31" s="11"/>
      <c r="I31" s="1" t="s">
        <v>26</v>
      </c>
      <c r="J31" s="10"/>
      <c r="O31" s="23">
        <f>O29/G26</f>
        <v>-4.2546865666456893E-3</v>
      </c>
      <c r="Q31" s="1" t="s">
        <v>22</v>
      </c>
      <c r="T31" s="8"/>
      <c r="W31" s="23">
        <f>W29/G26</f>
        <v>0.22810132626826596</v>
      </c>
    </row>
    <row r="32" spans="1:23" x14ac:dyDescent="0.25">
      <c r="A32" s="64" t="s">
        <v>26</v>
      </c>
      <c r="B32" s="10"/>
      <c r="G32" s="23">
        <f>G30/G28</f>
        <v>-5.0500251665043976E-3</v>
      </c>
    </row>
    <row r="35" spans="1:16" x14ac:dyDescent="0.25">
      <c r="A35" s="11"/>
      <c r="B35" s="11"/>
      <c r="I35" s="11"/>
      <c r="J35" s="11"/>
    </row>
    <row r="36" spans="1:16" x14ac:dyDescent="0.25">
      <c r="A36" s="10"/>
      <c r="B36" s="10"/>
      <c r="I36" s="10"/>
      <c r="J36" s="10"/>
      <c r="O36" s="11"/>
    </row>
    <row r="37" spans="1:16" x14ac:dyDescent="0.25">
      <c r="A37" s="22"/>
      <c r="B37" s="44" t="s">
        <v>71</v>
      </c>
      <c r="G37" s="27"/>
      <c r="I37" s="22"/>
      <c r="J37" s="22"/>
    </row>
    <row r="38" spans="1:16" x14ac:dyDescent="0.25">
      <c r="A38" s="22"/>
      <c r="B38" s="44"/>
      <c r="G38" s="27"/>
      <c r="I38" s="22"/>
      <c r="J38" s="22"/>
    </row>
    <row r="39" spans="1:16" x14ac:dyDescent="0.25">
      <c r="A39" s="11"/>
      <c r="B39" s="41" t="s">
        <v>25</v>
      </c>
      <c r="C39" s="41" t="s">
        <v>8</v>
      </c>
      <c r="D39" s="41" t="s">
        <v>24</v>
      </c>
      <c r="E39" s="41" t="s">
        <v>45</v>
      </c>
      <c r="F39" s="41"/>
      <c r="G39" s="41" t="s">
        <v>46</v>
      </c>
      <c r="K39" s="41" t="s">
        <v>39</v>
      </c>
      <c r="L39" s="41" t="s">
        <v>38</v>
      </c>
      <c r="O39" s="11"/>
    </row>
    <row r="40" spans="1:16" x14ac:dyDescent="0.25">
      <c r="A40" s="23"/>
      <c r="B40" s="86">
        <v>40544</v>
      </c>
      <c r="C40" s="19">
        <v>28458</v>
      </c>
      <c r="D40" s="40">
        <v>11</v>
      </c>
      <c r="E40" s="9">
        <v>3182.82</v>
      </c>
      <c r="F40" s="9"/>
      <c r="G40" s="33">
        <v>55</v>
      </c>
      <c r="H40" s="20"/>
      <c r="I40" s="36"/>
      <c r="K40" s="36"/>
      <c r="M40" s="66"/>
      <c r="O40" s="66"/>
      <c r="P40" s="20"/>
    </row>
    <row r="41" spans="1:16" x14ac:dyDescent="0.25">
      <c r="B41" s="86">
        <v>40575</v>
      </c>
      <c r="C41" s="19">
        <v>23431</v>
      </c>
      <c r="D41" s="40">
        <v>10</v>
      </c>
      <c r="E41" s="9">
        <v>2616.89</v>
      </c>
      <c r="F41" s="9"/>
      <c r="G41" s="33">
        <v>55</v>
      </c>
      <c r="I41" s="36"/>
      <c r="K41" s="36"/>
      <c r="M41" s="66"/>
      <c r="N41" s="66"/>
      <c r="O41" s="66"/>
    </row>
    <row r="42" spans="1:16" x14ac:dyDescent="0.25">
      <c r="B42" s="86">
        <v>40603</v>
      </c>
      <c r="C42" s="19">
        <v>17779</v>
      </c>
      <c r="D42" s="40">
        <v>11</v>
      </c>
      <c r="E42" s="9">
        <v>1992.38</v>
      </c>
      <c r="F42" s="9"/>
      <c r="G42" s="33">
        <v>55</v>
      </c>
      <c r="I42" s="36"/>
      <c r="K42" s="36"/>
      <c r="M42" s="66"/>
      <c r="O42" s="66"/>
    </row>
    <row r="43" spans="1:16" x14ac:dyDescent="0.25">
      <c r="B43" s="86">
        <v>40634</v>
      </c>
      <c r="C43" s="19">
        <v>15819</v>
      </c>
      <c r="D43" s="40">
        <v>12</v>
      </c>
      <c r="E43" s="9">
        <v>1781.83</v>
      </c>
      <c r="F43" s="9"/>
      <c r="G43" s="33">
        <v>55</v>
      </c>
      <c r="I43" s="36"/>
      <c r="K43" s="36"/>
      <c r="M43" s="66"/>
      <c r="O43" s="66"/>
    </row>
    <row r="44" spans="1:16" x14ac:dyDescent="0.25">
      <c r="B44" s="86">
        <v>40664</v>
      </c>
      <c r="C44" s="19">
        <v>14984</v>
      </c>
      <c r="D44" s="62">
        <v>12</v>
      </c>
      <c r="E44" s="72">
        <v>1693.66</v>
      </c>
      <c r="F44" s="72"/>
      <c r="G44" s="88">
        <v>55</v>
      </c>
      <c r="I44" s="46"/>
      <c r="K44" s="46"/>
      <c r="M44" s="66"/>
      <c r="O44" s="66"/>
    </row>
    <row r="45" spans="1:16" x14ac:dyDescent="0.25">
      <c r="B45" s="86">
        <v>40695</v>
      </c>
      <c r="C45" s="19">
        <v>15169</v>
      </c>
      <c r="D45" s="62">
        <v>12</v>
      </c>
      <c r="E45" s="72">
        <v>1704.98</v>
      </c>
      <c r="F45" s="72"/>
      <c r="G45" s="88">
        <v>60</v>
      </c>
      <c r="I45" s="46"/>
      <c r="K45" s="46"/>
      <c r="M45" s="66"/>
      <c r="O45" s="66"/>
    </row>
    <row r="46" spans="1:16" x14ac:dyDescent="0.25">
      <c r="B46" s="86">
        <v>40725</v>
      </c>
      <c r="C46" s="19">
        <v>16866</v>
      </c>
      <c r="D46" s="63">
        <v>12</v>
      </c>
      <c r="E46" s="72">
        <v>1908.21</v>
      </c>
      <c r="F46" s="72"/>
      <c r="G46" s="72">
        <v>60</v>
      </c>
      <c r="I46" s="46"/>
      <c r="K46" s="46"/>
      <c r="M46" s="66"/>
      <c r="O46" s="66"/>
    </row>
    <row r="47" spans="1:16" ht="15" customHeight="1" x14ac:dyDescent="0.25">
      <c r="B47" s="86">
        <v>40756</v>
      </c>
      <c r="C47" s="19">
        <v>12521</v>
      </c>
      <c r="D47" s="63">
        <v>12</v>
      </c>
      <c r="E47" s="72">
        <v>1429.38</v>
      </c>
      <c r="F47" s="72"/>
      <c r="G47" s="72">
        <v>60</v>
      </c>
      <c r="I47" s="46"/>
      <c r="K47" s="46"/>
      <c r="M47" s="66"/>
      <c r="O47" s="66"/>
    </row>
    <row r="48" spans="1:16" x14ac:dyDescent="0.25">
      <c r="B48" s="86">
        <v>40422</v>
      </c>
      <c r="C48" s="19">
        <v>15269</v>
      </c>
      <c r="D48" s="63">
        <v>10</v>
      </c>
      <c r="E48" s="72">
        <v>1710.4</v>
      </c>
      <c r="F48" s="72"/>
      <c r="G48" s="72">
        <v>50</v>
      </c>
      <c r="I48" s="46"/>
      <c r="K48" s="46"/>
      <c r="M48" s="66"/>
      <c r="O48" s="66"/>
    </row>
    <row r="49" spans="2:15" x14ac:dyDescent="0.25">
      <c r="B49" s="86">
        <v>40452</v>
      </c>
      <c r="C49" s="19">
        <v>16067</v>
      </c>
      <c r="D49" s="42">
        <v>10</v>
      </c>
      <c r="E49" s="9">
        <v>1786.66</v>
      </c>
      <c r="F49" s="9"/>
      <c r="G49" s="9">
        <v>50</v>
      </c>
      <c r="I49" s="36"/>
      <c r="K49" s="36"/>
      <c r="M49" s="66"/>
      <c r="O49" s="66"/>
    </row>
    <row r="50" spans="2:15" x14ac:dyDescent="0.25">
      <c r="B50" s="86">
        <v>40483</v>
      </c>
      <c r="C50" s="19">
        <v>19134</v>
      </c>
      <c r="D50" s="42">
        <v>11</v>
      </c>
      <c r="E50" s="9">
        <v>2107.79</v>
      </c>
      <c r="F50" s="9"/>
      <c r="G50" s="9">
        <v>50</v>
      </c>
      <c r="I50" s="36"/>
      <c r="M50" s="66"/>
      <c r="O50" s="66"/>
    </row>
    <row r="51" spans="2:15" x14ac:dyDescent="0.25">
      <c r="B51" s="86">
        <v>40513</v>
      </c>
      <c r="C51" s="56">
        <v>25773</v>
      </c>
      <c r="D51" s="32">
        <v>11</v>
      </c>
      <c r="E51" s="89">
        <v>2834.79</v>
      </c>
      <c r="F51" s="89"/>
      <c r="G51" s="89">
        <v>55</v>
      </c>
      <c r="I51" s="36"/>
      <c r="K51" s="37"/>
      <c r="L51" s="7"/>
      <c r="M51" s="66"/>
      <c r="O51" s="66"/>
    </row>
    <row r="52" spans="2:15" x14ac:dyDescent="0.25">
      <c r="C52" s="19">
        <f>SUM(C40:C51)</f>
        <v>221270</v>
      </c>
      <c r="D52" s="19">
        <f>SUM(D40:D51)</f>
        <v>134</v>
      </c>
      <c r="E52" s="9">
        <f>SUM(E40:E51)</f>
        <v>24749.790000000005</v>
      </c>
      <c r="F52" s="9"/>
      <c r="G52" s="9">
        <f>SUM(G40:G51)</f>
        <v>660</v>
      </c>
      <c r="I52" s="19"/>
      <c r="K52" s="19">
        <v>89238</v>
      </c>
      <c r="L52" s="19">
        <v>132032</v>
      </c>
      <c r="M52" s="66"/>
      <c r="O52" s="20"/>
    </row>
    <row r="53" spans="2:15" x14ac:dyDescent="0.25">
      <c r="E53" s="20"/>
    </row>
    <row r="54" spans="2:15" x14ac:dyDescent="0.25">
      <c r="I54" s="19"/>
    </row>
    <row r="55" spans="2:15" x14ac:dyDescent="0.25">
      <c r="B55" s="44" t="s">
        <v>72</v>
      </c>
      <c r="G55" s="27"/>
      <c r="I55" s="22"/>
      <c r="J55" s="22"/>
      <c r="M55" s="34"/>
    </row>
    <row r="56" spans="2:15" x14ac:dyDescent="0.25">
      <c r="B56" s="44"/>
      <c r="G56" s="27"/>
      <c r="I56" s="22"/>
      <c r="J56" s="22"/>
      <c r="M56" s="34"/>
    </row>
    <row r="57" spans="2:15" x14ac:dyDescent="0.25">
      <c r="B57" s="41" t="s">
        <v>25</v>
      </c>
      <c r="C57" s="41" t="s">
        <v>8</v>
      </c>
      <c r="D57" s="41" t="s">
        <v>24</v>
      </c>
      <c r="E57" s="41" t="s">
        <v>45</v>
      </c>
      <c r="F57" s="41"/>
      <c r="G57" s="41" t="s">
        <v>46</v>
      </c>
      <c r="K57" s="41" t="s">
        <v>39</v>
      </c>
      <c r="L57" s="41" t="s">
        <v>38</v>
      </c>
      <c r="M57" s="34"/>
    </row>
    <row r="58" spans="2:15" x14ac:dyDescent="0.25">
      <c r="B58" s="86">
        <v>40544</v>
      </c>
      <c r="C58" s="19">
        <v>2479</v>
      </c>
      <c r="D58" s="40">
        <v>2</v>
      </c>
      <c r="E58" s="9">
        <v>287.79000000000002</v>
      </c>
      <c r="F58" s="9"/>
      <c r="G58" s="33">
        <v>10</v>
      </c>
      <c r="H58" s="20"/>
      <c r="I58" s="36"/>
      <c r="K58" s="36"/>
      <c r="M58" s="34"/>
    </row>
    <row r="59" spans="2:15" x14ac:dyDescent="0.25">
      <c r="B59" s="86">
        <v>40575</v>
      </c>
      <c r="C59" s="19">
        <v>2531</v>
      </c>
      <c r="D59" s="40">
        <v>2</v>
      </c>
      <c r="E59" s="9">
        <v>292.75</v>
      </c>
      <c r="F59" s="9"/>
      <c r="G59" s="33">
        <v>10</v>
      </c>
      <c r="I59" s="36"/>
      <c r="K59" s="36"/>
      <c r="M59" s="34"/>
    </row>
    <row r="60" spans="2:15" x14ac:dyDescent="0.25">
      <c r="B60" s="86">
        <v>40603</v>
      </c>
      <c r="C60" s="19">
        <v>2166</v>
      </c>
      <c r="D60" s="40">
        <v>2</v>
      </c>
      <c r="E60" s="9">
        <v>252.24</v>
      </c>
      <c r="F60" s="9"/>
      <c r="G60" s="33">
        <v>10</v>
      </c>
      <c r="I60" s="36"/>
      <c r="K60" s="36"/>
      <c r="M60" s="34"/>
    </row>
    <row r="61" spans="2:15" x14ac:dyDescent="0.25">
      <c r="B61" s="86">
        <v>40634</v>
      </c>
      <c r="C61" s="19">
        <v>2323</v>
      </c>
      <c r="D61" s="40">
        <v>2</v>
      </c>
      <c r="E61" s="9">
        <v>269.67</v>
      </c>
      <c r="F61" s="9"/>
      <c r="G61" s="33">
        <v>10</v>
      </c>
      <c r="I61" s="36"/>
      <c r="K61" s="36"/>
      <c r="M61" s="34"/>
    </row>
    <row r="62" spans="2:15" x14ac:dyDescent="0.25">
      <c r="B62" s="86">
        <v>40664</v>
      </c>
      <c r="C62" s="19">
        <v>2455</v>
      </c>
      <c r="D62" s="62">
        <v>2</v>
      </c>
      <c r="E62" s="72">
        <v>284.06</v>
      </c>
      <c r="F62" s="72"/>
      <c r="G62" s="88">
        <v>10</v>
      </c>
      <c r="I62" s="46"/>
      <c r="K62" s="46"/>
      <c r="M62" s="34"/>
    </row>
    <row r="63" spans="2:15" x14ac:dyDescent="0.25">
      <c r="B63" s="86">
        <v>40695</v>
      </c>
      <c r="C63" s="19">
        <v>2587</v>
      </c>
      <c r="D63" s="62">
        <v>2</v>
      </c>
      <c r="E63" s="72">
        <v>296.17</v>
      </c>
      <c r="F63" s="72"/>
      <c r="G63" s="88">
        <v>10</v>
      </c>
      <c r="I63" s="46"/>
      <c r="K63" s="46"/>
      <c r="M63" s="34"/>
    </row>
    <row r="64" spans="2:15" x14ac:dyDescent="0.25">
      <c r="B64" s="86">
        <v>40725</v>
      </c>
      <c r="C64" s="19">
        <v>2733</v>
      </c>
      <c r="D64" s="63">
        <v>2</v>
      </c>
      <c r="E64" s="72">
        <v>312.94</v>
      </c>
      <c r="F64" s="72"/>
      <c r="G64" s="72">
        <v>10</v>
      </c>
      <c r="I64" s="46"/>
      <c r="K64" s="46"/>
      <c r="M64" s="34"/>
    </row>
    <row r="65" spans="2:13" x14ac:dyDescent="0.25">
      <c r="B65" s="86">
        <v>40756</v>
      </c>
      <c r="C65" s="19">
        <v>2881</v>
      </c>
      <c r="D65" s="63">
        <v>2</v>
      </c>
      <c r="E65" s="72">
        <v>329.12</v>
      </c>
      <c r="F65" s="72"/>
      <c r="G65" s="72">
        <v>10</v>
      </c>
      <c r="I65" s="46"/>
      <c r="K65" s="46"/>
      <c r="M65" s="34"/>
    </row>
    <row r="66" spans="2:13" x14ac:dyDescent="0.25">
      <c r="B66" s="86">
        <v>40422</v>
      </c>
      <c r="C66" s="19">
        <v>3131</v>
      </c>
      <c r="D66" s="63">
        <v>2</v>
      </c>
      <c r="E66" s="72">
        <v>358.4</v>
      </c>
      <c r="F66" s="72"/>
      <c r="G66" s="72">
        <v>10</v>
      </c>
      <c r="I66" s="46"/>
      <c r="K66" s="46"/>
    </row>
    <row r="67" spans="2:13" x14ac:dyDescent="0.25">
      <c r="B67" s="86">
        <v>40452</v>
      </c>
      <c r="C67" s="19">
        <v>2597</v>
      </c>
      <c r="D67" s="42">
        <v>2</v>
      </c>
      <c r="E67" s="9">
        <v>298.31</v>
      </c>
      <c r="F67" s="9"/>
      <c r="G67" s="72">
        <v>10</v>
      </c>
      <c r="I67" s="36"/>
      <c r="K67" s="36"/>
    </row>
    <row r="68" spans="2:13" x14ac:dyDescent="0.25">
      <c r="B68" s="86">
        <v>40483</v>
      </c>
      <c r="C68" s="19">
        <v>2121</v>
      </c>
      <c r="D68" s="42">
        <v>2</v>
      </c>
      <c r="E68" s="9">
        <v>245.24</v>
      </c>
      <c r="F68" s="9"/>
      <c r="G68" s="72">
        <v>10</v>
      </c>
      <c r="I68" s="36"/>
    </row>
    <row r="69" spans="2:13" x14ac:dyDescent="0.25">
      <c r="B69" s="86">
        <v>40513</v>
      </c>
      <c r="C69" s="56">
        <v>2342</v>
      </c>
      <c r="D69" s="32">
        <v>2</v>
      </c>
      <c r="E69" s="89">
        <v>271.57</v>
      </c>
      <c r="F69" s="89"/>
      <c r="G69" s="90">
        <v>10</v>
      </c>
      <c r="I69" s="36"/>
      <c r="K69" s="37"/>
      <c r="L69" s="7"/>
    </row>
    <row r="70" spans="2:13" x14ac:dyDescent="0.25">
      <c r="C70" s="19">
        <f>SUM(C58:C69)</f>
        <v>30346</v>
      </c>
      <c r="D70" s="19">
        <f>SUM(D58:D69)</f>
        <v>24</v>
      </c>
      <c r="E70" s="9">
        <f>SUM(E58:E69)</f>
        <v>3498.2600000000007</v>
      </c>
      <c r="F70" s="9"/>
      <c r="G70" s="9">
        <f>SUM(G58:G69)</f>
        <v>120</v>
      </c>
      <c r="I70" s="19"/>
      <c r="K70" s="19">
        <v>9722</v>
      </c>
      <c r="L70" s="19">
        <v>20624</v>
      </c>
    </row>
    <row r="73" spans="2:13" x14ac:dyDescent="0.25">
      <c r="B73" s="44" t="s">
        <v>78</v>
      </c>
      <c r="G73" s="27"/>
      <c r="I73" s="22"/>
      <c r="J73" s="22"/>
    </row>
    <row r="74" spans="2:13" x14ac:dyDescent="0.25">
      <c r="B74" s="44"/>
      <c r="G74" s="27"/>
      <c r="I74" s="22"/>
      <c r="J74" s="22"/>
    </row>
    <row r="75" spans="2:13" x14ac:dyDescent="0.25">
      <c r="B75" s="41" t="s">
        <v>25</v>
      </c>
      <c r="C75" s="41" t="s">
        <v>8</v>
      </c>
      <c r="D75" s="41" t="s">
        <v>24</v>
      </c>
      <c r="E75" s="41" t="s">
        <v>45</v>
      </c>
      <c r="F75" s="41"/>
      <c r="G75" s="41" t="s">
        <v>46</v>
      </c>
      <c r="K75" s="41" t="s">
        <v>39</v>
      </c>
      <c r="L75" s="41" t="s">
        <v>38</v>
      </c>
    </row>
    <row r="76" spans="2:13" x14ac:dyDescent="0.25">
      <c r="B76" s="86">
        <v>40544</v>
      </c>
      <c r="C76" s="19">
        <v>1480</v>
      </c>
      <c r="D76" s="40">
        <v>2</v>
      </c>
      <c r="E76" s="9">
        <v>166.42</v>
      </c>
      <c r="F76" s="9"/>
      <c r="G76" s="33">
        <v>10</v>
      </c>
      <c r="H76" s="20"/>
      <c r="I76" s="36"/>
      <c r="K76" s="36"/>
    </row>
    <row r="77" spans="2:13" x14ac:dyDescent="0.25">
      <c r="B77" s="86">
        <v>40575</v>
      </c>
      <c r="C77" s="19">
        <v>1586</v>
      </c>
      <c r="D77" s="40">
        <v>2</v>
      </c>
      <c r="E77" s="9">
        <v>176.7</v>
      </c>
      <c r="F77" s="9"/>
      <c r="G77" s="33">
        <v>10</v>
      </c>
      <c r="I77" s="36"/>
      <c r="K77" s="36"/>
    </row>
    <row r="78" spans="2:13" x14ac:dyDescent="0.25">
      <c r="B78" s="86">
        <v>40603</v>
      </c>
      <c r="C78" s="19">
        <v>1155</v>
      </c>
      <c r="D78" s="40">
        <v>2</v>
      </c>
      <c r="E78" s="9">
        <v>130.33000000000001</v>
      </c>
      <c r="F78" s="9"/>
      <c r="G78" s="33">
        <v>10</v>
      </c>
      <c r="I78" s="36"/>
      <c r="K78" s="36"/>
    </row>
    <row r="79" spans="2:13" x14ac:dyDescent="0.25">
      <c r="B79" s="86">
        <v>40634</v>
      </c>
      <c r="C79" s="19">
        <v>1341</v>
      </c>
      <c r="D79" s="40">
        <v>2</v>
      </c>
      <c r="E79" s="9">
        <v>151.03</v>
      </c>
      <c r="F79" s="9"/>
      <c r="G79" s="33">
        <v>10</v>
      </c>
      <c r="I79" s="36"/>
      <c r="K79" s="36"/>
    </row>
    <row r="80" spans="2:13" x14ac:dyDescent="0.25">
      <c r="B80" s="86">
        <v>40664</v>
      </c>
      <c r="C80" s="19">
        <v>1014</v>
      </c>
      <c r="D80" s="62">
        <v>2</v>
      </c>
      <c r="E80" s="72">
        <v>114.24</v>
      </c>
      <c r="F80" s="72"/>
      <c r="G80" s="88">
        <v>10</v>
      </c>
      <c r="I80" s="46"/>
      <c r="K80" s="46"/>
    </row>
    <row r="81" spans="2:12" x14ac:dyDescent="0.25">
      <c r="B81" s="86">
        <v>40695</v>
      </c>
      <c r="C81" s="19">
        <v>1148</v>
      </c>
      <c r="D81" s="62">
        <v>2</v>
      </c>
      <c r="E81" s="72">
        <v>129.30000000000001</v>
      </c>
      <c r="F81" s="72"/>
      <c r="G81" s="88">
        <v>10</v>
      </c>
      <c r="I81" s="46"/>
      <c r="K81" s="46"/>
    </row>
    <row r="82" spans="2:12" x14ac:dyDescent="0.25">
      <c r="B82" s="86">
        <v>40725</v>
      </c>
      <c r="C82" s="19">
        <v>1170</v>
      </c>
      <c r="D82" s="63">
        <v>2</v>
      </c>
      <c r="E82" s="72">
        <v>130.76</v>
      </c>
      <c r="F82" s="72"/>
      <c r="G82" s="72">
        <v>10</v>
      </c>
      <c r="I82" s="46"/>
      <c r="K82" s="46"/>
    </row>
    <row r="83" spans="2:12" x14ac:dyDescent="0.25">
      <c r="B83" s="86">
        <v>40756</v>
      </c>
      <c r="C83" s="19">
        <v>1141</v>
      </c>
      <c r="D83" s="63">
        <v>2</v>
      </c>
      <c r="E83" s="72">
        <v>128.22</v>
      </c>
      <c r="F83" s="72"/>
      <c r="G83" s="72">
        <v>10</v>
      </c>
      <c r="I83" s="46"/>
      <c r="K83" s="46"/>
    </row>
    <row r="84" spans="2:12" x14ac:dyDescent="0.25">
      <c r="B84" s="86">
        <v>40422</v>
      </c>
      <c r="C84" s="19">
        <v>893</v>
      </c>
      <c r="D84" s="63">
        <v>1</v>
      </c>
      <c r="E84" s="72">
        <v>100.74</v>
      </c>
      <c r="F84" s="72"/>
      <c r="G84" s="72">
        <v>5</v>
      </c>
      <c r="I84" s="46"/>
      <c r="K84" s="46"/>
    </row>
    <row r="85" spans="2:12" x14ac:dyDescent="0.25">
      <c r="B85" s="86">
        <v>40452</v>
      </c>
      <c r="C85" s="19">
        <v>617</v>
      </c>
      <c r="D85" s="42">
        <v>1</v>
      </c>
      <c r="E85" s="9">
        <v>67.53</v>
      </c>
      <c r="F85" s="9"/>
      <c r="G85" s="9">
        <v>5</v>
      </c>
      <c r="I85" s="36"/>
      <c r="K85" s="36"/>
    </row>
    <row r="86" spans="2:12" x14ac:dyDescent="0.25">
      <c r="B86" s="86">
        <v>40483</v>
      </c>
      <c r="C86" s="19">
        <v>1031</v>
      </c>
      <c r="D86" s="42">
        <v>2</v>
      </c>
      <c r="E86" s="9">
        <v>113.57</v>
      </c>
      <c r="F86" s="9"/>
      <c r="G86" s="9">
        <v>10</v>
      </c>
      <c r="I86" s="36"/>
    </row>
    <row r="87" spans="2:12" x14ac:dyDescent="0.25">
      <c r="B87" s="86">
        <v>40513</v>
      </c>
      <c r="C87" s="56">
        <v>1294</v>
      </c>
      <c r="D87" s="32">
        <v>2</v>
      </c>
      <c r="E87" s="89">
        <v>139.63</v>
      </c>
      <c r="F87" s="89"/>
      <c r="G87" s="89">
        <v>10</v>
      </c>
      <c r="I87" s="36"/>
      <c r="K87" s="37"/>
      <c r="L87" s="7"/>
    </row>
    <row r="88" spans="2:12" x14ac:dyDescent="0.25">
      <c r="C88" s="19">
        <f>SUM(C76:C87)</f>
        <v>13870</v>
      </c>
      <c r="D88" s="19">
        <f>SUM(D76:D87)</f>
        <v>22</v>
      </c>
      <c r="E88" s="9">
        <f>SUM(E76:E87)</f>
        <v>1548.4699999999998</v>
      </c>
      <c r="F88" s="9"/>
      <c r="G88" s="9">
        <f>SUM(G76:G87)</f>
        <v>110</v>
      </c>
      <c r="I88" s="19"/>
      <c r="K88" s="19">
        <v>3681</v>
      </c>
      <c r="L88" s="19">
        <v>10189</v>
      </c>
    </row>
    <row r="89" spans="2:12" x14ac:dyDescent="0.25">
      <c r="E89" s="20"/>
    </row>
    <row r="90" spans="2:12" x14ac:dyDescent="0.25">
      <c r="I90" s="19"/>
    </row>
    <row r="91" spans="2:12" x14ac:dyDescent="0.25">
      <c r="B91" s="44" t="s">
        <v>79</v>
      </c>
      <c r="G91" s="27"/>
      <c r="I91" s="22"/>
      <c r="J91" s="22"/>
    </row>
    <row r="92" spans="2:12" x14ac:dyDescent="0.25">
      <c r="B92" s="44"/>
      <c r="G92" s="27"/>
      <c r="I92" s="22"/>
      <c r="J92" s="22"/>
    </row>
    <row r="93" spans="2:12" x14ac:dyDescent="0.25">
      <c r="B93" s="41" t="s">
        <v>25</v>
      </c>
      <c r="C93" s="41" t="s">
        <v>8</v>
      </c>
      <c r="D93" s="41" t="s">
        <v>24</v>
      </c>
      <c r="E93" s="41" t="s">
        <v>45</v>
      </c>
      <c r="F93" s="41"/>
      <c r="G93" s="41" t="s">
        <v>46</v>
      </c>
      <c r="K93" s="41" t="s">
        <v>39</v>
      </c>
      <c r="L93" s="41" t="s">
        <v>38</v>
      </c>
    </row>
    <row r="94" spans="2:12" x14ac:dyDescent="0.25">
      <c r="B94" s="86">
        <v>40544</v>
      </c>
      <c r="C94" s="19">
        <v>1621</v>
      </c>
      <c r="D94" s="40">
        <v>2</v>
      </c>
      <c r="E94" s="9">
        <v>178.26</v>
      </c>
      <c r="F94" s="9"/>
      <c r="G94" s="33">
        <v>10</v>
      </c>
      <c r="H94" s="20"/>
      <c r="I94" s="36"/>
      <c r="K94" s="36"/>
    </row>
    <row r="95" spans="2:12" x14ac:dyDescent="0.25">
      <c r="B95" s="86">
        <v>40575</v>
      </c>
      <c r="C95" s="19">
        <v>1343</v>
      </c>
      <c r="D95" s="40">
        <v>3</v>
      </c>
      <c r="E95" s="9">
        <v>144.69999999999999</v>
      </c>
      <c r="F95" s="9"/>
      <c r="G95" s="33">
        <v>10</v>
      </c>
      <c r="I95" s="36"/>
      <c r="K95" s="36"/>
    </row>
    <row r="96" spans="2:12" x14ac:dyDescent="0.25">
      <c r="B96" s="86">
        <v>40603</v>
      </c>
      <c r="C96" s="19">
        <v>2125</v>
      </c>
      <c r="D96" s="40">
        <v>3</v>
      </c>
      <c r="E96" s="9">
        <v>230.34</v>
      </c>
      <c r="F96" s="9"/>
      <c r="G96" s="33">
        <v>15</v>
      </c>
      <c r="I96" s="36"/>
      <c r="K96" s="36"/>
    </row>
    <row r="97" spans="2:12" x14ac:dyDescent="0.25">
      <c r="B97" s="86">
        <v>40634</v>
      </c>
      <c r="C97" s="19">
        <v>2277</v>
      </c>
      <c r="D97" s="40">
        <v>3</v>
      </c>
      <c r="E97" s="9">
        <v>246.07</v>
      </c>
      <c r="F97" s="9"/>
      <c r="G97" s="33">
        <v>15</v>
      </c>
      <c r="I97" s="36"/>
      <c r="K97" s="36"/>
    </row>
    <row r="98" spans="2:12" x14ac:dyDescent="0.25">
      <c r="B98" s="86">
        <v>40664</v>
      </c>
      <c r="C98" s="19">
        <v>2172</v>
      </c>
      <c r="D98" s="62">
        <v>3</v>
      </c>
      <c r="E98" s="72">
        <v>236.14</v>
      </c>
      <c r="F98" s="72"/>
      <c r="G98" s="88">
        <v>15</v>
      </c>
      <c r="I98" s="46"/>
      <c r="K98" s="46"/>
    </row>
    <row r="99" spans="2:12" x14ac:dyDescent="0.25">
      <c r="B99" s="86">
        <v>40695</v>
      </c>
      <c r="C99" s="19">
        <v>2336</v>
      </c>
      <c r="D99" s="62">
        <v>3</v>
      </c>
      <c r="E99" s="72">
        <v>254.53</v>
      </c>
      <c r="F99" s="72"/>
      <c r="G99" s="88">
        <v>15</v>
      </c>
      <c r="I99" s="46"/>
      <c r="K99" s="46"/>
    </row>
    <row r="100" spans="2:12" x14ac:dyDescent="0.25">
      <c r="B100" s="86">
        <v>40725</v>
      </c>
      <c r="C100" s="19">
        <v>2260</v>
      </c>
      <c r="D100" s="63">
        <v>3</v>
      </c>
      <c r="E100" s="72">
        <v>247.72</v>
      </c>
      <c r="F100" s="72"/>
      <c r="G100" s="72">
        <v>15</v>
      </c>
      <c r="I100" s="46"/>
      <c r="K100" s="46"/>
    </row>
    <row r="101" spans="2:12" x14ac:dyDescent="0.25">
      <c r="B101" s="86">
        <v>40756</v>
      </c>
      <c r="C101" s="19">
        <v>2366</v>
      </c>
      <c r="D101" s="63">
        <v>3</v>
      </c>
      <c r="E101" s="72">
        <v>260.93</v>
      </c>
      <c r="F101" s="72"/>
      <c r="G101" s="72">
        <v>15</v>
      </c>
      <c r="I101" s="46"/>
      <c r="K101" s="46"/>
    </row>
    <row r="102" spans="2:12" x14ac:dyDescent="0.25">
      <c r="B102" s="86">
        <v>40422</v>
      </c>
      <c r="C102" s="19">
        <v>1408</v>
      </c>
      <c r="D102" s="63">
        <v>2</v>
      </c>
      <c r="E102" s="72">
        <v>154.77000000000001</v>
      </c>
      <c r="F102" s="72"/>
      <c r="G102" s="72">
        <v>10</v>
      </c>
      <c r="I102" s="46"/>
      <c r="K102" s="46"/>
    </row>
    <row r="103" spans="2:12" x14ac:dyDescent="0.25">
      <c r="B103" s="86">
        <v>40452</v>
      </c>
      <c r="C103" s="19">
        <v>1124</v>
      </c>
      <c r="D103" s="42">
        <v>2</v>
      </c>
      <c r="E103" s="9">
        <v>121.64</v>
      </c>
      <c r="F103" s="9"/>
      <c r="G103" s="72">
        <v>10</v>
      </c>
      <c r="I103" s="36"/>
      <c r="K103" s="36"/>
    </row>
    <row r="104" spans="2:12" x14ac:dyDescent="0.25">
      <c r="B104" s="86">
        <v>40483</v>
      </c>
      <c r="C104" s="19">
        <v>1294</v>
      </c>
      <c r="D104" s="42">
        <v>2</v>
      </c>
      <c r="E104" s="9">
        <v>139.58000000000001</v>
      </c>
      <c r="F104" s="9"/>
      <c r="G104" s="72">
        <v>10</v>
      </c>
      <c r="I104" s="36"/>
    </row>
    <row r="105" spans="2:12" x14ac:dyDescent="0.25">
      <c r="B105" s="86">
        <v>40513</v>
      </c>
      <c r="C105" s="56">
        <v>1375</v>
      </c>
      <c r="D105" s="32">
        <v>2</v>
      </c>
      <c r="E105" s="89">
        <v>147.69</v>
      </c>
      <c r="F105" s="89"/>
      <c r="G105" s="90">
        <v>10</v>
      </c>
      <c r="I105" s="36"/>
      <c r="K105" s="37"/>
      <c r="L105" s="7"/>
    </row>
    <row r="106" spans="2:12" x14ac:dyDescent="0.25">
      <c r="C106" s="19">
        <f>SUM(C94:C105)</f>
        <v>21701</v>
      </c>
      <c r="D106" s="19">
        <f>SUM(D94:D105)</f>
        <v>31</v>
      </c>
      <c r="E106" s="9">
        <f>SUM(E94:E105)</f>
        <v>2362.37</v>
      </c>
      <c r="F106" s="9"/>
      <c r="G106" s="9">
        <f>SUM(G94:G105)</f>
        <v>150</v>
      </c>
      <c r="I106" s="19"/>
      <c r="K106" s="19">
        <v>7049</v>
      </c>
      <c r="L106" s="19">
        <v>14652</v>
      </c>
    </row>
  </sheetData>
  <mergeCells count="6">
    <mergeCell ref="D4:G5"/>
    <mergeCell ref="E7:F7"/>
    <mergeCell ref="T4:W5"/>
    <mergeCell ref="U7:V7"/>
    <mergeCell ref="L4:O5"/>
    <mergeCell ref="M7:N7"/>
  </mergeCells>
  <phoneticPr fontId="0" type="noConversion"/>
  <pageMargins left="0.75" right="0.75" top="1" bottom="1" header="0.5" footer="0.5"/>
  <pageSetup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37"/>
  <sheetViews>
    <sheetView view="pageBreakPreview" zoomScale="75" zoomScaleNormal="85" zoomScaleSheetLayoutView="75" workbookViewId="0">
      <selection activeCell="G26" sqref="G25:U26"/>
    </sheetView>
  </sheetViews>
  <sheetFormatPr defaultColWidth="9.140625" defaultRowHeight="15.75" x14ac:dyDescent="0.25"/>
  <cols>
    <col min="1" max="1" width="4.7109375" style="2" customWidth="1"/>
    <col min="2" max="2" width="14.42578125" style="2" customWidth="1"/>
    <col min="3" max="3" width="3.5703125" style="2" customWidth="1"/>
    <col min="4" max="4" width="13.7109375" style="2" bestFit="1" customWidth="1"/>
    <col min="5" max="5" width="11.5703125" style="2" bestFit="1" customWidth="1"/>
    <col min="6" max="6" width="3.140625" style="2" customWidth="1"/>
    <col min="7" max="7" width="14.28515625" style="2" bestFit="1" customWidth="1"/>
    <col min="8" max="8" width="2.85546875" style="2" customWidth="1"/>
    <col min="9" max="9" width="21.28515625" style="2" bestFit="1" customWidth="1"/>
    <col min="10" max="10" width="23.5703125" style="2" customWidth="1"/>
    <col min="11" max="11" width="1.7109375" style="2" customWidth="1"/>
    <col min="12" max="12" width="13.7109375" style="2" bestFit="1" customWidth="1"/>
    <col min="13" max="13" width="11.5703125" style="2" bestFit="1" customWidth="1"/>
    <col min="14" max="14" width="4.28515625" style="2" customWidth="1"/>
    <col min="15" max="15" width="14.28515625" style="2" bestFit="1" customWidth="1"/>
    <col min="16" max="16" width="3" style="2" customWidth="1"/>
    <col min="17" max="17" width="1.7109375" style="2" customWidth="1"/>
    <col min="18" max="18" width="13.7109375" style="2" bestFit="1" customWidth="1"/>
    <col min="19" max="19" width="11.5703125" style="2" bestFit="1" customWidth="1"/>
    <col min="20" max="20" width="4.28515625" style="2" customWidth="1"/>
    <col min="21" max="21" width="14.28515625" style="2" bestFit="1" customWidth="1"/>
    <col min="22" max="16384" width="9.140625" style="2"/>
  </cols>
  <sheetData>
    <row r="1" spans="1:22" x14ac:dyDescent="0.25">
      <c r="A1" s="1" t="str">
        <f>'Present and Proposed Rates'!A1</f>
        <v>KENERGY CORP.</v>
      </c>
      <c r="J1" s="1"/>
    </row>
    <row r="2" spans="1:22" x14ac:dyDescent="0.25">
      <c r="A2" s="2" t="str">
        <f>'Present and Proposed Rates'!B13</f>
        <v>Commercial &amp; All Other Single Phase</v>
      </c>
    </row>
    <row r="3" spans="1:22" ht="16.5" thickBot="1" x14ac:dyDescent="0.3">
      <c r="A3" s="2">
        <f>'Present and Proposed Rates'!C13</f>
        <v>3</v>
      </c>
    </row>
    <row r="4" spans="1:22" x14ac:dyDescent="0.25">
      <c r="D4" s="601" t="s">
        <v>30</v>
      </c>
      <c r="E4" s="602"/>
      <c r="F4" s="602"/>
      <c r="G4" s="603"/>
      <c r="H4" s="394"/>
      <c r="L4" s="601" t="s">
        <v>194</v>
      </c>
      <c r="M4" s="602"/>
      <c r="N4" s="602"/>
      <c r="O4" s="603"/>
      <c r="P4" s="394"/>
      <c r="R4" s="601" t="s">
        <v>96</v>
      </c>
      <c r="S4" s="602"/>
      <c r="T4" s="602"/>
      <c r="U4" s="603"/>
    </row>
    <row r="5" spans="1:22" ht="16.5" thickBot="1" x14ac:dyDescent="0.3">
      <c r="A5" s="44"/>
      <c r="B5" s="54"/>
      <c r="C5" s="3"/>
      <c r="D5" s="604"/>
      <c r="E5" s="605"/>
      <c r="F5" s="605"/>
      <c r="G5" s="606"/>
      <c r="H5" s="394"/>
      <c r="I5" s="44"/>
      <c r="J5" s="54"/>
      <c r="K5" s="3"/>
      <c r="L5" s="604"/>
      <c r="M5" s="605"/>
      <c r="N5" s="605"/>
      <c r="O5" s="606"/>
      <c r="P5" s="394"/>
      <c r="Q5" s="3"/>
      <c r="R5" s="604"/>
      <c r="S5" s="605"/>
      <c r="T5" s="605"/>
      <c r="U5" s="606"/>
    </row>
    <row r="6" spans="1:22" x14ac:dyDescent="0.25">
      <c r="A6" s="4"/>
      <c r="B6" s="4"/>
      <c r="C6" s="4"/>
      <c r="D6" s="4" t="s">
        <v>1</v>
      </c>
      <c r="E6" s="4"/>
      <c r="F6" s="4"/>
      <c r="G6" s="4" t="s">
        <v>2</v>
      </c>
      <c r="H6" s="395"/>
      <c r="I6" s="4"/>
      <c r="J6" s="4"/>
      <c r="K6" s="4"/>
      <c r="L6" s="4" t="s">
        <v>1</v>
      </c>
      <c r="M6" s="4"/>
      <c r="N6" s="4"/>
      <c r="O6" s="4" t="s">
        <v>2</v>
      </c>
      <c r="P6" s="395"/>
      <c r="Q6" s="4"/>
      <c r="R6" s="4" t="s">
        <v>1</v>
      </c>
      <c r="S6" s="4"/>
      <c r="T6" s="4"/>
      <c r="U6" s="4" t="s">
        <v>2</v>
      </c>
    </row>
    <row r="7" spans="1:22" ht="16.5" thickBot="1" x14ac:dyDescent="0.3">
      <c r="A7" s="5"/>
      <c r="B7" s="5"/>
      <c r="C7" s="5"/>
      <c r="D7" s="5" t="s">
        <v>4</v>
      </c>
      <c r="E7" s="605" t="s">
        <v>5</v>
      </c>
      <c r="F7" s="605"/>
      <c r="G7" s="5" t="s">
        <v>6</v>
      </c>
      <c r="H7" s="396"/>
      <c r="I7" s="5"/>
      <c r="J7" s="5"/>
      <c r="K7" s="5"/>
      <c r="L7" s="5" t="s">
        <v>4</v>
      </c>
      <c r="M7" s="605" t="s">
        <v>5</v>
      </c>
      <c r="N7" s="605"/>
      <c r="O7" s="5" t="s">
        <v>6</v>
      </c>
      <c r="P7" s="396"/>
      <c r="Q7" s="5"/>
      <c r="R7" s="5" t="s">
        <v>4</v>
      </c>
      <c r="S7" s="605" t="s">
        <v>5</v>
      </c>
      <c r="T7" s="605"/>
      <c r="U7" s="5" t="s">
        <v>6</v>
      </c>
      <c r="V7" s="5" t="s">
        <v>64</v>
      </c>
    </row>
    <row r="8" spans="1:22" x14ac:dyDescent="0.25">
      <c r="H8" s="397"/>
      <c r="P8" s="397"/>
    </row>
    <row r="9" spans="1:22" x14ac:dyDescent="0.25">
      <c r="H9" s="397"/>
      <c r="P9" s="397"/>
    </row>
    <row r="10" spans="1:22" x14ac:dyDescent="0.25">
      <c r="A10" s="98" t="s">
        <v>10</v>
      </c>
      <c r="H10" s="397"/>
      <c r="I10" s="98" t="s">
        <v>10</v>
      </c>
      <c r="P10" s="397"/>
    </row>
    <row r="11" spans="1:22" x14ac:dyDescent="0.25">
      <c r="D11" s="398" t="s">
        <v>100</v>
      </c>
      <c r="E11" s="398" t="s">
        <v>109</v>
      </c>
      <c r="H11" s="397"/>
      <c r="L11" s="398" t="s">
        <v>100</v>
      </c>
      <c r="M11" s="398" t="s">
        <v>109</v>
      </c>
      <c r="P11" s="397"/>
      <c r="R11" s="398" t="s">
        <v>100</v>
      </c>
      <c r="S11" s="398" t="s">
        <v>109</v>
      </c>
    </row>
    <row r="12" spans="1:22" x14ac:dyDescent="0.25">
      <c r="B12" s="2" t="s">
        <v>98</v>
      </c>
      <c r="D12" s="8">
        <f>BillDet!Q7-1162</f>
        <v>125923</v>
      </c>
      <c r="E12" s="72">
        <f>'Present and Proposed Rates'!G13</f>
        <v>22.1</v>
      </c>
      <c r="G12" s="11">
        <f>D12*E12</f>
        <v>2782898.3000000003</v>
      </c>
      <c r="H12" s="399"/>
      <c r="J12" s="2" t="s">
        <v>98</v>
      </c>
      <c r="L12" s="8">
        <f>BillDet!P7*12</f>
        <v>127932</v>
      </c>
      <c r="M12" s="72">
        <f>E12</f>
        <v>22.1</v>
      </c>
      <c r="O12" s="11">
        <f>L12*M12</f>
        <v>2827297.2</v>
      </c>
      <c r="P12" s="399"/>
      <c r="R12" s="8">
        <f>L12</f>
        <v>127932</v>
      </c>
      <c r="S12" s="72">
        <f>'Present and Proposed Rates'!H13</f>
        <v>22.1</v>
      </c>
      <c r="U12" s="11">
        <f>R12*S12</f>
        <v>2827297.2</v>
      </c>
      <c r="V12" s="410">
        <f>(U12-O12)/O12</f>
        <v>0</v>
      </c>
    </row>
    <row r="13" spans="1:22" x14ac:dyDescent="0.25">
      <c r="D13" s="8"/>
      <c r="E13" s="72"/>
      <c r="G13" s="11"/>
      <c r="H13" s="399"/>
      <c r="L13" s="8"/>
      <c r="M13" s="72"/>
      <c r="O13" s="11"/>
      <c r="P13" s="399"/>
      <c r="R13" s="8"/>
      <c r="S13" s="72"/>
      <c r="U13" s="11"/>
    </row>
    <row r="14" spans="1:22" x14ac:dyDescent="0.25">
      <c r="D14" s="8"/>
      <c r="G14" s="11"/>
      <c r="H14" s="399"/>
      <c r="L14" s="8"/>
      <c r="O14" s="11"/>
      <c r="P14" s="399"/>
      <c r="R14" s="8"/>
      <c r="U14" s="11"/>
    </row>
    <row r="15" spans="1:22" x14ac:dyDescent="0.25">
      <c r="A15" s="1" t="s">
        <v>7</v>
      </c>
      <c r="D15" s="8"/>
      <c r="G15" s="11"/>
      <c r="H15" s="399"/>
      <c r="I15" s="1" t="s">
        <v>7</v>
      </c>
      <c r="L15" s="8"/>
      <c r="O15" s="11"/>
      <c r="P15" s="399"/>
      <c r="R15" s="8"/>
      <c r="U15" s="11"/>
    </row>
    <row r="16" spans="1:22" x14ac:dyDescent="0.25">
      <c r="D16" s="400" t="s">
        <v>8</v>
      </c>
      <c r="E16" s="401" t="s">
        <v>11</v>
      </c>
      <c r="G16" s="11"/>
      <c r="H16" s="399"/>
      <c r="L16" s="400" t="s">
        <v>8</v>
      </c>
      <c r="M16" s="401" t="s">
        <v>11</v>
      </c>
      <c r="O16" s="11"/>
      <c r="P16" s="399"/>
      <c r="R16" s="400" t="s">
        <v>8</v>
      </c>
      <c r="S16" s="401" t="s">
        <v>11</v>
      </c>
      <c r="U16" s="11"/>
    </row>
    <row r="17" spans="1:22" x14ac:dyDescent="0.25">
      <c r="B17" s="2" t="s">
        <v>98</v>
      </c>
      <c r="D17" s="8">
        <f>BillDet!Q17</f>
        <v>119304695</v>
      </c>
      <c r="E17" s="402">
        <f>'Present and Proposed Rates'!G14</f>
        <v>0.100744</v>
      </c>
      <c r="G17" s="11">
        <f>D17*E17</f>
        <v>12019232.193080001</v>
      </c>
      <c r="H17" s="399"/>
      <c r="J17" s="2" t="s">
        <v>98</v>
      </c>
      <c r="L17" s="8">
        <f>D17</f>
        <v>119304695</v>
      </c>
      <c r="M17" s="402">
        <f>E17</f>
        <v>0.100744</v>
      </c>
      <c r="O17" s="11">
        <f>L17*M17</f>
        <v>12019232.193080001</v>
      </c>
      <c r="P17" s="399"/>
      <c r="R17" s="8">
        <f>L17+R35</f>
        <v>119304695</v>
      </c>
      <c r="S17" s="402">
        <f>'Present and Proposed Rates'!H14</f>
        <v>0.100744</v>
      </c>
      <c r="U17" s="11">
        <f>R17*S17</f>
        <v>12019232.193080001</v>
      </c>
      <c r="V17" s="410">
        <f>(U17-O17)/O17</f>
        <v>0</v>
      </c>
    </row>
    <row r="18" spans="1:22" x14ac:dyDescent="0.25">
      <c r="D18" s="8"/>
      <c r="E18" s="18"/>
      <c r="G18" s="11"/>
      <c r="H18" s="399"/>
      <c r="L18" s="8"/>
      <c r="M18" s="18"/>
      <c r="O18" s="11"/>
      <c r="P18" s="399"/>
      <c r="R18" s="8"/>
      <c r="S18" s="18"/>
      <c r="U18" s="11"/>
    </row>
    <row r="19" spans="1:22" x14ac:dyDescent="0.25">
      <c r="A19" s="1" t="s">
        <v>99</v>
      </c>
      <c r="D19" s="8"/>
      <c r="E19" s="18"/>
      <c r="G19" s="11"/>
      <c r="H19" s="399"/>
      <c r="I19" s="1" t="s">
        <v>99</v>
      </c>
      <c r="L19" s="8"/>
      <c r="M19" s="18"/>
      <c r="O19" s="11"/>
      <c r="P19" s="399"/>
      <c r="R19" s="8"/>
      <c r="S19" s="18"/>
      <c r="U19" s="11"/>
    </row>
    <row r="20" spans="1:22" x14ac:dyDescent="0.25">
      <c r="B20" s="2" t="s">
        <v>104</v>
      </c>
      <c r="D20" s="8"/>
      <c r="E20" s="403">
        <f>G20/D$17</f>
        <v>2.031679884852813E-2</v>
      </c>
      <c r="G20" s="11">
        <f>BillDet!Q38</f>
        <v>2423889.4899999998</v>
      </c>
      <c r="H20" s="399"/>
      <c r="J20" s="2" t="str">
        <f>B20</f>
        <v>Fuel Adjustment Clause</v>
      </c>
      <c r="L20" s="8"/>
      <c r="M20" s="403">
        <f>E20</f>
        <v>2.031679884852813E-2</v>
      </c>
      <c r="O20" s="11">
        <f>L$17*M20</f>
        <v>2423889.4899999998</v>
      </c>
      <c r="P20" s="399"/>
      <c r="R20" s="8"/>
      <c r="S20" s="403">
        <f>U20/R$17</f>
        <v>2.031679884852813E-2</v>
      </c>
      <c r="U20" s="11">
        <f>O20</f>
        <v>2423889.4899999998</v>
      </c>
      <c r="V20" s="410">
        <f t="shared" ref="V20:V23" si="0">(U20-O20)/O20</f>
        <v>0</v>
      </c>
    </row>
    <row r="21" spans="1:22" x14ac:dyDescent="0.25">
      <c r="B21" s="2" t="s">
        <v>101</v>
      </c>
      <c r="D21" s="8"/>
      <c r="E21" s="403">
        <f t="shared" ref="E21:E23" si="1">G21/D$17</f>
        <v>5.4572840574295929E-3</v>
      </c>
      <c r="G21" s="11">
        <f>BillDet!Q48</f>
        <v>651079.6100000001</v>
      </c>
      <c r="H21" s="399"/>
      <c r="J21" s="2" t="str">
        <f t="shared" ref="J21:J23" si="2">B21</f>
        <v>Environmental Surcharge</v>
      </c>
      <c r="L21" s="8"/>
      <c r="M21" s="403">
        <f t="shared" ref="M21:M23" si="3">E21</f>
        <v>5.4572840574295929E-3</v>
      </c>
      <c r="O21" s="11">
        <f t="shared" ref="O21:O23" si="4">L$17*M21</f>
        <v>651079.6100000001</v>
      </c>
      <c r="P21" s="399"/>
      <c r="R21" s="8"/>
      <c r="S21" s="403">
        <f t="shared" ref="S21:S23" si="5">U21/R$17</f>
        <v>5.4572840574295929E-3</v>
      </c>
      <c r="U21" s="11">
        <f t="shared" ref="U21:U23" si="6">O21</f>
        <v>651079.6100000001</v>
      </c>
      <c r="V21" s="410">
        <f t="shared" si="0"/>
        <v>0</v>
      </c>
    </row>
    <row r="22" spans="1:22" x14ac:dyDescent="0.25">
      <c r="B22" s="2" t="s">
        <v>102</v>
      </c>
      <c r="D22" s="8"/>
      <c r="E22" s="403">
        <f t="shared" si="1"/>
        <v>-6.6834888685646451E-3</v>
      </c>
      <c r="G22" s="11">
        <f>BillDet!Q58</f>
        <v>-797371.60100000002</v>
      </c>
      <c r="H22" s="399"/>
      <c r="J22" s="2" t="str">
        <f t="shared" si="2"/>
        <v>Member Rate Stability</v>
      </c>
      <c r="L22" s="8"/>
      <c r="M22" s="403">
        <f t="shared" si="3"/>
        <v>-6.6834888685646451E-3</v>
      </c>
      <c r="O22" s="11">
        <f t="shared" si="4"/>
        <v>-797371.60100000002</v>
      </c>
      <c r="P22" s="399"/>
      <c r="R22" s="8"/>
      <c r="S22" s="403">
        <f t="shared" si="5"/>
        <v>-6.6834888685646451E-3</v>
      </c>
      <c r="U22" s="11">
        <f t="shared" si="6"/>
        <v>-797371.60100000002</v>
      </c>
      <c r="V22" s="410">
        <f t="shared" si="0"/>
        <v>0</v>
      </c>
    </row>
    <row r="23" spans="1:22" x14ac:dyDescent="0.25">
      <c r="B23" s="2" t="s">
        <v>103</v>
      </c>
      <c r="D23" s="8"/>
      <c r="E23" s="403">
        <f t="shared" si="1"/>
        <v>3.7861442921420657E-3</v>
      </c>
      <c r="G23" s="11">
        <f>BillDet!Q68</f>
        <v>451704.79000000004</v>
      </c>
      <c r="H23" s="405"/>
      <c r="J23" s="2" t="str">
        <f t="shared" si="2"/>
        <v>Non-FAC PPA</v>
      </c>
      <c r="L23" s="8"/>
      <c r="M23" s="403">
        <f t="shared" si="3"/>
        <v>3.7861442921420657E-3</v>
      </c>
      <c r="O23" s="11">
        <f t="shared" si="4"/>
        <v>451704.79000000004</v>
      </c>
      <c r="P23" s="399"/>
      <c r="R23" s="8"/>
      <c r="S23" s="403">
        <f t="shared" si="5"/>
        <v>3.7861442921420657E-3</v>
      </c>
      <c r="U23" s="11">
        <f t="shared" si="6"/>
        <v>451704.79000000004</v>
      </c>
      <c r="V23" s="410">
        <f t="shared" si="0"/>
        <v>0</v>
      </c>
    </row>
    <row r="24" spans="1:22" x14ac:dyDescent="0.25">
      <c r="C24" s="16"/>
      <c r="D24" s="8"/>
      <c r="E24" s="406">
        <f>SUM(E20:E23)</f>
        <v>2.2876738329535143E-2</v>
      </c>
      <c r="G24" s="11"/>
      <c r="H24" s="399"/>
      <c r="K24" s="16"/>
      <c r="L24" s="8"/>
      <c r="M24" s="406">
        <f>SUM(M20:M23)</f>
        <v>2.2876738329535143E-2</v>
      </c>
      <c r="O24" s="11"/>
      <c r="P24" s="399"/>
      <c r="Q24" s="16"/>
      <c r="R24" s="8"/>
      <c r="S24" s="406">
        <f>SUM(S20:S23)</f>
        <v>2.2876738329535143E-2</v>
      </c>
      <c r="U24" s="11"/>
    </row>
    <row r="25" spans="1:22" x14ac:dyDescent="0.25">
      <c r="C25" s="16"/>
      <c r="D25" s="8"/>
      <c r="E25" s="18"/>
      <c r="G25" s="11"/>
      <c r="H25" s="399"/>
      <c r="K25" s="16"/>
      <c r="L25" s="8"/>
      <c r="M25" s="18"/>
      <c r="O25" s="11"/>
      <c r="P25" s="399"/>
      <c r="Q25" s="16"/>
      <c r="R25" s="8"/>
      <c r="S25" s="18"/>
      <c r="U25" s="11"/>
    </row>
    <row r="26" spans="1:22" ht="16.5" thickBot="1" x14ac:dyDescent="0.3">
      <c r="A26" s="1" t="s">
        <v>80</v>
      </c>
      <c r="G26" s="24">
        <f>SUM(G12:G25)</f>
        <v>17531432.782079998</v>
      </c>
      <c r="H26" s="399"/>
      <c r="I26" s="1" t="s">
        <v>80</v>
      </c>
      <c r="O26" s="24">
        <f>SUM(O12:O25)</f>
        <v>17575831.682079997</v>
      </c>
      <c r="P26" s="399"/>
      <c r="U26" s="24">
        <f>SUM(U12:U25)</f>
        <v>17575831.682079997</v>
      </c>
      <c r="V26" s="410">
        <f>(U26-O26)/O26</f>
        <v>0</v>
      </c>
    </row>
    <row r="27" spans="1:22" ht="16.5" thickTop="1" x14ac:dyDescent="0.25">
      <c r="A27" s="1"/>
      <c r="B27" s="1"/>
      <c r="G27" s="11"/>
      <c r="H27" s="399"/>
      <c r="I27" s="1"/>
      <c r="J27" s="1"/>
      <c r="O27" s="11"/>
      <c r="P27" s="399"/>
      <c r="U27" s="11"/>
    </row>
    <row r="28" spans="1:22" x14ac:dyDescent="0.25">
      <c r="A28" s="1" t="s">
        <v>19</v>
      </c>
      <c r="B28" s="10"/>
      <c r="G28" s="11">
        <v>17531432.782079998</v>
      </c>
      <c r="H28" s="399"/>
      <c r="I28" s="1" t="s">
        <v>85</v>
      </c>
      <c r="J28" s="10"/>
      <c r="O28" s="84">
        <f>O26-G26</f>
        <v>44398.89999999851</v>
      </c>
      <c r="P28" s="414"/>
      <c r="U28" s="84">
        <f>U26-O26</f>
        <v>0</v>
      </c>
    </row>
    <row r="29" spans="1:22" x14ac:dyDescent="0.25">
      <c r="A29" s="10"/>
      <c r="B29" s="10"/>
      <c r="G29" s="10"/>
      <c r="H29" s="407"/>
      <c r="J29" s="10"/>
      <c r="O29" s="10"/>
      <c r="P29" s="407"/>
      <c r="U29" s="10"/>
    </row>
    <row r="30" spans="1:22" x14ac:dyDescent="0.25">
      <c r="A30" s="1" t="s">
        <v>13</v>
      </c>
      <c r="B30" s="10"/>
      <c r="G30" s="408">
        <f>G26-G28</f>
        <v>0</v>
      </c>
      <c r="H30" s="409"/>
      <c r="I30" s="1" t="s">
        <v>86</v>
      </c>
      <c r="J30" s="10"/>
      <c r="O30" s="415">
        <f>O28/G26</f>
        <v>2.5325311714043974E-3</v>
      </c>
      <c r="P30" s="416"/>
      <c r="U30" s="415">
        <f>U28/O26</f>
        <v>0</v>
      </c>
    </row>
    <row r="31" spans="1:22" x14ac:dyDescent="0.25">
      <c r="A31" s="10"/>
      <c r="B31" s="10"/>
      <c r="G31" s="11"/>
      <c r="H31" s="399"/>
      <c r="J31" s="10"/>
      <c r="O31" s="11"/>
      <c r="P31" s="399"/>
      <c r="U31" s="11"/>
    </row>
    <row r="32" spans="1:22" x14ac:dyDescent="0.25">
      <c r="A32" s="1" t="s">
        <v>26</v>
      </c>
      <c r="B32" s="10"/>
      <c r="G32" s="47">
        <f>G30/G28</f>
        <v>0</v>
      </c>
      <c r="H32" s="411"/>
      <c r="I32" s="1" t="s">
        <v>87</v>
      </c>
      <c r="J32" s="10"/>
      <c r="O32" s="52">
        <f>O28/L12</f>
        <v>0.34705077697525644</v>
      </c>
      <c r="P32" s="414"/>
      <c r="U32" s="52">
        <f>U28/R12</f>
        <v>0</v>
      </c>
    </row>
    <row r="33" spans="1:21" x14ac:dyDescent="0.25">
      <c r="A33" s="1"/>
      <c r="B33" s="10"/>
      <c r="G33" s="47"/>
      <c r="H33" s="411"/>
      <c r="I33" s="1"/>
      <c r="J33" s="10"/>
      <c r="O33" s="47"/>
      <c r="P33" s="411"/>
      <c r="U33" s="47"/>
    </row>
    <row r="34" spans="1:21" x14ac:dyDescent="0.25">
      <c r="A34" s="1"/>
      <c r="B34" s="10"/>
      <c r="D34" s="45">
        <f>D17/D12</f>
        <v>947.44165085012264</v>
      </c>
      <c r="G34" s="47"/>
      <c r="H34" s="47"/>
      <c r="I34" s="1"/>
      <c r="J34" s="10"/>
      <c r="L34" s="2">
        <f>L17/L12</f>
        <v>932.56335396929614</v>
      </c>
      <c r="O34" s="47"/>
      <c r="P34" s="47"/>
      <c r="U34" s="47"/>
    </row>
    <row r="35" spans="1:21" x14ac:dyDescent="0.25">
      <c r="A35" s="1"/>
      <c r="B35" s="10"/>
      <c r="G35" s="412">
        <f>G12+G17</f>
        <v>14802130.493080001</v>
      </c>
      <c r="H35" s="47"/>
      <c r="I35" s="1"/>
      <c r="J35" s="10"/>
      <c r="O35" s="47"/>
      <c r="P35" s="47"/>
      <c r="R35" s="45">
        <v>0</v>
      </c>
      <c r="S35" s="2" t="s">
        <v>355</v>
      </c>
      <c r="U35" s="47"/>
    </row>
    <row r="36" spans="1:21" x14ac:dyDescent="0.25">
      <c r="A36" s="1"/>
      <c r="B36" s="10"/>
      <c r="G36" s="47"/>
      <c r="H36" s="47"/>
      <c r="I36" s="1"/>
      <c r="J36" s="10"/>
      <c r="O36" s="47"/>
      <c r="P36" s="47"/>
      <c r="U36" s="47"/>
    </row>
    <row r="37" spans="1:21" x14ac:dyDescent="0.25">
      <c r="A37" s="1"/>
      <c r="B37" s="10"/>
      <c r="G37" s="47"/>
      <c r="H37" s="47"/>
      <c r="I37" s="1"/>
      <c r="J37" s="10"/>
      <c r="O37" s="47"/>
      <c r="P37" s="47"/>
      <c r="U37" s="47"/>
    </row>
    <row r="38" spans="1:21" x14ac:dyDescent="0.25">
      <c r="A38" s="1"/>
      <c r="B38" s="10"/>
      <c r="G38" s="47"/>
      <c r="H38" s="47"/>
      <c r="I38" s="1"/>
      <c r="J38" s="10"/>
      <c r="O38" s="47"/>
      <c r="P38" s="47"/>
      <c r="U38" s="47"/>
    </row>
    <row r="39" spans="1:21" ht="18.75" customHeight="1" x14ac:dyDescent="0.25">
      <c r="A39" s="1"/>
      <c r="B39" s="11"/>
      <c r="G39" s="47"/>
      <c r="H39" s="47"/>
    </row>
    <row r="40" spans="1:21" x14ac:dyDescent="0.25">
      <c r="E40" s="11"/>
    </row>
    <row r="41" spans="1:21" x14ac:dyDescent="0.25">
      <c r="I41" s="41"/>
      <c r="J41" s="41"/>
    </row>
    <row r="42" spans="1:21" x14ac:dyDescent="0.25">
      <c r="I42" s="41"/>
      <c r="J42" s="41"/>
    </row>
    <row r="43" spans="1:21" x14ac:dyDescent="0.25">
      <c r="I43" s="41"/>
      <c r="J43" s="41"/>
    </row>
    <row r="44" spans="1:21" x14ac:dyDescent="0.25">
      <c r="I44" s="41"/>
      <c r="J44" s="71"/>
    </row>
    <row r="45" spans="1:21" x14ac:dyDescent="0.25">
      <c r="I45" s="41"/>
      <c r="J45" s="71"/>
    </row>
    <row r="46" spans="1:21" x14ac:dyDescent="0.25">
      <c r="I46" s="41"/>
      <c r="J46" s="71"/>
    </row>
    <row r="47" spans="1:21" x14ac:dyDescent="0.25">
      <c r="I47" s="41"/>
      <c r="J47" s="71"/>
    </row>
    <row r="48" spans="1:21" x14ac:dyDescent="0.25">
      <c r="I48" s="41"/>
      <c r="J48" s="71"/>
    </row>
    <row r="49" spans="9:10" x14ac:dyDescent="0.25">
      <c r="I49" s="41"/>
      <c r="J49" s="71"/>
    </row>
    <row r="50" spans="9:10" x14ac:dyDescent="0.25">
      <c r="I50" s="41"/>
      <c r="J50" s="71"/>
    </row>
    <row r="51" spans="9:10" x14ac:dyDescent="0.25">
      <c r="I51" s="41"/>
      <c r="J51" s="71"/>
    </row>
    <row r="52" spans="9:10" x14ac:dyDescent="0.25">
      <c r="I52" s="41"/>
      <c r="J52" s="71"/>
    </row>
    <row r="53" spans="9:10" x14ac:dyDescent="0.25">
      <c r="I53" s="41"/>
      <c r="J53" s="71"/>
    </row>
    <row r="54" spans="9:10" ht="16.5" customHeight="1" x14ac:dyDescent="0.25">
      <c r="I54" s="41"/>
      <c r="J54" s="71"/>
    </row>
    <row r="55" spans="9:10" x14ac:dyDescent="0.25">
      <c r="I55" s="41"/>
      <c r="J55" s="71"/>
    </row>
    <row r="56" spans="9:10" x14ac:dyDescent="0.25">
      <c r="I56" s="41"/>
      <c r="J56" s="71"/>
    </row>
    <row r="59" spans="9:10" x14ac:dyDescent="0.25">
      <c r="I59" s="41"/>
      <c r="J59" s="41"/>
    </row>
    <row r="60" spans="9:10" x14ac:dyDescent="0.25">
      <c r="I60" s="41"/>
      <c r="J60" s="41"/>
    </row>
    <row r="61" spans="9:10" x14ac:dyDescent="0.25">
      <c r="I61" s="41"/>
      <c r="J61" s="41"/>
    </row>
    <row r="62" spans="9:10" x14ac:dyDescent="0.25">
      <c r="I62" s="69"/>
      <c r="J62" s="61"/>
    </row>
    <row r="63" spans="9:10" x14ac:dyDescent="0.25">
      <c r="I63" s="69"/>
      <c r="J63" s="61"/>
    </row>
    <row r="64" spans="9:10" x14ac:dyDescent="0.25">
      <c r="I64" s="69"/>
      <c r="J64" s="61"/>
    </row>
    <row r="65" spans="9:10" x14ac:dyDescent="0.25">
      <c r="I65" s="69"/>
      <c r="J65" s="61"/>
    </row>
    <row r="66" spans="9:10" x14ac:dyDescent="0.25">
      <c r="I66" s="69"/>
      <c r="J66" s="61"/>
    </row>
    <row r="67" spans="9:10" x14ac:dyDescent="0.25">
      <c r="I67" s="69"/>
      <c r="J67" s="61"/>
    </row>
    <row r="68" spans="9:10" x14ac:dyDescent="0.25">
      <c r="I68" s="69"/>
      <c r="J68" s="61"/>
    </row>
    <row r="69" spans="9:10" x14ac:dyDescent="0.25">
      <c r="I69" s="69"/>
      <c r="J69" s="61"/>
    </row>
    <row r="70" spans="9:10" x14ac:dyDescent="0.25">
      <c r="I70" s="69"/>
      <c r="J70" s="61"/>
    </row>
    <row r="71" spans="9:10" x14ac:dyDescent="0.25">
      <c r="I71" s="69"/>
      <c r="J71" s="61"/>
    </row>
    <row r="72" spans="9:10" x14ac:dyDescent="0.25">
      <c r="I72" s="69"/>
      <c r="J72" s="61"/>
    </row>
    <row r="73" spans="9:10" x14ac:dyDescent="0.25">
      <c r="I73" s="69"/>
      <c r="J73" s="61"/>
    </row>
    <row r="74" spans="9:10" x14ac:dyDescent="0.25">
      <c r="I74" s="41"/>
      <c r="J74" s="41"/>
    </row>
    <row r="75" spans="9:10" x14ac:dyDescent="0.25">
      <c r="I75" s="41"/>
      <c r="J75" s="41"/>
    </row>
    <row r="76" spans="9:10" x14ac:dyDescent="0.25">
      <c r="I76" s="41"/>
      <c r="J76" s="41"/>
    </row>
    <row r="77" spans="9:10" x14ac:dyDescent="0.25">
      <c r="I77" s="41"/>
      <c r="J77" s="41"/>
    </row>
    <row r="78" spans="9:10" x14ac:dyDescent="0.25">
      <c r="I78" s="41"/>
      <c r="J78" s="41"/>
    </row>
    <row r="79" spans="9:10" x14ac:dyDescent="0.25">
      <c r="I79" s="41"/>
      <c r="J79" s="41"/>
    </row>
    <row r="80" spans="9:10" x14ac:dyDescent="0.25">
      <c r="I80" s="41"/>
      <c r="J80" s="41"/>
    </row>
    <row r="81" spans="9:10" x14ac:dyDescent="0.25">
      <c r="I81" s="41"/>
      <c r="J81" s="41"/>
    </row>
    <row r="82" spans="9:10" x14ac:dyDescent="0.25">
      <c r="I82" s="41"/>
      <c r="J82" s="41"/>
    </row>
    <row r="83" spans="9:10" x14ac:dyDescent="0.25">
      <c r="I83" s="41"/>
      <c r="J83" s="41"/>
    </row>
    <row r="84" spans="9:10" x14ac:dyDescent="0.25">
      <c r="I84" s="41"/>
      <c r="J84" s="41"/>
    </row>
    <row r="85" spans="9:10" x14ac:dyDescent="0.25">
      <c r="I85" s="41"/>
      <c r="J85" s="41"/>
    </row>
    <row r="86" spans="9:10" x14ac:dyDescent="0.25">
      <c r="I86" s="41"/>
      <c r="J86" s="41"/>
    </row>
    <row r="87" spans="9:10" ht="15" customHeight="1" x14ac:dyDescent="0.25">
      <c r="I87" s="41"/>
      <c r="J87" s="41"/>
    </row>
    <row r="88" spans="9:10" x14ac:dyDescent="0.25">
      <c r="I88" s="41"/>
      <c r="J88" s="41"/>
    </row>
    <row r="89" spans="9:10" x14ac:dyDescent="0.25">
      <c r="I89" s="41"/>
      <c r="J89" s="41"/>
    </row>
    <row r="90" spans="9:10" x14ac:dyDescent="0.25">
      <c r="I90" s="41"/>
      <c r="J90" s="41"/>
    </row>
    <row r="91" spans="9:10" x14ac:dyDescent="0.25">
      <c r="I91" s="41"/>
      <c r="J91" s="41"/>
    </row>
    <row r="92" spans="9:10" x14ac:dyDescent="0.25">
      <c r="I92" s="41"/>
      <c r="J92" s="41"/>
    </row>
    <row r="93" spans="9:10" x14ac:dyDescent="0.25">
      <c r="I93" s="41"/>
      <c r="J93" s="41"/>
    </row>
    <row r="94" spans="9:10" x14ac:dyDescent="0.25">
      <c r="I94" s="41"/>
      <c r="J94" s="41"/>
    </row>
    <row r="95" spans="9:10" x14ac:dyDescent="0.25">
      <c r="I95" s="41"/>
      <c r="J95" s="41"/>
    </row>
    <row r="96" spans="9:10" x14ac:dyDescent="0.25">
      <c r="I96" s="41"/>
      <c r="J96" s="41"/>
    </row>
    <row r="97" spans="9:10" x14ac:dyDescent="0.25">
      <c r="I97" s="41"/>
      <c r="J97" s="41"/>
    </row>
    <row r="98" spans="9:10" x14ac:dyDescent="0.25">
      <c r="I98" s="41"/>
      <c r="J98" s="41"/>
    </row>
    <row r="99" spans="9:10" x14ac:dyDescent="0.25">
      <c r="I99" s="41"/>
      <c r="J99" s="41"/>
    </row>
    <row r="100" spans="9:10" x14ac:dyDescent="0.25">
      <c r="I100" s="41"/>
      <c r="J100" s="41"/>
    </row>
    <row r="101" spans="9:10" x14ac:dyDescent="0.25">
      <c r="I101" s="41"/>
      <c r="J101" s="41"/>
    </row>
    <row r="102" spans="9:10" x14ac:dyDescent="0.25">
      <c r="I102" s="41"/>
      <c r="J102" s="41"/>
    </row>
    <row r="103" spans="9:10" x14ac:dyDescent="0.25">
      <c r="I103" s="41"/>
      <c r="J103" s="41"/>
    </row>
    <row r="104" spans="9:10" x14ac:dyDescent="0.25">
      <c r="I104" s="41"/>
      <c r="J104" s="41"/>
    </row>
    <row r="105" spans="9:10" x14ac:dyDescent="0.25">
      <c r="I105" s="41"/>
      <c r="J105" s="41"/>
    </row>
    <row r="106" spans="9:10" x14ac:dyDescent="0.25">
      <c r="I106" s="41"/>
      <c r="J106" s="41"/>
    </row>
    <row r="107" spans="9:10" x14ac:dyDescent="0.25">
      <c r="I107" s="41"/>
      <c r="J107" s="41"/>
    </row>
    <row r="108" spans="9:10" x14ac:dyDescent="0.25">
      <c r="I108" s="41"/>
      <c r="J108" s="41"/>
    </row>
    <row r="109" spans="9:10" x14ac:dyDescent="0.25">
      <c r="I109" s="41"/>
      <c r="J109" s="41"/>
    </row>
    <row r="110" spans="9:10" x14ac:dyDescent="0.25">
      <c r="I110" s="41"/>
      <c r="J110" s="41"/>
    </row>
    <row r="111" spans="9:10" x14ac:dyDescent="0.25">
      <c r="I111" s="41"/>
      <c r="J111" s="41"/>
    </row>
    <row r="112" spans="9:10" x14ac:dyDescent="0.25">
      <c r="I112" s="41"/>
      <c r="J112" s="41"/>
    </row>
    <row r="113" spans="9:10" x14ac:dyDescent="0.25">
      <c r="I113" s="41"/>
      <c r="J113" s="41"/>
    </row>
    <row r="114" spans="9:10" x14ac:dyDescent="0.25">
      <c r="I114" s="41"/>
      <c r="J114" s="41"/>
    </row>
    <row r="115" spans="9:10" x14ac:dyDescent="0.25">
      <c r="I115" s="41"/>
      <c r="J115" s="41"/>
    </row>
    <row r="116" spans="9:10" x14ac:dyDescent="0.25">
      <c r="I116" s="41"/>
      <c r="J116" s="41"/>
    </row>
    <row r="117" spans="9:10" x14ac:dyDescent="0.25">
      <c r="I117" s="41"/>
      <c r="J117" s="41"/>
    </row>
    <row r="118" spans="9:10" x14ac:dyDescent="0.25">
      <c r="I118" s="41"/>
      <c r="J118" s="41"/>
    </row>
    <row r="119" spans="9:10" x14ac:dyDescent="0.25">
      <c r="I119" s="41"/>
      <c r="J119" s="41"/>
    </row>
    <row r="134" spans="3:5" x14ac:dyDescent="0.25">
      <c r="C134" s="41"/>
      <c r="D134" s="41"/>
    </row>
    <row r="135" spans="3:5" x14ac:dyDescent="0.25">
      <c r="C135" s="43"/>
      <c r="D135" s="50"/>
      <c r="E135" s="55"/>
    </row>
    <row r="136" spans="3:5" x14ac:dyDescent="0.25">
      <c r="C136" s="43"/>
      <c r="D136" s="50"/>
      <c r="E136" s="55"/>
    </row>
    <row r="137" spans="3:5" x14ac:dyDescent="0.25">
      <c r="C137" s="43"/>
      <c r="D137" s="50"/>
      <c r="E137" s="55"/>
    </row>
  </sheetData>
  <mergeCells count="6">
    <mergeCell ref="D4:G5"/>
    <mergeCell ref="R4:U5"/>
    <mergeCell ref="E7:F7"/>
    <mergeCell ref="S7:T7"/>
    <mergeCell ref="L4:O5"/>
    <mergeCell ref="M7:N7"/>
  </mergeCells>
  <pageMargins left="0.75" right="0.75" top="1" bottom="1" header="0.5" footer="0.5"/>
  <pageSetup scale="57" orientation="landscape" r:id="rId1"/>
  <headerFooter alignWithMargins="0">
    <oddFooter>&amp;RExhibit JW-9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39F9-D961-4BD0-933F-4F8852DC951C}">
  <sheetPr codeName="Sheet7">
    <pageSetUpPr fitToPage="1"/>
  </sheetPr>
  <dimension ref="A1:V162"/>
  <sheetViews>
    <sheetView view="pageBreakPreview" topLeftCell="A35" zoomScale="75" zoomScaleNormal="85" zoomScaleSheetLayoutView="75" workbookViewId="0">
      <selection activeCell="D18" sqref="D18:U22"/>
    </sheetView>
  </sheetViews>
  <sheetFormatPr defaultColWidth="9.140625" defaultRowHeight="15.75" x14ac:dyDescent="0.25"/>
  <cols>
    <col min="1" max="1" width="7" style="2" customWidth="1"/>
    <col min="2" max="2" width="23.42578125" style="2" bestFit="1" customWidth="1"/>
    <col min="3" max="3" width="1.7109375" style="2" customWidth="1"/>
    <col min="4" max="4" width="13.140625" style="2" bestFit="1" customWidth="1"/>
    <col min="5" max="5" width="11.7109375" style="2" bestFit="1" customWidth="1"/>
    <col min="6" max="6" width="3.140625" style="2" customWidth="1"/>
    <col min="7" max="7" width="13.140625" style="2" bestFit="1" customWidth="1"/>
    <col min="8" max="8" width="2.85546875" style="2" customWidth="1"/>
    <col min="9" max="9" width="5.7109375" style="2" bestFit="1" customWidth="1"/>
    <col min="10" max="10" width="22.5703125" style="2" bestFit="1" customWidth="1"/>
    <col min="11" max="11" width="2.140625" style="2" customWidth="1"/>
    <col min="12" max="12" width="13.140625" style="2" bestFit="1" customWidth="1"/>
    <col min="13" max="13" width="11.7109375" style="2" bestFit="1" customWidth="1"/>
    <col min="14" max="14" width="4.28515625" style="2" customWidth="1"/>
    <col min="15" max="15" width="13.140625" style="2" bestFit="1" customWidth="1"/>
    <col min="16" max="16" width="2.85546875" style="2" customWidth="1"/>
    <col min="17" max="17" width="2.140625" style="2" customWidth="1"/>
    <col min="18" max="18" width="13.140625" style="2" bestFit="1" customWidth="1"/>
    <col min="19" max="19" width="11.7109375" style="2" bestFit="1" customWidth="1"/>
    <col min="20" max="20" width="4.28515625" style="2" customWidth="1"/>
    <col min="21" max="21" width="13.140625" style="2" bestFit="1" customWidth="1"/>
    <col min="22" max="16384" width="9.140625" style="2"/>
  </cols>
  <sheetData>
    <row r="1" spans="1:22" x14ac:dyDescent="0.25">
      <c r="A1" s="1" t="str">
        <f>'Present and Proposed Rates'!A1</f>
        <v>KENERGY CORP.</v>
      </c>
      <c r="J1" s="1"/>
    </row>
    <row r="2" spans="1:22" x14ac:dyDescent="0.25">
      <c r="A2" s="2" t="str">
        <f>'Present and Proposed Rates'!B22</f>
        <v>Commercial Three Phase (1001 kW +)</v>
      </c>
    </row>
    <row r="3" spans="1:22" ht="16.5" thickBot="1" x14ac:dyDescent="0.3">
      <c r="A3" s="2">
        <f>'Present and Proposed Rates'!C22</f>
        <v>7</v>
      </c>
    </row>
    <row r="4" spans="1:22" x14ac:dyDescent="0.25">
      <c r="D4" s="601" t="s">
        <v>30</v>
      </c>
      <c r="E4" s="602"/>
      <c r="F4" s="602"/>
      <c r="G4" s="603"/>
      <c r="H4" s="394"/>
      <c r="L4" s="601" t="s">
        <v>194</v>
      </c>
      <c r="M4" s="602"/>
      <c r="N4" s="602"/>
      <c r="O4" s="603"/>
      <c r="P4" s="394"/>
      <c r="R4" s="601" t="s">
        <v>96</v>
      </c>
      <c r="S4" s="602"/>
      <c r="T4" s="602"/>
      <c r="U4" s="603"/>
    </row>
    <row r="5" spans="1:22" ht="16.5" thickBot="1" x14ac:dyDescent="0.3">
      <c r="A5" s="44"/>
      <c r="B5" s="54"/>
      <c r="C5" s="3"/>
      <c r="D5" s="604"/>
      <c r="E5" s="605"/>
      <c r="F5" s="605"/>
      <c r="G5" s="606"/>
      <c r="H5" s="394"/>
      <c r="I5" s="44"/>
      <c r="J5" s="54"/>
      <c r="K5" s="3"/>
      <c r="L5" s="604"/>
      <c r="M5" s="605"/>
      <c r="N5" s="605"/>
      <c r="O5" s="606"/>
      <c r="P5" s="394"/>
      <c r="Q5" s="3"/>
      <c r="R5" s="604"/>
      <c r="S5" s="605"/>
      <c r="T5" s="605"/>
      <c r="U5" s="606"/>
    </row>
    <row r="6" spans="1:22" x14ac:dyDescent="0.25">
      <c r="A6" s="4"/>
      <c r="B6" s="4"/>
      <c r="C6" s="4"/>
      <c r="D6" s="4" t="s">
        <v>1</v>
      </c>
      <c r="E6" s="4"/>
      <c r="F6" s="4"/>
      <c r="G6" s="4" t="s">
        <v>2</v>
      </c>
      <c r="H6" s="395"/>
      <c r="I6" s="4"/>
      <c r="J6" s="4"/>
      <c r="K6" s="4"/>
      <c r="L6" s="4" t="s">
        <v>1</v>
      </c>
      <c r="M6" s="4"/>
      <c r="N6" s="4"/>
      <c r="O6" s="4" t="s">
        <v>2</v>
      </c>
      <c r="P6" s="395"/>
      <c r="Q6" s="4"/>
      <c r="R6" s="4" t="s">
        <v>1</v>
      </c>
      <c r="S6" s="4"/>
      <c r="T6" s="4"/>
      <c r="U6" s="4" t="s">
        <v>2</v>
      </c>
    </row>
    <row r="7" spans="1:22" ht="16.5" thickBot="1" x14ac:dyDescent="0.3">
      <c r="A7" s="5"/>
      <c r="B7" s="5"/>
      <c r="C7" s="5"/>
      <c r="D7" s="5" t="s">
        <v>4</v>
      </c>
      <c r="E7" s="605" t="s">
        <v>5</v>
      </c>
      <c r="F7" s="605"/>
      <c r="G7" s="5" t="s">
        <v>6</v>
      </c>
      <c r="H7" s="396"/>
      <c r="I7" s="5"/>
      <c r="J7" s="5"/>
      <c r="K7" s="5"/>
      <c r="L7" s="5" t="s">
        <v>4</v>
      </c>
      <c r="M7" s="605" t="s">
        <v>5</v>
      </c>
      <c r="N7" s="605"/>
      <c r="O7" s="5" t="s">
        <v>6</v>
      </c>
      <c r="P7" s="396"/>
      <c r="Q7" s="5"/>
      <c r="R7" s="5" t="s">
        <v>4</v>
      </c>
      <c r="S7" s="605" t="s">
        <v>5</v>
      </c>
      <c r="T7" s="605"/>
      <c r="U7" s="5" t="s">
        <v>6</v>
      </c>
      <c r="V7" s="5" t="s">
        <v>64</v>
      </c>
    </row>
    <row r="8" spans="1:22" x14ac:dyDescent="0.25">
      <c r="H8" s="397"/>
      <c r="P8" s="397"/>
    </row>
    <row r="9" spans="1:22" x14ac:dyDescent="0.25">
      <c r="H9" s="397"/>
      <c r="P9" s="397"/>
    </row>
    <row r="10" spans="1:22" x14ac:dyDescent="0.25">
      <c r="A10" s="98" t="s">
        <v>10</v>
      </c>
      <c r="H10" s="397"/>
      <c r="I10" s="98" t="s">
        <v>10</v>
      </c>
      <c r="P10" s="397"/>
    </row>
    <row r="11" spans="1:22" x14ac:dyDescent="0.25">
      <c r="D11" s="398" t="s">
        <v>100</v>
      </c>
      <c r="E11" s="398" t="s">
        <v>109</v>
      </c>
      <c r="H11" s="397"/>
      <c r="L11" s="398" t="s">
        <v>100</v>
      </c>
      <c r="M11" s="398" t="s">
        <v>109</v>
      </c>
      <c r="P11" s="397"/>
      <c r="R11" s="398" t="s">
        <v>100</v>
      </c>
      <c r="S11" s="398" t="s">
        <v>109</v>
      </c>
    </row>
    <row r="12" spans="1:22" x14ac:dyDescent="0.25">
      <c r="A12" s="2" t="s">
        <v>183</v>
      </c>
      <c r="B12" s="2" t="s">
        <v>98</v>
      </c>
      <c r="D12" s="8">
        <f>BillDet!Q9</f>
        <v>120</v>
      </c>
      <c r="E12" s="72">
        <f>'Present and Proposed Rates'!G22</f>
        <v>975.27</v>
      </c>
      <c r="G12" s="11">
        <f>D12*E12</f>
        <v>117032.4</v>
      </c>
      <c r="H12" s="399"/>
      <c r="I12" s="2" t="str">
        <f>A12</f>
        <v>HLF</v>
      </c>
      <c r="J12" s="2" t="str">
        <f>B12</f>
        <v>Jan to Dec</v>
      </c>
      <c r="L12" s="8">
        <f>D12</f>
        <v>120</v>
      </c>
      <c r="M12" s="72">
        <f>E12</f>
        <v>975.27</v>
      </c>
      <c r="O12" s="11">
        <f>L12*M12</f>
        <v>117032.4</v>
      </c>
      <c r="P12" s="399"/>
      <c r="R12" s="8">
        <f>L12</f>
        <v>120</v>
      </c>
      <c r="S12" s="72">
        <f>'Present and Proposed Rates'!H22</f>
        <v>975.27</v>
      </c>
      <c r="U12" s="11">
        <f>R12*S12</f>
        <v>117032.4</v>
      </c>
      <c r="V12" s="410">
        <f>(U12-O12)/O12</f>
        <v>0</v>
      </c>
    </row>
    <row r="13" spans="1:22" x14ac:dyDescent="0.25">
      <c r="A13" s="2" t="s">
        <v>184</v>
      </c>
      <c r="B13" s="2" t="s">
        <v>98</v>
      </c>
      <c r="D13" s="8">
        <f>BillDet!Q10</f>
        <v>12</v>
      </c>
      <c r="E13" s="72">
        <f>'Present and Proposed Rates'!G27</f>
        <v>975.27</v>
      </c>
      <c r="G13" s="11">
        <f>D13*E13</f>
        <v>11703.24</v>
      </c>
      <c r="H13" s="399"/>
      <c r="I13" s="2" t="str">
        <f>A13</f>
        <v>LLF</v>
      </c>
      <c r="J13" s="2" t="str">
        <f t="shared" ref="J13:J14" si="0">B13</f>
        <v>Jan to Dec</v>
      </c>
      <c r="L13" s="8">
        <f t="shared" ref="L13:L14" si="1">D13</f>
        <v>12</v>
      </c>
      <c r="M13" s="72">
        <f t="shared" ref="M13:M14" si="2">E13</f>
        <v>975.27</v>
      </c>
      <c r="O13" s="11">
        <f>L13*M13</f>
        <v>11703.24</v>
      </c>
      <c r="P13" s="399"/>
      <c r="R13" s="8">
        <f>L13</f>
        <v>12</v>
      </c>
      <c r="S13" s="72">
        <f>'Present and Proposed Rates'!H27</f>
        <v>975.27</v>
      </c>
      <c r="U13" s="11">
        <f>R13*S13</f>
        <v>11703.24</v>
      </c>
      <c r="V13" s="410">
        <f>(U13-O13)/O13</f>
        <v>0</v>
      </c>
    </row>
    <row r="14" spans="1:22" x14ac:dyDescent="0.25">
      <c r="B14" s="418" t="s">
        <v>185</v>
      </c>
      <c r="D14" s="419">
        <f>SUM(D12:D13)</f>
        <v>132</v>
      </c>
      <c r="E14" s="423">
        <f>G14/D14</f>
        <v>975.27</v>
      </c>
      <c r="G14" s="421">
        <f>SUM(G12:G13)</f>
        <v>128735.64</v>
      </c>
      <c r="H14" s="399"/>
      <c r="J14" s="2" t="str">
        <f t="shared" si="0"/>
        <v>Subtotal</v>
      </c>
      <c r="L14" s="419">
        <f t="shared" si="1"/>
        <v>132</v>
      </c>
      <c r="M14" s="423">
        <f t="shared" si="2"/>
        <v>975.27</v>
      </c>
      <c r="O14" s="421">
        <f>SUM(O12:O13)</f>
        <v>128735.64</v>
      </c>
      <c r="P14" s="399"/>
      <c r="R14" s="419">
        <f>L14</f>
        <v>132</v>
      </c>
      <c r="S14" s="423">
        <f>U14/R14</f>
        <v>975.27</v>
      </c>
      <c r="U14" s="421">
        <f>SUM(U12:U13)</f>
        <v>128735.64</v>
      </c>
      <c r="V14" s="410">
        <f>(U14-O14)/O14</f>
        <v>0</v>
      </c>
    </row>
    <row r="15" spans="1:22" x14ac:dyDescent="0.25">
      <c r="D15" s="8"/>
      <c r="G15" s="11"/>
      <c r="H15" s="399"/>
      <c r="L15" s="8"/>
      <c r="O15" s="11"/>
      <c r="P15" s="399"/>
      <c r="R15" s="8"/>
      <c r="U15" s="11"/>
    </row>
    <row r="16" spans="1:22" x14ac:dyDescent="0.25">
      <c r="A16" s="1" t="s">
        <v>7</v>
      </c>
      <c r="D16" s="8"/>
      <c r="G16" s="11"/>
      <c r="H16" s="399"/>
      <c r="I16" s="1" t="s">
        <v>7</v>
      </c>
      <c r="L16" s="8"/>
      <c r="O16" s="11"/>
      <c r="P16" s="399"/>
      <c r="R16" s="8"/>
      <c r="U16" s="11"/>
    </row>
    <row r="17" spans="1:22" x14ac:dyDescent="0.25">
      <c r="D17" s="400" t="s">
        <v>8</v>
      </c>
      <c r="E17" s="401" t="s">
        <v>11</v>
      </c>
      <c r="G17" s="11"/>
      <c r="H17" s="399"/>
      <c r="L17" s="400" t="s">
        <v>8</v>
      </c>
      <c r="M17" s="401" t="s">
        <v>11</v>
      </c>
      <c r="O17" s="11"/>
      <c r="P17" s="399"/>
      <c r="R17" s="400" t="s">
        <v>8</v>
      </c>
      <c r="S17" s="401" t="s">
        <v>11</v>
      </c>
      <c r="U17" s="11"/>
    </row>
    <row r="18" spans="1:22" x14ac:dyDescent="0.25">
      <c r="A18" s="2" t="s">
        <v>183</v>
      </c>
      <c r="B18" s="2" t="s">
        <v>181</v>
      </c>
      <c r="D18" s="8">
        <v>35916440</v>
      </c>
      <c r="E18" s="402">
        <f>'Present and Proposed Rates'!G23</f>
        <v>5.4068999999999999E-2</v>
      </c>
      <c r="G18" s="11">
        <f>D18*E18</f>
        <v>1941965.9943599999</v>
      </c>
      <c r="H18" s="399"/>
      <c r="I18" s="2" t="str">
        <f>A18</f>
        <v>HLF</v>
      </c>
      <c r="J18" s="2" t="str">
        <f>B18</f>
        <v>1st 200 kWh per kW</v>
      </c>
      <c r="L18" s="8">
        <f>D18</f>
        <v>35916440</v>
      </c>
      <c r="M18" s="402">
        <f>E18</f>
        <v>5.4068999999999999E-2</v>
      </c>
      <c r="O18" s="11">
        <f>L18*M18</f>
        <v>1941965.9943599999</v>
      </c>
      <c r="P18" s="399"/>
      <c r="R18" s="8">
        <f>L18</f>
        <v>35916440</v>
      </c>
      <c r="S18" s="402">
        <f>'Present and Proposed Rates'!H23</f>
        <v>5.4068999999999999E-2</v>
      </c>
      <c r="U18" s="11">
        <f>R18*S18</f>
        <v>1941965.9943599999</v>
      </c>
      <c r="V18" s="410">
        <f t="shared" ref="V18:V24" si="3">(U18-O18)/O18</f>
        <v>0</v>
      </c>
    </row>
    <row r="19" spans="1:22" x14ac:dyDescent="0.25">
      <c r="B19" s="2" t="s">
        <v>180</v>
      </c>
      <c r="D19" s="8">
        <v>33854720</v>
      </c>
      <c r="E19" s="402">
        <f>'Present and Proposed Rates'!G24</f>
        <v>4.9666000000000002E-2</v>
      </c>
      <c r="G19" s="11">
        <f>D19*E19</f>
        <v>1681428.52352</v>
      </c>
      <c r="H19" s="399"/>
      <c r="J19" s="2" t="str">
        <f t="shared" ref="J19:J20" si="4">B19</f>
        <v>Next 200 kWh per kW</v>
      </c>
      <c r="L19" s="8">
        <f t="shared" ref="L19:L24" si="5">D19</f>
        <v>33854720</v>
      </c>
      <c r="M19" s="402">
        <f t="shared" ref="M19:M24" si="6">E19</f>
        <v>4.9666000000000002E-2</v>
      </c>
      <c r="O19" s="11">
        <f>L19*M19</f>
        <v>1681428.52352</v>
      </c>
      <c r="P19" s="399"/>
      <c r="R19" s="8">
        <f t="shared" ref="R19:R24" si="7">L19</f>
        <v>33854720</v>
      </c>
      <c r="S19" s="402">
        <f>'Present and Proposed Rates'!H24</f>
        <v>4.9666000000000002E-2</v>
      </c>
      <c r="U19" s="11">
        <f>R19*S19</f>
        <v>1681428.52352</v>
      </c>
      <c r="V19" s="410">
        <f t="shared" si="3"/>
        <v>0</v>
      </c>
    </row>
    <row r="20" spans="1:22" x14ac:dyDescent="0.25">
      <c r="B20" s="2" t="s">
        <v>182</v>
      </c>
      <c r="D20" s="8">
        <v>16157360</v>
      </c>
      <c r="E20" s="402">
        <f>'Present and Proposed Rates'!G25</f>
        <v>4.7012999999999999E-2</v>
      </c>
      <c r="G20" s="11">
        <f>D20*E20</f>
        <v>759605.96568000002</v>
      </c>
      <c r="H20" s="399"/>
      <c r="J20" s="2" t="str">
        <f t="shared" si="4"/>
        <v>Over 400 kWh per kW</v>
      </c>
      <c r="L20" s="8">
        <f t="shared" si="5"/>
        <v>16157360</v>
      </c>
      <c r="M20" s="402">
        <f t="shared" si="6"/>
        <v>4.7012999999999999E-2</v>
      </c>
      <c r="O20" s="11">
        <f>L20*M20</f>
        <v>759605.96568000002</v>
      </c>
      <c r="P20" s="399"/>
      <c r="R20" s="8">
        <f t="shared" si="7"/>
        <v>16157360</v>
      </c>
      <c r="S20" s="402">
        <f>'Present and Proposed Rates'!H25</f>
        <v>4.7012999999999999E-2</v>
      </c>
      <c r="U20" s="11">
        <f>R20*S20</f>
        <v>759605.96568000002</v>
      </c>
      <c r="V20" s="410">
        <f t="shared" si="3"/>
        <v>0</v>
      </c>
    </row>
    <row r="21" spans="1:22" x14ac:dyDescent="0.25">
      <c r="B21" s="418" t="s">
        <v>185</v>
      </c>
      <c r="D21" s="419">
        <f>SUM(D18:D20)</f>
        <v>85928520</v>
      </c>
      <c r="E21" s="420">
        <f>G21/D21</f>
        <v>5.1007517452412776E-2</v>
      </c>
      <c r="G21" s="421">
        <f>SUM(G18:G20)</f>
        <v>4383000.4835600005</v>
      </c>
      <c r="H21" s="399"/>
      <c r="J21" s="418" t="s">
        <v>185</v>
      </c>
      <c r="L21" s="419">
        <f t="shared" si="5"/>
        <v>85928520</v>
      </c>
      <c r="M21" s="420">
        <f t="shared" si="6"/>
        <v>5.1007517452412776E-2</v>
      </c>
      <c r="O21" s="421">
        <f>SUM(O18:O20)</f>
        <v>4383000.4835600005</v>
      </c>
      <c r="P21" s="399"/>
      <c r="R21" s="419">
        <f t="shared" si="7"/>
        <v>85928520</v>
      </c>
      <c r="S21" s="420">
        <f>U21/R21</f>
        <v>5.1007517452412776E-2</v>
      </c>
      <c r="U21" s="421">
        <f>SUM(U18:U20)</f>
        <v>4383000.4835600005</v>
      </c>
      <c r="V21" s="410">
        <f t="shared" si="3"/>
        <v>0</v>
      </c>
    </row>
    <row r="22" spans="1:22" x14ac:dyDescent="0.25">
      <c r="A22" s="2" t="s">
        <v>184</v>
      </c>
      <c r="B22" s="2" t="s">
        <v>186</v>
      </c>
      <c r="D22" s="8">
        <v>1694100</v>
      </c>
      <c r="E22" s="402">
        <f>'Present and Proposed Rates'!G28</f>
        <v>7.4912999999999993E-2</v>
      </c>
      <c r="G22" s="11">
        <f>D22*E22</f>
        <v>126910.11329999998</v>
      </c>
      <c r="H22" s="399"/>
      <c r="I22" s="2" t="str">
        <f>A22</f>
        <v>LLF</v>
      </c>
      <c r="J22" s="2" t="str">
        <f>B22</f>
        <v>1st 150 kWh per kW</v>
      </c>
      <c r="L22" s="8">
        <f t="shared" si="5"/>
        <v>1694100</v>
      </c>
      <c r="M22" s="402">
        <f t="shared" si="6"/>
        <v>7.4912999999999993E-2</v>
      </c>
      <c r="O22" s="11">
        <f>L22*M22</f>
        <v>126910.11329999998</v>
      </c>
      <c r="P22" s="399"/>
      <c r="R22" s="8">
        <f t="shared" si="7"/>
        <v>1694100</v>
      </c>
      <c r="S22" s="402">
        <f>'Present and Proposed Rates'!H28</f>
        <v>7.4912999999999993E-2</v>
      </c>
      <c r="U22" s="11">
        <f>R22*S22</f>
        <v>126910.11329999998</v>
      </c>
      <c r="V22" s="410">
        <f t="shared" si="3"/>
        <v>0</v>
      </c>
    </row>
    <row r="23" spans="1:22" x14ac:dyDescent="0.25">
      <c r="B23" s="2" t="s">
        <v>187</v>
      </c>
      <c r="D23" s="8">
        <v>89100</v>
      </c>
      <c r="E23" s="402">
        <f>'Present and Proposed Rates'!G29</f>
        <v>6.5609000000000001E-2</v>
      </c>
      <c r="G23" s="11">
        <f>D23*E23</f>
        <v>5845.7619000000004</v>
      </c>
      <c r="H23" s="399"/>
      <c r="J23" s="2" t="str">
        <f>B23</f>
        <v>Over 150 kWh per kW</v>
      </c>
      <c r="L23" s="8">
        <f t="shared" si="5"/>
        <v>89100</v>
      </c>
      <c r="M23" s="402">
        <f t="shared" si="6"/>
        <v>6.5609000000000001E-2</v>
      </c>
      <c r="O23" s="11">
        <f>L23*M23</f>
        <v>5845.7619000000004</v>
      </c>
      <c r="P23" s="399"/>
      <c r="R23" s="8">
        <f t="shared" si="7"/>
        <v>89100</v>
      </c>
      <c r="S23" s="402">
        <f>'Present and Proposed Rates'!H29</f>
        <v>6.5609000000000001E-2</v>
      </c>
      <c r="U23" s="11">
        <f>R23*S23</f>
        <v>5845.7619000000004</v>
      </c>
      <c r="V23" s="410">
        <f t="shared" si="3"/>
        <v>0</v>
      </c>
    </row>
    <row r="24" spans="1:22" x14ac:dyDescent="0.25">
      <c r="B24" s="418" t="s">
        <v>185</v>
      </c>
      <c r="D24" s="419">
        <f>SUM(D22:D23)</f>
        <v>1783200</v>
      </c>
      <c r="E24" s="420">
        <f>G24/D24</f>
        <v>7.4448113055181689E-2</v>
      </c>
      <c r="G24" s="421">
        <f>SUM(G22:G23)</f>
        <v>132755.87519999998</v>
      </c>
      <c r="H24" s="399"/>
      <c r="J24" s="418" t="s">
        <v>185</v>
      </c>
      <c r="L24" s="419">
        <f t="shared" si="5"/>
        <v>1783200</v>
      </c>
      <c r="M24" s="420">
        <f t="shared" si="6"/>
        <v>7.4448113055181689E-2</v>
      </c>
      <c r="O24" s="421">
        <f>SUM(O22:O23)</f>
        <v>132755.87519999998</v>
      </c>
      <c r="P24" s="399"/>
      <c r="R24" s="419">
        <f t="shared" si="7"/>
        <v>1783200</v>
      </c>
      <c r="S24" s="420">
        <f>U24/R24</f>
        <v>7.4448113055181689E-2</v>
      </c>
      <c r="U24" s="421">
        <f>SUM(U22:U23)</f>
        <v>132755.87519999998</v>
      </c>
      <c r="V24" s="410">
        <f t="shared" si="3"/>
        <v>0</v>
      </c>
    </row>
    <row r="25" spans="1:22" x14ac:dyDescent="0.25">
      <c r="D25" s="8"/>
      <c r="E25" s="18"/>
      <c r="G25" s="11"/>
      <c r="H25" s="399"/>
      <c r="L25" s="8"/>
      <c r="M25" s="18"/>
      <c r="O25" s="11"/>
      <c r="P25" s="399"/>
      <c r="R25" s="8"/>
      <c r="S25" s="18"/>
      <c r="U25" s="11"/>
    </row>
    <row r="26" spans="1:22" x14ac:dyDescent="0.25">
      <c r="A26" s="1" t="s">
        <v>106</v>
      </c>
      <c r="D26" s="8"/>
      <c r="G26" s="11"/>
      <c r="H26" s="399"/>
      <c r="I26" s="1" t="s">
        <v>106</v>
      </c>
      <c r="L26" s="8"/>
      <c r="O26" s="11"/>
      <c r="P26" s="399"/>
      <c r="R26" s="8"/>
      <c r="U26" s="11"/>
    </row>
    <row r="27" spans="1:22" x14ac:dyDescent="0.25">
      <c r="D27" s="400" t="s">
        <v>107</v>
      </c>
      <c r="E27" s="401" t="s">
        <v>108</v>
      </c>
      <c r="G27" s="11"/>
      <c r="H27" s="399"/>
      <c r="L27" s="400" t="s">
        <v>107</v>
      </c>
      <c r="M27" s="401" t="s">
        <v>108</v>
      </c>
      <c r="O27" s="11"/>
      <c r="P27" s="399"/>
      <c r="R27" s="400" t="s">
        <v>107</v>
      </c>
      <c r="S27" s="401" t="s">
        <v>108</v>
      </c>
      <c r="U27" s="11"/>
    </row>
    <row r="28" spans="1:22" x14ac:dyDescent="0.25">
      <c r="A28" s="2" t="s">
        <v>183</v>
      </c>
      <c r="B28" s="2" t="s">
        <v>98</v>
      </c>
      <c r="D28" s="8">
        <f>BillDet!Q29</f>
        <v>179582.19999999998</v>
      </c>
      <c r="E28" s="69">
        <f>'Present and Proposed Rates'!G26</f>
        <v>12.7</v>
      </c>
      <c r="G28" s="11">
        <f>D28*E28</f>
        <v>2280693.9399999995</v>
      </c>
      <c r="H28" s="399"/>
      <c r="I28" s="2" t="str">
        <f>A28</f>
        <v>HLF</v>
      </c>
      <c r="J28" s="2" t="str">
        <f>B28</f>
        <v>Jan to Dec</v>
      </c>
      <c r="L28" s="8">
        <f>D28</f>
        <v>179582.19999999998</v>
      </c>
      <c r="M28" s="69">
        <f>E28</f>
        <v>12.7</v>
      </c>
      <c r="O28" s="11">
        <f>L28*M28</f>
        <v>2280693.9399999995</v>
      </c>
      <c r="P28" s="399"/>
      <c r="R28" s="8">
        <f>L28</f>
        <v>179582.19999999998</v>
      </c>
      <c r="S28" s="69">
        <f>'Present and Proposed Rates'!H26</f>
        <v>12.7</v>
      </c>
      <c r="U28" s="11">
        <f>R28*S28</f>
        <v>2280693.9399999995</v>
      </c>
      <c r="V28" s="410">
        <f>(U28-O28)/O28</f>
        <v>0</v>
      </c>
    </row>
    <row r="29" spans="1:22" x14ac:dyDescent="0.25">
      <c r="A29" s="2" t="s">
        <v>184</v>
      </c>
      <c r="B29" s="2" t="s">
        <v>98</v>
      </c>
      <c r="D29" s="8">
        <f>BillDet!Q30</f>
        <v>12012</v>
      </c>
      <c r="E29" s="69">
        <f>'Present and Proposed Rates'!G30</f>
        <v>7.15</v>
      </c>
      <c r="G29" s="11">
        <f>D29*E29</f>
        <v>85885.8</v>
      </c>
      <c r="H29" s="399"/>
      <c r="I29" s="2" t="str">
        <f>A29</f>
        <v>LLF</v>
      </c>
      <c r="J29" s="2" t="str">
        <f>B29</f>
        <v>Jan to Dec</v>
      </c>
      <c r="L29" s="8">
        <f t="shared" ref="L29:L30" si="8">D29</f>
        <v>12012</v>
      </c>
      <c r="M29" s="69">
        <f t="shared" ref="M29:M30" si="9">E29</f>
        <v>7.15</v>
      </c>
      <c r="O29" s="11">
        <f>L29*M29</f>
        <v>85885.8</v>
      </c>
      <c r="P29" s="399"/>
      <c r="R29" s="8">
        <f t="shared" ref="R29:R30" si="10">L29</f>
        <v>12012</v>
      </c>
      <c r="S29" s="69">
        <f>'Present and Proposed Rates'!H30</f>
        <v>7.15</v>
      </c>
      <c r="U29" s="11">
        <f>R29*S29</f>
        <v>85885.8</v>
      </c>
      <c r="V29" s="410">
        <f>(U29-O29)/O29</f>
        <v>0</v>
      </c>
    </row>
    <row r="30" spans="1:22" x14ac:dyDescent="0.25">
      <c r="B30" s="418" t="s">
        <v>185</v>
      </c>
      <c r="D30" s="419">
        <f>SUM(D28:D29)</f>
        <v>191594.19999999998</v>
      </c>
      <c r="E30" s="424">
        <f>G30/D30</f>
        <v>12.352042702754048</v>
      </c>
      <c r="G30" s="421">
        <f>SUM(G28:G29)</f>
        <v>2366579.7399999993</v>
      </c>
      <c r="H30" s="399"/>
      <c r="J30" s="418" t="s">
        <v>185</v>
      </c>
      <c r="L30" s="419">
        <f t="shared" si="8"/>
        <v>191594.19999999998</v>
      </c>
      <c r="M30" s="424">
        <f t="shared" si="9"/>
        <v>12.352042702754048</v>
      </c>
      <c r="O30" s="421">
        <f>SUM(O28:O29)</f>
        <v>2366579.7399999993</v>
      </c>
      <c r="P30" s="399"/>
      <c r="R30" s="419">
        <f t="shared" si="10"/>
        <v>191594.19999999998</v>
      </c>
      <c r="S30" s="424">
        <f>U30/R30</f>
        <v>12.352042702754048</v>
      </c>
      <c r="U30" s="421">
        <f>SUM(U28:U29)</f>
        <v>2366579.7399999993</v>
      </c>
      <c r="V30" s="410">
        <f>(U30-O30)/O30</f>
        <v>0</v>
      </c>
    </row>
    <row r="31" spans="1:22" x14ac:dyDescent="0.25">
      <c r="D31" s="8"/>
      <c r="E31" s="402"/>
      <c r="G31" s="11"/>
      <c r="H31" s="399"/>
      <c r="L31" s="8"/>
      <c r="M31" s="402"/>
      <c r="O31" s="11"/>
      <c r="P31" s="399"/>
      <c r="R31" s="8"/>
      <c r="S31" s="402"/>
      <c r="U31" s="11"/>
    </row>
    <row r="32" spans="1:22" x14ac:dyDescent="0.25">
      <c r="A32" s="1" t="s">
        <v>99</v>
      </c>
      <c r="D32" s="8"/>
      <c r="E32" s="18"/>
      <c r="G32" s="11"/>
      <c r="H32" s="399"/>
      <c r="I32" s="1" t="s">
        <v>99</v>
      </c>
      <c r="L32" s="8"/>
      <c r="M32" s="18"/>
      <c r="O32" s="11"/>
      <c r="P32" s="399"/>
      <c r="R32" s="8"/>
      <c r="S32" s="18"/>
      <c r="U32" s="11"/>
    </row>
    <row r="33" spans="1:22" x14ac:dyDescent="0.25">
      <c r="A33" s="2" t="s">
        <v>183</v>
      </c>
      <c r="B33" s="2" t="s">
        <v>104</v>
      </c>
      <c r="D33" s="8"/>
      <c r="E33" s="403">
        <f>G33/D$21</f>
        <v>2.0972714996138651E-2</v>
      </c>
      <c r="G33" s="11">
        <f>BillDet!Q40</f>
        <v>1802154.36</v>
      </c>
      <c r="H33" s="399"/>
      <c r="I33" s="2" t="str">
        <f>A33</f>
        <v>HLF</v>
      </c>
      <c r="J33" s="2" t="str">
        <f>B33</f>
        <v>Fuel Adjustment Clause</v>
      </c>
      <c r="L33" s="8"/>
      <c r="M33" s="403">
        <f>E33</f>
        <v>2.0972714996138651E-2</v>
      </c>
      <c r="O33" s="11">
        <f>G33</f>
        <v>1802154.36</v>
      </c>
      <c r="P33" s="399"/>
      <c r="R33" s="8"/>
      <c r="S33" s="403">
        <f>M33</f>
        <v>2.0972714996138651E-2</v>
      </c>
      <c r="U33" s="11">
        <f>O33</f>
        <v>1802154.36</v>
      </c>
      <c r="V33" s="410">
        <f t="shared" ref="V33:V39" si="11">(U33-O33)/O33</f>
        <v>0</v>
      </c>
    </row>
    <row r="34" spans="1:22" x14ac:dyDescent="0.25">
      <c r="B34" s="2" t="s">
        <v>101</v>
      </c>
      <c r="D34" s="8"/>
      <c r="E34" s="403">
        <f t="shared" ref="E34:E36" si="12">G34/D$21</f>
        <v>5.6981193205701665E-3</v>
      </c>
      <c r="G34" s="11">
        <f>BillDet!Q50</f>
        <v>489630.95999999996</v>
      </c>
      <c r="H34" s="399"/>
      <c r="J34" s="2" t="str">
        <f t="shared" ref="J34:J46" si="13">B34</f>
        <v>Environmental Surcharge</v>
      </c>
      <c r="L34" s="8"/>
      <c r="M34" s="403">
        <f t="shared" ref="M34:M43" si="14">E34</f>
        <v>5.6981193205701665E-3</v>
      </c>
      <c r="O34" s="11">
        <f t="shared" ref="O34:O49" si="15">G34</f>
        <v>489630.95999999996</v>
      </c>
      <c r="P34" s="399"/>
      <c r="R34" s="8"/>
      <c r="S34" s="403">
        <f t="shared" ref="S34:S43" si="16">M34</f>
        <v>5.6981193205701665E-3</v>
      </c>
      <c r="U34" s="11">
        <f t="shared" ref="U34:U46" si="17">O34</f>
        <v>489630.95999999996</v>
      </c>
      <c r="V34" s="410">
        <f t="shared" si="11"/>
        <v>0</v>
      </c>
    </row>
    <row r="35" spans="1:22" x14ac:dyDescent="0.25">
      <c r="B35" s="2" t="s">
        <v>102</v>
      </c>
      <c r="D35" s="8"/>
      <c r="E35" s="403">
        <f t="shared" si="12"/>
        <v>-6.8723349360608086E-3</v>
      </c>
      <c r="G35" s="11">
        <f>BillDet!Q60</f>
        <v>-590529.56999999995</v>
      </c>
      <c r="H35" s="399"/>
      <c r="J35" s="2" t="str">
        <f t="shared" si="13"/>
        <v>Member Rate Stability</v>
      </c>
      <c r="L35" s="8"/>
      <c r="M35" s="403">
        <f t="shared" si="14"/>
        <v>-6.8723349360608086E-3</v>
      </c>
      <c r="O35" s="11">
        <f t="shared" si="15"/>
        <v>-590529.56999999995</v>
      </c>
      <c r="P35" s="399"/>
      <c r="R35" s="8"/>
      <c r="S35" s="403">
        <f t="shared" si="16"/>
        <v>-6.8723349360608086E-3</v>
      </c>
      <c r="U35" s="11">
        <f t="shared" si="17"/>
        <v>-590529.56999999995</v>
      </c>
      <c r="V35" s="410">
        <f t="shared" si="11"/>
        <v>0</v>
      </c>
    </row>
    <row r="36" spans="1:22" x14ac:dyDescent="0.25">
      <c r="B36" s="2" t="s">
        <v>103</v>
      </c>
      <c r="D36" s="8"/>
      <c r="E36" s="403">
        <f t="shared" si="12"/>
        <v>3.8886177720738125E-3</v>
      </c>
      <c r="G36" s="11">
        <f>BillDet!Q70</f>
        <v>334143.17000000004</v>
      </c>
      <c r="H36" s="405"/>
      <c r="J36" s="2" t="str">
        <f t="shared" si="13"/>
        <v>Non-FAC PPA</v>
      </c>
      <c r="L36" s="8"/>
      <c r="M36" s="403">
        <f t="shared" si="14"/>
        <v>3.8886177720738125E-3</v>
      </c>
      <c r="O36" s="11">
        <f t="shared" si="15"/>
        <v>334143.17000000004</v>
      </c>
      <c r="P36" s="405"/>
      <c r="R36" s="8"/>
      <c r="S36" s="403">
        <f t="shared" si="16"/>
        <v>3.8886177720738125E-3</v>
      </c>
      <c r="U36" s="11">
        <f t="shared" si="17"/>
        <v>334143.17000000004</v>
      </c>
      <c r="V36" s="410">
        <f t="shared" si="11"/>
        <v>0</v>
      </c>
    </row>
    <row r="37" spans="1:22" x14ac:dyDescent="0.25">
      <c r="B37" s="2" t="s">
        <v>174</v>
      </c>
      <c r="C37" s="16"/>
      <c r="D37" s="8"/>
      <c r="E37" s="18"/>
      <c r="G37" s="11">
        <v>-91354.38</v>
      </c>
      <c r="H37" s="399"/>
      <c r="J37" s="2" t="str">
        <f t="shared" si="13"/>
        <v>Primary Discount</v>
      </c>
      <c r="K37" s="16"/>
      <c r="L37" s="8"/>
      <c r="M37" s="18">
        <f t="shared" si="14"/>
        <v>0</v>
      </c>
      <c r="O37" s="11">
        <f t="shared" si="15"/>
        <v>-91354.38</v>
      </c>
      <c r="P37" s="399"/>
      <c r="Q37" s="16"/>
      <c r="R37" s="8"/>
      <c r="S37" s="18">
        <f t="shared" si="16"/>
        <v>0</v>
      </c>
      <c r="U37" s="11">
        <f t="shared" si="17"/>
        <v>-91354.38</v>
      </c>
      <c r="V37" s="410">
        <f t="shared" si="11"/>
        <v>0</v>
      </c>
    </row>
    <row r="38" spans="1:22" x14ac:dyDescent="0.25">
      <c r="B38" s="2" t="s">
        <v>188</v>
      </c>
      <c r="C38" s="16"/>
      <c r="D38" s="8"/>
      <c r="E38" s="18"/>
      <c r="G38" s="11">
        <v>31326.84</v>
      </c>
      <c r="H38" s="399"/>
      <c r="J38" s="2" t="str">
        <f t="shared" si="13"/>
        <v>Facilities Charge</v>
      </c>
      <c r="K38" s="16"/>
      <c r="L38" s="8"/>
      <c r="M38" s="18">
        <f t="shared" si="14"/>
        <v>0</v>
      </c>
      <c r="O38" s="11">
        <f t="shared" si="15"/>
        <v>31326.84</v>
      </c>
      <c r="P38" s="399"/>
      <c r="Q38" s="16"/>
      <c r="R38" s="8"/>
      <c r="S38" s="18">
        <f t="shared" si="16"/>
        <v>0</v>
      </c>
      <c r="U38" s="11">
        <f t="shared" si="17"/>
        <v>31326.84</v>
      </c>
      <c r="V38" s="410">
        <f t="shared" si="11"/>
        <v>0</v>
      </c>
    </row>
    <row r="39" spans="1:22" x14ac:dyDescent="0.25">
      <c r="B39" s="2" t="s">
        <v>189</v>
      </c>
      <c r="C39" s="16"/>
      <c r="D39" s="8"/>
      <c r="E39" s="18"/>
      <c r="G39" s="11">
        <v>68905.247000000003</v>
      </c>
      <c r="H39" s="399"/>
      <c r="J39" s="2" t="str">
        <f t="shared" si="13"/>
        <v>Power Factor Adj</v>
      </c>
      <c r="K39" s="16"/>
      <c r="L39" s="8"/>
      <c r="M39" s="18">
        <f t="shared" si="14"/>
        <v>0</v>
      </c>
      <c r="O39" s="11">
        <f t="shared" si="15"/>
        <v>68905.247000000003</v>
      </c>
      <c r="P39" s="399"/>
      <c r="Q39" s="16"/>
      <c r="R39" s="8"/>
      <c r="S39" s="18">
        <f t="shared" si="16"/>
        <v>0</v>
      </c>
      <c r="U39" s="11">
        <f t="shared" si="17"/>
        <v>68905.247000000003</v>
      </c>
      <c r="V39" s="410">
        <f t="shared" si="11"/>
        <v>0</v>
      </c>
    </row>
    <row r="40" spans="1:22" x14ac:dyDescent="0.25">
      <c r="A40" s="2" t="s">
        <v>184</v>
      </c>
      <c r="B40" s="2" t="s">
        <v>104</v>
      </c>
      <c r="D40" s="8"/>
      <c r="E40" s="403">
        <f>G40/D$24</f>
        <v>0</v>
      </c>
      <c r="G40" s="11">
        <f>BillDet!Q41</f>
        <v>0</v>
      </c>
      <c r="H40" s="399"/>
      <c r="I40" s="2" t="str">
        <f>A40</f>
        <v>LLF</v>
      </c>
      <c r="J40" s="2" t="str">
        <f t="shared" si="13"/>
        <v>Fuel Adjustment Clause</v>
      </c>
      <c r="L40" s="8"/>
      <c r="M40" s="403">
        <f t="shared" si="14"/>
        <v>0</v>
      </c>
      <c r="O40" s="11">
        <f t="shared" si="15"/>
        <v>0</v>
      </c>
      <c r="P40" s="399"/>
      <c r="R40" s="8"/>
      <c r="S40" s="403">
        <f t="shared" si="16"/>
        <v>0</v>
      </c>
      <c r="U40" s="11">
        <f t="shared" si="17"/>
        <v>0</v>
      </c>
      <c r="V40" s="410"/>
    </row>
    <row r="41" spans="1:22" x14ac:dyDescent="0.25">
      <c r="B41" s="2" t="s">
        <v>101</v>
      </c>
      <c r="D41" s="8"/>
      <c r="E41" s="403">
        <f t="shared" ref="E41:E43" si="18">G41/D$24</f>
        <v>0</v>
      </c>
      <c r="G41" s="11">
        <f>BillDet!Q51</f>
        <v>0</v>
      </c>
      <c r="H41" s="399"/>
      <c r="J41" s="2" t="str">
        <f t="shared" si="13"/>
        <v>Environmental Surcharge</v>
      </c>
      <c r="L41" s="8"/>
      <c r="M41" s="403">
        <f t="shared" si="14"/>
        <v>0</v>
      </c>
      <c r="O41" s="11">
        <f t="shared" si="15"/>
        <v>0</v>
      </c>
      <c r="P41" s="399"/>
      <c r="R41" s="8"/>
      <c r="S41" s="403">
        <f t="shared" si="16"/>
        <v>0</v>
      </c>
      <c r="U41" s="11">
        <f t="shared" si="17"/>
        <v>0</v>
      </c>
      <c r="V41" s="410"/>
    </row>
    <row r="42" spans="1:22" x14ac:dyDescent="0.25">
      <c r="B42" s="2" t="s">
        <v>102</v>
      </c>
      <c r="D42" s="8"/>
      <c r="E42" s="403">
        <f t="shared" si="18"/>
        <v>0</v>
      </c>
      <c r="G42" s="11">
        <f>BillDet!Q61</f>
        <v>0</v>
      </c>
      <c r="H42" s="399"/>
      <c r="J42" s="2" t="str">
        <f t="shared" si="13"/>
        <v>Member Rate Stability</v>
      </c>
      <c r="L42" s="8"/>
      <c r="M42" s="403">
        <f t="shared" si="14"/>
        <v>0</v>
      </c>
      <c r="O42" s="11">
        <f t="shared" si="15"/>
        <v>0</v>
      </c>
      <c r="P42" s="399"/>
      <c r="R42" s="8"/>
      <c r="S42" s="403">
        <f t="shared" si="16"/>
        <v>0</v>
      </c>
      <c r="U42" s="11">
        <f t="shared" si="17"/>
        <v>0</v>
      </c>
      <c r="V42" s="410"/>
    </row>
    <row r="43" spans="1:22" x14ac:dyDescent="0.25">
      <c r="B43" s="2" t="s">
        <v>103</v>
      </c>
      <c r="D43" s="8"/>
      <c r="E43" s="403">
        <f t="shared" si="18"/>
        <v>0</v>
      </c>
      <c r="G43" s="11">
        <f>BillDet!Q71</f>
        <v>0</v>
      </c>
      <c r="H43" s="405"/>
      <c r="J43" s="2" t="str">
        <f t="shared" si="13"/>
        <v>Non-FAC PPA</v>
      </c>
      <c r="L43" s="8"/>
      <c r="M43" s="403">
        <f t="shared" si="14"/>
        <v>0</v>
      </c>
      <c r="O43" s="11">
        <f t="shared" si="15"/>
        <v>0</v>
      </c>
      <c r="P43" s="405"/>
      <c r="R43" s="8"/>
      <c r="S43" s="403">
        <f t="shared" si="16"/>
        <v>0</v>
      </c>
      <c r="U43" s="11">
        <f t="shared" si="17"/>
        <v>0</v>
      </c>
      <c r="V43" s="410"/>
    </row>
    <row r="44" spans="1:22" x14ac:dyDescent="0.25">
      <c r="B44" s="2" t="s">
        <v>174</v>
      </c>
      <c r="C44" s="16"/>
      <c r="D44" s="8"/>
      <c r="E44" s="18"/>
      <c r="G44" s="11">
        <v>0</v>
      </c>
      <c r="H44" s="399"/>
      <c r="J44" s="2" t="str">
        <f t="shared" si="13"/>
        <v>Primary Discount</v>
      </c>
      <c r="K44" s="16"/>
      <c r="L44" s="8"/>
      <c r="M44" s="18"/>
      <c r="O44" s="11">
        <f t="shared" si="15"/>
        <v>0</v>
      </c>
      <c r="P44" s="399"/>
      <c r="Q44" s="16"/>
      <c r="R44" s="8"/>
      <c r="S44" s="18"/>
      <c r="U44" s="11">
        <f t="shared" si="17"/>
        <v>0</v>
      </c>
      <c r="V44" s="410"/>
    </row>
    <row r="45" spans="1:22" x14ac:dyDescent="0.25">
      <c r="B45" s="2" t="s">
        <v>188</v>
      </c>
      <c r="C45" s="16"/>
      <c r="D45" s="8"/>
      <c r="E45" s="18"/>
      <c r="G45" s="11">
        <v>0</v>
      </c>
      <c r="H45" s="399"/>
      <c r="J45" s="2" t="str">
        <f t="shared" si="13"/>
        <v>Facilities Charge</v>
      </c>
      <c r="K45" s="16"/>
      <c r="L45" s="8"/>
      <c r="M45" s="18"/>
      <c r="O45" s="11">
        <f t="shared" si="15"/>
        <v>0</v>
      </c>
      <c r="P45" s="399"/>
      <c r="Q45" s="16"/>
      <c r="R45" s="8"/>
      <c r="S45" s="18"/>
      <c r="U45" s="11">
        <f t="shared" si="17"/>
        <v>0</v>
      </c>
      <c r="V45" s="410"/>
    </row>
    <row r="46" spans="1:22" x14ac:dyDescent="0.25">
      <c r="B46" s="2" t="s">
        <v>189</v>
      </c>
      <c r="C46" s="16"/>
      <c r="D46" s="8"/>
      <c r="E46" s="18"/>
      <c r="G46" s="11">
        <v>0</v>
      </c>
      <c r="H46" s="399"/>
      <c r="J46" s="2" t="str">
        <f t="shared" si="13"/>
        <v>Power Factor Adj</v>
      </c>
      <c r="K46" s="16"/>
      <c r="L46" s="8"/>
      <c r="M46" s="18"/>
      <c r="O46" s="11">
        <f t="shared" si="15"/>
        <v>0</v>
      </c>
      <c r="P46" s="399"/>
      <c r="Q46" s="16"/>
      <c r="R46" s="8"/>
      <c r="S46" s="18"/>
      <c r="U46" s="11">
        <f t="shared" si="17"/>
        <v>0</v>
      </c>
      <c r="V46" s="410"/>
    </row>
    <row r="47" spans="1:22" x14ac:dyDescent="0.25">
      <c r="C47" s="16"/>
      <c r="D47" s="8"/>
      <c r="E47" s="18"/>
      <c r="G47" s="11"/>
      <c r="H47" s="399"/>
      <c r="K47" s="16"/>
      <c r="L47" s="8"/>
      <c r="M47" s="18"/>
      <c r="O47" s="11"/>
      <c r="P47" s="399"/>
      <c r="Q47" s="16"/>
      <c r="R47" s="8"/>
      <c r="S47" s="18"/>
      <c r="U47" s="11"/>
      <c r="V47" s="410"/>
    </row>
    <row r="48" spans="1:22" x14ac:dyDescent="0.25">
      <c r="A48" s="2" t="s">
        <v>183</v>
      </c>
      <c r="B48" s="2" t="s">
        <v>185</v>
      </c>
      <c r="C48" s="16"/>
      <c r="D48" s="8"/>
      <c r="E48" s="18"/>
      <c r="G48" s="11">
        <f>G12+G18+G19+G20+G28+G33+G34+G35+G36+G37+G38+G39</f>
        <v>8825003.4505599979</v>
      </c>
      <c r="H48" s="399"/>
      <c r="I48" s="2" t="s">
        <v>183</v>
      </c>
      <c r="J48" s="2" t="s">
        <v>185</v>
      </c>
      <c r="K48" s="16"/>
      <c r="L48" s="8"/>
      <c r="M48" s="18"/>
      <c r="O48" s="11">
        <f t="shared" si="15"/>
        <v>8825003.4505599979</v>
      </c>
      <c r="P48" s="399"/>
      <c r="Q48" s="16"/>
      <c r="R48" s="8"/>
      <c r="S48" s="18"/>
      <c r="U48" s="11">
        <f>U12+U18+U19+U20+U28+U33+U34+U35+U36+U37+U38+U39</f>
        <v>8825003.4505599979</v>
      </c>
      <c r="V48" s="410">
        <f>(U48-O48)/O48</f>
        <v>0</v>
      </c>
    </row>
    <row r="49" spans="1:22" x14ac:dyDescent="0.25">
      <c r="A49" s="2" t="s">
        <v>184</v>
      </c>
      <c r="B49" s="2" t="s">
        <v>185</v>
      </c>
      <c r="C49" s="16"/>
      <c r="D49" s="8"/>
      <c r="E49" s="18"/>
      <c r="G49" s="11">
        <f>G13+G22+G23+G29+G40+G41+G42+G43+G44+G45+G46</f>
        <v>230344.91519999999</v>
      </c>
      <c r="H49" s="399"/>
      <c r="I49" s="2" t="s">
        <v>184</v>
      </c>
      <c r="J49" s="2" t="s">
        <v>185</v>
      </c>
      <c r="K49" s="16"/>
      <c r="L49" s="8"/>
      <c r="M49" s="18"/>
      <c r="O49" s="11">
        <f t="shared" si="15"/>
        <v>230344.91519999999</v>
      </c>
      <c r="P49" s="399"/>
      <c r="Q49" s="16"/>
      <c r="R49" s="8"/>
      <c r="S49" s="18"/>
      <c r="U49" s="11">
        <f>U13+U22+U23+U29+U40+U41+U42+U43+U44+U45+U46</f>
        <v>230344.91519999999</v>
      </c>
      <c r="V49" s="410">
        <f>(U49-O49)/O49</f>
        <v>0</v>
      </c>
    </row>
    <row r="50" spans="1:22" x14ac:dyDescent="0.25">
      <c r="C50" s="16"/>
      <c r="D50" s="8"/>
      <c r="E50" s="18"/>
      <c r="G50" s="11"/>
      <c r="H50" s="399"/>
      <c r="K50" s="16"/>
      <c r="L50" s="8"/>
      <c r="M50" s="18"/>
      <c r="O50" s="11"/>
      <c r="P50" s="399"/>
      <c r="Q50" s="16"/>
      <c r="R50" s="8"/>
      <c r="S50" s="18"/>
      <c r="U50" s="11"/>
    </row>
    <row r="51" spans="1:22" ht="16.5" thickBot="1" x14ac:dyDescent="0.3">
      <c r="A51" s="1" t="s">
        <v>80</v>
      </c>
      <c r="G51" s="24">
        <f>G48+G49</f>
        <v>9055348.3657599986</v>
      </c>
      <c r="H51" s="399"/>
      <c r="I51" s="1" t="s">
        <v>80</v>
      </c>
      <c r="O51" s="24">
        <f>O48+O49</f>
        <v>9055348.3657599986</v>
      </c>
      <c r="P51" s="399"/>
      <c r="U51" s="24">
        <f>U48+U49</f>
        <v>9055348.3657599986</v>
      </c>
      <c r="V51" s="410">
        <f>(U51-O51)/O51</f>
        <v>0</v>
      </c>
    </row>
    <row r="52" spans="1:22" ht="16.5" thickTop="1" x14ac:dyDescent="0.25">
      <c r="A52" s="1"/>
      <c r="B52" s="1"/>
      <c r="G52" s="11"/>
      <c r="H52" s="399"/>
      <c r="I52" s="1"/>
      <c r="J52" s="1"/>
      <c r="O52" s="11"/>
      <c r="P52" s="399"/>
      <c r="U52" s="11"/>
    </row>
    <row r="53" spans="1:22" x14ac:dyDescent="0.25">
      <c r="A53" s="1" t="s">
        <v>19</v>
      </c>
      <c r="B53" s="10"/>
      <c r="G53" s="11">
        <v>9055348.3657600023</v>
      </c>
      <c r="H53" s="399"/>
      <c r="I53" s="1" t="s">
        <v>85</v>
      </c>
      <c r="J53" s="10"/>
      <c r="O53" s="11">
        <f>O51-G51</f>
        <v>0</v>
      </c>
      <c r="P53" s="399"/>
      <c r="U53" s="11">
        <f>U51-G51</f>
        <v>0</v>
      </c>
    </row>
    <row r="54" spans="1:22" x14ac:dyDescent="0.25">
      <c r="A54" s="10"/>
      <c r="B54" s="10"/>
      <c r="G54" s="10"/>
      <c r="H54" s="407"/>
      <c r="J54" s="10"/>
      <c r="O54" s="10"/>
      <c r="P54" s="407"/>
      <c r="U54" s="10"/>
    </row>
    <row r="55" spans="1:22" x14ac:dyDescent="0.25">
      <c r="A55" s="1" t="s">
        <v>13</v>
      </c>
      <c r="B55" s="10"/>
      <c r="G55" s="408">
        <f>G51-G53</f>
        <v>0</v>
      </c>
      <c r="H55" s="409"/>
      <c r="I55" s="1" t="s">
        <v>86</v>
      </c>
      <c r="J55" s="10"/>
      <c r="O55" s="408">
        <f>O53/G51</f>
        <v>0</v>
      </c>
      <c r="P55" s="409"/>
      <c r="U55" s="408">
        <f>U53/G51</f>
        <v>0</v>
      </c>
    </row>
    <row r="56" spans="1:22" x14ac:dyDescent="0.25">
      <c r="A56" s="10"/>
      <c r="B56" s="10"/>
      <c r="G56" s="11"/>
      <c r="H56" s="399"/>
      <c r="J56" s="10"/>
      <c r="O56" s="11"/>
      <c r="P56" s="399"/>
      <c r="U56" s="11"/>
    </row>
    <row r="57" spans="1:22" x14ac:dyDescent="0.25">
      <c r="A57" s="1" t="s">
        <v>26</v>
      </c>
      <c r="B57" s="10"/>
      <c r="G57" s="47">
        <f>G55/G53</f>
        <v>0</v>
      </c>
      <c r="H57" s="411"/>
      <c r="I57" s="1" t="s">
        <v>87</v>
      </c>
      <c r="J57" s="10"/>
      <c r="O57" s="47">
        <f>O53/L14</f>
        <v>0</v>
      </c>
      <c r="P57" s="411"/>
      <c r="U57" s="47">
        <f>U53/R14</f>
        <v>0</v>
      </c>
    </row>
    <row r="58" spans="1:22" x14ac:dyDescent="0.25">
      <c r="A58" s="1"/>
      <c r="B58" s="10"/>
      <c r="D58" s="45">
        <f>D24/D14</f>
        <v>13509.09090909091</v>
      </c>
      <c r="G58" s="47"/>
      <c r="H58" s="47"/>
      <c r="I58" s="1"/>
      <c r="J58" s="10"/>
      <c r="L58" s="8">
        <f>(L24+L21)/L14</f>
        <v>664482.72727272729</v>
      </c>
      <c r="O58" s="47"/>
      <c r="P58" s="47"/>
      <c r="U58" s="47"/>
    </row>
    <row r="59" spans="1:22" x14ac:dyDescent="0.25">
      <c r="A59" s="1"/>
      <c r="B59" s="10"/>
      <c r="G59" s="52"/>
      <c r="H59" s="47"/>
      <c r="I59" s="1"/>
      <c r="J59" s="10"/>
      <c r="O59" s="47"/>
      <c r="P59" s="47"/>
      <c r="U59" s="47"/>
    </row>
    <row r="60" spans="1:22" x14ac:dyDescent="0.25">
      <c r="A60" s="1"/>
      <c r="B60" s="10"/>
      <c r="G60" s="412">
        <f>G14+G24+G30</f>
        <v>2628071.2551999991</v>
      </c>
      <c r="H60" s="47"/>
      <c r="I60" s="1"/>
      <c r="J60" s="10"/>
      <c r="O60" s="47"/>
      <c r="P60" s="47"/>
      <c r="U60" s="47"/>
    </row>
    <row r="61" spans="1:22" x14ac:dyDescent="0.25">
      <c r="A61" s="1"/>
      <c r="B61" s="10"/>
      <c r="G61" s="412"/>
      <c r="H61" s="47"/>
      <c r="I61" s="1"/>
      <c r="J61" s="10"/>
      <c r="O61" s="47"/>
      <c r="P61" s="47"/>
      <c r="U61" s="47"/>
    </row>
    <row r="62" spans="1:22" x14ac:dyDescent="0.25">
      <c r="A62" s="1"/>
      <c r="B62" s="10"/>
      <c r="G62" s="47"/>
      <c r="H62" s="47"/>
      <c r="I62" s="1"/>
      <c r="J62" s="10"/>
      <c r="O62" s="47"/>
      <c r="P62" s="47"/>
      <c r="U62" s="47"/>
    </row>
    <row r="63" spans="1:22" x14ac:dyDescent="0.25">
      <c r="A63" s="1"/>
      <c r="B63" s="10"/>
      <c r="E63" s="18">
        <f>SUM(E33:E36)</f>
        <v>2.3687117152721818E-2</v>
      </c>
      <c r="G63" s="47"/>
      <c r="H63" s="47"/>
      <c r="I63" s="1"/>
      <c r="J63" s="10"/>
      <c r="M63" s="18">
        <f>SUM(M33:M36)</f>
        <v>2.3687117152721818E-2</v>
      </c>
      <c r="O63" s="47"/>
      <c r="P63" s="47"/>
      <c r="S63" s="18">
        <f>SUM(S33:S36)</f>
        <v>2.3687117152721818E-2</v>
      </c>
      <c r="U63" s="47"/>
    </row>
    <row r="64" spans="1:22" ht="18.75" customHeight="1" x14ac:dyDescent="0.25">
      <c r="A64" s="1"/>
      <c r="B64" s="11"/>
      <c r="E64" s="18">
        <f>SUM(E40:E43)</f>
        <v>0</v>
      </c>
      <c r="G64" s="47"/>
      <c r="H64" s="47"/>
      <c r="M64" s="18">
        <f>SUM(M40:M43)</f>
        <v>0</v>
      </c>
      <c r="P64" s="47"/>
      <c r="S64" s="18">
        <f>SUM(S40:S43)</f>
        <v>0</v>
      </c>
    </row>
    <row r="65" spans="5:10" x14ac:dyDescent="0.25">
      <c r="E65" s="11"/>
    </row>
    <row r="66" spans="5:10" x14ac:dyDescent="0.25">
      <c r="I66" s="41"/>
      <c r="J66" s="41"/>
    </row>
    <row r="67" spans="5:10" x14ac:dyDescent="0.25">
      <c r="I67" s="41"/>
      <c r="J67" s="41"/>
    </row>
    <row r="68" spans="5:10" x14ac:dyDescent="0.25">
      <c r="I68" s="41"/>
      <c r="J68" s="41"/>
    </row>
    <row r="69" spans="5:10" x14ac:dyDescent="0.25">
      <c r="I69" s="41"/>
      <c r="J69" s="71"/>
    </row>
    <row r="70" spans="5:10" x14ac:dyDescent="0.25">
      <c r="I70" s="41"/>
      <c r="J70" s="71"/>
    </row>
    <row r="71" spans="5:10" x14ac:dyDescent="0.25">
      <c r="I71" s="41"/>
      <c r="J71" s="71"/>
    </row>
    <row r="72" spans="5:10" x14ac:dyDescent="0.25">
      <c r="I72" s="41"/>
      <c r="J72" s="71"/>
    </row>
    <row r="73" spans="5:10" x14ac:dyDescent="0.25">
      <c r="I73" s="41"/>
      <c r="J73" s="71"/>
    </row>
    <row r="74" spans="5:10" x14ac:dyDescent="0.25">
      <c r="I74" s="41"/>
      <c r="J74" s="71"/>
    </row>
    <row r="75" spans="5:10" x14ac:dyDescent="0.25">
      <c r="I75" s="41"/>
      <c r="J75" s="71"/>
    </row>
    <row r="76" spans="5:10" x14ac:dyDescent="0.25">
      <c r="I76" s="41"/>
      <c r="J76" s="71"/>
    </row>
    <row r="77" spans="5:10" x14ac:dyDescent="0.25">
      <c r="I77" s="41"/>
      <c r="J77" s="71"/>
    </row>
    <row r="78" spans="5:10" x14ac:dyDescent="0.25">
      <c r="I78" s="41"/>
      <c r="J78" s="71"/>
    </row>
    <row r="79" spans="5:10" ht="16.5" customHeight="1" x14ac:dyDescent="0.25">
      <c r="I79" s="41"/>
      <c r="J79" s="71"/>
    </row>
    <row r="80" spans="5:10" x14ac:dyDescent="0.25">
      <c r="I80" s="41"/>
      <c r="J80" s="71"/>
    </row>
    <row r="81" spans="9:10" x14ac:dyDescent="0.25">
      <c r="I81" s="41"/>
      <c r="J81" s="71"/>
    </row>
    <row r="84" spans="9:10" x14ac:dyDescent="0.25">
      <c r="I84" s="41"/>
      <c r="J84" s="41"/>
    </row>
    <row r="85" spans="9:10" x14ac:dyDescent="0.25">
      <c r="I85" s="41"/>
      <c r="J85" s="41"/>
    </row>
    <row r="86" spans="9:10" x14ac:dyDescent="0.25">
      <c r="I86" s="41"/>
      <c r="J86" s="41"/>
    </row>
    <row r="87" spans="9:10" x14ac:dyDescent="0.25">
      <c r="I87" s="69"/>
      <c r="J87" s="61"/>
    </row>
    <row r="88" spans="9:10" x14ac:dyDescent="0.25">
      <c r="I88" s="69"/>
      <c r="J88" s="61"/>
    </row>
    <row r="89" spans="9:10" x14ac:dyDescent="0.25">
      <c r="I89" s="69"/>
      <c r="J89" s="61"/>
    </row>
    <row r="90" spans="9:10" x14ac:dyDescent="0.25">
      <c r="I90" s="69"/>
      <c r="J90" s="61"/>
    </row>
    <row r="91" spans="9:10" x14ac:dyDescent="0.25">
      <c r="I91" s="69"/>
      <c r="J91" s="61"/>
    </row>
    <row r="92" spans="9:10" x14ac:dyDescent="0.25">
      <c r="I92" s="69"/>
      <c r="J92" s="61"/>
    </row>
    <row r="93" spans="9:10" x14ac:dyDescent="0.25">
      <c r="I93" s="69"/>
      <c r="J93" s="61"/>
    </row>
    <row r="94" spans="9:10" x14ac:dyDescent="0.25">
      <c r="I94" s="69"/>
      <c r="J94" s="61"/>
    </row>
    <row r="95" spans="9:10" x14ac:dyDescent="0.25">
      <c r="I95" s="69"/>
      <c r="J95" s="61"/>
    </row>
    <row r="96" spans="9:10" x14ac:dyDescent="0.25">
      <c r="I96" s="69"/>
      <c r="J96" s="61"/>
    </row>
    <row r="97" spans="9:10" x14ac:dyDescent="0.25">
      <c r="I97" s="69"/>
      <c r="J97" s="61"/>
    </row>
    <row r="98" spans="9:10" x14ac:dyDescent="0.25">
      <c r="I98" s="69"/>
      <c r="J98" s="61"/>
    </row>
    <row r="99" spans="9:10" x14ac:dyDescent="0.25">
      <c r="I99" s="41"/>
      <c r="J99" s="41"/>
    </row>
    <row r="100" spans="9:10" x14ac:dyDescent="0.25">
      <c r="I100" s="41"/>
      <c r="J100" s="41"/>
    </row>
    <row r="101" spans="9:10" x14ac:dyDescent="0.25">
      <c r="I101" s="41"/>
      <c r="J101" s="41"/>
    </row>
    <row r="102" spans="9:10" x14ac:dyDescent="0.25">
      <c r="I102" s="41"/>
      <c r="J102" s="41"/>
    </row>
    <row r="103" spans="9:10" x14ac:dyDescent="0.25">
      <c r="I103" s="41"/>
      <c r="J103" s="41"/>
    </row>
    <row r="104" spans="9:10" x14ac:dyDescent="0.25">
      <c r="I104" s="41"/>
      <c r="J104" s="41"/>
    </row>
    <row r="105" spans="9:10" x14ac:dyDescent="0.25">
      <c r="I105" s="41"/>
      <c r="J105" s="41"/>
    </row>
    <row r="106" spans="9:10" x14ac:dyDescent="0.25">
      <c r="I106" s="41"/>
      <c r="J106" s="41"/>
    </row>
    <row r="107" spans="9:10" x14ac:dyDescent="0.25">
      <c r="I107" s="41"/>
      <c r="J107" s="41"/>
    </row>
    <row r="108" spans="9:10" x14ac:dyDescent="0.25">
      <c r="I108" s="41"/>
      <c r="J108" s="41"/>
    </row>
    <row r="109" spans="9:10" x14ac:dyDescent="0.25">
      <c r="I109" s="41"/>
      <c r="J109" s="41"/>
    </row>
    <row r="110" spans="9:10" x14ac:dyDescent="0.25">
      <c r="I110" s="41"/>
      <c r="J110" s="41"/>
    </row>
    <row r="111" spans="9:10" x14ac:dyDescent="0.25">
      <c r="I111" s="41"/>
      <c r="J111" s="41"/>
    </row>
    <row r="112" spans="9:10" ht="15" customHeight="1" x14ac:dyDescent="0.25">
      <c r="I112" s="41"/>
      <c r="J112" s="41"/>
    </row>
    <row r="113" spans="9:10" x14ac:dyDescent="0.25">
      <c r="I113" s="41"/>
      <c r="J113" s="41"/>
    </row>
    <row r="114" spans="9:10" x14ac:dyDescent="0.25">
      <c r="I114" s="41"/>
      <c r="J114" s="41"/>
    </row>
    <row r="115" spans="9:10" x14ac:dyDescent="0.25">
      <c r="I115" s="41"/>
      <c r="J115" s="41"/>
    </row>
    <row r="116" spans="9:10" x14ac:dyDescent="0.25">
      <c r="I116" s="41"/>
      <c r="J116" s="41"/>
    </row>
    <row r="117" spans="9:10" x14ac:dyDescent="0.25">
      <c r="I117" s="41"/>
      <c r="J117" s="41"/>
    </row>
    <row r="118" spans="9:10" x14ac:dyDescent="0.25">
      <c r="I118" s="41"/>
      <c r="J118" s="41"/>
    </row>
    <row r="119" spans="9:10" x14ac:dyDescent="0.25">
      <c r="I119" s="41"/>
      <c r="J119" s="41"/>
    </row>
    <row r="120" spans="9:10" x14ac:dyDescent="0.25">
      <c r="I120" s="41"/>
      <c r="J120" s="41"/>
    </row>
    <row r="121" spans="9:10" x14ac:dyDescent="0.25">
      <c r="I121" s="41"/>
      <c r="J121" s="41"/>
    </row>
    <row r="122" spans="9:10" x14ac:dyDescent="0.25">
      <c r="I122" s="41"/>
      <c r="J122" s="41"/>
    </row>
    <row r="123" spans="9:10" x14ac:dyDescent="0.25">
      <c r="I123" s="41"/>
      <c r="J123" s="41"/>
    </row>
    <row r="124" spans="9:10" x14ac:dyDescent="0.25">
      <c r="I124" s="41"/>
      <c r="J124" s="41"/>
    </row>
    <row r="125" spans="9:10" x14ac:dyDescent="0.25">
      <c r="I125" s="41"/>
      <c r="J125" s="41"/>
    </row>
    <row r="126" spans="9:10" x14ac:dyDescent="0.25">
      <c r="I126" s="41"/>
      <c r="J126" s="41"/>
    </row>
    <row r="127" spans="9:10" x14ac:dyDescent="0.25">
      <c r="I127" s="41"/>
      <c r="J127" s="41"/>
    </row>
    <row r="128" spans="9:10" x14ac:dyDescent="0.25">
      <c r="I128" s="41"/>
      <c r="J128" s="41"/>
    </row>
    <row r="129" spans="9:10" x14ac:dyDescent="0.25">
      <c r="I129" s="41"/>
      <c r="J129" s="41"/>
    </row>
    <row r="130" spans="9:10" x14ac:dyDescent="0.25">
      <c r="I130" s="41"/>
      <c r="J130" s="41"/>
    </row>
    <row r="131" spans="9:10" x14ac:dyDescent="0.25">
      <c r="I131" s="41"/>
      <c r="J131" s="41"/>
    </row>
    <row r="132" spans="9:10" x14ac:dyDescent="0.25">
      <c r="I132" s="41"/>
      <c r="J132" s="41"/>
    </row>
    <row r="133" spans="9:10" x14ac:dyDescent="0.25">
      <c r="I133" s="41"/>
      <c r="J133" s="41"/>
    </row>
    <row r="134" spans="9:10" x14ac:dyDescent="0.25">
      <c r="I134" s="41"/>
      <c r="J134" s="41"/>
    </row>
    <row r="135" spans="9:10" x14ac:dyDescent="0.25">
      <c r="I135" s="41"/>
      <c r="J135" s="41"/>
    </row>
    <row r="136" spans="9:10" x14ac:dyDescent="0.25">
      <c r="I136" s="41"/>
      <c r="J136" s="41"/>
    </row>
    <row r="137" spans="9:10" x14ac:dyDescent="0.25">
      <c r="I137" s="41"/>
      <c r="J137" s="41"/>
    </row>
    <row r="138" spans="9:10" x14ac:dyDescent="0.25">
      <c r="I138" s="41"/>
      <c r="J138" s="41"/>
    </row>
    <row r="139" spans="9:10" x14ac:dyDescent="0.25">
      <c r="I139" s="41"/>
      <c r="J139" s="41"/>
    </row>
    <row r="140" spans="9:10" x14ac:dyDescent="0.25">
      <c r="I140" s="41"/>
      <c r="J140" s="41"/>
    </row>
    <row r="141" spans="9:10" x14ac:dyDescent="0.25">
      <c r="I141" s="41"/>
      <c r="J141" s="41"/>
    </row>
    <row r="142" spans="9:10" x14ac:dyDescent="0.25">
      <c r="I142" s="41"/>
      <c r="J142" s="41"/>
    </row>
    <row r="143" spans="9:10" x14ac:dyDescent="0.25">
      <c r="I143" s="41"/>
      <c r="J143" s="41"/>
    </row>
    <row r="144" spans="9:10" x14ac:dyDescent="0.25">
      <c r="I144" s="41"/>
      <c r="J144" s="41"/>
    </row>
    <row r="159" spans="3:5" x14ac:dyDescent="0.25">
      <c r="C159" s="41"/>
      <c r="D159" s="41"/>
    </row>
    <row r="160" spans="3:5" x14ac:dyDescent="0.25">
      <c r="C160" s="43"/>
      <c r="D160" s="50"/>
      <c r="E160" s="55"/>
    </row>
    <row r="161" spans="3:5" x14ac:dyDescent="0.25">
      <c r="C161" s="43"/>
      <c r="D161" s="50"/>
      <c r="E161" s="55"/>
    </row>
    <row r="162" spans="3:5" x14ac:dyDescent="0.25">
      <c r="C162" s="43"/>
      <c r="D162" s="50"/>
      <c r="E162" s="55"/>
    </row>
  </sheetData>
  <mergeCells count="6">
    <mergeCell ref="D4:G5"/>
    <mergeCell ref="R4:U5"/>
    <mergeCell ref="E7:F7"/>
    <mergeCell ref="S7:T7"/>
    <mergeCell ref="L4:O5"/>
    <mergeCell ref="M7:N7"/>
  </mergeCells>
  <pageMargins left="0.75" right="0.75" top="1" bottom="1" header="0.5" footer="0.5"/>
  <pageSetup scale="53" orientation="landscape" r:id="rId1"/>
  <headerFooter alignWithMargins="0">
    <oddFooter>&amp;RExhibit JW-9
Page &amp;P of &amp;N</oddFooter>
  </headerFooter>
  <ignoredErrors>
    <ignoredError sqref="S21:U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46"/>
  <sheetViews>
    <sheetView view="pageBreakPreview" zoomScale="73" zoomScaleNormal="85" zoomScaleSheetLayoutView="73" workbookViewId="0">
      <selection activeCell="D16" sqref="D16:V38"/>
    </sheetView>
  </sheetViews>
  <sheetFormatPr defaultColWidth="9.140625" defaultRowHeight="15.75" x14ac:dyDescent="0.25"/>
  <cols>
    <col min="1" max="1" width="4.7109375" style="2" customWidth="1"/>
    <col min="2" max="2" width="24" style="2" bestFit="1" customWidth="1"/>
    <col min="3" max="3" width="1.7109375" style="2" customWidth="1"/>
    <col min="4" max="4" width="14.5703125" style="2" bestFit="1" customWidth="1"/>
    <col min="5" max="5" width="12.140625" style="2" bestFit="1" customWidth="1"/>
    <col min="6" max="6" width="3.140625" style="2" customWidth="1"/>
    <col min="7" max="7" width="14.5703125" style="2" bestFit="1" customWidth="1"/>
    <col min="8" max="8" width="2.85546875" style="2" customWidth="1"/>
    <col min="9" max="9" width="28.85546875" style="2" bestFit="1" customWidth="1"/>
    <col min="10" max="10" width="25" style="2" bestFit="1" customWidth="1"/>
    <col min="11" max="11" width="1.28515625" style="2" customWidth="1"/>
    <col min="12" max="12" width="14.5703125" style="2" bestFit="1" customWidth="1"/>
    <col min="13" max="13" width="11.7109375" style="2" bestFit="1" customWidth="1"/>
    <col min="14" max="14" width="1.85546875" style="2" customWidth="1"/>
    <col min="15" max="15" width="14.5703125" style="2" bestFit="1" customWidth="1"/>
    <col min="16" max="16" width="4" style="2" customWidth="1"/>
    <col min="17" max="17" width="2.140625" style="2" customWidth="1"/>
    <col min="18" max="18" width="14.5703125" style="2" bestFit="1" customWidth="1"/>
    <col min="19" max="19" width="12.140625" style="2" bestFit="1" customWidth="1"/>
    <col min="20" max="20" width="1.85546875" style="2" customWidth="1"/>
    <col min="21" max="21" width="14.5703125" style="2" bestFit="1" customWidth="1"/>
    <col min="22" max="22" width="6.140625" style="2" bestFit="1" customWidth="1"/>
    <col min="23" max="16384" width="9.140625" style="2"/>
  </cols>
  <sheetData>
    <row r="1" spans="1:22" x14ac:dyDescent="0.25">
      <c r="A1" s="1" t="str">
        <f>'Present and Proposed Rates'!A1</f>
        <v>KENERGY CORP.</v>
      </c>
      <c r="J1" s="1"/>
    </row>
    <row r="2" spans="1:22" x14ac:dyDescent="0.25">
      <c r="A2" s="2" t="str">
        <f>'Present and Proposed Rates'!B16</f>
        <v>Commercial &amp; Public Bldgs Three Phase (&lt; 1000 kW)</v>
      </c>
    </row>
    <row r="3" spans="1:22" ht="16.5" thickBot="1" x14ac:dyDescent="0.3">
      <c r="A3" s="2">
        <f>'Present and Proposed Rates'!C16</f>
        <v>5</v>
      </c>
    </row>
    <row r="4" spans="1:22" x14ac:dyDescent="0.25">
      <c r="D4" s="601" t="s">
        <v>30</v>
      </c>
      <c r="E4" s="602"/>
      <c r="F4" s="602"/>
      <c r="G4" s="603"/>
      <c r="H4" s="394"/>
      <c r="L4" s="601" t="s">
        <v>194</v>
      </c>
      <c r="M4" s="602"/>
      <c r="N4" s="602"/>
      <c r="O4" s="603"/>
      <c r="P4" s="394"/>
      <c r="R4" s="601" t="s">
        <v>96</v>
      </c>
      <c r="S4" s="602"/>
      <c r="T4" s="602"/>
      <c r="U4" s="603"/>
    </row>
    <row r="5" spans="1:22" ht="16.5" thickBot="1" x14ac:dyDescent="0.3">
      <c r="A5" s="44"/>
      <c r="B5" s="54"/>
      <c r="C5" s="3"/>
      <c r="D5" s="604"/>
      <c r="E5" s="605"/>
      <c r="F5" s="605"/>
      <c r="G5" s="606"/>
      <c r="H5" s="394"/>
      <c r="I5" s="44"/>
      <c r="J5" s="54"/>
      <c r="K5" s="3"/>
      <c r="L5" s="604"/>
      <c r="M5" s="605"/>
      <c r="N5" s="605"/>
      <c r="O5" s="606"/>
      <c r="P5" s="394"/>
      <c r="Q5" s="3"/>
      <c r="R5" s="604"/>
      <c r="S5" s="605"/>
      <c r="T5" s="605"/>
      <c r="U5" s="606"/>
    </row>
    <row r="6" spans="1:22" x14ac:dyDescent="0.25">
      <c r="A6" s="4"/>
      <c r="B6" s="4"/>
      <c r="C6" s="4"/>
      <c r="D6" s="4" t="s">
        <v>1</v>
      </c>
      <c r="E6" s="4"/>
      <c r="F6" s="4"/>
      <c r="G6" s="4" t="s">
        <v>2</v>
      </c>
      <c r="H6" s="395"/>
      <c r="I6" s="4"/>
      <c r="J6" s="4"/>
      <c r="K6" s="4"/>
      <c r="L6" s="4" t="s">
        <v>1</v>
      </c>
      <c r="M6" s="4"/>
      <c r="N6" s="4"/>
      <c r="O6" s="4" t="s">
        <v>2</v>
      </c>
      <c r="P6" s="395"/>
      <c r="Q6" s="4"/>
      <c r="R6" s="4" t="s">
        <v>1</v>
      </c>
      <c r="S6" s="4"/>
      <c r="T6" s="4"/>
      <c r="U6" s="4" t="s">
        <v>2</v>
      </c>
    </row>
    <row r="7" spans="1:22" ht="16.5" thickBot="1" x14ac:dyDescent="0.3">
      <c r="A7" s="5"/>
      <c r="B7" s="5"/>
      <c r="C7" s="5"/>
      <c r="D7" s="5" t="s">
        <v>4</v>
      </c>
      <c r="E7" s="605" t="s">
        <v>5</v>
      </c>
      <c r="F7" s="605"/>
      <c r="G7" s="5" t="s">
        <v>6</v>
      </c>
      <c r="H7" s="396"/>
      <c r="I7" s="5"/>
      <c r="J7" s="5"/>
      <c r="K7" s="5"/>
      <c r="L7" s="5" t="s">
        <v>4</v>
      </c>
      <c r="M7" s="605" t="s">
        <v>5</v>
      </c>
      <c r="N7" s="605"/>
      <c r="O7" s="5" t="s">
        <v>6</v>
      </c>
      <c r="P7" s="396"/>
      <c r="Q7" s="5"/>
      <c r="R7" s="5" t="s">
        <v>4</v>
      </c>
      <c r="S7" s="605" t="s">
        <v>5</v>
      </c>
      <c r="T7" s="605"/>
      <c r="U7" s="5" t="s">
        <v>6</v>
      </c>
      <c r="V7" s="5" t="s">
        <v>64</v>
      </c>
    </row>
    <row r="8" spans="1:22" x14ac:dyDescent="0.25">
      <c r="H8" s="397"/>
      <c r="P8" s="397"/>
    </row>
    <row r="9" spans="1:22" x14ac:dyDescent="0.25">
      <c r="H9" s="397"/>
      <c r="P9" s="397"/>
    </row>
    <row r="10" spans="1:22" x14ac:dyDescent="0.25">
      <c r="A10" s="98" t="s">
        <v>10</v>
      </c>
      <c r="H10" s="397"/>
      <c r="I10" s="98" t="s">
        <v>10</v>
      </c>
      <c r="P10" s="397"/>
    </row>
    <row r="11" spans="1:22" x14ac:dyDescent="0.25">
      <c r="D11" s="398" t="s">
        <v>100</v>
      </c>
      <c r="E11" s="398" t="s">
        <v>109</v>
      </c>
      <c r="H11" s="397"/>
      <c r="L11" s="398" t="s">
        <v>100</v>
      </c>
      <c r="M11" s="398" t="s">
        <v>109</v>
      </c>
      <c r="P11" s="397"/>
      <c r="R11" s="398" t="s">
        <v>100</v>
      </c>
      <c r="S11" s="398" t="s">
        <v>109</v>
      </c>
    </row>
    <row r="12" spans="1:22" x14ac:dyDescent="0.25">
      <c r="B12" s="2" t="s">
        <v>98</v>
      </c>
      <c r="D12" s="8">
        <f>BillDet!Q8</f>
        <v>15149</v>
      </c>
      <c r="E12" s="72">
        <f>'Present and Proposed Rates'!G16</f>
        <v>45.52</v>
      </c>
      <c r="G12" s="11">
        <f>D12*E12</f>
        <v>689582.4800000001</v>
      </c>
      <c r="H12" s="399"/>
      <c r="J12" s="2" t="s">
        <v>105</v>
      </c>
      <c r="L12" s="8">
        <f>BillDet!P8*12</f>
        <v>15228</v>
      </c>
      <c r="M12" s="417">
        <f>E12</f>
        <v>45.52</v>
      </c>
      <c r="O12" s="11">
        <f>L12*M12</f>
        <v>693178.56</v>
      </c>
      <c r="P12" s="399"/>
      <c r="R12" s="8">
        <f>L12</f>
        <v>15228</v>
      </c>
      <c r="S12" s="417">
        <f>'Present and Proposed Rates'!H16</f>
        <v>45.52</v>
      </c>
      <c r="U12" s="11">
        <f>R12*S12</f>
        <v>693178.56</v>
      </c>
      <c r="V12" s="410">
        <f>(U12-O12)/O12</f>
        <v>0</v>
      </c>
    </row>
    <row r="13" spans="1:22" x14ac:dyDescent="0.25">
      <c r="D13" s="8"/>
      <c r="G13" s="11"/>
      <c r="H13" s="399"/>
      <c r="L13" s="8"/>
      <c r="O13" s="11"/>
      <c r="P13" s="399"/>
      <c r="R13" s="8"/>
      <c r="U13" s="11"/>
    </row>
    <row r="14" spans="1:22" x14ac:dyDescent="0.25">
      <c r="A14" s="1" t="s">
        <v>7</v>
      </c>
      <c r="D14" s="8"/>
      <c r="G14" s="11"/>
      <c r="H14" s="399"/>
      <c r="I14" s="1" t="s">
        <v>7</v>
      </c>
      <c r="L14" s="8"/>
      <c r="O14" s="11"/>
      <c r="P14" s="399"/>
      <c r="R14" s="8"/>
      <c r="U14" s="11"/>
    </row>
    <row r="15" spans="1:22" x14ac:dyDescent="0.25">
      <c r="D15" s="400" t="s">
        <v>8</v>
      </c>
      <c r="E15" s="401" t="s">
        <v>11</v>
      </c>
      <c r="G15" s="11"/>
      <c r="H15" s="399"/>
      <c r="L15" s="400" t="s">
        <v>8</v>
      </c>
      <c r="M15" s="401" t="s">
        <v>11</v>
      </c>
      <c r="O15" s="11"/>
      <c r="P15" s="399"/>
      <c r="R15" s="400" t="s">
        <v>8</v>
      </c>
      <c r="S15" s="401" t="s">
        <v>11</v>
      </c>
      <c r="U15" s="11"/>
    </row>
    <row r="16" spans="1:22" x14ac:dyDescent="0.25">
      <c r="B16" s="2" t="s">
        <v>181</v>
      </c>
      <c r="D16" s="8">
        <v>108577767</v>
      </c>
      <c r="E16" s="402">
        <f>'Present and Proposed Rates'!G17</f>
        <v>8.7489999999999998E-2</v>
      </c>
      <c r="G16" s="11">
        <f>D16*E16</f>
        <v>9499468.8348299991</v>
      </c>
      <c r="H16" s="399"/>
      <c r="J16" s="2" t="s">
        <v>98</v>
      </c>
      <c r="L16" s="8">
        <f>D16</f>
        <v>108577767</v>
      </c>
      <c r="M16" s="402">
        <f>E16</f>
        <v>8.7489999999999998E-2</v>
      </c>
      <c r="O16" s="11">
        <f>L16*M16</f>
        <v>9499468.8348299991</v>
      </c>
      <c r="P16" s="399"/>
      <c r="R16" s="8">
        <f>L16+R43</f>
        <v>108577767</v>
      </c>
      <c r="S16" s="402">
        <f>'Present and Proposed Rates'!H17</f>
        <v>8.7489999999999998E-2</v>
      </c>
      <c r="U16" s="11">
        <f>R16*S16</f>
        <v>9499468.8348299991</v>
      </c>
      <c r="V16" s="410">
        <f>(U16-O16)/O16</f>
        <v>0</v>
      </c>
    </row>
    <row r="17" spans="1:22" x14ac:dyDescent="0.25">
      <c r="B17" s="2" t="s">
        <v>180</v>
      </c>
      <c r="D17" s="8">
        <v>53348410</v>
      </c>
      <c r="E17" s="402">
        <f>'Present and Proposed Rates'!G18</f>
        <v>6.7100000000000007E-2</v>
      </c>
      <c r="G17" s="11">
        <f>D17*E17</f>
        <v>3579678.3110000002</v>
      </c>
      <c r="H17" s="399"/>
      <c r="J17" s="2" t="s">
        <v>98</v>
      </c>
      <c r="L17" s="8">
        <f t="shared" ref="L17:L18" si="0">D17</f>
        <v>53348410</v>
      </c>
      <c r="M17" s="402">
        <f t="shared" ref="M17:M19" si="1">E17</f>
        <v>6.7100000000000007E-2</v>
      </c>
      <c r="O17" s="11">
        <f>L17*M17</f>
        <v>3579678.3110000002</v>
      </c>
      <c r="P17" s="399"/>
      <c r="R17" s="8">
        <f>L17</f>
        <v>53348410</v>
      </c>
      <c r="S17" s="402">
        <f>'Present and Proposed Rates'!H18</f>
        <v>6.7100000000000007E-2</v>
      </c>
      <c r="U17" s="11">
        <f>R17*S17</f>
        <v>3579678.3110000002</v>
      </c>
      <c r="V17" s="410">
        <f>(U17-O17)/O17</f>
        <v>0</v>
      </c>
    </row>
    <row r="18" spans="1:22" x14ac:dyDescent="0.25">
      <c r="B18" s="2" t="s">
        <v>182</v>
      </c>
      <c r="D18" s="8">
        <v>13050058</v>
      </c>
      <c r="E18" s="402">
        <f>'Present and Proposed Rates'!G19</f>
        <v>5.9400000000000001E-2</v>
      </c>
      <c r="G18" s="11">
        <f>D18*E18</f>
        <v>775173.44520000007</v>
      </c>
      <c r="H18" s="399"/>
      <c r="J18" s="2" t="s">
        <v>98</v>
      </c>
      <c r="L18" s="8">
        <f t="shared" si="0"/>
        <v>13050058</v>
      </c>
      <c r="M18" s="402">
        <f t="shared" si="1"/>
        <v>5.9400000000000001E-2</v>
      </c>
      <c r="O18" s="11">
        <f>L18*M18</f>
        <v>775173.44520000007</v>
      </c>
      <c r="P18" s="399"/>
      <c r="R18" s="8">
        <f>L18</f>
        <v>13050058</v>
      </c>
      <c r="S18" s="402">
        <f>'Present and Proposed Rates'!H19</f>
        <v>5.9400000000000001E-2</v>
      </c>
      <c r="U18" s="11">
        <f>R18*S18</f>
        <v>775173.44520000007</v>
      </c>
      <c r="V18" s="410">
        <f>(U18-O18)/O18</f>
        <v>0</v>
      </c>
    </row>
    <row r="19" spans="1:22" x14ac:dyDescent="0.25">
      <c r="B19" s="418" t="s">
        <v>185</v>
      </c>
      <c r="D19" s="419">
        <f>SUM(D16:D18)</f>
        <v>174976235</v>
      </c>
      <c r="E19" s="420">
        <f>G19/D19</f>
        <v>7.9178298647413464E-2</v>
      </c>
      <c r="G19" s="421">
        <f>SUM(G16:G18)</f>
        <v>13854320.59103</v>
      </c>
      <c r="H19" s="399"/>
      <c r="J19" s="418" t="s">
        <v>185</v>
      </c>
      <c r="L19" s="419">
        <f>SUM(L16:L18)</f>
        <v>174976235</v>
      </c>
      <c r="M19" s="422">
        <f t="shared" si="1"/>
        <v>7.9178298647413464E-2</v>
      </c>
      <c r="O19" s="421">
        <f>SUM(O16:O18)</f>
        <v>13854320.59103</v>
      </c>
      <c r="P19" s="399"/>
      <c r="R19" s="419">
        <f>SUM(R16:R17)</f>
        <v>161926177</v>
      </c>
      <c r="S19" s="420">
        <f>U19/R19</f>
        <v>8.5559486722335196E-2</v>
      </c>
      <c r="U19" s="421">
        <f>SUM(U16:U18)</f>
        <v>13854320.59103</v>
      </c>
      <c r="V19" s="410">
        <f>(U19-O19)/O19</f>
        <v>0</v>
      </c>
    </row>
    <row r="20" spans="1:22" x14ac:dyDescent="0.25">
      <c r="D20" s="8"/>
      <c r="E20" s="18"/>
      <c r="G20" s="11"/>
      <c r="H20" s="399"/>
      <c r="L20" s="8"/>
      <c r="M20" s="18"/>
      <c r="O20" s="11"/>
      <c r="P20" s="399"/>
      <c r="R20" s="8"/>
      <c r="S20" s="18"/>
      <c r="U20" s="11"/>
    </row>
    <row r="21" spans="1:22" x14ac:dyDescent="0.25">
      <c r="A21" s="1" t="s">
        <v>106</v>
      </c>
      <c r="D21" s="8"/>
      <c r="G21" s="11"/>
      <c r="H21" s="399"/>
      <c r="I21" s="1" t="s">
        <v>106</v>
      </c>
      <c r="L21" s="8"/>
      <c r="O21" s="11"/>
      <c r="P21" s="399"/>
      <c r="R21" s="8"/>
      <c r="U21" s="11"/>
    </row>
    <row r="22" spans="1:22" x14ac:dyDescent="0.25">
      <c r="D22" s="400" t="s">
        <v>107</v>
      </c>
      <c r="E22" s="401" t="s">
        <v>108</v>
      </c>
      <c r="G22" s="11"/>
      <c r="H22" s="399"/>
      <c r="L22" s="400" t="s">
        <v>107</v>
      </c>
      <c r="M22" s="401" t="s">
        <v>108</v>
      </c>
      <c r="O22" s="11"/>
      <c r="P22" s="399"/>
      <c r="R22" s="400" t="s">
        <v>107</v>
      </c>
      <c r="S22" s="401" t="s">
        <v>108</v>
      </c>
      <c r="U22" s="11"/>
    </row>
    <row r="23" spans="1:22" x14ac:dyDescent="0.25">
      <c r="B23" s="2" t="s">
        <v>98</v>
      </c>
      <c r="D23" s="8">
        <f>BillDet!Q28</f>
        <v>632474.99</v>
      </c>
      <c r="E23" s="69">
        <f>'Present and Proposed Rates'!G20</f>
        <v>5.78</v>
      </c>
      <c r="G23" s="11">
        <f>D23*E23</f>
        <v>3655705.4421999999</v>
      </c>
      <c r="H23" s="399"/>
      <c r="J23" s="2" t="s">
        <v>98</v>
      </c>
      <c r="L23" s="8">
        <f>D23</f>
        <v>632474.99</v>
      </c>
      <c r="M23" s="69">
        <f>E23</f>
        <v>5.78</v>
      </c>
      <c r="O23" s="11">
        <f>L23*M23</f>
        <v>3655705.4421999999</v>
      </c>
      <c r="P23" s="399"/>
      <c r="R23" s="8">
        <f>L23</f>
        <v>632474.99</v>
      </c>
      <c r="S23" s="69">
        <f>'Present and Proposed Rates'!H20</f>
        <v>5.78</v>
      </c>
      <c r="U23" s="11">
        <f>R23*S23</f>
        <v>3655705.4421999999</v>
      </c>
      <c r="V23" s="410">
        <f>(U23-O23)/O23</f>
        <v>0</v>
      </c>
    </row>
    <row r="24" spans="1:22" x14ac:dyDescent="0.25">
      <c r="D24" s="8"/>
      <c r="E24" s="402"/>
      <c r="G24" s="11"/>
      <c r="H24" s="399"/>
      <c r="L24" s="8"/>
      <c r="M24" s="402"/>
      <c r="O24" s="11"/>
      <c r="P24" s="399"/>
      <c r="R24" s="8"/>
      <c r="S24" s="402"/>
      <c r="U24" s="11"/>
    </row>
    <row r="25" spans="1:22" x14ac:dyDescent="0.25">
      <c r="A25" s="1" t="s">
        <v>99</v>
      </c>
      <c r="D25" s="8"/>
      <c r="E25" s="18"/>
      <c r="G25" s="11"/>
      <c r="H25" s="399"/>
      <c r="I25" s="1" t="s">
        <v>99</v>
      </c>
      <c r="L25" s="8"/>
      <c r="M25" s="18"/>
      <c r="O25" s="11"/>
      <c r="P25" s="399"/>
      <c r="R25" s="8"/>
      <c r="S25" s="18"/>
      <c r="U25" s="11"/>
    </row>
    <row r="26" spans="1:22" x14ac:dyDescent="0.25">
      <c r="B26" s="2" t="s">
        <v>104</v>
      </c>
      <c r="D26" s="8"/>
      <c r="E26" s="403">
        <f>G26/D$19</f>
        <v>2.0496485422720409E-2</v>
      </c>
      <c r="G26" s="11">
        <f>BillDet!Q39</f>
        <v>3586397.8500000006</v>
      </c>
      <c r="H26" s="399"/>
      <c r="J26" s="2" t="str">
        <f>B26</f>
        <v>Fuel Adjustment Clause</v>
      </c>
      <c r="L26" s="8"/>
      <c r="M26" s="403">
        <f>E26</f>
        <v>2.0496485422720409E-2</v>
      </c>
      <c r="O26" s="11">
        <f>L$19*M26</f>
        <v>3586397.8500000006</v>
      </c>
      <c r="P26" s="399"/>
      <c r="R26" s="8"/>
      <c r="S26" s="403">
        <f>U26/R$19</f>
        <v>2.2148351282325406E-2</v>
      </c>
      <c r="U26" s="11">
        <f>O26</f>
        <v>3586397.8500000006</v>
      </c>
      <c r="V26" s="410">
        <f>(U26-O26)/O26</f>
        <v>0</v>
      </c>
    </row>
    <row r="27" spans="1:22" x14ac:dyDescent="0.25">
      <c r="B27" s="2" t="s">
        <v>101</v>
      </c>
      <c r="D27" s="8"/>
      <c r="E27" s="403">
        <f t="shared" ref="E27:E29" si="2">G27/D$19</f>
        <v>5.4872085914981529E-3</v>
      </c>
      <c r="G27" s="11">
        <f>BillDet!Q49</f>
        <v>960131.09999999986</v>
      </c>
      <c r="H27" s="399"/>
      <c r="J27" s="2" t="str">
        <f t="shared" ref="J27:J29" si="3">B27</f>
        <v>Environmental Surcharge</v>
      </c>
      <c r="L27" s="8"/>
      <c r="M27" s="403">
        <f t="shared" ref="M27:M29" si="4">E27</f>
        <v>5.4872085914981529E-3</v>
      </c>
      <c r="O27" s="11">
        <f t="shared" ref="O27:O29" si="5">L$19*M27</f>
        <v>960131.09999999986</v>
      </c>
      <c r="P27" s="399"/>
      <c r="R27" s="8"/>
      <c r="S27" s="403">
        <f t="shared" ref="S27:S29" si="6">U27/R$19</f>
        <v>5.9294372150835118E-3</v>
      </c>
      <c r="U27" s="11">
        <f t="shared" ref="U27:U29" si="7">O27</f>
        <v>960131.09999999986</v>
      </c>
    </row>
    <row r="28" spans="1:22" x14ac:dyDescent="0.25">
      <c r="B28" s="2" t="s">
        <v>102</v>
      </c>
      <c r="D28" s="8"/>
      <c r="E28" s="403">
        <f t="shared" si="2"/>
        <v>-6.6810331700187745E-3</v>
      </c>
      <c r="G28" s="11">
        <f>BillDet!Q59</f>
        <v>-1169022.03</v>
      </c>
      <c r="H28" s="399"/>
      <c r="J28" s="2" t="str">
        <f t="shared" si="3"/>
        <v>Member Rate Stability</v>
      </c>
      <c r="L28" s="8"/>
      <c r="M28" s="403">
        <f t="shared" si="4"/>
        <v>-6.6810331700187745E-3</v>
      </c>
      <c r="O28" s="11">
        <f t="shared" si="5"/>
        <v>-1169022.03</v>
      </c>
      <c r="P28" s="399"/>
      <c r="R28" s="8"/>
      <c r="S28" s="403">
        <f t="shared" si="6"/>
        <v>-7.2194752674238707E-3</v>
      </c>
      <c r="U28" s="11">
        <f t="shared" si="7"/>
        <v>-1169022.03</v>
      </c>
      <c r="V28" s="410">
        <f>(U28-O28)/O28</f>
        <v>0</v>
      </c>
    </row>
    <row r="29" spans="1:22" x14ac:dyDescent="0.25">
      <c r="B29" s="2" t="s">
        <v>103</v>
      </c>
      <c r="D29" s="8"/>
      <c r="E29" s="403">
        <f t="shared" si="2"/>
        <v>3.8136872701598598E-3</v>
      </c>
      <c r="G29" s="11">
        <f>BillDet!Q69</f>
        <v>667304.64000000013</v>
      </c>
      <c r="H29" s="405"/>
      <c r="J29" s="2" t="str">
        <f t="shared" si="3"/>
        <v>Non-FAC PPA</v>
      </c>
      <c r="L29" s="8"/>
      <c r="M29" s="403">
        <f t="shared" si="4"/>
        <v>3.8136872701598598E-3</v>
      </c>
      <c r="O29" s="11">
        <f t="shared" si="5"/>
        <v>667304.64000000013</v>
      </c>
      <c r="P29" s="399"/>
      <c r="R29" s="8"/>
      <c r="S29" s="403">
        <f t="shared" si="6"/>
        <v>4.1210423932876534E-3</v>
      </c>
      <c r="U29" s="11">
        <f t="shared" si="7"/>
        <v>667304.64000000013</v>
      </c>
      <c r="V29" s="410">
        <f>(U29-O29)/O29</f>
        <v>0</v>
      </c>
    </row>
    <row r="30" spans="1:22" x14ac:dyDescent="0.25">
      <c r="C30" s="16"/>
      <c r="D30" s="8"/>
      <c r="E30" s="406">
        <f>SUM(E26:E29)</f>
        <v>2.3116348114359645E-2</v>
      </c>
      <c r="G30" s="11"/>
      <c r="H30" s="399"/>
      <c r="K30" s="16"/>
      <c r="L30" s="8"/>
      <c r="M30" s="406">
        <f>SUM(M26:M29)</f>
        <v>2.3116348114359645E-2</v>
      </c>
      <c r="O30" s="11"/>
      <c r="P30" s="399"/>
      <c r="Q30" s="16"/>
      <c r="R30" s="8"/>
      <c r="S30" s="406">
        <f>SUM(S26:S29)</f>
        <v>2.4979355623272703E-2</v>
      </c>
      <c r="U30" s="11"/>
    </row>
    <row r="31" spans="1:22" x14ac:dyDescent="0.25">
      <c r="B31" s="2" t="s">
        <v>174</v>
      </c>
      <c r="C31" s="16"/>
      <c r="D31" s="8"/>
      <c r="E31" s="403"/>
      <c r="G31" s="11">
        <v>-20712.224000000002</v>
      </c>
      <c r="H31" s="399"/>
      <c r="J31" s="2" t="str">
        <f>B31</f>
        <v>Primary Discount</v>
      </c>
      <c r="K31" s="16"/>
      <c r="L31" s="8"/>
      <c r="M31" s="403"/>
      <c r="O31" s="11">
        <f>G31</f>
        <v>-20712.224000000002</v>
      </c>
      <c r="P31" s="399"/>
      <c r="Q31" s="16"/>
      <c r="R31" s="8"/>
      <c r="S31" s="403"/>
      <c r="U31" s="11">
        <f>O31</f>
        <v>-20712.224000000002</v>
      </c>
      <c r="V31" s="410">
        <f>(U31-O31)/O31</f>
        <v>0</v>
      </c>
    </row>
    <row r="32" spans="1:22" x14ac:dyDescent="0.25">
      <c r="B32" s="2" t="s">
        <v>188</v>
      </c>
      <c r="C32" s="16"/>
      <c r="D32" s="8"/>
      <c r="E32" s="403"/>
      <c r="G32" s="11">
        <v>15233.04</v>
      </c>
      <c r="H32" s="399"/>
      <c r="J32" s="2" t="str">
        <f t="shared" ref="J32:J33" si="8">B32</f>
        <v>Facilities Charge</v>
      </c>
      <c r="K32" s="16"/>
      <c r="L32" s="8"/>
      <c r="M32" s="403"/>
      <c r="O32" s="11">
        <f t="shared" ref="O32:O33" si="9">G32</f>
        <v>15233.04</v>
      </c>
      <c r="P32" s="399"/>
      <c r="Q32" s="16"/>
      <c r="R32" s="8"/>
      <c r="S32" s="403"/>
      <c r="U32" s="11">
        <f t="shared" ref="U32:U33" si="10">O32</f>
        <v>15233.04</v>
      </c>
      <c r="V32" s="410">
        <f>(U32-O32)/O32</f>
        <v>0</v>
      </c>
    </row>
    <row r="33" spans="1:22" x14ac:dyDescent="0.25">
      <c r="B33" s="2" t="s">
        <v>189</v>
      </c>
      <c r="C33" s="16"/>
      <c r="D33" s="8"/>
      <c r="E33" s="403"/>
      <c r="G33" s="11">
        <v>37490.650426</v>
      </c>
      <c r="H33" s="399"/>
      <c r="J33" s="2" t="str">
        <f t="shared" si="8"/>
        <v>Power Factor Adj</v>
      </c>
      <c r="K33" s="16"/>
      <c r="L33" s="8"/>
      <c r="M33" s="403"/>
      <c r="O33" s="11">
        <f t="shared" si="9"/>
        <v>37490.650426</v>
      </c>
      <c r="P33" s="399"/>
      <c r="Q33" s="16"/>
      <c r="R33" s="8"/>
      <c r="S33" s="403"/>
      <c r="U33" s="11">
        <f t="shared" si="10"/>
        <v>37490.650426</v>
      </c>
      <c r="V33" s="410">
        <f>(U33-O33)/O33</f>
        <v>0</v>
      </c>
    </row>
    <row r="34" spans="1:22" x14ac:dyDescent="0.25">
      <c r="C34" s="16"/>
      <c r="D34" s="8"/>
      <c r="E34" s="18"/>
      <c r="G34" s="11"/>
      <c r="H34" s="399"/>
      <c r="K34" s="16"/>
      <c r="L34" s="8"/>
      <c r="M34" s="18"/>
      <c r="O34" s="11"/>
      <c r="P34" s="399"/>
      <c r="Q34" s="16"/>
      <c r="R34" s="8"/>
      <c r="S34" s="18"/>
      <c r="U34" s="11"/>
      <c r="V34" s="410"/>
    </row>
    <row r="35" spans="1:22" ht="16.5" thickBot="1" x14ac:dyDescent="0.3">
      <c r="A35" s="1" t="s">
        <v>80</v>
      </c>
      <c r="G35" s="24">
        <f>G12+G19+G23+G26+G27+G28+G29+G30+G31+G32+G33</f>
        <v>22276431.539656002</v>
      </c>
      <c r="H35" s="399"/>
      <c r="I35" s="1" t="s">
        <v>80</v>
      </c>
      <c r="O35" s="24">
        <f>O12+O19+O23+O26+O27+O28+O29+O30+O31+O32+O33</f>
        <v>22280027.619656004</v>
      </c>
      <c r="P35" s="399"/>
      <c r="U35" s="24">
        <f>U12+U19+U23+U26+U27+U28+U29+U30+U31+U32+U33</f>
        <v>22280027.619656004</v>
      </c>
      <c r="V35" s="410">
        <f>(U35-O35)/O35</f>
        <v>0</v>
      </c>
    </row>
    <row r="36" spans="1:22" ht="16.5" thickTop="1" x14ac:dyDescent="0.25">
      <c r="A36" s="1"/>
      <c r="B36" s="1"/>
      <c r="G36" s="11"/>
      <c r="H36" s="399"/>
      <c r="I36" s="1"/>
      <c r="J36" s="1"/>
      <c r="O36" s="11"/>
      <c r="P36" s="399"/>
      <c r="U36" s="11"/>
    </row>
    <row r="37" spans="1:22" x14ac:dyDescent="0.25">
      <c r="A37" s="1" t="s">
        <v>19</v>
      </c>
      <c r="B37" s="10"/>
      <c r="G37" s="11">
        <v>22276447.574455999</v>
      </c>
      <c r="H37" s="399"/>
      <c r="I37" s="1" t="s">
        <v>85</v>
      </c>
      <c r="J37" s="10"/>
      <c r="O37" s="84">
        <f>O35-G35</f>
        <v>3596.0800000019372</v>
      </c>
      <c r="P37" s="414"/>
      <c r="U37" s="84">
        <f>U35-O35</f>
        <v>0</v>
      </c>
    </row>
    <row r="38" spans="1:22" x14ac:dyDescent="0.25">
      <c r="A38" s="10"/>
      <c r="B38" s="10"/>
      <c r="G38" s="10"/>
      <c r="H38" s="407"/>
      <c r="J38" s="10"/>
      <c r="O38" s="10"/>
      <c r="P38" s="407"/>
      <c r="U38" s="10"/>
    </row>
    <row r="39" spans="1:22" x14ac:dyDescent="0.25">
      <c r="A39" s="1" t="s">
        <v>13</v>
      </c>
      <c r="B39" s="10"/>
      <c r="G39" s="408">
        <f>G35-G37</f>
        <v>-16.034799996763468</v>
      </c>
      <c r="H39" s="409"/>
      <c r="I39" s="1" t="s">
        <v>86</v>
      </c>
      <c r="J39" s="10"/>
      <c r="O39" s="415">
        <f>O37/G35</f>
        <v>1.6142980502062356E-4</v>
      </c>
      <c r="P39" s="416"/>
      <c r="U39" s="415">
        <f>U37/O35</f>
        <v>0</v>
      </c>
    </row>
    <row r="40" spans="1:22" x14ac:dyDescent="0.25">
      <c r="A40" s="10"/>
      <c r="B40" s="10"/>
      <c r="G40" s="11"/>
      <c r="H40" s="399"/>
      <c r="J40" s="10"/>
      <c r="O40" s="11"/>
      <c r="P40" s="399"/>
      <c r="U40" s="11"/>
    </row>
    <row r="41" spans="1:22" x14ac:dyDescent="0.25">
      <c r="A41" s="1" t="s">
        <v>26</v>
      </c>
      <c r="B41" s="10"/>
      <c r="G41" s="47">
        <f>G39/G37</f>
        <v>-7.1980956313475599E-7</v>
      </c>
      <c r="H41" s="411"/>
      <c r="I41" s="1" t="s">
        <v>87</v>
      </c>
      <c r="J41" s="10"/>
      <c r="O41" s="52">
        <f>O37/L12</f>
        <v>0.2361491988443615</v>
      </c>
      <c r="P41" s="414"/>
      <c r="U41" s="52">
        <f>U37/R12</f>
        <v>0</v>
      </c>
    </row>
    <row r="42" spans="1:22" x14ac:dyDescent="0.25">
      <c r="A42" s="1"/>
      <c r="B42" s="10"/>
      <c r="D42" s="45">
        <f>D19/D12</f>
        <v>11550.348867912073</v>
      </c>
      <c r="G42" s="47"/>
      <c r="H42" s="47"/>
      <c r="I42" s="1"/>
      <c r="J42" s="10"/>
      <c r="L42" s="2">
        <f>L19/L12</f>
        <v>11490.427830312583</v>
      </c>
      <c r="O42" s="47"/>
      <c r="P42" s="47"/>
      <c r="U42" s="47"/>
    </row>
    <row r="43" spans="1:22" x14ac:dyDescent="0.25">
      <c r="A43" s="1"/>
      <c r="B43" s="10"/>
      <c r="G43" s="52"/>
      <c r="H43" s="47"/>
      <c r="I43" s="1"/>
      <c r="J43" s="10"/>
      <c r="O43" s="47"/>
      <c r="P43" s="47"/>
      <c r="R43" s="2">
        <v>0</v>
      </c>
      <c r="S43" s="2" t="s">
        <v>356</v>
      </c>
      <c r="U43" s="47"/>
    </row>
    <row r="44" spans="1:22" x14ac:dyDescent="0.25">
      <c r="A44" s="1"/>
      <c r="B44" s="10"/>
      <c r="G44" s="412">
        <f>G12+G19+G23</f>
        <v>18199608.51323</v>
      </c>
      <c r="H44" s="47"/>
      <c r="I44" s="1"/>
      <c r="J44" s="10"/>
      <c r="O44" s="47"/>
      <c r="P44" s="47"/>
      <c r="U44" s="47"/>
    </row>
    <row r="45" spans="1:22" x14ac:dyDescent="0.25">
      <c r="A45" s="1"/>
      <c r="B45" s="10"/>
      <c r="G45" s="412"/>
      <c r="H45" s="47"/>
      <c r="I45" s="1"/>
      <c r="J45" s="10"/>
      <c r="O45" s="47"/>
      <c r="P45" s="47"/>
      <c r="U45" s="47"/>
    </row>
    <row r="46" spans="1:22" x14ac:dyDescent="0.25">
      <c r="A46" s="1"/>
      <c r="B46" s="10"/>
      <c r="G46" s="47"/>
      <c r="H46" s="47"/>
      <c r="I46" s="1"/>
      <c r="J46" s="10"/>
      <c r="O46" s="47"/>
      <c r="P46" s="47"/>
      <c r="U46" s="47"/>
    </row>
    <row r="47" spans="1:22" x14ac:dyDescent="0.25">
      <c r="A47" s="1"/>
      <c r="B47" s="10"/>
      <c r="G47" s="47"/>
      <c r="H47" s="47"/>
      <c r="I47" s="1"/>
      <c r="J47" s="10"/>
      <c r="O47" s="47"/>
      <c r="P47" s="47"/>
      <c r="U47" s="47"/>
    </row>
    <row r="48" spans="1:22" ht="18.75" customHeight="1" x14ac:dyDescent="0.25">
      <c r="A48" s="1"/>
      <c r="B48" s="11"/>
      <c r="G48" s="47"/>
      <c r="H48" s="47"/>
    </row>
    <row r="49" spans="5:10" x14ac:dyDescent="0.25">
      <c r="E49" s="11"/>
    </row>
    <row r="50" spans="5:10" x14ac:dyDescent="0.25">
      <c r="I50" s="41"/>
      <c r="J50" s="41"/>
    </row>
    <row r="51" spans="5:10" x14ac:dyDescent="0.25">
      <c r="I51" s="41"/>
      <c r="J51" s="41"/>
    </row>
    <row r="52" spans="5:10" x14ac:dyDescent="0.25">
      <c r="I52" s="41"/>
      <c r="J52" s="41"/>
    </row>
    <row r="53" spans="5:10" x14ac:dyDescent="0.25">
      <c r="I53" s="41"/>
      <c r="J53" s="71"/>
    </row>
    <row r="54" spans="5:10" x14ac:dyDescent="0.25">
      <c r="I54" s="41"/>
      <c r="J54" s="71"/>
    </row>
    <row r="55" spans="5:10" x14ac:dyDescent="0.25">
      <c r="I55" s="41"/>
      <c r="J55" s="71"/>
    </row>
    <row r="56" spans="5:10" x14ac:dyDescent="0.25">
      <c r="I56" s="41"/>
      <c r="J56" s="71"/>
    </row>
    <row r="57" spans="5:10" x14ac:dyDescent="0.25">
      <c r="I57" s="41"/>
      <c r="J57" s="71"/>
    </row>
    <row r="58" spans="5:10" x14ac:dyDescent="0.25">
      <c r="I58" s="41"/>
      <c r="J58" s="71"/>
    </row>
    <row r="59" spans="5:10" x14ac:dyDescent="0.25">
      <c r="I59" s="41"/>
      <c r="J59" s="71"/>
    </row>
    <row r="60" spans="5:10" x14ac:dyDescent="0.25">
      <c r="I60" s="41"/>
      <c r="J60" s="71"/>
    </row>
    <row r="61" spans="5:10" x14ac:dyDescent="0.25">
      <c r="I61" s="41"/>
      <c r="J61" s="71"/>
    </row>
    <row r="62" spans="5:10" x14ac:dyDescent="0.25">
      <c r="I62" s="41"/>
      <c r="J62" s="71"/>
    </row>
    <row r="63" spans="5:10" ht="16.5" customHeight="1" x14ac:dyDescent="0.25">
      <c r="I63" s="41"/>
      <c r="J63" s="71"/>
    </row>
    <row r="64" spans="5:10" x14ac:dyDescent="0.25">
      <c r="I64" s="41"/>
      <c r="J64" s="71"/>
    </row>
    <row r="65" spans="9:10" x14ac:dyDescent="0.25">
      <c r="I65" s="41"/>
      <c r="J65" s="71"/>
    </row>
    <row r="68" spans="9:10" x14ac:dyDescent="0.25">
      <c r="I68" s="41"/>
      <c r="J68" s="41"/>
    </row>
    <row r="69" spans="9:10" x14ac:dyDescent="0.25">
      <c r="I69" s="41"/>
      <c r="J69" s="41"/>
    </row>
    <row r="70" spans="9:10" x14ac:dyDescent="0.25">
      <c r="I70" s="41"/>
      <c r="J70" s="41"/>
    </row>
    <row r="71" spans="9:10" x14ac:dyDescent="0.25">
      <c r="I71" s="69"/>
      <c r="J71" s="61"/>
    </row>
    <row r="72" spans="9:10" x14ac:dyDescent="0.25">
      <c r="I72" s="69"/>
      <c r="J72" s="61"/>
    </row>
    <row r="73" spans="9:10" x14ac:dyDescent="0.25">
      <c r="I73" s="69"/>
      <c r="J73" s="61"/>
    </row>
    <row r="74" spans="9:10" x14ac:dyDescent="0.25">
      <c r="I74" s="69"/>
      <c r="J74" s="61"/>
    </row>
    <row r="75" spans="9:10" x14ac:dyDescent="0.25">
      <c r="I75" s="69"/>
      <c r="J75" s="61"/>
    </row>
    <row r="76" spans="9:10" x14ac:dyDescent="0.25">
      <c r="I76" s="69"/>
      <c r="J76" s="61"/>
    </row>
    <row r="77" spans="9:10" x14ac:dyDescent="0.25">
      <c r="I77" s="69"/>
      <c r="J77" s="61"/>
    </row>
    <row r="78" spans="9:10" x14ac:dyDescent="0.25">
      <c r="I78" s="69"/>
      <c r="J78" s="61"/>
    </row>
    <row r="79" spans="9:10" x14ac:dyDescent="0.25">
      <c r="I79" s="69"/>
      <c r="J79" s="61"/>
    </row>
    <row r="80" spans="9:10" x14ac:dyDescent="0.25">
      <c r="I80" s="69"/>
      <c r="J80" s="61"/>
    </row>
    <row r="81" spans="9:10" x14ac:dyDescent="0.25">
      <c r="I81" s="69"/>
      <c r="J81" s="61"/>
    </row>
    <row r="82" spans="9:10" x14ac:dyDescent="0.25">
      <c r="I82" s="69"/>
      <c r="J82" s="61"/>
    </row>
    <row r="83" spans="9:10" x14ac:dyDescent="0.25">
      <c r="I83" s="41"/>
      <c r="J83" s="41"/>
    </row>
    <row r="84" spans="9:10" x14ac:dyDescent="0.25">
      <c r="I84" s="41"/>
      <c r="J84" s="41"/>
    </row>
    <row r="85" spans="9:10" x14ac:dyDescent="0.25">
      <c r="I85" s="41"/>
      <c r="J85" s="41"/>
    </row>
    <row r="86" spans="9:10" x14ac:dyDescent="0.25">
      <c r="I86" s="41"/>
      <c r="J86" s="41"/>
    </row>
    <row r="87" spans="9:10" x14ac:dyDescent="0.25">
      <c r="I87" s="41"/>
      <c r="J87" s="41"/>
    </row>
    <row r="88" spans="9:10" x14ac:dyDescent="0.25">
      <c r="I88" s="41"/>
      <c r="J88" s="41"/>
    </row>
    <row r="89" spans="9:10" x14ac:dyDescent="0.25">
      <c r="I89" s="41"/>
      <c r="J89" s="41"/>
    </row>
    <row r="90" spans="9:10" x14ac:dyDescent="0.25">
      <c r="I90" s="41"/>
      <c r="J90" s="41"/>
    </row>
    <row r="91" spans="9:10" x14ac:dyDescent="0.25">
      <c r="I91" s="41"/>
      <c r="J91" s="41"/>
    </row>
    <row r="92" spans="9:10" x14ac:dyDescent="0.25">
      <c r="I92" s="41"/>
      <c r="J92" s="41"/>
    </row>
    <row r="93" spans="9:10" x14ac:dyDescent="0.25">
      <c r="I93" s="41"/>
      <c r="J93" s="41"/>
    </row>
    <row r="94" spans="9:10" x14ac:dyDescent="0.25">
      <c r="I94" s="41"/>
      <c r="J94" s="41"/>
    </row>
    <row r="95" spans="9:10" x14ac:dyDescent="0.25">
      <c r="I95" s="41"/>
      <c r="J95" s="41"/>
    </row>
    <row r="96" spans="9:10" ht="15" customHeight="1" x14ac:dyDescent="0.25">
      <c r="I96" s="41"/>
      <c r="J96" s="41"/>
    </row>
    <row r="97" spans="9:10" x14ac:dyDescent="0.25">
      <c r="I97" s="41"/>
      <c r="J97" s="41"/>
    </row>
    <row r="98" spans="9:10" x14ac:dyDescent="0.25">
      <c r="I98" s="41"/>
      <c r="J98" s="41"/>
    </row>
    <row r="99" spans="9:10" x14ac:dyDescent="0.25">
      <c r="I99" s="41"/>
      <c r="J99" s="41"/>
    </row>
    <row r="100" spans="9:10" x14ac:dyDescent="0.25">
      <c r="I100" s="41"/>
      <c r="J100" s="41"/>
    </row>
    <row r="101" spans="9:10" x14ac:dyDescent="0.25">
      <c r="I101" s="41"/>
      <c r="J101" s="41"/>
    </row>
    <row r="102" spans="9:10" x14ac:dyDescent="0.25">
      <c r="I102" s="41"/>
      <c r="J102" s="41"/>
    </row>
    <row r="103" spans="9:10" x14ac:dyDescent="0.25">
      <c r="I103" s="41"/>
      <c r="J103" s="41"/>
    </row>
    <row r="104" spans="9:10" x14ac:dyDescent="0.25">
      <c r="I104" s="41"/>
      <c r="J104" s="41"/>
    </row>
    <row r="105" spans="9:10" x14ac:dyDescent="0.25">
      <c r="I105" s="41"/>
      <c r="J105" s="41"/>
    </row>
    <row r="106" spans="9:10" x14ac:dyDescent="0.25">
      <c r="I106" s="41"/>
      <c r="J106" s="41"/>
    </row>
    <row r="107" spans="9:10" x14ac:dyDescent="0.25">
      <c r="I107" s="41"/>
      <c r="J107" s="41"/>
    </row>
    <row r="108" spans="9:10" x14ac:dyDescent="0.25">
      <c r="I108" s="41"/>
      <c r="J108" s="41"/>
    </row>
    <row r="109" spans="9:10" x14ac:dyDescent="0.25">
      <c r="I109" s="41"/>
      <c r="J109" s="41"/>
    </row>
    <row r="110" spans="9:10" x14ac:dyDescent="0.25">
      <c r="I110" s="41"/>
      <c r="J110" s="41"/>
    </row>
    <row r="111" spans="9:10" x14ac:dyDescent="0.25">
      <c r="I111" s="41"/>
      <c r="J111" s="41"/>
    </row>
    <row r="112" spans="9:10" x14ac:dyDescent="0.25">
      <c r="I112" s="41"/>
      <c r="J112" s="41"/>
    </row>
    <row r="113" spans="9:10" x14ac:dyDescent="0.25">
      <c r="I113" s="41"/>
      <c r="J113" s="41"/>
    </row>
    <row r="114" spans="9:10" x14ac:dyDescent="0.25">
      <c r="I114" s="41"/>
      <c r="J114" s="41"/>
    </row>
    <row r="115" spans="9:10" x14ac:dyDescent="0.25">
      <c r="I115" s="41"/>
      <c r="J115" s="41"/>
    </row>
    <row r="116" spans="9:10" x14ac:dyDescent="0.25">
      <c r="I116" s="41"/>
      <c r="J116" s="41"/>
    </row>
    <row r="117" spans="9:10" x14ac:dyDescent="0.25">
      <c r="I117" s="41"/>
      <c r="J117" s="41"/>
    </row>
    <row r="118" spans="9:10" x14ac:dyDescent="0.25">
      <c r="I118" s="41"/>
      <c r="J118" s="41"/>
    </row>
    <row r="119" spans="9:10" x14ac:dyDescent="0.25">
      <c r="I119" s="41"/>
      <c r="J119" s="41"/>
    </row>
    <row r="120" spans="9:10" x14ac:dyDescent="0.25">
      <c r="I120" s="41"/>
      <c r="J120" s="41"/>
    </row>
    <row r="121" spans="9:10" x14ac:dyDescent="0.25">
      <c r="I121" s="41"/>
      <c r="J121" s="41"/>
    </row>
    <row r="122" spans="9:10" x14ac:dyDescent="0.25">
      <c r="I122" s="41"/>
      <c r="J122" s="41"/>
    </row>
    <row r="123" spans="9:10" x14ac:dyDescent="0.25">
      <c r="I123" s="41"/>
      <c r="J123" s="41"/>
    </row>
    <row r="124" spans="9:10" x14ac:dyDescent="0.25">
      <c r="I124" s="41"/>
      <c r="J124" s="41"/>
    </row>
    <row r="125" spans="9:10" x14ac:dyDescent="0.25">
      <c r="I125" s="41"/>
      <c r="J125" s="41"/>
    </row>
    <row r="126" spans="9:10" x14ac:dyDescent="0.25">
      <c r="I126" s="41"/>
      <c r="J126" s="41"/>
    </row>
    <row r="127" spans="9:10" x14ac:dyDescent="0.25">
      <c r="I127" s="41"/>
      <c r="J127" s="41"/>
    </row>
    <row r="128" spans="9:10" x14ac:dyDescent="0.25">
      <c r="I128" s="41"/>
      <c r="J128" s="41"/>
    </row>
    <row r="143" spans="3:5" x14ac:dyDescent="0.25">
      <c r="C143" s="41"/>
      <c r="D143" s="41"/>
    </row>
    <row r="144" spans="3:5" x14ac:dyDescent="0.25">
      <c r="C144" s="43"/>
      <c r="D144" s="50"/>
      <c r="E144" s="55"/>
    </row>
    <row r="145" spans="3:5" x14ac:dyDescent="0.25">
      <c r="C145" s="43"/>
      <c r="D145" s="50"/>
      <c r="E145" s="55"/>
    </row>
    <row r="146" spans="3:5" x14ac:dyDescent="0.25">
      <c r="C146" s="43"/>
      <c r="D146" s="50"/>
      <c r="E146" s="55"/>
    </row>
  </sheetData>
  <mergeCells count="6">
    <mergeCell ref="D4:G5"/>
    <mergeCell ref="R4:U5"/>
    <mergeCell ref="E7:F7"/>
    <mergeCell ref="S7:T7"/>
    <mergeCell ref="L4:O5"/>
    <mergeCell ref="M7:N7"/>
  </mergeCells>
  <pageMargins left="0.75" right="0.75" top="1" bottom="1" header="0.5" footer="0.5"/>
  <pageSetup scale="53" orientation="landscape" r:id="rId1"/>
  <headerFooter alignWithMargins="0">
    <oddFooter>&amp;RExhibit JW-9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E124"/>
  <sheetViews>
    <sheetView view="pageBreakPreview" zoomScale="85" zoomScaleNormal="100" zoomScaleSheetLayoutView="85" workbookViewId="0">
      <selection activeCell="N24" sqref="N24"/>
    </sheetView>
  </sheetViews>
  <sheetFormatPr defaultColWidth="9.140625" defaultRowHeight="12.75" x14ac:dyDescent="0.2"/>
  <cols>
    <col min="1" max="1" width="4.28515625" style="203" customWidth="1"/>
    <col min="2" max="2" width="53.140625" style="203" customWidth="1"/>
    <col min="3" max="3" width="2.28515625" style="203" customWidth="1"/>
    <col min="4" max="4" width="10.5703125" style="203" bestFit="1" customWidth="1"/>
    <col min="5" max="5" width="12.140625" style="203" bestFit="1" customWidth="1"/>
    <col min="6" max="6" width="13.28515625" style="203" bestFit="1" customWidth="1"/>
    <col min="7" max="7" width="2.7109375" style="203" customWidth="1"/>
    <col min="8" max="8" width="13.28515625" style="203" bestFit="1" customWidth="1"/>
    <col min="9" max="9" width="3" style="203" customWidth="1"/>
    <col min="10" max="10" width="5.140625" style="203" customWidth="1"/>
    <col min="11" max="11" width="13.7109375" style="203" bestFit="1" customWidth="1"/>
    <col min="12" max="13" width="12.140625" style="203" bestFit="1" customWidth="1"/>
    <col min="14" max="14" width="2.42578125" style="203" customWidth="1"/>
    <col min="15" max="15" width="13.28515625" style="203" bestFit="1" customWidth="1"/>
    <col min="16" max="16" width="6.7109375" style="203" customWidth="1"/>
    <col min="17" max="17" width="27.5703125" style="203" customWidth="1"/>
    <col min="18" max="18" width="11.7109375" style="203" customWidth="1"/>
    <col min="19" max="19" width="13" style="203" customWidth="1"/>
    <col min="20" max="20" width="10.5703125" style="203" customWidth="1"/>
    <col min="21" max="21" width="2.7109375" style="203" customWidth="1"/>
    <col min="22" max="22" width="16.7109375" style="203" customWidth="1"/>
    <col min="23" max="23" width="9.140625" style="203"/>
    <col min="24" max="25" width="6.7109375" style="203" customWidth="1"/>
    <col min="26" max="26" width="27.5703125" style="203" customWidth="1"/>
    <col min="27" max="27" width="11.7109375" style="203" customWidth="1"/>
    <col min="28" max="28" width="13" style="203" customWidth="1"/>
    <col min="29" max="29" width="10.5703125" style="203" customWidth="1"/>
    <col min="30" max="30" width="2.7109375" style="203" customWidth="1"/>
    <col min="31" max="31" width="16.7109375" style="203" customWidth="1"/>
    <col min="32" max="16384" width="9.140625" style="203"/>
  </cols>
  <sheetData>
    <row r="1" spans="1:31" x14ac:dyDescent="0.2">
      <c r="A1" s="163" t="str">
        <f>'Present and Proposed Rates'!A1</f>
        <v>KENERGY CORP.</v>
      </c>
    </row>
    <row r="2" spans="1:31" x14ac:dyDescent="0.2">
      <c r="A2" s="203" t="str">
        <f>'Present and Proposed Rates'!B32</f>
        <v>Unmetered Lighting</v>
      </c>
      <c r="M2" s="198"/>
    </row>
    <row r="3" spans="1:31" ht="13.5" thickBot="1" x14ac:dyDescent="0.25">
      <c r="A3" s="203">
        <f>'Present and Proposed Rates'!C32</f>
        <v>15</v>
      </c>
    </row>
    <row r="4" spans="1:31" x14ac:dyDescent="0.2">
      <c r="E4" s="607" t="s">
        <v>30</v>
      </c>
      <c r="F4" s="608"/>
      <c r="G4" s="608"/>
      <c r="H4" s="609"/>
      <c r="I4" s="425"/>
      <c r="L4" s="607" t="s">
        <v>96</v>
      </c>
      <c r="M4" s="608"/>
      <c r="N4" s="608"/>
      <c r="O4" s="609"/>
      <c r="S4" s="613"/>
      <c r="T4" s="613"/>
      <c r="U4" s="613"/>
      <c r="V4" s="613"/>
      <c r="AB4" s="613"/>
      <c r="AC4" s="613"/>
      <c r="AD4" s="613"/>
      <c r="AE4" s="613"/>
    </row>
    <row r="5" spans="1:31" ht="13.5" thickBot="1" x14ac:dyDescent="0.25">
      <c r="E5" s="610"/>
      <c r="F5" s="611"/>
      <c r="G5" s="611"/>
      <c r="H5" s="612"/>
      <c r="I5" s="426"/>
      <c r="L5" s="610"/>
      <c r="M5" s="611"/>
      <c r="N5" s="611"/>
      <c r="O5" s="612"/>
      <c r="R5" s="179"/>
      <c r="S5" s="613"/>
      <c r="T5" s="613"/>
      <c r="U5" s="613"/>
      <c r="V5" s="613"/>
      <c r="X5" s="179"/>
      <c r="Y5" s="179"/>
      <c r="Z5" s="179"/>
      <c r="AA5" s="179"/>
      <c r="AB5" s="613"/>
      <c r="AC5" s="613"/>
      <c r="AD5" s="613"/>
      <c r="AE5" s="613"/>
    </row>
    <row r="6" spans="1:31" x14ac:dyDescent="0.2">
      <c r="E6" s="427" t="s">
        <v>1</v>
      </c>
      <c r="F6" s="427"/>
      <c r="G6" s="427"/>
      <c r="H6" s="427" t="s">
        <v>2</v>
      </c>
      <c r="I6" s="428"/>
      <c r="L6" s="427" t="s">
        <v>1</v>
      </c>
      <c r="M6" s="427"/>
      <c r="N6" s="427"/>
      <c r="O6" s="427" t="s">
        <v>2</v>
      </c>
      <c r="P6" s="196"/>
      <c r="Q6" s="196"/>
      <c r="R6" s="427"/>
      <c r="S6" s="427"/>
      <c r="T6" s="427"/>
      <c r="U6" s="427"/>
      <c r="V6" s="427"/>
      <c r="X6" s="427"/>
      <c r="Y6" s="427"/>
      <c r="Z6" s="427"/>
      <c r="AA6" s="427"/>
      <c r="AB6" s="427"/>
      <c r="AC6" s="427"/>
      <c r="AD6" s="427"/>
      <c r="AE6" s="427"/>
    </row>
    <row r="7" spans="1:31" ht="16.5" thickBot="1" x14ac:dyDescent="0.3">
      <c r="A7" s="429" t="s">
        <v>3</v>
      </c>
      <c r="B7" s="430"/>
      <c r="C7" s="430"/>
      <c r="D7" s="430"/>
      <c r="E7" s="431" t="s">
        <v>4</v>
      </c>
      <c r="F7" s="611" t="s">
        <v>5</v>
      </c>
      <c r="G7" s="611"/>
      <c r="H7" s="431" t="s">
        <v>6</v>
      </c>
      <c r="I7" s="428"/>
      <c r="J7" s="429" t="s">
        <v>3</v>
      </c>
      <c r="K7" s="430"/>
      <c r="L7" s="431" t="s">
        <v>4</v>
      </c>
      <c r="M7" s="611" t="s">
        <v>5</v>
      </c>
      <c r="N7" s="611"/>
      <c r="O7" s="431" t="s">
        <v>6</v>
      </c>
      <c r="P7" s="5" t="s">
        <v>64</v>
      </c>
      <c r="Q7" s="196"/>
      <c r="R7" s="427"/>
      <c r="S7" s="427"/>
      <c r="T7" s="613"/>
      <c r="U7" s="613"/>
      <c r="V7" s="427"/>
      <c r="X7" s="427"/>
      <c r="Y7" s="427"/>
      <c r="Z7" s="427"/>
      <c r="AA7" s="427"/>
      <c r="AB7" s="427"/>
      <c r="AC7" s="613"/>
      <c r="AD7" s="613"/>
      <c r="AE7" s="427"/>
    </row>
    <row r="8" spans="1:31" x14ac:dyDescent="0.2">
      <c r="I8" s="425"/>
      <c r="J8" s="196"/>
      <c r="L8" s="196"/>
      <c r="M8" s="196"/>
      <c r="N8" s="196"/>
      <c r="O8" s="196"/>
      <c r="P8" s="196"/>
      <c r="Q8" s="196"/>
    </row>
    <row r="9" spans="1:31" x14ac:dyDescent="0.2">
      <c r="A9" s="163"/>
      <c r="E9" s="432"/>
      <c r="H9" s="432" t="s">
        <v>112</v>
      </c>
      <c r="I9" s="425"/>
      <c r="J9" s="163"/>
      <c r="L9" s="432"/>
      <c r="O9" s="432" t="s">
        <v>112</v>
      </c>
      <c r="P9" s="196"/>
      <c r="Q9" s="196"/>
      <c r="S9" s="433"/>
      <c r="V9" s="246"/>
      <c r="X9" s="163"/>
      <c r="AB9" s="433"/>
      <c r="AE9" s="246"/>
    </row>
    <row r="10" spans="1:31" x14ac:dyDescent="0.2">
      <c r="D10" s="434" t="s">
        <v>8</v>
      </c>
      <c r="E10" s="435" t="s">
        <v>314</v>
      </c>
      <c r="F10" s="434" t="s">
        <v>17</v>
      </c>
      <c r="H10" s="435" t="s">
        <v>6</v>
      </c>
      <c r="I10" s="425"/>
      <c r="K10" s="434" t="s">
        <v>8</v>
      </c>
      <c r="L10" s="435" t="s">
        <v>314</v>
      </c>
      <c r="M10" s="434" t="s">
        <v>17</v>
      </c>
      <c r="O10" s="435" t="s">
        <v>6</v>
      </c>
      <c r="Q10" s="196"/>
      <c r="R10" s="436"/>
      <c r="S10" s="437"/>
      <c r="T10" s="438"/>
      <c r="V10" s="246"/>
      <c r="AA10" s="436"/>
      <c r="AB10" s="437"/>
      <c r="AC10" s="438"/>
      <c r="AE10" s="246"/>
    </row>
    <row r="11" spans="1:31" x14ac:dyDescent="0.2">
      <c r="B11" s="163" t="str">
        <f>BillDetLt!B10</f>
        <v>Private Outdoor Lighting</v>
      </c>
      <c r="D11" s="295"/>
      <c r="E11" s="296"/>
      <c r="F11" s="298"/>
      <c r="H11" s="299"/>
      <c r="I11" s="425"/>
      <c r="K11" s="295"/>
      <c r="L11" s="296"/>
      <c r="M11" s="298"/>
      <c r="O11" s="299"/>
      <c r="Q11" s="196"/>
      <c r="R11" s="433"/>
      <c r="S11" s="297"/>
      <c r="T11" s="439"/>
      <c r="V11" s="198"/>
      <c r="AA11" s="433"/>
      <c r="AB11" s="297"/>
      <c r="AC11" s="439"/>
      <c r="AE11" s="198"/>
    </row>
    <row r="12" spans="1:31" x14ac:dyDescent="0.2">
      <c r="B12" s="163" t="str">
        <f>BillDetLt!B11</f>
        <v>Tariff sheet 15</v>
      </c>
      <c r="D12" s="295"/>
      <c r="E12" s="296"/>
      <c r="F12" s="298"/>
      <c r="H12" s="299"/>
      <c r="I12" s="425"/>
      <c r="K12" s="295"/>
      <c r="L12" s="296"/>
      <c r="M12" s="298"/>
      <c r="O12" s="299"/>
      <c r="Q12" s="196"/>
      <c r="R12" s="433"/>
      <c r="S12" s="297"/>
      <c r="T12" s="439"/>
      <c r="V12" s="198"/>
      <c r="AA12" s="433"/>
      <c r="AB12" s="297"/>
      <c r="AC12" s="439"/>
      <c r="AE12" s="198"/>
    </row>
    <row r="13" spans="1:31" x14ac:dyDescent="0.2">
      <c r="B13" s="163" t="str">
        <f>BillDetLt!B12</f>
        <v xml:space="preserve">Standard(served overhead) </v>
      </c>
      <c r="D13" s="295"/>
      <c r="E13" s="296"/>
      <c r="F13" s="298"/>
      <c r="H13" s="299"/>
      <c r="I13" s="425"/>
      <c r="K13" s="295"/>
      <c r="L13" s="296"/>
      <c r="M13" s="298"/>
      <c r="O13" s="299"/>
      <c r="Q13" s="196"/>
      <c r="R13" s="433"/>
      <c r="S13" s="297"/>
      <c r="T13" s="439"/>
      <c r="V13" s="198"/>
      <c r="AA13" s="433"/>
      <c r="AB13" s="297"/>
      <c r="AC13" s="439"/>
      <c r="AE13" s="198"/>
    </row>
    <row r="14" spans="1:31" x14ac:dyDescent="0.2">
      <c r="B14" s="163" t="str">
        <f>BillDetLt!B13</f>
        <v>Not available for New Installations after December 1, 2012:</v>
      </c>
      <c r="D14" s="295"/>
      <c r="E14" s="296"/>
      <c r="F14" s="298"/>
      <c r="H14" s="299"/>
      <c r="I14" s="425"/>
      <c r="K14" s="295"/>
      <c r="L14" s="296"/>
      <c r="M14" s="298"/>
      <c r="O14" s="299"/>
      <c r="Q14" s="196"/>
      <c r="R14" s="433"/>
      <c r="S14" s="297"/>
      <c r="T14" s="439"/>
      <c r="V14" s="198"/>
      <c r="AA14" s="433"/>
      <c r="AB14" s="297"/>
      <c r="AC14" s="439"/>
      <c r="AE14" s="198"/>
    </row>
    <row r="15" spans="1:31" x14ac:dyDescent="0.2">
      <c r="B15" s="440" t="str">
        <f>BillDetLt!B14</f>
        <v>7000 LUMEN-175W-MERCURY VAPOR</v>
      </c>
      <c r="D15" s="295">
        <f>BillDetLt!E14</f>
        <v>3399620</v>
      </c>
      <c r="E15" s="296">
        <f>BillDetLt!C14</f>
        <v>48566</v>
      </c>
      <c r="F15" s="298">
        <f>BillDetLt!F14</f>
        <v>11.28</v>
      </c>
      <c r="H15" s="299">
        <f t="shared" ref="H15:H75" si="0">E15*F15</f>
        <v>547824.48</v>
      </c>
      <c r="I15" s="425"/>
      <c r="K15" s="295">
        <f t="shared" ref="K15:K75" si="1">D15</f>
        <v>3399620</v>
      </c>
      <c r="L15" s="296">
        <f>E15</f>
        <v>48566</v>
      </c>
      <c r="M15" s="298">
        <f>F15</f>
        <v>11.28</v>
      </c>
      <c r="O15" s="299">
        <f t="shared" ref="O15:O75" si="2">L15*M15</f>
        <v>547824.48</v>
      </c>
      <c r="P15" s="454">
        <f>(O15-H15)/H15</f>
        <v>0</v>
      </c>
      <c r="Q15" s="196"/>
      <c r="R15" s="433"/>
      <c r="S15" s="297"/>
      <c r="T15" s="439"/>
      <c r="V15" s="198"/>
      <c r="AA15" s="433"/>
      <c r="AB15" s="297"/>
      <c r="AC15" s="439"/>
      <c r="AE15" s="198"/>
    </row>
    <row r="16" spans="1:31" x14ac:dyDescent="0.2">
      <c r="B16" s="440" t="str">
        <f>BillDetLt!B15</f>
        <v>12000 LUMEN-250W-MERCURY VAPOR</v>
      </c>
      <c r="D16" s="295">
        <f>BillDetLt!E15</f>
        <v>72265</v>
      </c>
      <c r="E16" s="296">
        <f>BillDetLt!C15</f>
        <v>745</v>
      </c>
      <c r="F16" s="298">
        <f>BillDetLt!F15</f>
        <v>13.74</v>
      </c>
      <c r="H16" s="299">
        <f t="shared" si="0"/>
        <v>10236.299999999999</v>
      </c>
      <c r="I16" s="425"/>
      <c r="K16" s="295">
        <f t="shared" si="1"/>
        <v>72265</v>
      </c>
      <c r="L16" s="296">
        <f>E16</f>
        <v>745</v>
      </c>
      <c r="M16" s="298">
        <f t="shared" ref="M16:M79" si="3">F16</f>
        <v>13.74</v>
      </c>
      <c r="O16" s="299">
        <f t="shared" si="2"/>
        <v>10236.299999999999</v>
      </c>
      <c r="P16" s="454">
        <f t="shared" ref="P16:P79" si="4">(O16-H16)/H16</f>
        <v>0</v>
      </c>
      <c r="Q16" s="196"/>
      <c r="R16" s="433"/>
      <c r="S16" s="297"/>
      <c r="T16" s="439"/>
      <c r="V16" s="198"/>
      <c r="AA16" s="433"/>
      <c r="AB16" s="297"/>
      <c r="AC16" s="439"/>
      <c r="AE16" s="198"/>
    </row>
    <row r="17" spans="2:31" x14ac:dyDescent="0.2">
      <c r="B17" s="440" t="str">
        <f>BillDetLt!B16</f>
        <v>20000 LUMEN-400W-MERCURY VAPOR</v>
      </c>
      <c r="D17" s="295">
        <f>BillDetLt!E16</f>
        <v>281635</v>
      </c>
      <c r="E17" s="296">
        <f>BillDetLt!C16</f>
        <v>1817</v>
      </c>
      <c r="F17" s="298">
        <f>BillDetLt!F16</f>
        <v>16.809999999999999</v>
      </c>
      <c r="H17" s="299">
        <f t="shared" si="0"/>
        <v>30543.769999999997</v>
      </c>
      <c r="I17" s="425"/>
      <c r="K17" s="295">
        <f t="shared" si="1"/>
        <v>281635</v>
      </c>
      <c r="L17" s="296">
        <f>E17</f>
        <v>1817</v>
      </c>
      <c r="M17" s="298">
        <f t="shared" si="3"/>
        <v>16.809999999999999</v>
      </c>
      <c r="O17" s="299">
        <f t="shared" si="2"/>
        <v>30543.769999999997</v>
      </c>
      <c r="P17" s="454">
        <f t="shared" si="4"/>
        <v>0</v>
      </c>
      <c r="Q17" s="196"/>
      <c r="R17" s="433"/>
      <c r="S17" s="297"/>
      <c r="T17" s="439"/>
      <c r="V17" s="198"/>
      <c r="AA17" s="433"/>
      <c r="AB17" s="297"/>
      <c r="AC17" s="439"/>
      <c r="AE17" s="198"/>
    </row>
    <row r="18" spans="2:31" x14ac:dyDescent="0.2">
      <c r="B18" s="440" t="str">
        <f>BillDetLt!B17</f>
        <v>9500 LUMEN-100W-HPS</v>
      </c>
      <c r="D18" s="295">
        <f>BillDetLt!E17</f>
        <v>43252</v>
      </c>
      <c r="E18" s="296">
        <f>BillDetLt!C17</f>
        <v>983</v>
      </c>
      <c r="F18" s="298">
        <f>BillDetLt!F17</f>
        <v>10.02</v>
      </c>
      <c r="H18" s="299">
        <f t="shared" si="0"/>
        <v>9849.66</v>
      </c>
      <c r="I18" s="425"/>
      <c r="K18" s="295">
        <f t="shared" si="1"/>
        <v>43252</v>
      </c>
      <c r="L18" s="296">
        <f>E18</f>
        <v>983</v>
      </c>
      <c r="M18" s="298">
        <f t="shared" si="3"/>
        <v>10.02</v>
      </c>
      <c r="O18" s="299">
        <f t="shared" si="2"/>
        <v>9849.66</v>
      </c>
      <c r="P18" s="454">
        <f t="shared" si="4"/>
        <v>0</v>
      </c>
      <c r="Q18" s="196"/>
      <c r="R18" s="433"/>
      <c r="S18" s="297"/>
      <c r="T18" s="439"/>
      <c r="V18" s="198"/>
      <c r="AA18" s="433"/>
      <c r="AB18" s="297"/>
      <c r="AC18" s="439"/>
      <c r="AE18" s="198"/>
    </row>
    <row r="19" spans="2:31" x14ac:dyDescent="0.2">
      <c r="B19" s="440" t="str">
        <f>BillDetLt!B18</f>
        <v>9000 LUMEN-100W METAL HALIDE (MH)</v>
      </c>
      <c r="D19" s="295">
        <f>BillDetLt!E18</f>
        <v>78330</v>
      </c>
      <c r="E19" s="296">
        <f>BillDetLt!C18</f>
        <v>1865</v>
      </c>
      <c r="F19" s="298">
        <f>BillDetLt!F18</f>
        <v>9.4499999999999993</v>
      </c>
      <c r="H19" s="299">
        <f t="shared" si="0"/>
        <v>17624.25</v>
      </c>
      <c r="I19" s="425"/>
      <c r="K19" s="295">
        <f t="shared" si="1"/>
        <v>78330</v>
      </c>
      <c r="L19" s="296">
        <f>E19</f>
        <v>1865</v>
      </c>
      <c r="M19" s="298">
        <f t="shared" si="3"/>
        <v>9.4499999999999993</v>
      </c>
      <c r="O19" s="299">
        <f t="shared" si="2"/>
        <v>17624.25</v>
      </c>
      <c r="P19" s="454">
        <f t="shared" si="4"/>
        <v>0</v>
      </c>
      <c r="Q19" s="196"/>
      <c r="R19" s="433"/>
      <c r="S19" s="297"/>
      <c r="T19" s="439"/>
      <c r="V19" s="198"/>
      <c r="AA19" s="433"/>
      <c r="AB19" s="297"/>
      <c r="AC19" s="439"/>
      <c r="AE19" s="198"/>
    </row>
    <row r="20" spans="2:31" x14ac:dyDescent="0.2">
      <c r="B20" s="440" t="str">
        <f>BillDetLt!B19</f>
        <v>24000 LUMEN-400W METAL HALIDE (MH)</v>
      </c>
      <c r="D20" s="295">
        <f>BillDetLt!E19</f>
        <v>22464</v>
      </c>
      <c r="E20" s="296">
        <f>BillDetLt!C19</f>
        <v>144</v>
      </c>
      <c r="F20" s="298">
        <f>BillDetLt!F19</f>
        <v>20.32</v>
      </c>
      <c r="H20" s="299">
        <f t="shared" si="0"/>
        <v>2926.08</v>
      </c>
      <c r="I20" s="425"/>
      <c r="K20" s="295">
        <f t="shared" si="1"/>
        <v>22464</v>
      </c>
      <c r="L20" s="296">
        <f>E20</f>
        <v>144</v>
      </c>
      <c r="M20" s="298">
        <f t="shared" si="3"/>
        <v>20.32</v>
      </c>
      <c r="O20" s="299">
        <f t="shared" si="2"/>
        <v>2926.08</v>
      </c>
      <c r="P20" s="454">
        <f t="shared" si="4"/>
        <v>0</v>
      </c>
      <c r="Q20" s="196"/>
      <c r="R20" s="433"/>
      <c r="S20" s="297"/>
      <c r="T20" s="439"/>
      <c r="V20" s="198"/>
      <c r="AA20" s="433"/>
      <c r="AB20" s="297"/>
      <c r="AC20" s="439"/>
      <c r="AE20" s="198"/>
    </row>
    <row r="21" spans="2:31" x14ac:dyDescent="0.2">
      <c r="B21" s="163" t="str">
        <f>BillDetLt!B20</f>
        <v>Not available for New Installations after November 2014:</v>
      </c>
      <c r="D21" s="295"/>
      <c r="E21" s="296">
        <f>BillDetLt!C20</f>
        <v>0</v>
      </c>
      <c r="F21" s="298">
        <f>BillDetLt!F20</f>
        <v>0</v>
      </c>
      <c r="H21" s="299"/>
      <c r="I21" s="425"/>
      <c r="K21" s="295"/>
      <c r="L21" s="296"/>
      <c r="M21" s="298"/>
      <c r="O21" s="299"/>
      <c r="P21" s="454"/>
      <c r="Q21" s="196"/>
      <c r="R21" s="433"/>
      <c r="S21" s="297"/>
      <c r="T21" s="439"/>
      <c r="V21" s="198"/>
      <c r="AA21" s="433"/>
      <c r="AB21" s="297"/>
      <c r="AC21" s="439"/>
      <c r="AE21" s="198"/>
    </row>
    <row r="22" spans="2:31" x14ac:dyDescent="0.2">
      <c r="B22" s="440" t="str">
        <f>BillDetLt!B21</f>
        <v>20000/27000 LUMEN-200/250W- HPS</v>
      </c>
      <c r="D22" s="295">
        <f>BillDetLt!E21</f>
        <v>130896</v>
      </c>
      <c r="E22" s="296">
        <f>BillDetLt!C21</f>
        <v>1296</v>
      </c>
      <c r="F22" s="298">
        <f>BillDetLt!F21</f>
        <v>15.06</v>
      </c>
      <c r="H22" s="299">
        <f t="shared" si="0"/>
        <v>19517.760000000002</v>
      </c>
      <c r="I22" s="425"/>
      <c r="K22" s="295">
        <f t="shared" si="1"/>
        <v>130896</v>
      </c>
      <c r="L22" s="296">
        <f>E22</f>
        <v>1296</v>
      </c>
      <c r="M22" s="298">
        <f t="shared" si="3"/>
        <v>15.06</v>
      </c>
      <c r="O22" s="299">
        <f t="shared" si="2"/>
        <v>19517.760000000002</v>
      </c>
      <c r="P22" s="454">
        <f t="shared" si="4"/>
        <v>0</v>
      </c>
      <c r="Q22" s="196"/>
      <c r="R22" s="433"/>
      <c r="S22" s="297"/>
      <c r="T22" s="439"/>
      <c r="V22" s="198"/>
      <c r="AA22" s="433"/>
      <c r="AB22" s="297"/>
      <c r="AC22" s="439"/>
      <c r="AE22" s="198"/>
    </row>
    <row r="23" spans="2:31" x14ac:dyDescent="0.2">
      <c r="B23" s="440" t="str">
        <f>BillDetLt!B22</f>
        <v>61000 LUMEN-400W-HPS-FLOOD LGT</v>
      </c>
      <c r="D23" s="295">
        <f>BillDetLt!E22</f>
        <v>61533</v>
      </c>
      <c r="E23" s="296">
        <f>BillDetLt!C22</f>
        <v>387</v>
      </c>
      <c r="F23" s="298">
        <f>BillDetLt!F22</f>
        <v>18.88</v>
      </c>
      <c r="H23" s="299">
        <f t="shared" si="0"/>
        <v>7306.5599999999995</v>
      </c>
      <c r="I23" s="425"/>
      <c r="K23" s="295">
        <f t="shared" si="1"/>
        <v>61533</v>
      </c>
      <c r="L23" s="296">
        <f>E23</f>
        <v>387</v>
      </c>
      <c r="M23" s="298">
        <f t="shared" si="3"/>
        <v>18.88</v>
      </c>
      <c r="O23" s="299">
        <f t="shared" si="2"/>
        <v>7306.5599999999995</v>
      </c>
      <c r="P23" s="454">
        <f t="shared" si="4"/>
        <v>0</v>
      </c>
      <c r="Q23" s="196"/>
      <c r="R23" s="433"/>
      <c r="S23" s="297"/>
      <c r="T23" s="439"/>
      <c r="V23" s="198"/>
      <c r="AA23" s="433"/>
      <c r="AB23" s="297"/>
      <c r="AC23" s="439"/>
      <c r="AE23" s="198"/>
    </row>
    <row r="24" spans="2:31" x14ac:dyDescent="0.2">
      <c r="B24" s="163" t="str">
        <f>BillDetLt!B23</f>
        <v>Available for New Installations after November 2014:</v>
      </c>
      <c r="D24" s="295"/>
      <c r="E24" s="296">
        <f>BillDetLt!C23</f>
        <v>0</v>
      </c>
      <c r="F24" s="298">
        <f>BillDetLt!F23</f>
        <v>0</v>
      </c>
      <c r="H24" s="299"/>
      <c r="I24" s="425"/>
      <c r="K24" s="295"/>
      <c r="L24" s="296"/>
      <c r="M24" s="298"/>
      <c r="O24" s="299"/>
      <c r="P24" s="454"/>
      <c r="Q24" s="196"/>
      <c r="R24" s="433"/>
      <c r="S24" s="297"/>
      <c r="T24" s="439"/>
      <c r="V24" s="198"/>
      <c r="AA24" s="433"/>
      <c r="AB24" s="297"/>
      <c r="AC24" s="439"/>
      <c r="AE24" s="198"/>
    </row>
    <row r="25" spans="2:31" x14ac:dyDescent="0.2">
      <c r="B25" s="440" t="str">
        <f>BillDetLt!B24</f>
        <v>5200 LUMEN-60W-LED NEMA HEAD</v>
      </c>
      <c r="D25" s="295">
        <f>BillDetLt!E24</f>
        <v>1825887</v>
      </c>
      <c r="E25" s="296">
        <f>BillDetLt!C24</f>
        <v>86947</v>
      </c>
      <c r="F25" s="298">
        <f>BillDetLt!F24</f>
        <v>8.56</v>
      </c>
      <c r="H25" s="299">
        <f t="shared" si="0"/>
        <v>744266.32000000007</v>
      </c>
      <c r="I25" s="425"/>
      <c r="K25" s="295">
        <f t="shared" si="1"/>
        <v>1825887</v>
      </c>
      <c r="L25" s="296">
        <f>E25</f>
        <v>86947</v>
      </c>
      <c r="M25" s="298">
        <f t="shared" si="3"/>
        <v>8.56</v>
      </c>
      <c r="O25" s="299">
        <f t="shared" si="2"/>
        <v>744266.32000000007</v>
      </c>
      <c r="P25" s="454">
        <f t="shared" si="4"/>
        <v>0</v>
      </c>
      <c r="Q25" s="196"/>
      <c r="R25" s="433"/>
      <c r="S25" s="297"/>
      <c r="T25" s="439"/>
      <c r="V25" s="198"/>
      <c r="AA25" s="433"/>
      <c r="AB25" s="297"/>
      <c r="AC25" s="439"/>
      <c r="AE25" s="198"/>
    </row>
    <row r="26" spans="2:31" x14ac:dyDescent="0.2">
      <c r="B26" s="440" t="str">
        <f>BillDetLt!B25</f>
        <v>9500 LUMEN-108W-LED MID OUTPUT</v>
      </c>
      <c r="D26" s="295">
        <f>BillDetLt!E25</f>
        <v>0</v>
      </c>
      <c r="E26" s="296">
        <f>BillDetLt!C25</f>
        <v>0</v>
      </c>
      <c r="F26" s="298">
        <f>BillDetLt!F25</f>
        <v>10.86</v>
      </c>
      <c r="H26" s="299">
        <f t="shared" si="0"/>
        <v>0</v>
      </c>
      <c r="I26" s="425"/>
      <c r="K26" s="295">
        <f t="shared" si="1"/>
        <v>0</v>
      </c>
      <c r="L26" s="296">
        <f>E26</f>
        <v>0</v>
      </c>
      <c r="M26" s="298">
        <f t="shared" si="3"/>
        <v>10.86</v>
      </c>
      <c r="O26" s="299">
        <f t="shared" si="2"/>
        <v>0</v>
      </c>
      <c r="P26" s="454"/>
      <c r="Q26" s="196"/>
      <c r="R26" s="433"/>
      <c r="S26" s="297"/>
      <c r="T26" s="439"/>
      <c r="V26" s="198"/>
      <c r="AA26" s="433"/>
      <c r="AB26" s="297"/>
      <c r="AC26" s="439"/>
      <c r="AE26" s="198"/>
    </row>
    <row r="27" spans="2:31" x14ac:dyDescent="0.2">
      <c r="B27" s="440" t="str">
        <f>BillDetLt!B26</f>
        <v>11000 LUMEN-135W-LED HIGH OUTPUT</v>
      </c>
      <c r="D27" s="295">
        <f>BillDetLt!E26</f>
        <v>332488</v>
      </c>
      <c r="E27" s="296">
        <f>BillDetLt!C26</f>
        <v>7228</v>
      </c>
      <c r="F27" s="298">
        <f>BillDetLt!F26</f>
        <v>13.28</v>
      </c>
      <c r="H27" s="299">
        <f t="shared" si="0"/>
        <v>95987.839999999997</v>
      </c>
      <c r="I27" s="425"/>
      <c r="K27" s="295">
        <f t="shared" si="1"/>
        <v>332488</v>
      </c>
      <c r="L27" s="296">
        <f>E27</f>
        <v>7228</v>
      </c>
      <c r="M27" s="298">
        <f t="shared" si="3"/>
        <v>13.28</v>
      </c>
      <c r="O27" s="299">
        <f t="shared" si="2"/>
        <v>95987.839999999997</v>
      </c>
      <c r="P27" s="454">
        <f t="shared" si="4"/>
        <v>0</v>
      </c>
      <c r="Q27" s="196"/>
      <c r="R27" s="433"/>
      <c r="S27" s="297"/>
      <c r="T27" s="439"/>
      <c r="V27" s="198"/>
      <c r="AA27" s="433"/>
      <c r="AB27" s="297"/>
      <c r="AC27" s="439"/>
      <c r="AE27" s="198"/>
    </row>
    <row r="28" spans="2:31" x14ac:dyDescent="0.2">
      <c r="B28" s="163" t="str">
        <f>BillDetLt!B27</f>
        <v>Tariff sheet 15A</v>
      </c>
      <c r="D28" s="295">
        <f>BillDetLt!E27</f>
        <v>0</v>
      </c>
      <c r="E28" s="296">
        <f>BillDetLt!C27</f>
        <v>0</v>
      </c>
      <c r="F28" s="298">
        <f>BillDetLt!F27</f>
        <v>0</v>
      </c>
      <c r="H28" s="299"/>
      <c r="I28" s="425"/>
      <c r="K28" s="295"/>
      <c r="L28" s="296"/>
      <c r="M28" s="298"/>
      <c r="O28" s="299"/>
      <c r="P28" s="454"/>
      <c r="Q28" s="196"/>
      <c r="R28" s="433"/>
      <c r="S28" s="297"/>
      <c r="T28" s="439"/>
      <c r="V28" s="198"/>
      <c r="AA28" s="433"/>
      <c r="AB28" s="297"/>
      <c r="AC28" s="439"/>
      <c r="AE28" s="198"/>
    </row>
    <row r="29" spans="2:31" x14ac:dyDescent="0.2">
      <c r="B29" s="163" t="str">
        <f>BillDetLt!B28</f>
        <v>Commercial and Industrial Lighting</v>
      </c>
      <c r="D29" s="295">
        <f>BillDetLt!E28</f>
        <v>0</v>
      </c>
      <c r="E29" s="296">
        <f>BillDetLt!C28</f>
        <v>0</v>
      </c>
      <c r="F29" s="298">
        <f>BillDetLt!F28</f>
        <v>0</v>
      </c>
      <c r="H29" s="299"/>
      <c r="I29" s="425"/>
      <c r="K29" s="295"/>
      <c r="L29" s="296"/>
      <c r="M29" s="298"/>
      <c r="O29" s="299"/>
      <c r="P29" s="454"/>
      <c r="Q29" s="196"/>
      <c r="R29" s="433"/>
      <c r="S29" s="297"/>
      <c r="T29" s="439"/>
      <c r="V29" s="198"/>
      <c r="AA29" s="433"/>
      <c r="AB29" s="297"/>
      <c r="AC29" s="439"/>
      <c r="AE29" s="198"/>
    </row>
    <row r="30" spans="2:31" x14ac:dyDescent="0.2">
      <c r="B30" s="163" t="str">
        <f>BillDetLt!B29</f>
        <v>Available for New Installations after November 2014:</v>
      </c>
      <c r="D30" s="295">
        <f>BillDetLt!E29</f>
        <v>0</v>
      </c>
      <c r="E30" s="296">
        <f>BillDetLt!C29</f>
        <v>0</v>
      </c>
      <c r="F30" s="298">
        <f>BillDetLt!F29</f>
        <v>0</v>
      </c>
      <c r="H30" s="299"/>
      <c r="I30" s="425"/>
      <c r="K30" s="295"/>
      <c r="L30" s="296"/>
      <c r="M30" s="298"/>
      <c r="O30" s="299"/>
      <c r="P30" s="454"/>
      <c r="Q30" s="196"/>
      <c r="R30" s="433"/>
      <c r="S30" s="297"/>
      <c r="T30" s="439"/>
      <c r="V30" s="198"/>
      <c r="AA30" s="433"/>
      <c r="AB30" s="297"/>
      <c r="AC30" s="439"/>
      <c r="AE30" s="198"/>
    </row>
    <row r="31" spans="2:31" x14ac:dyDescent="0.2">
      <c r="B31" s="163" t="str">
        <f>BillDetLt!B30</f>
        <v>Flood Lighting Fixture</v>
      </c>
      <c r="D31" s="295">
        <f>BillDetLt!E30</f>
        <v>0</v>
      </c>
      <c r="E31" s="296">
        <f>BillDetLt!C30</f>
        <v>0</v>
      </c>
      <c r="F31" s="298">
        <f>BillDetLt!F30</f>
        <v>0</v>
      </c>
      <c r="H31" s="299"/>
      <c r="I31" s="425"/>
      <c r="K31" s="295"/>
      <c r="L31" s="296"/>
      <c r="M31" s="298"/>
      <c r="O31" s="299"/>
      <c r="P31" s="454"/>
      <c r="Q31" s="196"/>
      <c r="R31" s="433"/>
      <c r="S31" s="297"/>
      <c r="T31" s="439"/>
      <c r="V31" s="198"/>
      <c r="AA31" s="433"/>
      <c r="AB31" s="297"/>
      <c r="AC31" s="439"/>
      <c r="AE31" s="198"/>
    </row>
    <row r="32" spans="2:31" x14ac:dyDescent="0.2">
      <c r="B32" s="440" t="str">
        <f>BillDetLt!B31</f>
        <v>18500 LUMEN 192W-LED FLOOD</v>
      </c>
      <c r="D32" s="295">
        <f>BillDetLt!E31</f>
        <v>421344</v>
      </c>
      <c r="E32" s="296">
        <f>BillDetLt!C31</f>
        <v>6384</v>
      </c>
      <c r="F32" s="298">
        <f>BillDetLt!F31</f>
        <v>17.260000000000002</v>
      </c>
      <c r="H32" s="299">
        <f t="shared" si="0"/>
        <v>110187.84000000001</v>
      </c>
      <c r="I32" s="425"/>
      <c r="K32" s="295">
        <f t="shared" si="1"/>
        <v>421344</v>
      </c>
      <c r="L32" s="296">
        <f>E32</f>
        <v>6384</v>
      </c>
      <c r="M32" s="298">
        <f t="shared" si="3"/>
        <v>17.260000000000002</v>
      </c>
      <c r="O32" s="299">
        <f t="shared" si="2"/>
        <v>110187.84000000001</v>
      </c>
      <c r="P32" s="454">
        <f t="shared" si="4"/>
        <v>0</v>
      </c>
      <c r="Q32" s="196"/>
      <c r="R32" s="433"/>
      <c r="S32" s="297"/>
      <c r="T32" s="439"/>
      <c r="V32" s="198"/>
      <c r="AA32" s="433"/>
      <c r="AB32" s="297"/>
      <c r="AC32" s="439"/>
      <c r="AE32" s="198"/>
    </row>
    <row r="33" spans="2:31" x14ac:dyDescent="0.2">
      <c r="B33" s="163" t="str">
        <f>BillDetLt!B32</f>
        <v>Not available for New Installations after December 1, 2012:</v>
      </c>
      <c r="D33" s="295">
        <f>BillDetLt!E32</f>
        <v>0</v>
      </c>
      <c r="E33" s="296">
        <f>BillDetLt!C32</f>
        <v>0</v>
      </c>
      <c r="F33" s="298">
        <f>BillDetLt!F32</f>
        <v>0</v>
      </c>
      <c r="H33" s="299"/>
      <c r="I33" s="425"/>
      <c r="K33" s="295"/>
      <c r="L33" s="296"/>
      <c r="M33" s="298"/>
      <c r="O33" s="299"/>
      <c r="P33" s="454"/>
      <c r="Q33" s="196"/>
      <c r="R33" s="433"/>
      <c r="S33" s="297"/>
      <c r="T33" s="439"/>
      <c r="V33" s="198"/>
      <c r="AA33" s="433"/>
      <c r="AB33" s="297"/>
      <c r="AC33" s="439"/>
      <c r="AE33" s="198"/>
    </row>
    <row r="34" spans="2:31" x14ac:dyDescent="0.2">
      <c r="B34" s="440" t="str">
        <f>BillDetLt!B33</f>
        <v>28000 LUMEN HPS-250W-FLOOD LGT</v>
      </c>
      <c r="D34" s="295">
        <f>BillDetLt!E33</f>
        <v>54178</v>
      </c>
      <c r="E34" s="296">
        <f>BillDetLt!C33</f>
        <v>526</v>
      </c>
      <c r="F34" s="298">
        <f>BillDetLt!F33</f>
        <v>14.6</v>
      </c>
      <c r="H34" s="299">
        <f t="shared" si="0"/>
        <v>7679.5999999999995</v>
      </c>
      <c r="I34" s="425"/>
      <c r="K34" s="295">
        <f t="shared" si="1"/>
        <v>54178</v>
      </c>
      <c r="L34" s="296">
        <f t="shared" ref="L34:L39" si="5">E34</f>
        <v>526</v>
      </c>
      <c r="M34" s="298">
        <f t="shared" si="3"/>
        <v>14.6</v>
      </c>
      <c r="O34" s="299">
        <f t="shared" si="2"/>
        <v>7679.5999999999995</v>
      </c>
      <c r="P34" s="454">
        <f t="shared" si="4"/>
        <v>0</v>
      </c>
      <c r="Q34" s="196"/>
      <c r="R34" s="433"/>
      <c r="S34" s="297"/>
      <c r="T34" s="439"/>
      <c r="V34" s="198"/>
      <c r="AA34" s="433"/>
      <c r="AB34" s="297"/>
      <c r="AC34" s="439"/>
      <c r="AE34" s="198"/>
    </row>
    <row r="35" spans="2:31" x14ac:dyDescent="0.2">
      <c r="B35" s="440" t="str">
        <f>BillDetLt!B34</f>
        <v>61000 LUMEN-400W-HPS-FLOOD LGT</v>
      </c>
      <c r="D35" s="295">
        <f>BillDetLt!E34</f>
        <v>76800</v>
      </c>
      <c r="E35" s="296">
        <f>BillDetLt!C34</f>
        <v>480</v>
      </c>
      <c r="F35" s="298">
        <f>BillDetLt!F34</f>
        <v>18.88</v>
      </c>
      <c r="H35" s="299">
        <f t="shared" si="0"/>
        <v>9062.4</v>
      </c>
      <c r="I35" s="425"/>
      <c r="K35" s="295">
        <f t="shared" si="1"/>
        <v>76800</v>
      </c>
      <c r="L35" s="296">
        <f t="shared" si="5"/>
        <v>480</v>
      </c>
      <c r="M35" s="298">
        <f t="shared" si="3"/>
        <v>18.88</v>
      </c>
      <c r="O35" s="299">
        <f t="shared" si="2"/>
        <v>9062.4</v>
      </c>
      <c r="P35" s="454">
        <f t="shared" si="4"/>
        <v>0</v>
      </c>
      <c r="Q35" s="196"/>
      <c r="R35" s="433"/>
      <c r="S35" s="297"/>
      <c r="T35" s="439"/>
      <c r="V35" s="198"/>
      <c r="AA35" s="433"/>
      <c r="AB35" s="297"/>
      <c r="AC35" s="439"/>
      <c r="AE35" s="198"/>
    </row>
    <row r="36" spans="2:31" x14ac:dyDescent="0.2">
      <c r="B36" s="440" t="str">
        <f>BillDetLt!B35</f>
        <v>140000 LUM-1000W-HPS-FLOOD LGT</v>
      </c>
      <c r="D36" s="295">
        <f>BillDetLt!E35</f>
        <v>4524</v>
      </c>
      <c r="E36" s="296">
        <f>BillDetLt!C35</f>
        <v>12</v>
      </c>
      <c r="F36" s="298">
        <f>BillDetLt!F35</f>
        <v>41.78</v>
      </c>
      <c r="H36" s="299">
        <f t="shared" si="0"/>
        <v>501.36</v>
      </c>
      <c r="I36" s="425"/>
      <c r="K36" s="295">
        <f t="shared" si="1"/>
        <v>4524</v>
      </c>
      <c r="L36" s="296">
        <f t="shared" si="5"/>
        <v>12</v>
      </c>
      <c r="M36" s="298">
        <f t="shared" si="3"/>
        <v>41.78</v>
      </c>
      <c r="O36" s="299">
        <f t="shared" si="2"/>
        <v>501.36</v>
      </c>
      <c r="P36" s="454">
        <f t="shared" si="4"/>
        <v>0</v>
      </c>
      <c r="Q36" s="196"/>
      <c r="R36" s="433"/>
      <c r="S36" s="297"/>
      <c r="T36" s="439"/>
      <c r="V36" s="198"/>
      <c r="AA36" s="433"/>
      <c r="AB36" s="297"/>
      <c r="AC36" s="439"/>
      <c r="AE36" s="198"/>
    </row>
    <row r="37" spans="2:31" x14ac:dyDescent="0.2">
      <c r="B37" s="440" t="str">
        <f>BillDetLt!B36</f>
        <v>19500 LUMEN-250W-MH-FLOOD LGT</v>
      </c>
      <c r="D37" s="295">
        <f>BillDetLt!E36</f>
        <v>16954</v>
      </c>
      <c r="E37" s="296">
        <f>BillDetLt!C36</f>
        <v>173</v>
      </c>
      <c r="F37" s="298">
        <f>BillDetLt!F36</f>
        <v>13.97</v>
      </c>
      <c r="H37" s="299">
        <f t="shared" si="0"/>
        <v>2416.81</v>
      </c>
      <c r="I37" s="425"/>
      <c r="K37" s="295">
        <f t="shared" si="1"/>
        <v>16954</v>
      </c>
      <c r="L37" s="296">
        <f t="shared" si="5"/>
        <v>173</v>
      </c>
      <c r="M37" s="298">
        <f t="shared" si="3"/>
        <v>13.97</v>
      </c>
      <c r="O37" s="299">
        <f t="shared" si="2"/>
        <v>2416.81</v>
      </c>
      <c r="P37" s="454">
        <f t="shared" si="4"/>
        <v>0</v>
      </c>
      <c r="Q37" s="196"/>
      <c r="R37" s="433"/>
      <c r="S37" s="297"/>
      <c r="T37" s="439"/>
      <c r="V37" s="198"/>
      <c r="AA37" s="433"/>
      <c r="AB37" s="297"/>
      <c r="AC37" s="439"/>
      <c r="AE37" s="198"/>
    </row>
    <row r="38" spans="2:31" x14ac:dyDescent="0.2">
      <c r="B38" s="440" t="str">
        <f>BillDetLt!B37</f>
        <v>32000 LUMEN-400W-MH-FLOOD LGT</v>
      </c>
      <c r="D38" s="295">
        <f>BillDetLt!E37</f>
        <v>49920</v>
      </c>
      <c r="E38" s="296">
        <f>BillDetLt!C37</f>
        <v>320</v>
      </c>
      <c r="F38" s="298">
        <f>BillDetLt!F37</f>
        <v>18.8</v>
      </c>
      <c r="H38" s="299">
        <f t="shared" si="0"/>
        <v>6016</v>
      </c>
      <c r="I38" s="425"/>
      <c r="K38" s="295">
        <f t="shared" si="1"/>
        <v>49920</v>
      </c>
      <c r="L38" s="296">
        <f t="shared" si="5"/>
        <v>320</v>
      </c>
      <c r="M38" s="298">
        <f t="shared" si="3"/>
        <v>18.8</v>
      </c>
      <c r="O38" s="299">
        <f t="shared" si="2"/>
        <v>6016</v>
      </c>
      <c r="P38" s="454">
        <f t="shared" si="4"/>
        <v>0</v>
      </c>
      <c r="Q38" s="196"/>
      <c r="R38" s="433"/>
      <c r="S38" s="297"/>
      <c r="T38" s="439"/>
      <c r="V38" s="198"/>
      <c r="AA38" s="433"/>
      <c r="AB38" s="297"/>
      <c r="AC38" s="439"/>
      <c r="AE38" s="198"/>
    </row>
    <row r="39" spans="2:31" x14ac:dyDescent="0.2">
      <c r="B39" s="440" t="str">
        <f>BillDetLt!B38</f>
        <v>107000 LUM-1000W-MH-FLOOD LGT</v>
      </c>
      <c r="D39" s="295">
        <f>BillDetLt!E38</f>
        <v>38792</v>
      </c>
      <c r="E39" s="296">
        <f>BillDetLt!C38</f>
        <v>104</v>
      </c>
      <c r="F39" s="298">
        <f>BillDetLt!F38</f>
        <v>41.16</v>
      </c>
      <c r="H39" s="299">
        <f t="shared" si="0"/>
        <v>4280.6399999999994</v>
      </c>
      <c r="I39" s="425"/>
      <c r="K39" s="295">
        <f t="shared" si="1"/>
        <v>38792</v>
      </c>
      <c r="L39" s="296">
        <f t="shared" si="5"/>
        <v>104</v>
      </c>
      <c r="M39" s="298">
        <f t="shared" si="3"/>
        <v>41.16</v>
      </c>
      <c r="O39" s="299">
        <f t="shared" si="2"/>
        <v>4280.6399999999994</v>
      </c>
      <c r="P39" s="454">
        <f t="shared" si="4"/>
        <v>0</v>
      </c>
      <c r="Q39" s="196"/>
      <c r="R39" s="433"/>
      <c r="S39" s="297"/>
      <c r="T39" s="439"/>
      <c r="V39" s="198"/>
      <c r="AA39" s="433"/>
      <c r="AB39" s="297"/>
      <c r="AC39" s="439"/>
      <c r="AE39" s="198"/>
    </row>
    <row r="40" spans="2:31" x14ac:dyDescent="0.2">
      <c r="B40" s="163" t="str">
        <f>BillDetLt!B39</f>
        <v>Not Available for New Installations after April 1 , 2011:</v>
      </c>
      <c r="D40" s="295">
        <f>BillDetLt!E39</f>
        <v>0</v>
      </c>
      <c r="E40" s="296">
        <f>BillDetLt!C39</f>
        <v>0</v>
      </c>
      <c r="F40" s="298">
        <f>BillDetLt!F39</f>
        <v>0</v>
      </c>
      <c r="H40" s="299"/>
      <c r="I40" s="425"/>
      <c r="K40" s="295"/>
      <c r="L40" s="296"/>
      <c r="M40" s="298"/>
      <c r="O40" s="299"/>
      <c r="P40" s="454"/>
      <c r="Q40" s="196"/>
      <c r="R40" s="433"/>
      <c r="S40" s="297"/>
      <c r="T40" s="439"/>
      <c r="V40" s="198"/>
      <c r="AA40" s="433"/>
      <c r="AB40" s="297"/>
      <c r="AC40" s="439"/>
      <c r="AE40" s="198"/>
    </row>
    <row r="41" spans="2:31" x14ac:dyDescent="0.2">
      <c r="B41" s="182" t="str">
        <f>BillDetLt!B40</f>
        <v>Contemporary(Shoebox)</v>
      </c>
      <c r="D41" s="295">
        <f>BillDetLt!E40</f>
        <v>0</v>
      </c>
      <c r="E41" s="296">
        <f>BillDetLt!C40</f>
        <v>0</v>
      </c>
      <c r="F41" s="298">
        <f>BillDetLt!F40</f>
        <v>0</v>
      </c>
      <c r="H41" s="299"/>
      <c r="I41" s="425"/>
      <c r="K41" s="295"/>
      <c r="L41" s="296"/>
      <c r="M41" s="298"/>
      <c r="O41" s="299"/>
      <c r="P41" s="454"/>
      <c r="Q41" s="196"/>
      <c r="R41" s="433"/>
      <c r="S41" s="297"/>
      <c r="T41" s="439"/>
      <c r="V41" s="198"/>
      <c r="AA41" s="433"/>
      <c r="AB41" s="297"/>
      <c r="AC41" s="439"/>
      <c r="AE41" s="198"/>
    </row>
    <row r="42" spans="2:31" x14ac:dyDescent="0.2">
      <c r="B42" s="440" t="str">
        <f>BillDetLt!B41</f>
        <v>28000 LUMEN-250W-HPS SHOEBOX</v>
      </c>
      <c r="D42" s="295">
        <f>BillDetLt!E41</f>
        <v>3708</v>
      </c>
      <c r="E42" s="296">
        <f>BillDetLt!C41</f>
        <v>36</v>
      </c>
      <c r="F42" s="298">
        <f>BillDetLt!F41</f>
        <v>15.96</v>
      </c>
      <c r="H42" s="299">
        <f t="shared" si="0"/>
        <v>574.56000000000006</v>
      </c>
      <c r="I42" s="425"/>
      <c r="K42" s="295">
        <f t="shared" si="1"/>
        <v>3708</v>
      </c>
      <c r="L42" s="296">
        <f t="shared" ref="L42:L47" si="6">E42</f>
        <v>36</v>
      </c>
      <c r="M42" s="298">
        <f t="shared" si="3"/>
        <v>15.96</v>
      </c>
      <c r="O42" s="299">
        <f t="shared" si="2"/>
        <v>574.56000000000006</v>
      </c>
      <c r="P42" s="454">
        <f t="shared" si="4"/>
        <v>0</v>
      </c>
      <c r="Q42" s="196"/>
      <c r="R42" s="433"/>
      <c r="S42" s="297"/>
      <c r="T42" s="439"/>
      <c r="V42" s="198"/>
      <c r="AA42" s="433"/>
      <c r="AB42" s="297"/>
      <c r="AC42" s="439"/>
      <c r="AE42" s="198"/>
    </row>
    <row r="43" spans="2:31" x14ac:dyDescent="0.2">
      <c r="B43" s="440" t="str">
        <f>BillDetLt!B42</f>
        <v>61000 LUMEN-400W-HPS SHOEBOX</v>
      </c>
      <c r="D43" s="295">
        <f>BillDetLt!E42</f>
        <v>1600</v>
      </c>
      <c r="E43" s="296">
        <f>BillDetLt!C42</f>
        <v>10</v>
      </c>
      <c r="F43" s="298">
        <f>BillDetLt!F42</f>
        <v>20.9</v>
      </c>
      <c r="H43" s="299">
        <f t="shared" si="0"/>
        <v>209</v>
      </c>
      <c r="I43" s="425"/>
      <c r="K43" s="295">
        <f t="shared" si="1"/>
        <v>1600</v>
      </c>
      <c r="L43" s="296">
        <f t="shared" si="6"/>
        <v>10</v>
      </c>
      <c r="M43" s="298">
        <f t="shared" si="3"/>
        <v>20.9</v>
      </c>
      <c r="O43" s="299">
        <f t="shared" si="2"/>
        <v>209</v>
      </c>
      <c r="P43" s="454">
        <f t="shared" si="4"/>
        <v>0</v>
      </c>
      <c r="Q43" s="196"/>
      <c r="R43" s="433"/>
      <c r="S43" s="297"/>
      <c r="T43" s="439"/>
      <c r="V43" s="198"/>
      <c r="AA43" s="433"/>
      <c r="AB43" s="297"/>
      <c r="AC43" s="439"/>
      <c r="AE43" s="198"/>
    </row>
    <row r="44" spans="2:31" x14ac:dyDescent="0.2">
      <c r="B44" s="440" t="str">
        <f>BillDetLt!B43</f>
        <v>140000 LUMENS-1000W-HPS SHOEBOX</v>
      </c>
      <c r="D44" s="295">
        <f>BillDetLt!E43</f>
        <v>0</v>
      </c>
      <c r="E44" s="296">
        <f>BillDetLt!C43</f>
        <v>0</v>
      </c>
      <c r="F44" s="298">
        <f>BillDetLt!F43</f>
        <v>41.98</v>
      </c>
      <c r="H44" s="299">
        <f t="shared" si="0"/>
        <v>0</v>
      </c>
      <c r="I44" s="425"/>
      <c r="K44" s="295">
        <f t="shared" si="1"/>
        <v>0</v>
      </c>
      <c r="L44" s="296">
        <f t="shared" si="6"/>
        <v>0</v>
      </c>
      <c r="M44" s="298">
        <f t="shared" si="3"/>
        <v>41.98</v>
      </c>
      <c r="O44" s="299">
        <f t="shared" si="2"/>
        <v>0</v>
      </c>
      <c r="P44" s="454"/>
      <c r="Q44" s="196"/>
      <c r="R44" s="433"/>
      <c r="S44" s="297"/>
      <c r="T44" s="439"/>
      <c r="V44" s="198"/>
      <c r="AA44" s="433"/>
      <c r="AB44" s="297"/>
      <c r="AC44" s="439"/>
      <c r="AE44" s="198"/>
    </row>
    <row r="45" spans="2:31" x14ac:dyDescent="0.2">
      <c r="B45" s="440" t="str">
        <f>BillDetLt!B44</f>
        <v>19500 LUMEN-250W-MH SHOEBOX</v>
      </c>
      <c r="D45" s="295">
        <f>BillDetLt!E44</f>
        <v>0</v>
      </c>
      <c r="E45" s="296">
        <f>BillDetLt!C44</f>
        <v>0</v>
      </c>
      <c r="F45" s="298">
        <f>BillDetLt!F44</f>
        <v>15.79</v>
      </c>
      <c r="H45" s="299">
        <f t="shared" si="0"/>
        <v>0</v>
      </c>
      <c r="I45" s="425"/>
      <c r="K45" s="295">
        <f t="shared" si="1"/>
        <v>0</v>
      </c>
      <c r="L45" s="296">
        <f t="shared" si="6"/>
        <v>0</v>
      </c>
      <c r="M45" s="298">
        <f t="shared" si="3"/>
        <v>15.79</v>
      </c>
      <c r="O45" s="299">
        <f t="shared" si="2"/>
        <v>0</v>
      </c>
      <c r="P45" s="454"/>
      <c r="Q45" s="196"/>
      <c r="R45" s="433"/>
      <c r="S45" s="297"/>
      <c r="T45" s="439"/>
      <c r="V45" s="198"/>
      <c r="AA45" s="433"/>
      <c r="AB45" s="297"/>
      <c r="AC45" s="439"/>
      <c r="AE45" s="198"/>
    </row>
    <row r="46" spans="2:31" x14ac:dyDescent="0.2">
      <c r="B46" s="440" t="str">
        <f>BillDetLt!B45</f>
        <v>32000 LUMENS-400W-MH SHOEBOX</v>
      </c>
      <c r="D46" s="295">
        <f>BillDetLt!E45</f>
        <v>5616</v>
      </c>
      <c r="E46" s="296">
        <f>BillDetLt!C45</f>
        <v>36</v>
      </c>
      <c r="F46" s="298">
        <f>BillDetLt!F45</f>
        <v>20.49</v>
      </c>
      <c r="H46" s="299">
        <f t="shared" si="0"/>
        <v>737.64</v>
      </c>
      <c r="I46" s="425"/>
      <c r="K46" s="295">
        <f t="shared" si="1"/>
        <v>5616</v>
      </c>
      <c r="L46" s="296">
        <f t="shared" si="6"/>
        <v>36</v>
      </c>
      <c r="M46" s="298">
        <f t="shared" si="3"/>
        <v>20.49</v>
      </c>
      <c r="O46" s="299">
        <f t="shared" si="2"/>
        <v>737.64</v>
      </c>
      <c r="P46" s="454">
        <f t="shared" si="4"/>
        <v>0</v>
      </c>
      <c r="Q46" s="196"/>
      <c r="R46" s="433"/>
      <c r="S46" s="297"/>
      <c r="T46" s="439"/>
      <c r="V46" s="198"/>
      <c r="AA46" s="433"/>
      <c r="AB46" s="297"/>
      <c r="AC46" s="439"/>
      <c r="AE46" s="198"/>
    </row>
    <row r="47" spans="2:31" x14ac:dyDescent="0.2">
      <c r="B47" s="440" t="str">
        <f>BillDetLt!B46</f>
        <v>107000 LUMENS-1000W-MH SHOEBOX</v>
      </c>
      <c r="D47" s="295">
        <f>BillDetLt!E46</f>
        <v>4476</v>
      </c>
      <c r="E47" s="296">
        <f>BillDetLt!C46</f>
        <v>12</v>
      </c>
      <c r="F47" s="298">
        <f>BillDetLt!F46</f>
        <v>43.47</v>
      </c>
      <c r="H47" s="299">
        <f t="shared" si="0"/>
        <v>521.64</v>
      </c>
      <c r="I47" s="425"/>
      <c r="K47" s="295">
        <f t="shared" si="1"/>
        <v>4476</v>
      </c>
      <c r="L47" s="296">
        <f t="shared" si="6"/>
        <v>12</v>
      </c>
      <c r="M47" s="298">
        <f t="shared" si="3"/>
        <v>43.47</v>
      </c>
      <c r="O47" s="299">
        <f t="shared" si="2"/>
        <v>521.64</v>
      </c>
      <c r="P47" s="454">
        <f t="shared" si="4"/>
        <v>0</v>
      </c>
      <c r="Q47" s="196"/>
      <c r="R47" s="433"/>
      <c r="S47" s="297"/>
      <c r="T47" s="439"/>
      <c r="V47" s="198"/>
      <c r="AA47" s="433"/>
      <c r="AB47" s="297"/>
      <c r="AC47" s="439"/>
      <c r="AE47" s="198"/>
    </row>
    <row r="48" spans="2:31" x14ac:dyDescent="0.2">
      <c r="B48" s="163" t="str">
        <f>BillDetLt!B47</f>
        <v>Not Available for New Installations after April 1 , 2011:</v>
      </c>
      <c r="D48" s="295">
        <f>BillDetLt!E47</f>
        <v>0</v>
      </c>
      <c r="E48" s="296">
        <f>BillDetLt!C47</f>
        <v>0</v>
      </c>
      <c r="F48" s="298">
        <f>BillDetLt!F47</f>
        <v>0</v>
      </c>
      <c r="H48" s="299"/>
      <c r="I48" s="425"/>
      <c r="K48" s="295"/>
      <c r="L48" s="296"/>
      <c r="M48" s="298"/>
      <c r="O48" s="299"/>
      <c r="P48" s="454"/>
      <c r="Q48" s="196"/>
      <c r="R48" s="433"/>
      <c r="S48" s="297"/>
      <c r="T48" s="439"/>
      <c r="V48" s="198"/>
      <c r="AA48" s="433"/>
      <c r="AB48" s="297"/>
      <c r="AC48" s="439"/>
      <c r="AE48" s="198"/>
    </row>
    <row r="49" spans="2:31" x14ac:dyDescent="0.2">
      <c r="B49" s="163" t="str">
        <f>BillDetLt!B48</f>
        <v>Decorative Lighting</v>
      </c>
      <c r="D49" s="295">
        <f>BillDetLt!E48</f>
        <v>0</v>
      </c>
      <c r="E49" s="296">
        <f>BillDetLt!C48</f>
        <v>0</v>
      </c>
      <c r="F49" s="298">
        <f>BillDetLt!F48</f>
        <v>0</v>
      </c>
      <c r="H49" s="299"/>
      <c r="I49" s="425"/>
      <c r="K49" s="295"/>
      <c r="L49" s="296"/>
      <c r="M49" s="298"/>
      <c r="O49" s="299"/>
      <c r="P49" s="454"/>
      <c r="Q49" s="196"/>
      <c r="R49" s="433"/>
      <c r="S49" s="297"/>
      <c r="T49" s="439"/>
      <c r="V49" s="198"/>
      <c r="AA49" s="433"/>
      <c r="AB49" s="297"/>
      <c r="AC49" s="439"/>
      <c r="AE49" s="198"/>
    </row>
    <row r="50" spans="2:31" x14ac:dyDescent="0.2">
      <c r="B50" s="440" t="str">
        <f>BillDetLt!B49</f>
        <v>9000 LUM-100W-MH ACORN GLOBE</v>
      </c>
      <c r="D50" s="295">
        <f>BillDetLt!E49</f>
        <v>3192</v>
      </c>
      <c r="E50" s="296">
        <f>BillDetLt!C49</f>
        <v>76</v>
      </c>
      <c r="F50" s="298">
        <f>BillDetLt!F49</f>
        <v>13.73</v>
      </c>
      <c r="H50" s="299">
        <f t="shared" si="0"/>
        <v>1043.48</v>
      </c>
      <c r="I50" s="425"/>
      <c r="K50" s="295">
        <f t="shared" si="1"/>
        <v>3192</v>
      </c>
      <c r="L50" s="296">
        <f t="shared" ref="L50:L55" si="7">E50</f>
        <v>76</v>
      </c>
      <c r="M50" s="298">
        <f t="shared" si="3"/>
        <v>13.73</v>
      </c>
      <c r="O50" s="299">
        <f t="shared" si="2"/>
        <v>1043.48</v>
      </c>
      <c r="P50" s="454">
        <f t="shared" si="4"/>
        <v>0</v>
      </c>
      <c r="Q50" s="196"/>
      <c r="R50" s="433"/>
      <c r="S50" s="297"/>
      <c r="T50" s="439"/>
      <c r="V50" s="198"/>
      <c r="AA50" s="433"/>
      <c r="AB50" s="297"/>
      <c r="AC50" s="439"/>
      <c r="AE50" s="198"/>
    </row>
    <row r="51" spans="2:31" x14ac:dyDescent="0.2">
      <c r="B51" s="440" t="str">
        <f>BillDetLt!B50</f>
        <v>16600 LUM-175W-MH ACORN GLOBE</v>
      </c>
      <c r="D51" s="295">
        <f>BillDetLt!E50</f>
        <v>16188</v>
      </c>
      <c r="E51" s="296">
        <f>BillDetLt!C50</f>
        <v>228</v>
      </c>
      <c r="F51" s="298">
        <f>BillDetLt!F50</f>
        <v>16.91</v>
      </c>
      <c r="H51" s="299">
        <f t="shared" si="0"/>
        <v>3855.48</v>
      </c>
      <c r="I51" s="425"/>
      <c r="K51" s="295">
        <f t="shared" si="1"/>
        <v>16188</v>
      </c>
      <c r="L51" s="296">
        <f t="shared" si="7"/>
        <v>228</v>
      </c>
      <c r="M51" s="298">
        <f t="shared" si="3"/>
        <v>16.91</v>
      </c>
      <c r="O51" s="299">
        <f t="shared" si="2"/>
        <v>3855.48</v>
      </c>
      <c r="P51" s="454">
        <f t="shared" si="4"/>
        <v>0</v>
      </c>
      <c r="Q51" s="196"/>
      <c r="R51" s="433"/>
      <c r="S51" s="297"/>
      <c r="T51" s="439"/>
      <c r="V51" s="198"/>
      <c r="AA51" s="433"/>
      <c r="AB51" s="297"/>
      <c r="AC51" s="439"/>
      <c r="AE51" s="198"/>
    </row>
    <row r="52" spans="2:31" x14ac:dyDescent="0.2">
      <c r="B52" s="440" t="str">
        <f>BillDetLt!B51</f>
        <v>9000 LUM-100W-MH ROUND GLOBE</v>
      </c>
      <c r="D52" s="295">
        <f>BillDetLt!E51</f>
        <v>0</v>
      </c>
      <c r="E52" s="296">
        <f>BillDetLt!C51</f>
        <v>0</v>
      </c>
      <c r="F52" s="298">
        <f>BillDetLt!F51</f>
        <v>13.47</v>
      </c>
      <c r="H52" s="299">
        <f t="shared" si="0"/>
        <v>0</v>
      </c>
      <c r="I52" s="425"/>
      <c r="K52" s="295">
        <f t="shared" si="1"/>
        <v>0</v>
      </c>
      <c r="L52" s="296">
        <f t="shared" si="7"/>
        <v>0</v>
      </c>
      <c r="M52" s="298">
        <f t="shared" si="3"/>
        <v>13.47</v>
      </c>
      <c r="O52" s="299">
        <f t="shared" si="2"/>
        <v>0</v>
      </c>
      <c r="P52" s="454"/>
      <c r="Q52" s="196"/>
      <c r="R52" s="433"/>
      <c r="S52" s="297"/>
      <c r="T52" s="439"/>
      <c r="V52" s="198"/>
      <c r="AA52" s="433"/>
      <c r="AB52" s="297"/>
      <c r="AC52" s="439"/>
      <c r="AE52" s="198"/>
    </row>
    <row r="53" spans="2:31" x14ac:dyDescent="0.2">
      <c r="B53" s="440" t="str">
        <f>BillDetLt!B52</f>
        <v>16600 LUM-175W-MH ROUND GLOBE</v>
      </c>
      <c r="D53" s="295">
        <f>BillDetLt!E52</f>
        <v>4047</v>
      </c>
      <c r="E53" s="296">
        <f>BillDetLt!C52</f>
        <v>57</v>
      </c>
      <c r="F53" s="298">
        <f>BillDetLt!F52</f>
        <v>16.440000000000001</v>
      </c>
      <c r="H53" s="299">
        <f t="shared" si="0"/>
        <v>937.08</v>
      </c>
      <c r="I53" s="425"/>
      <c r="K53" s="295">
        <f t="shared" si="1"/>
        <v>4047</v>
      </c>
      <c r="L53" s="296">
        <f t="shared" si="7"/>
        <v>57</v>
      </c>
      <c r="M53" s="298">
        <f t="shared" si="3"/>
        <v>16.440000000000001</v>
      </c>
      <c r="O53" s="299">
        <f t="shared" si="2"/>
        <v>937.08</v>
      </c>
      <c r="P53" s="454">
        <f t="shared" si="4"/>
        <v>0</v>
      </c>
      <c r="Q53" s="196"/>
      <c r="R53" s="433"/>
      <c r="S53" s="297"/>
      <c r="T53" s="439"/>
      <c r="V53" s="198"/>
      <c r="AA53" s="433"/>
      <c r="AB53" s="297"/>
      <c r="AC53" s="439"/>
      <c r="AE53" s="198"/>
    </row>
    <row r="54" spans="2:31" x14ac:dyDescent="0.2">
      <c r="B54" s="440" t="str">
        <f>BillDetLt!B53</f>
        <v>16600 LUM-175W-MH LANTERN GLOBE</v>
      </c>
      <c r="D54" s="295">
        <f>BillDetLt!E53</f>
        <v>0</v>
      </c>
      <c r="E54" s="296">
        <f>BillDetLt!C53</f>
        <v>0</v>
      </c>
      <c r="F54" s="298">
        <f>BillDetLt!F53</f>
        <v>15.85</v>
      </c>
      <c r="H54" s="299">
        <f t="shared" si="0"/>
        <v>0</v>
      </c>
      <c r="I54" s="425"/>
      <c r="K54" s="295">
        <f t="shared" si="1"/>
        <v>0</v>
      </c>
      <c r="L54" s="296">
        <f t="shared" si="7"/>
        <v>0</v>
      </c>
      <c r="M54" s="298">
        <f t="shared" si="3"/>
        <v>15.85</v>
      </c>
      <c r="O54" s="299">
        <f t="shared" si="2"/>
        <v>0</v>
      </c>
      <c r="P54" s="454"/>
      <c r="Q54" s="196"/>
      <c r="R54" s="433"/>
      <c r="S54" s="297"/>
      <c r="T54" s="439"/>
      <c r="V54" s="198"/>
      <c r="AA54" s="433"/>
      <c r="AB54" s="297"/>
      <c r="AC54" s="439"/>
      <c r="AE54" s="198"/>
    </row>
    <row r="55" spans="2:31" x14ac:dyDescent="0.2">
      <c r="B55" s="440" t="str">
        <f>BillDetLt!B54</f>
        <v>9500 LUM-100W-HPS ACORN GLOBE</v>
      </c>
      <c r="D55" s="295">
        <f>BillDetLt!E54</f>
        <v>0</v>
      </c>
      <c r="E55" s="296">
        <f>BillDetLt!C54</f>
        <v>0</v>
      </c>
      <c r="F55" s="298">
        <f>BillDetLt!F54</f>
        <v>15.49</v>
      </c>
      <c r="H55" s="299">
        <f t="shared" si="0"/>
        <v>0</v>
      </c>
      <c r="I55" s="425"/>
      <c r="K55" s="295">
        <f t="shared" si="1"/>
        <v>0</v>
      </c>
      <c r="L55" s="296">
        <f t="shared" si="7"/>
        <v>0</v>
      </c>
      <c r="M55" s="298">
        <f t="shared" si="3"/>
        <v>15.49</v>
      </c>
      <c r="O55" s="299">
        <f t="shared" si="2"/>
        <v>0</v>
      </c>
      <c r="P55" s="454"/>
      <c r="Q55" s="196"/>
      <c r="R55" s="433"/>
      <c r="S55" s="297"/>
      <c r="T55" s="439"/>
      <c r="V55" s="198"/>
      <c r="AA55" s="433"/>
      <c r="AB55" s="297"/>
      <c r="AC55" s="439"/>
      <c r="AE55" s="198"/>
    </row>
    <row r="56" spans="2:31" x14ac:dyDescent="0.2">
      <c r="B56" s="163" t="str">
        <f>BillDetLt!B55</f>
        <v>Tariff sheet 15B</v>
      </c>
      <c r="D56" s="295">
        <f>BillDetLt!E55</f>
        <v>0</v>
      </c>
      <c r="E56" s="296">
        <f>BillDetLt!C55</f>
        <v>0</v>
      </c>
      <c r="F56" s="298">
        <f>BillDetLt!F55</f>
        <v>0</v>
      </c>
      <c r="H56" s="299"/>
      <c r="I56" s="425"/>
      <c r="K56" s="295"/>
      <c r="L56" s="296"/>
      <c r="M56" s="298"/>
      <c r="O56" s="299"/>
      <c r="P56" s="454"/>
      <c r="Q56" s="196"/>
      <c r="R56" s="433"/>
      <c r="S56" s="297"/>
      <c r="T56" s="439"/>
      <c r="V56" s="198"/>
      <c r="AA56" s="433"/>
      <c r="AB56" s="297"/>
      <c r="AC56" s="439"/>
      <c r="AE56" s="198"/>
    </row>
    <row r="57" spans="2:31" x14ac:dyDescent="0.2">
      <c r="B57" s="163" t="str">
        <f>BillDetLt!B56</f>
        <v>Pedestal Mounted Pole</v>
      </c>
      <c r="D57" s="295">
        <f>BillDetLt!E56</f>
        <v>0</v>
      </c>
      <c r="E57" s="296">
        <f>BillDetLt!C56</f>
        <v>0</v>
      </c>
      <c r="F57" s="298">
        <f>BillDetLt!F56</f>
        <v>0</v>
      </c>
      <c r="H57" s="299"/>
      <c r="I57" s="425"/>
      <c r="K57" s="295"/>
      <c r="L57" s="296"/>
      <c r="M57" s="298"/>
      <c r="O57" s="299"/>
      <c r="P57" s="454"/>
      <c r="Q57" s="196"/>
      <c r="R57" s="433"/>
      <c r="S57" s="297"/>
      <c r="T57" s="439"/>
      <c r="V57" s="198"/>
      <c r="AA57" s="433"/>
      <c r="AB57" s="297"/>
      <c r="AC57" s="439"/>
      <c r="AE57" s="198"/>
    </row>
    <row r="58" spans="2:31" x14ac:dyDescent="0.2">
      <c r="B58" s="163" t="str">
        <f>BillDetLt!B57</f>
        <v>Not Available for New Installations after April 1 , 2011:</v>
      </c>
      <c r="D58" s="295">
        <f>BillDetLt!E57</f>
        <v>0</v>
      </c>
      <c r="E58" s="296">
        <f>BillDetLt!C57</f>
        <v>0</v>
      </c>
      <c r="F58" s="298">
        <f>BillDetLt!F57</f>
        <v>0</v>
      </c>
      <c r="H58" s="299"/>
      <c r="I58" s="425"/>
      <c r="K58" s="295"/>
      <c r="L58" s="296"/>
      <c r="M58" s="298"/>
      <c r="O58" s="299"/>
      <c r="P58" s="454"/>
      <c r="Q58" s="196"/>
      <c r="R58" s="433"/>
      <c r="S58" s="297"/>
      <c r="T58" s="439"/>
      <c r="V58" s="198"/>
      <c r="AA58" s="433"/>
      <c r="AB58" s="297"/>
      <c r="AC58" s="439"/>
      <c r="AE58" s="198"/>
    </row>
    <row r="59" spans="2:31" x14ac:dyDescent="0.2">
      <c r="B59" s="440" t="str">
        <f>BillDetLt!B58</f>
        <v>STEEL 25 FT PEDESTAL MT POLE</v>
      </c>
      <c r="D59" s="295">
        <f>BillDetLt!E58</f>
        <v>0</v>
      </c>
      <c r="E59" s="296">
        <f>BillDetLt!C58</f>
        <v>384</v>
      </c>
      <c r="F59" s="298">
        <f>BillDetLt!F58</f>
        <v>9.36</v>
      </c>
      <c r="H59" s="299">
        <f t="shared" si="0"/>
        <v>3594.24</v>
      </c>
      <c r="I59" s="425"/>
      <c r="K59" s="295">
        <f t="shared" si="1"/>
        <v>0</v>
      </c>
      <c r="L59" s="296">
        <f>E59</f>
        <v>384</v>
      </c>
      <c r="M59" s="298">
        <f t="shared" si="3"/>
        <v>9.36</v>
      </c>
      <c r="O59" s="299">
        <f t="shared" si="2"/>
        <v>3594.24</v>
      </c>
      <c r="P59" s="454">
        <f t="shared" si="4"/>
        <v>0</v>
      </c>
      <c r="Q59" s="196"/>
      <c r="R59" s="433"/>
      <c r="S59" s="297"/>
      <c r="T59" s="439"/>
      <c r="V59" s="198"/>
      <c r="AA59" s="433"/>
      <c r="AB59" s="297"/>
      <c r="AC59" s="439"/>
      <c r="AE59" s="198"/>
    </row>
    <row r="60" spans="2:31" x14ac:dyDescent="0.2">
      <c r="B60" s="440" t="str">
        <f>BillDetLt!B59</f>
        <v>STEEL 30 FT PEDESTAL MT POLE</v>
      </c>
      <c r="D60" s="295">
        <f>BillDetLt!E59</f>
        <v>0</v>
      </c>
      <c r="E60" s="296">
        <f>BillDetLt!C59</f>
        <v>1104</v>
      </c>
      <c r="F60" s="298">
        <f>BillDetLt!F59</f>
        <v>10.52</v>
      </c>
      <c r="H60" s="299">
        <f t="shared" si="0"/>
        <v>11614.08</v>
      </c>
      <c r="I60" s="425"/>
      <c r="K60" s="295">
        <f t="shared" si="1"/>
        <v>0</v>
      </c>
      <c r="L60" s="296">
        <f>E60</f>
        <v>1104</v>
      </c>
      <c r="M60" s="298">
        <f t="shared" si="3"/>
        <v>10.52</v>
      </c>
      <c r="O60" s="299">
        <f t="shared" si="2"/>
        <v>11614.08</v>
      </c>
      <c r="P60" s="454">
        <f t="shared" si="4"/>
        <v>0</v>
      </c>
      <c r="Q60" s="196"/>
      <c r="R60" s="433"/>
      <c r="S60" s="297"/>
      <c r="T60" s="439"/>
      <c r="V60" s="198"/>
      <c r="AA60" s="433"/>
      <c r="AB60" s="297"/>
      <c r="AC60" s="439"/>
      <c r="AE60" s="198"/>
    </row>
    <row r="61" spans="2:31" x14ac:dyDescent="0.2">
      <c r="B61" s="440" t="str">
        <f>BillDetLt!B60</f>
        <v>STEEL 39 FT PEDESTAL MT POLE</v>
      </c>
      <c r="D61" s="295">
        <f>BillDetLt!E60</f>
        <v>0</v>
      </c>
      <c r="E61" s="296">
        <f>BillDetLt!C60</f>
        <v>132</v>
      </c>
      <c r="F61" s="298">
        <f>BillDetLt!F60</f>
        <v>16.440000000000001</v>
      </c>
      <c r="H61" s="299">
        <f t="shared" si="0"/>
        <v>2170.0800000000004</v>
      </c>
      <c r="I61" s="425"/>
      <c r="K61" s="295">
        <f t="shared" si="1"/>
        <v>0</v>
      </c>
      <c r="L61" s="296">
        <f>E61</f>
        <v>132</v>
      </c>
      <c r="M61" s="298">
        <f t="shared" si="3"/>
        <v>16.440000000000001</v>
      </c>
      <c r="O61" s="299">
        <f t="shared" si="2"/>
        <v>2170.0800000000004</v>
      </c>
      <c r="P61" s="454">
        <f t="shared" si="4"/>
        <v>0</v>
      </c>
      <c r="Q61" s="196"/>
      <c r="R61" s="433"/>
      <c r="S61" s="297"/>
      <c r="T61" s="439"/>
      <c r="V61" s="198"/>
      <c r="AA61" s="433"/>
      <c r="AB61" s="297"/>
      <c r="AC61" s="439"/>
      <c r="AE61" s="198"/>
    </row>
    <row r="62" spans="2:31" x14ac:dyDescent="0.2">
      <c r="B62" s="163" t="str">
        <f>BillDetLt!B61</f>
        <v>Not Available for New Installations after January 1, 2017:</v>
      </c>
      <c r="D62" s="295">
        <f>BillDetLt!E61</f>
        <v>0</v>
      </c>
      <c r="E62" s="296">
        <f>BillDetLt!C61</f>
        <v>0</v>
      </c>
      <c r="F62" s="298">
        <f>BillDetLt!F61</f>
        <v>0</v>
      </c>
      <c r="H62" s="299"/>
      <c r="I62" s="425"/>
      <c r="K62" s="295"/>
      <c r="L62" s="296"/>
      <c r="M62" s="298"/>
      <c r="O62" s="299"/>
      <c r="P62" s="454"/>
      <c r="Q62" s="196"/>
      <c r="R62" s="433"/>
      <c r="S62" s="297"/>
      <c r="T62" s="439"/>
      <c r="V62" s="198"/>
      <c r="AA62" s="433"/>
      <c r="AB62" s="297"/>
      <c r="AC62" s="439"/>
      <c r="AE62" s="198"/>
    </row>
    <row r="63" spans="2:31" x14ac:dyDescent="0.2">
      <c r="B63" s="440" t="str">
        <f>BillDetLt!B62</f>
        <v>WOOD 30 FT DIRECT BURIAL POLE</v>
      </c>
      <c r="D63" s="295">
        <f>BillDetLt!E62</f>
        <v>0</v>
      </c>
      <c r="E63" s="296">
        <f>BillDetLt!C62</f>
        <v>796</v>
      </c>
      <c r="F63" s="298">
        <f>BillDetLt!F62</f>
        <v>5.44</v>
      </c>
      <c r="H63" s="299">
        <f t="shared" si="0"/>
        <v>4330.2400000000007</v>
      </c>
      <c r="I63" s="425"/>
      <c r="K63" s="295">
        <f t="shared" si="1"/>
        <v>0</v>
      </c>
      <c r="L63" s="296">
        <f>E63</f>
        <v>796</v>
      </c>
      <c r="M63" s="298">
        <f t="shared" si="3"/>
        <v>5.44</v>
      </c>
      <c r="O63" s="299">
        <f t="shared" si="2"/>
        <v>4330.2400000000007</v>
      </c>
      <c r="P63" s="454">
        <f t="shared" si="4"/>
        <v>0</v>
      </c>
      <c r="Q63" s="196"/>
      <c r="R63" s="433"/>
      <c r="S63" s="297"/>
      <c r="T63" s="439"/>
      <c r="V63" s="198"/>
      <c r="AA63" s="433"/>
      <c r="AB63" s="297"/>
      <c r="AC63" s="439"/>
      <c r="AE63" s="198"/>
    </row>
    <row r="64" spans="2:31" x14ac:dyDescent="0.2">
      <c r="B64" s="440" t="str">
        <f>BillDetLt!B63</f>
        <v>ALUMINUM 28 FT DIRECT BURIAL</v>
      </c>
      <c r="D64" s="295">
        <f>BillDetLt!E63</f>
        <v>0</v>
      </c>
      <c r="E64" s="296">
        <f>BillDetLt!C63</f>
        <v>51</v>
      </c>
      <c r="F64" s="298">
        <f>BillDetLt!F63</f>
        <v>12.05</v>
      </c>
      <c r="H64" s="299">
        <f t="shared" si="0"/>
        <v>614.55000000000007</v>
      </c>
      <c r="I64" s="425"/>
      <c r="K64" s="295">
        <f t="shared" si="1"/>
        <v>0</v>
      </c>
      <c r="L64" s="296">
        <f>E64</f>
        <v>51</v>
      </c>
      <c r="M64" s="298">
        <f t="shared" si="3"/>
        <v>12.05</v>
      </c>
      <c r="O64" s="299">
        <f t="shared" si="2"/>
        <v>614.55000000000007</v>
      </c>
      <c r="P64" s="454">
        <f t="shared" si="4"/>
        <v>0</v>
      </c>
      <c r="Q64" s="196"/>
      <c r="R64" s="433"/>
      <c r="S64" s="297"/>
      <c r="T64" s="439"/>
      <c r="V64" s="198"/>
      <c r="AA64" s="433"/>
      <c r="AB64" s="297"/>
      <c r="AC64" s="439"/>
      <c r="AE64" s="198"/>
    </row>
    <row r="65" spans="2:31" x14ac:dyDescent="0.2">
      <c r="B65" s="163" t="str">
        <f>BillDetLt!B64</f>
        <v>Not Available for New Installations after April 1 , 2011:</v>
      </c>
      <c r="D65" s="295">
        <f>BillDetLt!E64</f>
        <v>0</v>
      </c>
      <c r="E65" s="296">
        <f>BillDetLt!C64</f>
        <v>0</v>
      </c>
      <c r="F65" s="298">
        <f>BillDetLt!F64</f>
        <v>0</v>
      </c>
      <c r="H65" s="299"/>
      <c r="I65" s="425"/>
      <c r="K65" s="295"/>
      <c r="L65" s="296"/>
      <c r="M65" s="298"/>
      <c r="O65" s="299"/>
      <c r="P65" s="454"/>
      <c r="Q65" s="196"/>
      <c r="R65" s="433"/>
      <c r="S65" s="297"/>
      <c r="T65" s="439"/>
      <c r="V65" s="198"/>
      <c r="AA65" s="433"/>
      <c r="AB65" s="297"/>
      <c r="AC65" s="439"/>
      <c r="AE65" s="198"/>
    </row>
    <row r="66" spans="2:31" x14ac:dyDescent="0.2">
      <c r="B66" s="440" t="str">
        <f>BillDetLt!B65</f>
        <v>FLUTED FIBERGLASS 15 FT POLE</v>
      </c>
      <c r="D66" s="295">
        <f>BillDetLt!E65</f>
        <v>0</v>
      </c>
      <c r="E66" s="296">
        <f>BillDetLt!C65</f>
        <v>326</v>
      </c>
      <c r="F66" s="298">
        <f>BillDetLt!F65</f>
        <v>12.88</v>
      </c>
      <c r="H66" s="299">
        <f t="shared" si="0"/>
        <v>4198.88</v>
      </c>
      <c r="I66" s="425"/>
      <c r="K66" s="295">
        <f t="shared" si="1"/>
        <v>0</v>
      </c>
      <c r="L66" s="296">
        <f>E66</f>
        <v>326</v>
      </c>
      <c r="M66" s="298">
        <f t="shared" si="3"/>
        <v>12.88</v>
      </c>
      <c r="O66" s="299">
        <f t="shared" si="2"/>
        <v>4198.88</v>
      </c>
      <c r="P66" s="454">
        <f t="shared" si="4"/>
        <v>0</v>
      </c>
      <c r="Q66" s="196"/>
      <c r="R66" s="433"/>
      <c r="S66" s="297"/>
      <c r="T66" s="439"/>
      <c r="V66" s="198"/>
      <c r="AA66" s="433"/>
      <c r="AB66" s="297"/>
      <c r="AC66" s="439"/>
      <c r="AE66" s="198"/>
    </row>
    <row r="67" spans="2:31" x14ac:dyDescent="0.2">
      <c r="B67" s="440" t="str">
        <f>BillDetLt!B66</f>
        <v>FLUTED ALUMINUM 14FT POLE</v>
      </c>
      <c r="D67" s="295">
        <f>BillDetLt!E66</f>
        <v>0</v>
      </c>
      <c r="E67" s="296">
        <f>BillDetLt!C66</f>
        <v>120</v>
      </c>
      <c r="F67" s="298">
        <f>BillDetLt!F66</f>
        <v>14.14</v>
      </c>
      <c r="H67" s="299">
        <f t="shared" si="0"/>
        <v>1696.8000000000002</v>
      </c>
      <c r="I67" s="425"/>
      <c r="K67" s="295">
        <f t="shared" si="1"/>
        <v>0</v>
      </c>
      <c r="L67" s="296">
        <f>E67</f>
        <v>120</v>
      </c>
      <c r="M67" s="298">
        <f t="shared" si="3"/>
        <v>14.14</v>
      </c>
      <c r="O67" s="299">
        <f t="shared" si="2"/>
        <v>1696.8000000000002</v>
      </c>
      <c r="P67" s="454">
        <f t="shared" si="4"/>
        <v>0</v>
      </c>
      <c r="Q67" s="196"/>
      <c r="R67" s="433"/>
      <c r="S67" s="297"/>
      <c r="T67" s="439"/>
      <c r="V67" s="198"/>
      <c r="AA67" s="433"/>
      <c r="AB67" s="297"/>
      <c r="AC67" s="439"/>
      <c r="AE67" s="198"/>
    </row>
    <row r="68" spans="2:31" x14ac:dyDescent="0.2">
      <c r="B68" s="163" t="str">
        <f>BillDetLt!B67</f>
        <v>Street Lighting Service</v>
      </c>
      <c r="D68" s="295">
        <f>BillDetLt!E67</f>
        <v>0</v>
      </c>
      <c r="E68" s="296">
        <f>BillDetLt!C67</f>
        <v>0</v>
      </c>
      <c r="F68" s="298">
        <f>BillDetLt!F67</f>
        <v>0</v>
      </c>
      <c r="H68" s="299"/>
      <c r="I68" s="425"/>
      <c r="K68" s="295"/>
      <c r="L68" s="296"/>
      <c r="M68" s="298"/>
      <c r="O68" s="299"/>
      <c r="P68" s="454"/>
      <c r="Q68" s="196"/>
      <c r="R68" s="433"/>
      <c r="S68" s="297"/>
      <c r="T68" s="439"/>
      <c r="V68" s="198"/>
      <c r="AA68" s="433"/>
      <c r="AB68" s="297"/>
      <c r="AC68" s="439"/>
      <c r="AE68" s="198"/>
    </row>
    <row r="69" spans="2:31" x14ac:dyDescent="0.2">
      <c r="B69" s="163" t="str">
        <f>BillDetLt!B68</f>
        <v>Tariff sheet 16</v>
      </c>
      <c r="D69" s="295">
        <f>BillDetLt!E68</f>
        <v>0</v>
      </c>
      <c r="E69" s="296">
        <f>BillDetLt!C68</f>
        <v>0</v>
      </c>
      <c r="F69" s="298">
        <f>BillDetLt!F68</f>
        <v>0</v>
      </c>
      <c r="H69" s="299"/>
      <c r="I69" s="425"/>
      <c r="K69" s="295"/>
      <c r="L69" s="296"/>
      <c r="M69" s="298"/>
      <c r="O69" s="299"/>
      <c r="P69" s="454"/>
      <c r="Q69" s="196"/>
      <c r="R69" s="433"/>
      <c r="S69" s="297"/>
      <c r="T69" s="439"/>
      <c r="V69" s="198"/>
      <c r="AA69" s="433"/>
      <c r="AB69" s="297"/>
      <c r="AC69" s="439"/>
      <c r="AE69" s="198"/>
    </row>
    <row r="70" spans="2:31" x14ac:dyDescent="0.2">
      <c r="B70" s="163" t="str">
        <f>BillDetLt!B69</f>
        <v>Special street lighting districts</v>
      </c>
      <c r="D70" s="295">
        <f>BillDetLt!E69</f>
        <v>0</v>
      </c>
      <c r="E70" s="296">
        <f>BillDetLt!C69</f>
        <v>0</v>
      </c>
      <c r="F70" s="298">
        <f>BillDetLt!F69</f>
        <v>0</v>
      </c>
      <c r="H70" s="299"/>
      <c r="I70" s="425"/>
      <c r="K70" s="295"/>
      <c r="L70" s="296"/>
      <c r="M70" s="298"/>
      <c r="O70" s="299"/>
      <c r="P70" s="454"/>
      <c r="Q70" s="196"/>
      <c r="R70" s="433"/>
      <c r="S70" s="297"/>
      <c r="T70" s="439"/>
      <c r="V70" s="198"/>
      <c r="AA70" s="433"/>
      <c r="AB70" s="297"/>
      <c r="AC70" s="439"/>
      <c r="AE70" s="198"/>
    </row>
    <row r="71" spans="2:31" x14ac:dyDescent="0.2">
      <c r="B71" s="440" t="str">
        <f>BillDetLt!B70</f>
        <v>BASKETT STREET LIGHTING</v>
      </c>
      <c r="D71" s="295">
        <f>BillDetLt!E70</f>
        <v>18492</v>
      </c>
      <c r="E71" s="296">
        <f>BillDetLt!C70</f>
        <v>804</v>
      </c>
      <c r="F71" s="298">
        <f>BillDetLt!F70</f>
        <v>3.87</v>
      </c>
      <c r="H71" s="299">
        <f t="shared" si="0"/>
        <v>3111.48</v>
      </c>
      <c r="I71" s="425"/>
      <c r="K71" s="295">
        <f t="shared" si="1"/>
        <v>18492</v>
      </c>
      <c r="L71" s="296">
        <f>E71</f>
        <v>804</v>
      </c>
      <c r="M71" s="298">
        <f t="shared" si="3"/>
        <v>3.87</v>
      </c>
      <c r="O71" s="299">
        <f t="shared" si="2"/>
        <v>3111.48</v>
      </c>
      <c r="P71" s="454">
        <f t="shared" si="4"/>
        <v>0</v>
      </c>
      <c r="Q71" s="196"/>
      <c r="R71" s="433"/>
      <c r="S71" s="297"/>
      <c r="T71" s="439"/>
      <c r="V71" s="198"/>
      <c r="AA71" s="433"/>
      <c r="AB71" s="297"/>
      <c r="AC71" s="439"/>
      <c r="AE71" s="198"/>
    </row>
    <row r="72" spans="2:31" x14ac:dyDescent="0.2">
      <c r="B72" s="440" t="str">
        <f>BillDetLt!B71</f>
        <v>MEADOW HILL STREET LIGHTING</v>
      </c>
      <c r="D72" s="295">
        <f>BillDetLt!E71</f>
        <v>8280</v>
      </c>
      <c r="E72" s="296">
        <f>BillDetLt!C71</f>
        <v>360</v>
      </c>
      <c r="F72" s="298">
        <f>BillDetLt!F71</f>
        <v>3.52</v>
      </c>
      <c r="H72" s="299">
        <f t="shared" si="0"/>
        <v>1267.2</v>
      </c>
      <c r="I72" s="425"/>
      <c r="K72" s="295">
        <f t="shared" si="1"/>
        <v>8280</v>
      </c>
      <c r="L72" s="296">
        <f>E72</f>
        <v>360</v>
      </c>
      <c r="M72" s="298">
        <f t="shared" si="3"/>
        <v>3.52</v>
      </c>
      <c r="O72" s="299">
        <f t="shared" si="2"/>
        <v>1267.2</v>
      </c>
      <c r="P72" s="454">
        <f t="shared" si="4"/>
        <v>0</v>
      </c>
      <c r="Q72" s="196"/>
      <c r="R72" s="433"/>
      <c r="S72" s="297"/>
      <c r="T72" s="439"/>
      <c r="V72" s="198"/>
      <c r="AA72" s="433"/>
      <c r="AB72" s="297"/>
      <c r="AC72" s="439"/>
      <c r="AE72" s="198"/>
    </row>
    <row r="73" spans="2:31" x14ac:dyDescent="0.2">
      <c r="B73" s="440" t="str">
        <f>BillDetLt!B72</f>
        <v>SPOTTSVILLE STREET LIGHTING</v>
      </c>
      <c r="D73" s="295">
        <f>BillDetLt!E72</f>
        <v>15709</v>
      </c>
      <c r="E73" s="296">
        <f>BillDetLt!C72</f>
        <v>683</v>
      </c>
      <c r="F73" s="298">
        <f>BillDetLt!F72</f>
        <v>4.3600000000000003</v>
      </c>
      <c r="H73" s="299">
        <f t="shared" si="0"/>
        <v>2977.88</v>
      </c>
      <c r="I73" s="425"/>
      <c r="K73" s="295">
        <f t="shared" si="1"/>
        <v>15709</v>
      </c>
      <c r="L73" s="296">
        <f>E73</f>
        <v>683</v>
      </c>
      <c r="M73" s="298">
        <f t="shared" si="3"/>
        <v>4.3600000000000003</v>
      </c>
      <c r="O73" s="299">
        <f t="shared" si="2"/>
        <v>2977.88</v>
      </c>
      <c r="P73" s="454">
        <f t="shared" si="4"/>
        <v>0</v>
      </c>
      <c r="Q73" s="196"/>
      <c r="R73" s="433"/>
      <c r="S73" s="297"/>
      <c r="T73" s="439"/>
      <c r="V73" s="198"/>
      <c r="AA73" s="433"/>
      <c r="AB73" s="297"/>
      <c r="AC73" s="439"/>
      <c r="AE73" s="198"/>
    </row>
    <row r="74" spans="2:31" x14ac:dyDescent="0.2">
      <c r="B74" s="163" t="str">
        <f>BillDetLt!B73</f>
        <v>Not Available for New Installations after April 1 , 2011:</v>
      </c>
      <c r="D74" s="295">
        <f>BillDetLt!E73</f>
        <v>0</v>
      </c>
      <c r="E74" s="296">
        <f>BillDetLt!C73</f>
        <v>0</v>
      </c>
      <c r="F74" s="298">
        <f>BillDetLt!F73</f>
        <v>0</v>
      </c>
      <c r="H74" s="299"/>
      <c r="I74" s="425"/>
      <c r="K74" s="295"/>
      <c r="L74" s="296"/>
      <c r="M74" s="298"/>
      <c r="O74" s="299"/>
      <c r="P74" s="454"/>
      <c r="Q74" s="196"/>
      <c r="R74" s="433"/>
      <c r="S74" s="297"/>
      <c r="T74" s="439"/>
      <c r="V74" s="198"/>
      <c r="AA74" s="433"/>
      <c r="AB74" s="297"/>
      <c r="AC74" s="439"/>
      <c r="AE74" s="198"/>
    </row>
    <row r="75" spans="2:31" x14ac:dyDescent="0.2">
      <c r="B75" s="440" t="str">
        <f>BillDetLt!B74</f>
        <v>7000 LUMEN-175W-MERCURY VAPOR</v>
      </c>
      <c r="D75" s="295">
        <f>BillDetLt!E74</f>
        <v>137340</v>
      </c>
      <c r="E75" s="296">
        <f>BillDetLt!C74</f>
        <v>1962</v>
      </c>
      <c r="F75" s="298">
        <f>BillDetLt!F74</f>
        <v>11.15</v>
      </c>
      <c r="H75" s="299">
        <f t="shared" si="0"/>
        <v>21876.3</v>
      </c>
      <c r="I75" s="425"/>
      <c r="K75" s="295">
        <f t="shared" si="1"/>
        <v>137340</v>
      </c>
      <c r="L75" s="296">
        <f>E75</f>
        <v>1962</v>
      </c>
      <c r="M75" s="298">
        <f t="shared" si="3"/>
        <v>11.15</v>
      </c>
      <c r="O75" s="299">
        <f t="shared" si="2"/>
        <v>21876.3</v>
      </c>
      <c r="P75" s="454">
        <f t="shared" si="4"/>
        <v>0</v>
      </c>
      <c r="Q75" s="196"/>
      <c r="R75" s="433"/>
      <c r="S75" s="297"/>
      <c r="T75" s="439"/>
      <c r="V75" s="198"/>
      <c r="AA75" s="433"/>
      <c r="AB75" s="297"/>
      <c r="AC75" s="439"/>
      <c r="AE75" s="198"/>
    </row>
    <row r="76" spans="2:31" x14ac:dyDescent="0.2">
      <c r="B76" s="440" t="str">
        <f>BillDetLt!B75</f>
        <v>20000 LUMEN-400W-MERCURY VAPOR</v>
      </c>
      <c r="D76" s="295">
        <f>BillDetLt!E75</f>
        <v>185535</v>
      </c>
      <c r="E76" s="296">
        <f>BillDetLt!C75</f>
        <v>1197</v>
      </c>
      <c r="F76" s="298">
        <f>BillDetLt!F75</f>
        <v>16.809999999999999</v>
      </c>
      <c r="H76" s="299">
        <f t="shared" ref="H76:H101" si="8">E76*F76</f>
        <v>20121.57</v>
      </c>
      <c r="I76" s="425"/>
      <c r="K76" s="295">
        <f>D76</f>
        <v>185535</v>
      </c>
      <c r="L76" s="296">
        <f>E76</f>
        <v>1197</v>
      </c>
      <c r="M76" s="298">
        <f t="shared" si="3"/>
        <v>16.809999999999999</v>
      </c>
      <c r="O76" s="299">
        <f t="shared" ref="O76:O101" si="9">L76*M76</f>
        <v>20121.57</v>
      </c>
      <c r="P76" s="454">
        <f t="shared" si="4"/>
        <v>0</v>
      </c>
      <c r="Q76" s="196"/>
      <c r="R76" s="433"/>
      <c r="S76" s="297"/>
      <c r="T76" s="439"/>
      <c r="V76" s="198"/>
      <c r="AA76" s="433"/>
      <c r="AB76" s="297"/>
      <c r="AC76" s="439"/>
      <c r="AE76" s="198"/>
    </row>
    <row r="77" spans="2:31" x14ac:dyDescent="0.2">
      <c r="B77" s="163" t="str">
        <f>BillDetLt!B76</f>
        <v>Not available for New Installations after November 2014:</v>
      </c>
      <c r="D77" s="295">
        <f>BillDetLt!E76</f>
        <v>0</v>
      </c>
      <c r="E77" s="296">
        <f>BillDetLt!C76</f>
        <v>0</v>
      </c>
      <c r="F77" s="298">
        <f>BillDetLt!F76</f>
        <v>0</v>
      </c>
      <c r="H77" s="299"/>
      <c r="I77" s="425"/>
      <c r="K77" s="295"/>
      <c r="L77" s="296"/>
      <c r="M77" s="298"/>
      <c r="O77" s="299"/>
      <c r="P77" s="454"/>
      <c r="Q77" s="196"/>
      <c r="R77" s="433"/>
      <c r="S77" s="297"/>
      <c r="T77" s="439"/>
      <c r="V77" s="198"/>
      <c r="AA77" s="433"/>
      <c r="AB77" s="297"/>
      <c r="AC77" s="439"/>
      <c r="AE77" s="198"/>
    </row>
    <row r="78" spans="2:31" x14ac:dyDescent="0.2">
      <c r="B78" s="440" t="str">
        <f>BillDetLt!B77</f>
        <v>9500 LUMEN-100W-HPS STREET LGT</v>
      </c>
      <c r="D78" s="295">
        <f>BillDetLt!E77</f>
        <v>108962</v>
      </c>
      <c r="E78" s="296">
        <f>BillDetLt!C77</f>
        <v>2534</v>
      </c>
      <c r="F78" s="298">
        <f>BillDetLt!F77</f>
        <v>10.02</v>
      </c>
      <c r="H78" s="299">
        <f t="shared" si="8"/>
        <v>25390.68</v>
      </c>
      <c r="I78" s="425"/>
      <c r="K78" s="295">
        <f>D78</f>
        <v>108962</v>
      </c>
      <c r="L78" s="296">
        <f>E78</f>
        <v>2534</v>
      </c>
      <c r="M78" s="298">
        <f t="shared" si="3"/>
        <v>10.02</v>
      </c>
      <c r="O78" s="299">
        <f t="shared" si="9"/>
        <v>25390.68</v>
      </c>
      <c r="P78" s="454">
        <f t="shared" si="4"/>
        <v>0</v>
      </c>
      <c r="Q78" s="196"/>
      <c r="R78" s="433"/>
      <c r="S78" s="297"/>
      <c r="T78" s="439"/>
      <c r="V78" s="198"/>
      <c r="AA78" s="433"/>
      <c r="AB78" s="297"/>
      <c r="AC78" s="439"/>
      <c r="AE78" s="198"/>
    </row>
    <row r="79" spans="2:31" x14ac:dyDescent="0.2">
      <c r="B79" s="440" t="str">
        <f>BillDetLt!B78</f>
        <v>27000 LUMEN-250W-HPS ST LIGHT</v>
      </c>
      <c r="D79" s="295">
        <f>BillDetLt!E78</f>
        <v>21420</v>
      </c>
      <c r="E79" s="296">
        <f>BillDetLt!C78</f>
        <v>252</v>
      </c>
      <c r="F79" s="298">
        <f>BillDetLt!F78</f>
        <v>15.65</v>
      </c>
      <c r="H79" s="299">
        <f t="shared" si="8"/>
        <v>3943.8</v>
      </c>
      <c r="I79" s="425"/>
      <c r="K79" s="295">
        <f>D79</f>
        <v>21420</v>
      </c>
      <c r="L79" s="296">
        <f>E79</f>
        <v>252</v>
      </c>
      <c r="M79" s="298">
        <f t="shared" si="3"/>
        <v>15.65</v>
      </c>
      <c r="O79" s="299">
        <f t="shared" si="9"/>
        <v>3943.8</v>
      </c>
      <c r="P79" s="454">
        <f t="shared" si="4"/>
        <v>0</v>
      </c>
      <c r="Q79" s="196"/>
      <c r="R79" s="433"/>
      <c r="S79" s="297"/>
      <c r="T79" s="439"/>
      <c r="V79" s="198"/>
      <c r="AA79" s="433"/>
      <c r="AB79" s="297"/>
      <c r="AC79" s="439"/>
      <c r="AE79" s="198"/>
    </row>
    <row r="80" spans="2:31" x14ac:dyDescent="0.2">
      <c r="B80" s="163" t="str">
        <f>BillDetLt!B79</f>
        <v>Not Available for New Installations after April 1 , 2011:</v>
      </c>
      <c r="D80" s="295">
        <f>BillDetLt!E79</f>
        <v>0</v>
      </c>
      <c r="E80" s="296">
        <f>BillDetLt!C79</f>
        <v>0</v>
      </c>
      <c r="F80" s="298">
        <f>BillDetLt!F79</f>
        <v>0</v>
      </c>
      <c r="H80" s="299"/>
      <c r="I80" s="425"/>
      <c r="K80" s="295"/>
      <c r="L80" s="296"/>
      <c r="M80" s="298"/>
      <c r="O80" s="299"/>
      <c r="P80" s="454"/>
      <c r="Q80" s="196"/>
      <c r="R80" s="433"/>
      <c r="S80" s="297"/>
      <c r="T80" s="439"/>
      <c r="V80" s="198"/>
      <c r="AA80" s="433"/>
      <c r="AB80" s="297"/>
      <c r="AC80" s="439"/>
      <c r="AE80" s="198"/>
    </row>
    <row r="81" spans="2:31" x14ac:dyDescent="0.2">
      <c r="B81" s="440" t="str">
        <f>BillDetLt!B80</f>
        <v>9000 LUMEN-100W MH</v>
      </c>
      <c r="D81" s="295">
        <f>BillDetLt!E80</f>
        <v>-546</v>
      </c>
      <c r="E81" s="296">
        <f>BillDetLt!C80</f>
        <v>-13</v>
      </c>
      <c r="F81" s="298">
        <f>BillDetLt!F80</f>
        <v>9.4499999999999993</v>
      </c>
      <c r="H81" s="299">
        <f t="shared" si="8"/>
        <v>-122.85</v>
      </c>
      <c r="I81" s="425"/>
      <c r="K81" s="295">
        <f>D81</f>
        <v>-546</v>
      </c>
      <c r="L81" s="296">
        <f>E81</f>
        <v>-13</v>
      </c>
      <c r="M81" s="298">
        <f t="shared" ref="M81:M101" si="10">F81</f>
        <v>9.4499999999999993</v>
      </c>
      <c r="O81" s="299">
        <f t="shared" si="9"/>
        <v>-122.85</v>
      </c>
      <c r="P81" s="454">
        <f t="shared" ref="P81:P101" si="11">(O81-H81)/H81</f>
        <v>0</v>
      </c>
      <c r="Q81" s="196"/>
      <c r="R81" s="433"/>
      <c r="S81" s="297"/>
      <c r="T81" s="439"/>
      <c r="V81" s="198"/>
      <c r="AA81" s="433"/>
      <c r="AB81" s="297"/>
      <c r="AC81" s="439"/>
      <c r="AE81" s="198"/>
    </row>
    <row r="82" spans="2:31" x14ac:dyDescent="0.2">
      <c r="B82" s="440" t="str">
        <f>BillDetLt!B81</f>
        <v>24000 LUMEN-400W MH</v>
      </c>
      <c r="D82" s="295">
        <f>BillDetLt!E81</f>
        <v>1872</v>
      </c>
      <c r="E82" s="296">
        <f>BillDetLt!C81</f>
        <v>12</v>
      </c>
      <c r="F82" s="298">
        <f>BillDetLt!F81</f>
        <v>20.61</v>
      </c>
      <c r="H82" s="299">
        <f t="shared" si="8"/>
        <v>247.32</v>
      </c>
      <c r="I82" s="425"/>
      <c r="K82" s="295">
        <f>D82</f>
        <v>1872</v>
      </c>
      <c r="L82" s="296">
        <f>E82</f>
        <v>12</v>
      </c>
      <c r="M82" s="298">
        <f t="shared" si="10"/>
        <v>20.61</v>
      </c>
      <c r="O82" s="299">
        <f t="shared" si="9"/>
        <v>247.32</v>
      </c>
      <c r="P82" s="454">
        <f t="shared" si="11"/>
        <v>0</v>
      </c>
      <c r="Q82" s="196"/>
      <c r="R82" s="433"/>
      <c r="S82" s="297"/>
      <c r="T82" s="439"/>
      <c r="V82" s="198"/>
      <c r="AA82" s="433"/>
      <c r="AB82" s="297"/>
      <c r="AC82" s="439"/>
      <c r="AE82" s="198"/>
    </row>
    <row r="83" spans="2:31" x14ac:dyDescent="0.2">
      <c r="B83" s="163" t="str">
        <f>BillDetLt!B82</f>
        <v>Tariff sheet 16A</v>
      </c>
      <c r="D83" s="295">
        <f>BillDetLt!E82</f>
        <v>0</v>
      </c>
      <c r="E83" s="296">
        <f>BillDetLt!C82</f>
        <v>0</v>
      </c>
      <c r="F83" s="298">
        <f>BillDetLt!F82</f>
        <v>0</v>
      </c>
      <c r="H83" s="299"/>
      <c r="I83" s="425"/>
      <c r="K83" s="295"/>
      <c r="L83" s="296"/>
      <c r="M83" s="298"/>
      <c r="O83" s="299"/>
      <c r="P83" s="454"/>
      <c r="Q83" s="196"/>
      <c r="R83" s="433"/>
      <c r="S83" s="297"/>
      <c r="T83" s="439"/>
      <c r="V83" s="198"/>
      <c r="AA83" s="433"/>
      <c r="AB83" s="297"/>
      <c r="AC83" s="439"/>
      <c r="AE83" s="198"/>
    </row>
    <row r="84" spans="2:31" x14ac:dyDescent="0.2">
      <c r="B84" s="163" t="str">
        <f>BillDetLt!B83</f>
        <v>Available for New Installations after November 2014:</v>
      </c>
      <c r="D84" s="295">
        <f>BillDetLt!E83</f>
        <v>0</v>
      </c>
      <c r="E84" s="296">
        <f>BillDetLt!C83</f>
        <v>0</v>
      </c>
      <c r="F84" s="298">
        <f>BillDetLt!F83</f>
        <v>0</v>
      </c>
      <c r="H84" s="299"/>
      <c r="I84" s="425"/>
      <c r="K84" s="295"/>
      <c r="L84" s="296"/>
      <c r="M84" s="298"/>
      <c r="O84" s="299"/>
      <c r="P84" s="454"/>
      <c r="Q84" s="196"/>
      <c r="R84" s="433"/>
      <c r="S84" s="297"/>
      <c r="T84" s="439"/>
      <c r="V84" s="198"/>
      <c r="AA84" s="433"/>
      <c r="AB84" s="297"/>
      <c r="AC84" s="439"/>
      <c r="AE84" s="198"/>
    </row>
    <row r="85" spans="2:31" x14ac:dyDescent="0.2">
      <c r="B85" s="440" t="str">
        <f>BillDetLt!B84</f>
        <v>5200 LUMEN-60W-LED NEMA HEAD</v>
      </c>
      <c r="D85" s="295">
        <f>BillDetLt!E84</f>
        <v>0</v>
      </c>
      <c r="E85" s="296">
        <f>BillDetLt!C84</f>
        <v>0</v>
      </c>
      <c r="F85" s="298">
        <f>BillDetLt!F84</f>
        <v>8.56</v>
      </c>
      <c r="H85" s="299">
        <f t="shared" si="8"/>
        <v>0</v>
      </c>
      <c r="I85" s="425"/>
      <c r="K85" s="295">
        <f t="shared" ref="K85:L87" si="12">D85</f>
        <v>0</v>
      </c>
      <c r="L85" s="296">
        <f t="shared" si="12"/>
        <v>0</v>
      </c>
      <c r="M85" s="298">
        <f t="shared" si="10"/>
        <v>8.56</v>
      </c>
      <c r="O85" s="299">
        <f t="shared" si="9"/>
        <v>0</v>
      </c>
      <c r="P85" s="454"/>
      <c r="Q85" s="196"/>
      <c r="R85" s="433"/>
      <c r="S85" s="297"/>
      <c r="T85" s="439"/>
      <c r="V85" s="198"/>
      <c r="AA85" s="433"/>
      <c r="AB85" s="297"/>
      <c r="AC85" s="439"/>
      <c r="AE85" s="198"/>
    </row>
    <row r="86" spans="2:31" x14ac:dyDescent="0.2">
      <c r="B86" s="440" t="str">
        <f>BillDetLt!B85</f>
        <v>9500 LUMEN-108W-LED MID OUTPUT</v>
      </c>
      <c r="D86" s="295">
        <f>BillDetLt!E85</f>
        <v>552410</v>
      </c>
      <c r="E86" s="296">
        <f>BillDetLt!C85</f>
        <v>14930</v>
      </c>
      <c r="F86" s="298">
        <f>BillDetLt!F85</f>
        <v>10.86</v>
      </c>
      <c r="H86" s="299">
        <f t="shared" si="8"/>
        <v>162139.79999999999</v>
      </c>
      <c r="I86" s="425"/>
      <c r="K86" s="295">
        <f t="shared" si="12"/>
        <v>552410</v>
      </c>
      <c r="L86" s="296">
        <f t="shared" si="12"/>
        <v>14930</v>
      </c>
      <c r="M86" s="298">
        <f t="shared" si="10"/>
        <v>10.86</v>
      </c>
      <c r="O86" s="299">
        <f t="shared" si="9"/>
        <v>162139.79999999999</v>
      </c>
      <c r="P86" s="454">
        <f t="shared" si="11"/>
        <v>0</v>
      </c>
      <c r="Q86" s="196"/>
      <c r="R86" s="433"/>
      <c r="S86" s="297"/>
      <c r="T86" s="439"/>
      <c r="V86" s="198"/>
      <c r="AA86" s="433"/>
      <c r="AB86" s="297"/>
      <c r="AC86" s="439"/>
      <c r="AE86" s="198"/>
    </row>
    <row r="87" spans="2:31" x14ac:dyDescent="0.2">
      <c r="B87" s="440" t="str">
        <f>BillDetLt!B86</f>
        <v>11000 LUMEN-135W-LED HIGH OUTPUT</v>
      </c>
      <c r="D87" s="295">
        <f>BillDetLt!E86</f>
        <v>0</v>
      </c>
      <c r="E87" s="296">
        <f>BillDetLt!C86</f>
        <v>0</v>
      </c>
      <c r="F87" s="298">
        <f>BillDetLt!F86</f>
        <v>13.28</v>
      </c>
      <c r="H87" s="299">
        <f t="shared" si="8"/>
        <v>0</v>
      </c>
      <c r="I87" s="425"/>
      <c r="K87" s="295">
        <f t="shared" si="12"/>
        <v>0</v>
      </c>
      <c r="L87" s="296">
        <f t="shared" si="12"/>
        <v>0</v>
      </c>
      <c r="M87" s="298">
        <f t="shared" si="10"/>
        <v>13.28</v>
      </c>
      <c r="O87" s="299">
        <f t="shared" si="9"/>
        <v>0</v>
      </c>
      <c r="P87" s="454"/>
      <c r="Q87" s="196"/>
      <c r="R87" s="433"/>
      <c r="S87" s="297"/>
      <c r="T87" s="439"/>
      <c r="V87" s="198"/>
      <c r="AA87" s="433"/>
      <c r="AB87" s="297"/>
      <c r="AC87" s="439"/>
      <c r="AE87" s="198"/>
    </row>
    <row r="88" spans="2:31" x14ac:dyDescent="0.2">
      <c r="B88" s="163" t="str">
        <f>BillDetLt!B87</f>
        <v>Underground service with non-std. pole</v>
      </c>
      <c r="D88" s="295">
        <f>BillDetLt!E87</f>
        <v>0</v>
      </c>
      <c r="E88" s="296">
        <f>BillDetLt!C87</f>
        <v>0</v>
      </c>
      <c r="F88" s="298">
        <f>BillDetLt!F87</f>
        <v>0</v>
      </c>
      <c r="H88" s="299"/>
      <c r="I88" s="425"/>
      <c r="K88" s="295"/>
      <c r="L88" s="296"/>
      <c r="M88" s="298"/>
      <c r="O88" s="299"/>
      <c r="P88" s="454"/>
      <c r="Q88" s="196"/>
      <c r="R88" s="433"/>
      <c r="S88" s="297"/>
      <c r="T88" s="439"/>
      <c r="V88" s="198"/>
      <c r="AA88" s="433"/>
      <c r="AB88" s="297"/>
      <c r="AC88" s="439"/>
      <c r="AE88" s="198"/>
    </row>
    <row r="89" spans="2:31" x14ac:dyDescent="0.2">
      <c r="B89" s="440" t="str">
        <f>BillDetLt!B88</f>
        <v>UG NON-STD POLE-GOVT &amp; DISTRICT</v>
      </c>
      <c r="D89" s="295">
        <f>BillDetLt!E88</f>
        <v>0</v>
      </c>
      <c r="E89" s="296">
        <f>BillDetLt!C88</f>
        <v>6564</v>
      </c>
      <c r="F89" s="298">
        <f>BillDetLt!F88</f>
        <v>7.33</v>
      </c>
      <c r="H89" s="299">
        <f t="shared" si="8"/>
        <v>48114.12</v>
      </c>
      <c r="I89" s="425"/>
      <c r="K89" s="295">
        <f>D89</f>
        <v>0</v>
      </c>
      <c r="L89" s="296">
        <f>E89</f>
        <v>6564</v>
      </c>
      <c r="M89" s="298">
        <f t="shared" si="10"/>
        <v>7.33</v>
      </c>
      <c r="O89" s="299">
        <f t="shared" si="9"/>
        <v>48114.12</v>
      </c>
      <c r="P89" s="454">
        <f t="shared" si="11"/>
        <v>0</v>
      </c>
      <c r="Q89" s="196"/>
      <c r="R89" s="433"/>
      <c r="S89" s="297"/>
      <c r="T89" s="439"/>
      <c r="V89" s="198"/>
      <c r="AA89" s="433"/>
      <c r="AB89" s="297"/>
      <c r="AC89" s="439"/>
      <c r="AE89" s="198"/>
    </row>
    <row r="90" spans="2:31" x14ac:dyDescent="0.2">
      <c r="B90" s="163" t="str">
        <f>BillDetLt!B89</f>
        <v>Overhead service to street lighting districts</v>
      </c>
      <c r="D90" s="295">
        <f>BillDetLt!E89</f>
        <v>0</v>
      </c>
      <c r="E90" s="296">
        <f>BillDetLt!C89</f>
        <v>0</v>
      </c>
      <c r="F90" s="298">
        <f>BillDetLt!F89</f>
        <v>0</v>
      </c>
      <c r="H90" s="299"/>
      <c r="I90" s="425"/>
      <c r="K90" s="295"/>
      <c r="L90" s="296"/>
      <c r="M90" s="298"/>
      <c r="O90" s="299"/>
      <c r="P90" s="454"/>
      <c r="Q90" s="196"/>
      <c r="R90" s="433"/>
      <c r="S90" s="297"/>
      <c r="T90" s="439"/>
      <c r="V90" s="198"/>
      <c r="AA90" s="433"/>
      <c r="AB90" s="297"/>
      <c r="AC90" s="439"/>
      <c r="AE90" s="198"/>
    </row>
    <row r="91" spans="2:31" x14ac:dyDescent="0.2">
      <c r="B91" s="440" t="str">
        <f>BillDetLt!B90</f>
        <v>OH FAC-STREET LIGHT DISTRICT</v>
      </c>
      <c r="D91" s="295">
        <f>BillDetLt!E90</f>
        <v>0</v>
      </c>
      <c r="E91" s="296">
        <f>BillDetLt!C90</f>
        <v>144</v>
      </c>
      <c r="F91" s="298">
        <f>BillDetLt!F90</f>
        <v>3.07</v>
      </c>
      <c r="H91" s="299">
        <f t="shared" si="8"/>
        <v>442.08</v>
      </c>
      <c r="I91" s="425"/>
      <c r="K91" s="295">
        <f>D91</f>
        <v>0</v>
      </c>
      <c r="L91" s="296">
        <f>E91</f>
        <v>144</v>
      </c>
      <c r="M91" s="298">
        <f t="shared" si="10"/>
        <v>3.07</v>
      </c>
      <c r="O91" s="299">
        <f t="shared" si="9"/>
        <v>442.08</v>
      </c>
      <c r="P91" s="454">
        <f t="shared" si="11"/>
        <v>0</v>
      </c>
      <c r="Q91" s="196"/>
      <c r="R91" s="433"/>
      <c r="S91" s="297"/>
      <c r="T91" s="439"/>
      <c r="V91" s="198"/>
      <c r="AA91" s="433"/>
      <c r="AB91" s="297"/>
      <c r="AC91" s="439"/>
      <c r="AE91" s="198"/>
    </row>
    <row r="92" spans="2:31" x14ac:dyDescent="0.2">
      <c r="B92" s="163" t="str">
        <f>BillDetLt!B91</f>
        <v>Decorative Underground service</v>
      </c>
      <c r="D92" s="295">
        <f>BillDetLt!E91</f>
        <v>0</v>
      </c>
      <c r="E92" s="296">
        <f>BillDetLt!C91</f>
        <v>0</v>
      </c>
      <c r="F92" s="298">
        <f>BillDetLt!F91</f>
        <v>0</v>
      </c>
      <c r="H92" s="299"/>
      <c r="I92" s="425"/>
      <c r="K92" s="295"/>
      <c r="L92" s="296"/>
      <c r="M92" s="298"/>
      <c r="O92" s="299"/>
      <c r="P92" s="454"/>
      <c r="Q92" s="196"/>
      <c r="R92" s="433"/>
      <c r="S92" s="297"/>
      <c r="T92" s="439"/>
      <c r="V92" s="198"/>
      <c r="AA92" s="433"/>
      <c r="AB92" s="297"/>
      <c r="AC92" s="439"/>
      <c r="AE92" s="198"/>
    </row>
    <row r="93" spans="2:31" x14ac:dyDescent="0.2">
      <c r="B93" s="163" t="str">
        <f>BillDetLt!B92</f>
        <v>Not Available for New Installations after April 1 , 2011:</v>
      </c>
      <c r="D93" s="295">
        <f>BillDetLt!E92</f>
        <v>0</v>
      </c>
      <c r="E93" s="296">
        <f>BillDetLt!C92</f>
        <v>0</v>
      </c>
      <c r="F93" s="298">
        <f>BillDetLt!F92</f>
        <v>0</v>
      </c>
      <c r="H93" s="299"/>
      <c r="I93" s="425"/>
      <c r="K93" s="295"/>
      <c r="L93" s="296"/>
      <c r="M93" s="298"/>
      <c r="O93" s="299"/>
      <c r="P93" s="454"/>
      <c r="Q93" s="196"/>
      <c r="R93" s="433"/>
      <c r="S93" s="297"/>
      <c r="T93" s="439"/>
      <c r="V93" s="198"/>
      <c r="AA93" s="433"/>
      <c r="AB93" s="297"/>
      <c r="AC93" s="439"/>
      <c r="AE93" s="198"/>
    </row>
    <row r="94" spans="2:31" x14ac:dyDescent="0.2">
      <c r="B94" s="440" t="str">
        <f>BillDetLt!B93</f>
        <v>6300 LUMEN-DECOR-70W-HPS ACORN</v>
      </c>
      <c r="D94" s="295">
        <f>BillDetLt!E93</f>
        <v>79530</v>
      </c>
      <c r="E94" s="296">
        <f>BillDetLt!C93</f>
        <v>2651</v>
      </c>
      <c r="F94" s="298">
        <f>BillDetLt!F93</f>
        <v>14.89</v>
      </c>
      <c r="H94" s="299">
        <f t="shared" si="8"/>
        <v>39473.39</v>
      </c>
      <c r="I94" s="425"/>
      <c r="K94" s="295">
        <f t="shared" ref="K94:L97" si="13">D94</f>
        <v>79530</v>
      </c>
      <c r="L94" s="296">
        <f t="shared" si="13"/>
        <v>2651</v>
      </c>
      <c r="M94" s="298">
        <f t="shared" si="10"/>
        <v>14.89</v>
      </c>
      <c r="O94" s="299">
        <f t="shared" si="9"/>
        <v>39473.39</v>
      </c>
      <c r="P94" s="454">
        <f t="shared" si="11"/>
        <v>0</v>
      </c>
      <c r="Q94" s="196"/>
      <c r="R94" s="433"/>
      <c r="S94" s="297"/>
      <c r="T94" s="439"/>
      <c r="V94" s="198"/>
      <c r="AA94" s="433"/>
      <c r="AB94" s="297"/>
      <c r="AC94" s="439"/>
      <c r="AE94" s="198"/>
    </row>
    <row r="95" spans="2:31" x14ac:dyDescent="0.2">
      <c r="B95" s="440" t="str">
        <f>BillDetLt!B94</f>
        <v>6300 LUM DECOR-70W-HPS LANTERN</v>
      </c>
      <c r="D95" s="295">
        <f>BillDetLt!E94</f>
        <v>51930</v>
      </c>
      <c r="E95" s="296">
        <f>BillDetLt!C94</f>
        <v>1731</v>
      </c>
      <c r="F95" s="298">
        <f>BillDetLt!F94</f>
        <v>14.89</v>
      </c>
      <c r="H95" s="299">
        <f t="shared" si="8"/>
        <v>25774.59</v>
      </c>
      <c r="I95" s="425"/>
      <c r="K95" s="295">
        <f t="shared" si="13"/>
        <v>51930</v>
      </c>
      <c r="L95" s="296">
        <f t="shared" si="13"/>
        <v>1731</v>
      </c>
      <c r="M95" s="298">
        <f t="shared" si="10"/>
        <v>14.89</v>
      </c>
      <c r="O95" s="299">
        <f t="shared" si="9"/>
        <v>25774.59</v>
      </c>
      <c r="P95" s="454">
        <f t="shared" si="11"/>
        <v>0</v>
      </c>
      <c r="Q95" s="196"/>
      <c r="R95" s="433"/>
      <c r="S95" s="297"/>
      <c r="T95" s="439"/>
      <c r="V95" s="198"/>
      <c r="AA95" s="433"/>
      <c r="AB95" s="297"/>
      <c r="AC95" s="439"/>
      <c r="AE95" s="198"/>
    </row>
    <row r="96" spans="2:31" x14ac:dyDescent="0.2">
      <c r="B96" s="440" t="str">
        <f>BillDetLt!B95</f>
        <v>12600 LUM HPS-70W-2 DECOR FIX</v>
      </c>
      <c r="D96" s="295">
        <f>BillDetLt!E95</f>
        <v>6540</v>
      </c>
      <c r="E96" s="296">
        <f>BillDetLt!C95</f>
        <v>109</v>
      </c>
      <c r="F96" s="298">
        <f>BillDetLt!F95</f>
        <v>24.49</v>
      </c>
      <c r="H96" s="299">
        <f t="shared" si="8"/>
        <v>2669.41</v>
      </c>
      <c r="I96" s="425"/>
      <c r="K96" s="295">
        <f t="shared" si="13"/>
        <v>6540</v>
      </c>
      <c r="L96" s="296">
        <f t="shared" si="13"/>
        <v>109</v>
      </c>
      <c r="M96" s="298">
        <f t="shared" si="10"/>
        <v>24.49</v>
      </c>
      <c r="O96" s="299">
        <f t="shared" si="9"/>
        <v>2669.41</v>
      </c>
      <c r="P96" s="454">
        <f t="shared" si="11"/>
        <v>0</v>
      </c>
      <c r="Q96" s="196"/>
      <c r="R96" s="433"/>
      <c r="S96" s="297"/>
      <c r="T96" s="439"/>
      <c r="V96" s="198"/>
      <c r="AA96" s="433"/>
      <c r="AB96" s="297"/>
      <c r="AC96" s="439"/>
      <c r="AE96" s="198"/>
    </row>
    <row r="97" spans="1:31" x14ac:dyDescent="0.2">
      <c r="B97" s="163" t="str">
        <f>BillDetLt!B96</f>
        <v>Tariff sheet 16B</v>
      </c>
      <c r="D97" s="295">
        <f>BillDetLt!E96</f>
        <v>0</v>
      </c>
      <c r="E97" s="296">
        <f>BillDetLt!C96</f>
        <v>0</v>
      </c>
      <c r="F97" s="298">
        <f>BillDetLt!F96</f>
        <v>0</v>
      </c>
      <c r="H97" s="299">
        <f t="shared" si="8"/>
        <v>0</v>
      </c>
      <c r="I97" s="425"/>
      <c r="K97" s="295">
        <f t="shared" si="13"/>
        <v>0</v>
      </c>
      <c r="L97" s="296">
        <f t="shared" si="13"/>
        <v>0</v>
      </c>
      <c r="M97" s="298">
        <f t="shared" si="10"/>
        <v>0</v>
      </c>
      <c r="O97" s="299">
        <f t="shared" si="9"/>
        <v>0</v>
      </c>
      <c r="P97" s="454"/>
      <c r="Q97" s="196"/>
      <c r="R97" s="433"/>
      <c r="S97" s="297"/>
      <c r="T97" s="439"/>
      <c r="V97" s="198"/>
      <c r="AA97" s="433"/>
      <c r="AB97" s="297"/>
      <c r="AC97" s="439"/>
      <c r="AE97" s="198"/>
    </row>
    <row r="98" spans="1:31" x14ac:dyDescent="0.2">
      <c r="B98" s="163" t="str">
        <f>BillDetLt!B97</f>
        <v>Not available for New Installations after November 2014:</v>
      </c>
      <c r="D98" s="295">
        <f>BillDetLt!E97</f>
        <v>0</v>
      </c>
      <c r="E98" s="296">
        <f>BillDetLt!C97</f>
        <v>0</v>
      </c>
      <c r="F98" s="298">
        <f>BillDetLt!F97</f>
        <v>0</v>
      </c>
      <c r="H98" s="299"/>
      <c r="I98" s="425"/>
      <c r="K98" s="295"/>
      <c r="L98" s="296"/>
      <c r="M98" s="298"/>
      <c r="O98" s="299"/>
      <c r="P98" s="454"/>
      <c r="Q98" s="196"/>
      <c r="R98" s="433"/>
      <c r="S98" s="297"/>
      <c r="T98" s="439"/>
      <c r="V98" s="198"/>
      <c r="AA98" s="433"/>
      <c r="AB98" s="297"/>
      <c r="AC98" s="439"/>
      <c r="AE98" s="198"/>
    </row>
    <row r="99" spans="1:31" x14ac:dyDescent="0.2">
      <c r="B99" s="440" t="str">
        <f>BillDetLt!B98</f>
        <v>9500 LUM - HPS ACORN GL 14 FT POLE</v>
      </c>
      <c r="D99" s="295">
        <f>BillDetLt!E98</f>
        <v>33024</v>
      </c>
      <c r="E99" s="296">
        <f>BillDetLt!C98</f>
        <v>768</v>
      </c>
      <c r="F99" s="298">
        <f>BillDetLt!F98</f>
        <v>26.75</v>
      </c>
      <c r="H99" s="299">
        <f t="shared" si="8"/>
        <v>20544</v>
      </c>
      <c r="I99" s="425"/>
      <c r="K99" s="295">
        <f>D99</f>
        <v>33024</v>
      </c>
      <c r="L99" s="296">
        <f>E99</f>
        <v>768</v>
      </c>
      <c r="M99" s="298">
        <f t="shared" si="10"/>
        <v>26.75</v>
      </c>
      <c r="O99" s="299">
        <f t="shared" si="9"/>
        <v>20544</v>
      </c>
      <c r="P99" s="454">
        <f t="shared" si="11"/>
        <v>0</v>
      </c>
      <c r="Q99" s="196"/>
      <c r="R99" s="433"/>
      <c r="S99" s="297"/>
      <c r="T99" s="439"/>
      <c r="V99" s="198"/>
      <c r="AA99" s="433"/>
      <c r="AB99" s="297"/>
      <c r="AC99" s="439"/>
      <c r="AE99" s="198"/>
    </row>
    <row r="100" spans="1:31" x14ac:dyDescent="0.2">
      <c r="B100" s="163" t="str">
        <f>BillDetLt!B99</f>
        <v>Available for New Installations after November 2014:</v>
      </c>
      <c r="D100" s="295">
        <f>BillDetLt!E99</f>
        <v>0</v>
      </c>
      <c r="E100" s="296">
        <f>BillDetLt!C99</f>
        <v>0</v>
      </c>
      <c r="F100" s="298">
        <f>BillDetLt!F99</f>
        <v>0</v>
      </c>
      <c r="H100" s="299"/>
      <c r="I100" s="425"/>
      <c r="K100" s="295"/>
      <c r="L100" s="296"/>
      <c r="M100" s="298"/>
      <c r="O100" s="299"/>
      <c r="P100" s="454"/>
      <c r="Q100" s="196"/>
      <c r="R100" s="433"/>
      <c r="S100" s="297"/>
      <c r="T100" s="439"/>
      <c r="V100" s="198"/>
      <c r="AA100" s="433"/>
      <c r="AB100" s="297"/>
      <c r="AC100" s="439"/>
      <c r="AE100" s="198"/>
    </row>
    <row r="101" spans="1:31" x14ac:dyDescent="0.2">
      <c r="B101" s="440" t="str">
        <f>BillDetLt!B100</f>
        <v>2900 LUM - LED ACORN GL 14 FT POLE</v>
      </c>
      <c r="D101" s="295">
        <f>BillDetLt!E100</f>
        <v>83118</v>
      </c>
      <c r="E101" s="296">
        <f>BillDetLt!C100</f>
        <v>5937</v>
      </c>
      <c r="F101" s="298">
        <f>BillDetLt!F100</f>
        <v>23.13</v>
      </c>
      <c r="H101" s="299">
        <f t="shared" si="8"/>
        <v>137322.81</v>
      </c>
      <c r="I101" s="425"/>
      <c r="K101" s="295">
        <f>D101</f>
        <v>83118</v>
      </c>
      <c r="L101" s="296">
        <f>E101</f>
        <v>5937</v>
      </c>
      <c r="M101" s="298">
        <f t="shared" si="10"/>
        <v>23.13</v>
      </c>
      <c r="O101" s="299">
        <f t="shared" si="9"/>
        <v>137322.81</v>
      </c>
      <c r="P101" s="454">
        <f t="shared" si="11"/>
        <v>0</v>
      </c>
      <c r="Q101" s="196"/>
      <c r="R101" s="433"/>
      <c r="S101" s="297"/>
      <c r="T101" s="439"/>
      <c r="V101" s="198"/>
      <c r="AA101" s="433"/>
      <c r="AB101" s="297"/>
      <c r="AC101" s="439"/>
      <c r="AE101" s="198"/>
    </row>
    <row r="102" spans="1:31" x14ac:dyDescent="0.2">
      <c r="B102" s="441" t="s">
        <v>290</v>
      </c>
      <c r="D102" s="308"/>
      <c r="E102" s="309"/>
      <c r="F102" s="310"/>
      <c r="H102" s="442">
        <f>SUM(H15:H101)</f>
        <v>2177619.0000000005</v>
      </c>
      <c r="I102" s="425"/>
      <c r="K102" s="308"/>
      <c r="L102" s="309"/>
      <c r="M102" s="310"/>
      <c r="O102" s="442">
        <f>SUM(O15:O101)</f>
        <v>2177619.0000000005</v>
      </c>
      <c r="Q102" s="196"/>
      <c r="R102" s="433"/>
      <c r="S102" s="297"/>
      <c r="T102" s="439"/>
      <c r="V102" s="198"/>
      <c r="AA102" s="433"/>
      <c r="AB102" s="297"/>
      <c r="AC102" s="439"/>
      <c r="AE102" s="198"/>
    </row>
    <row r="103" spans="1:31" x14ac:dyDescent="0.2">
      <c r="B103" s="196" t="s">
        <v>292</v>
      </c>
      <c r="D103" s="295">
        <f>SUM(D15:D101)</f>
        <v>8253325</v>
      </c>
      <c r="E103" s="300"/>
      <c r="F103" s="443">
        <f>H103/D103</f>
        <v>2.3421491338339401E-2</v>
      </c>
      <c r="H103" s="298">
        <v>193305.18000000002</v>
      </c>
      <c r="I103" s="425"/>
      <c r="K103" s="295">
        <f>SUM(K15:K101)</f>
        <v>8253325</v>
      </c>
      <c r="L103" s="296"/>
      <c r="M103" s="301">
        <f>F103</f>
        <v>2.3421491338339401E-2</v>
      </c>
      <c r="O103" s="298">
        <f>M103*K103</f>
        <v>193305.18000000002</v>
      </c>
      <c r="Q103" s="196"/>
      <c r="R103" s="433"/>
      <c r="S103" s="297"/>
      <c r="T103" s="439"/>
      <c r="V103" s="198"/>
      <c r="AA103" s="433"/>
      <c r="AB103" s="297"/>
      <c r="AC103" s="439"/>
      <c r="AE103" s="198"/>
    </row>
    <row r="104" spans="1:31" x14ac:dyDescent="0.2">
      <c r="B104" s="196"/>
      <c r="D104" s="295"/>
      <c r="E104" s="300"/>
      <c r="F104" s="298"/>
      <c r="H104" s="266">
        <f>SUM(H102:H103)</f>
        <v>2370924.1800000006</v>
      </c>
      <c r="I104" s="425"/>
      <c r="K104" s="295"/>
      <c r="L104" s="296"/>
      <c r="M104" s="298"/>
      <c r="O104" s="266">
        <f>SUM(O102:O103)</f>
        <v>2370924.1800000006</v>
      </c>
      <c r="Q104" s="196"/>
      <c r="R104" s="433"/>
      <c r="S104" s="297"/>
      <c r="T104" s="439"/>
      <c r="V104" s="198"/>
      <c r="AA104" s="433"/>
      <c r="AB104" s="297"/>
      <c r="AC104" s="439"/>
      <c r="AE104" s="198"/>
    </row>
    <row r="105" spans="1:31" x14ac:dyDescent="0.2">
      <c r="B105" s="196" t="s">
        <v>295</v>
      </c>
      <c r="D105" s="295">
        <v>0</v>
      </c>
      <c r="E105" s="300"/>
      <c r="F105" s="298"/>
      <c r="H105" s="272">
        <v>0</v>
      </c>
      <c r="I105" s="425"/>
      <c r="K105" s="295">
        <v>0</v>
      </c>
      <c r="L105" s="296"/>
      <c r="M105" s="298"/>
      <c r="O105" s="272">
        <v>0</v>
      </c>
      <c r="Q105" s="196"/>
      <c r="R105" s="433"/>
      <c r="S105" s="297"/>
      <c r="T105" s="439"/>
      <c r="V105" s="198"/>
      <c r="AA105" s="433"/>
      <c r="AB105" s="297"/>
      <c r="AC105" s="439"/>
      <c r="AE105" s="198"/>
    </row>
    <row r="106" spans="1:31" x14ac:dyDescent="0.2">
      <c r="B106" s="196" t="s">
        <v>297</v>
      </c>
      <c r="D106" s="273"/>
      <c r="E106" s="301">
        <v>0</v>
      </c>
      <c r="F106" s="298"/>
      <c r="H106" s="266">
        <v>0</v>
      </c>
      <c r="I106" s="425"/>
      <c r="K106" s="295"/>
      <c r="L106" s="301">
        <v>0</v>
      </c>
      <c r="M106" s="298"/>
      <c r="O106" s="266">
        <v>0</v>
      </c>
      <c r="Q106" s="196"/>
      <c r="R106" s="433"/>
      <c r="S106" s="297"/>
      <c r="T106" s="439"/>
      <c r="V106" s="198"/>
      <c r="AA106" s="433"/>
      <c r="AB106" s="297"/>
      <c r="AC106" s="439"/>
      <c r="AE106" s="198"/>
    </row>
    <row r="107" spans="1:31" x14ac:dyDescent="0.2">
      <c r="B107" s="444"/>
      <c r="C107" s="444"/>
      <c r="D107" s="445"/>
      <c r="E107" s="445"/>
      <c r="F107" s="446"/>
      <c r="I107" s="425"/>
      <c r="K107" s="445"/>
      <c r="L107" s="445"/>
      <c r="M107" s="446"/>
      <c r="O107" s="447"/>
      <c r="Q107" s="196"/>
      <c r="R107" s="433"/>
      <c r="S107" s="433"/>
      <c r="T107" s="439"/>
      <c r="V107" s="198"/>
      <c r="AA107" s="433"/>
      <c r="AB107" s="433"/>
      <c r="AC107" s="439"/>
      <c r="AE107" s="198"/>
    </row>
    <row r="108" spans="1:31" x14ac:dyDescent="0.2">
      <c r="B108" s="163" t="s">
        <v>84</v>
      </c>
      <c r="D108" s="273">
        <f>D103+D105</f>
        <v>8253325</v>
      </c>
      <c r="E108" s="273">
        <f t="shared" ref="E108" si="14">SUM(E15:E101)</f>
        <v>201970</v>
      </c>
      <c r="F108" s="273"/>
      <c r="H108" s="448">
        <f>H104+H105+H106</f>
        <v>2370924.1800000006</v>
      </c>
      <c r="I108" s="449"/>
      <c r="K108" s="273">
        <f>K103+K105</f>
        <v>8253325</v>
      </c>
      <c r="L108" s="273">
        <f t="shared" ref="L108" si="15">SUM(L15:L101)</f>
        <v>201970</v>
      </c>
      <c r="M108" s="450"/>
      <c r="O108" s="448">
        <f>O104+O105+O106</f>
        <v>2370924.1800000006</v>
      </c>
      <c r="Q108" s="196"/>
      <c r="R108" s="273"/>
      <c r="S108" s="433"/>
      <c r="T108" s="450"/>
      <c r="V108" s="198"/>
      <c r="Y108" s="451"/>
      <c r="AA108" s="273"/>
      <c r="AB108" s="433"/>
      <c r="AC108" s="450"/>
      <c r="AE108" s="198"/>
    </row>
    <row r="109" spans="1:31" x14ac:dyDescent="0.2">
      <c r="E109" s="433"/>
      <c r="H109" s="198"/>
      <c r="I109" s="425"/>
      <c r="L109" s="433"/>
      <c r="O109" s="198"/>
      <c r="Q109" s="196"/>
      <c r="S109" s="433"/>
      <c r="V109" s="198"/>
      <c r="AB109" s="433"/>
      <c r="AE109" s="198"/>
    </row>
    <row r="110" spans="1:31" ht="13.5" thickBot="1" x14ac:dyDescent="0.25">
      <c r="A110" s="163" t="s">
        <v>84</v>
      </c>
      <c r="D110" s="273"/>
      <c r="H110" s="302">
        <f>H108</f>
        <v>2370924.1800000006</v>
      </c>
      <c r="I110" s="425"/>
      <c r="J110" s="163" t="s">
        <v>80</v>
      </c>
      <c r="K110" s="273"/>
      <c r="O110" s="302">
        <f>O108+R109</f>
        <v>2370924.1800000006</v>
      </c>
      <c r="P110" s="454">
        <f t="shared" ref="P110" si="16">(O110-H110)/H110</f>
        <v>0</v>
      </c>
      <c r="Q110" s="196"/>
      <c r="R110" s="198"/>
      <c r="V110" s="299"/>
      <c r="X110" s="163"/>
      <c r="AE110" s="299"/>
    </row>
    <row r="111" spans="1:31" ht="13.5" thickTop="1" x14ac:dyDescent="0.2">
      <c r="A111" s="163"/>
      <c r="H111" s="198"/>
      <c r="I111" s="425"/>
      <c r="J111" s="163"/>
      <c r="O111" s="198"/>
      <c r="Q111" s="196"/>
      <c r="V111" s="198"/>
      <c r="X111" s="163"/>
      <c r="AE111" s="198"/>
    </row>
    <row r="112" spans="1:31" x14ac:dyDescent="0.2">
      <c r="A112" s="163" t="s">
        <v>19</v>
      </c>
      <c r="E112" s="297"/>
      <c r="H112" s="198">
        <v>2370924.19</v>
      </c>
      <c r="I112" s="425"/>
      <c r="J112" s="163" t="s">
        <v>85</v>
      </c>
      <c r="L112" s="297"/>
      <c r="O112" s="198">
        <f>O110-H110</f>
        <v>0</v>
      </c>
      <c r="Q112" s="196"/>
      <c r="S112" s="303"/>
      <c r="V112" s="303"/>
      <c r="X112" s="163"/>
      <c r="AB112" s="303"/>
      <c r="AE112" s="303"/>
    </row>
    <row r="113" spans="1:31" x14ac:dyDescent="0.2">
      <c r="A113" s="246"/>
      <c r="H113" s="246"/>
      <c r="I113" s="425"/>
      <c r="O113" s="246"/>
      <c r="Q113" s="196"/>
      <c r="S113" s="198"/>
      <c r="V113" s="198"/>
      <c r="X113" s="246"/>
      <c r="AB113" s="198"/>
      <c r="AE113" s="198"/>
    </row>
    <row r="114" spans="1:31" x14ac:dyDescent="0.2">
      <c r="A114" s="163" t="s">
        <v>13</v>
      </c>
      <c r="E114" s="303"/>
      <c r="H114" s="304">
        <f>H110-H112</f>
        <v>-9.9999993108212948E-3</v>
      </c>
      <c r="I114" s="425"/>
      <c r="J114" s="163" t="s">
        <v>86</v>
      </c>
      <c r="L114" s="303"/>
      <c r="O114" s="305">
        <f>O112/H110</f>
        <v>0</v>
      </c>
      <c r="Q114" s="196"/>
      <c r="S114" s="306"/>
      <c r="V114" s="306"/>
      <c r="X114" s="163"/>
      <c r="AB114" s="306"/>
      <c r="AE114" s="306"/>
    </row>
    <row r="115" spans="1:31" x14ac:dyDescent="0.2">
      <c r="A115" s="246"/>
      <c r="E115" s="198"/>
      <c r="H115" s="198"/>
      <c r="I115" s="425"/>
      <c r="L115" s="198"/>
      <c r="O115" s="198"/>
      <c r="Q115" s="196"/>
    </row>
    <row r="116" spans="1:31" x14ac:dyDescent="0.2">
      <c r="A116" s="163" t="s">
        <v>26</v>
      </c>
      <c r="E116" s="306"/>
      <c r="H116" s="306">
        <f>(H110-H112)/H112</f>
        <v>-4.2177642596076824E-9</v>
      </c>
      <c r="I116" s="425"/>
      <c r="J116" s="163" t="s">
        <v>87</v>
      </c>
      <c r="L116" s="306"/>
      <c r="O116" s="307">
        <f>O112/L108</f>
        <v>0</v>
      </c>
      <c r="Q116" s="196"/>
    </row>
    <row r="117" spans="1:31" x14ac:dyDescent="0.2">
      <c r="A117" s="198"/>
      <c r="H117" s="198"/>
      <c r="I117" s="452"/>
      <c r="J117" s="198"/>
      <c r="Q117" s="196"/>
      <c r="V117" s="453"/>
      <c r="X117" s="198"/>
      <c r="Y117" s="198"/>
      <c r="Z117" s="198"/>
      <c r="AE117" s="453"/>
    </row>
    <row r="118" spans="1:31" ht="15" customHeight="1" x14ac:dyDescent="0.2">
      <c r="H118" s="246"/>
      <c r="I118" s="246"/>
      <c r="J118" s="246"/>
      <c r="Q118" s="196"/>
      <c r="X118" s="246"/>
      <c r="Y118" s="246"/>
      <c r="Z118" s="246"/>
    </row>
    <row r="119" spans="1:31" x14ac:dyDescent="0.2">
      <c r="H119" s="278"/>
      <c r="I119" s="196"/>
      <c r="J119" s="196"/>
      <c r="Q119" s="196"/>
    </row>
    <row r="120" spans="1:31" x14ac:dyDescent="0.2">
      <c r="H120" s="278"/>
      <c r="I120" s="196"/>
      <c r="J120" s="196"/>
      <c r="Q120" s="196"/>
    </row>
    <row r="121" spans="1:31" x14ac:dyDescent="0.2">
      <c r="H121" s="278"/>
      <c r="I121" s="196"/>
      <c r="J121" s="196"/>
      <c r="Q121" s="196"/>
    </row>
    <row r="122" spans="1:31" x14ac:dyDescent="0.2">
      <c r="H122" s="278"/>
      <c r="I122" s="196"/>
      <c r="J122" s="196"/>
      <c r="Q122" s="196"/>
    </row>
    <row r="123" spans="1:31" x14ac:dyDescent="0.2">
      <c r="H123" s="278"/>
      <c r="I123" s="196"/>
      <c r="J123" s="196"/>
    </row>
    <row r="124" spans="1:31" x14ac:dyDescent="0.2">
      <c r="I124" s="196"/>
      <c r="J124" s="196"/>
    </row>
  </sheetData>
  <mergeCells count="8">
    <mergeCell ref="E4:H5"/>
    <mergeCell ref="S4:V5"/>
    <mergeCell ref="AB4:AE5"/>
    <mergeCell ref="F7:G7"/>
    <mergeCell ref="T7:U7"/>
    <mergeCell ref="AC7:AD7"/>
    <mergeCell ref="M7:N7"/>
    <mergeCell ref="L4:O5"/>
  </mergeCells>
  <printOptions horizontalCentered="1"/>
  <pageMargins left="0.75" right="0.75" top="0.75" bottom="0.75" header="0.5" footer="0.5"/>
  <pageSetup scale="60" fitToHeight="2" orientation="landscape" r:id="rId1"/>
  <headerFooter alignWithMargins="0">
    <oddFooter>&amp;RExhibit JW-9
Page &amp;P of &amp;N</oddFooter>
  </headerFooter>
  <rowBreaks count="1" manualBreakCount="1">
    <brk id="6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Present and Proposed Rates</vt:lpstr>
      <vt:lpstr>Res-1</vt:lpstr>
      <vt:lpstr>Sheet1</vt:lpstr>
      <vt:lpstr>Residential NonTOU</vt:lpstr>
      <vt:lpstr>Resid. - TOU</vt:lpstr>
      <vt:lpstr>Com1Ph-3</vt:lpstr>
      <vt:lpstr>Com3Ph1000-7</vt:lpstr>
      <vt:lpstr>Com3Ph&lt;1000-5</vt:lpstr>
      <vt:lpstr>Lighting</vt:lpstr>
      <vt:lpstr>Dir A</vt:lpstr>
      <vt:lpstr>Dir B</vt:lpstr>
      <vt:lpstr>Dir C</vt:lpstr>
      <vt:lpstr>Summary</vt:lpstr>
      <vt:lpstr>ResIncrBase</vt:lpstr>
      <vt:lpstr>ResIncr</vt:lpstr>
      <vt:lpstr>Notice-Full</vt:lpstr>
      <vt:lpstr>Notice-Abbrev</vt:lpstr>
      <vt:lpstr>BillDet</vt:lpstr>
      <vt:lpstr>BillDetLt</vt:lpstr>
      <vt:lpstr>List</vt:lpstr>
      <vt:lpstr>'Com1Ph-3'!Print_Area</vt:lpstr>
      <vt:lpstr>'Com3Ph&lt;1000-5'!Print_Area</vt:lpstr>
      <vt:lpstr>'Com3Ph1000-7'!Print_Area</vt:lpstr>
      <vt:lpstr>'Dir A'!Print_Area</vt:lpstr>
      <vt:lpstr>'Dir B'!Print_Area</vt:lpstr>
      <vt:lpstr>'Dir C'!Print_Area</vt:lpstr>
      <vt:lpstr>Lighting!Print_Area</vt:lpstr>
      <vt:lpstr>'Notice-Abbrev'!Print_Area</vt:lpstr>
      <vt:lpstr>'Notice-Full'!Print_Area</vt:lpstr>
      <vt:lpstr>'Present and Proposed Rates'!Print_Area</vt:lpstr>
      <vt:lpstr>'Res-1'!Print_Area</vt:lpstr>
      <vt:lpstr>'Resid. - TOU'!Print_Area</vt:lpstr>
      <vt:lpstr>'Residential NonTOU'!Print_Area</vt:lpstr>
      <vt:lpstr>Summary!Print_Area</vt:lpstr>
      <vt:lpstr>Lighting!Print_Titles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Steve Thompson</cp:lastModifiedBy>
  <cp:lastPrinted>2023-09-28T03:17:59Z</cp:lastPrinted>
  <dcterms:created xsi:type="dcterms:W3CDTF">2000-07-10T18:54:31Z</dcterms:created>
  <dcterms:modified xsi:type="dcterms:W3CDTF">2023-09-28T10:40:15Z</dcterms:modified>
</cp:coreProperties>
</file>