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Data Requests\PSC data request no. 1\Kenergy responses by item no\Item 16 - avg. cust. test yr. and last two cal\"/>
    </mc:Choice>
  </mc:AlternateContent>
  <xr:revisionPtr revIDLastSave="0" documentId="13_ncr:1_{F4E5E486-207D-4B08-BE07-8AFE0AFE80A2}" xr6:coauthVersionLast="47" xr6:coauthVersionMax="47" xr10:uidLastSave="{00000000-0000-0000-0000-000000000000}"/>
  <bookViews>
    <workbookView xWindow="-120" yWindow="-120" windowWidth="25440" windowHeight="15390" xr2:uid="{BE9EE49E-FA44-4484-B626-6F031D31CAAB}"/>
  </bookViews>
  <sheets>
    <sheet name="Item 16 (Actual)" sheetId="1" r:id="rId1"/>
  </sheets>
  <definedNames>
    <definedName name="_xlnm.Print_Area" localSheetId="0">'Item 16 (Actual)'!$A$1:$N$62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M38" i="1"/>
  <c r="M37" i="1"/>
  <c r="L39" i="1"/>
  <c r="L38" i="1"/>
  <c r="L37" i="1"/>
  <c r="M23" i="1" l="1"/>
  <c r="M25" i="1"/>
  <c r="M24" i="1"/>
  <c r="L25" i="1"/>
  <c r="L24" i="1"/>
  <c r="L23" i="1"/>
  <c r="K25" i="1"/>
  <c r="K24" i="1"/>
  <c r="K23" i="1"/>
  <c r="J25" i="1"/>
  <c r="J24" i="1"/>
  <c r="J23" i="1"/>
  <c r="I25" i="1"/>
  <c r="I24" i="1"/>
  <c r="I23" i="1"/>
  <c r="H25" i="1"/>
  <c r="H24" i="1"/>
  <c r="H23" i="1"/>
  <c r="G25" i="1"/>
  <c r="G24" i="1"/>
  <c r="G23" i="1"/>
  <c r="F25" i="1"/>
  <c r="F24" i="1"/>
  <c r="F23" i="1"/>
  <c r="E25" i="1"/>
  <c r="E24" i="1"/>
  <c r="E23" i="1"/>
  <c r="D25" i="1"/>
  <c r="D24" i="1"/>
  <c r="D23" i="1"/>
  <c r="C25" i="1"/>
  <c r="C24" i="1"/>
  <c r="C23" i="1"/>
  <c r="B25" i="1"/>
  <c r="B24" i="1"/>
  <c r="B23" i="1"/>
  <c r="N23" i="1" l="1"/>
  <c r="M12" i="1"/>
  <c r="M11" i="1"/>
  <c r="M10" i="1"/>
  <c r="L12" i="1"/>
  <c r="L11" i="1"/>
  <c r="L10" i="1"/>
  <c r="K12" i="1"/>
  <c r="K11" i="1"/>
  <c r="K10" i="1"/>
  <c r="J12" i="1"/>
  <c r="J11" i="1"/>
  <c r="J10" i="1"/>
  <c r="I12" i="1"/>
  <c r="I11" i="1"/>
  <c r="I10" i="1"/>
  <c r="H12" i="1"/>
  <c r="H11" i="1"/>
  <c r="H10" i="1"/>
  <c r="G12" i="1"/>
  <c r="G11" i="1"/>
  <c r="G10" i="1"/>
  <c r="F12" i="1"/>
  <c r="F11" i="1"/>
  <c r="F10" i="1"/>
  <c r="E12" i="1"/>
  <c r="E11" i="1"/>
  <c r="E10" i="1"/>
  <c r="D12" i="1"/>
  <c r="D11" i="1"/>
  <c r="D10" i="1"/>
  <c r="C12" i="1"/>
  <c r="C11" i="1"/>
  <c r="C10" i="1"/>
  <c r="B12" i="1"/>
  <c r="B11" i="1"/>
  <c r="B10" i="1"/>
  <c r="N10" i="1" s="1"/>
  <c r="A59" i="1"/>
  <c r="A60" i="1"/>
  <c r="A54" i="1"/>
  <c r="A55" i="1"/>
  <c r="A56" i="1"/>
  <c r="A57" i="1"/>
  <c r="A58" i="1"/>
  <c r="A53" i="1"/>
  <c r="A43" i="1"/>
  <c r="A44" i="1"/>
  <c r="A38" i="1"/>
  <c r="A39" i="1"/>
  <c r="A40" i="1"/>
  <c r="A41" i="1"/>
  <c r="A42" i="1"/>
  <c r="A37" i="1"/>
  <c r="A24" i="1"/>
  <c r="A25" i="1"/>
  <c r="A26" i="1"/>
  <c r="A27" i="1"/>
  <c r="A28" i="1"/>
  <c r="A29" i="1"/>
  <c r="A30" i="1"/>
  <c r="A23" i="1"/>
  <c r="M46" i="1" l="1"/>
  <c r="L46" i="1"/>
  <c r="K46" i="1"/>
  <c r="J46" i="1"/>
  <c r="I46" i="1"/>
  <c r="H46" i="1"/>
  <c r="G46" i="1"/>
  <c r="F46" i="1"/>
  <c r="E46" i="1"/>
  <c r="D46" i="1"/>
  <c r="C46" i="1"/>
  <c r="B46" i="1"/>
  <c r="D61" i="1"/>
  <c r="N44" i="1"/>
  <c r="D60" i="1" s="1"/>
  <c r="N43" i="1"/>
  <c r="D59" i="1" s="1"/>
  <c r="N42" i="1"/>
  <c r="D58" i="1" s="1"/>
  <c r="N41" i="1"/>
  <c r="D57" i="1" s="1"/>
  <c r="N40" i="1"/>
  <c r="D56" i="1" s="1"/>
  <c r="N39" i="1"/>
  <c r="D55" i="1" s="1"/>
  <c r="N38" i="1"/>
  <c r="D54" i="1" s="1"/>
  <c r="N37" i="1"/>
  <c r="D53" i="1" s="1"/>
  <c r="M32" i="1"/>
  <c r="L32" i="1"/>
  <c r="K32" i="1"/>
  <c r="J32" i="1"/>
  <c r="I32" i="1"/>
  <c r="H32" i="1"/>
  <c r="G32" i="1"/>
  <c r="F32" i="1"/>
  <c r="E32" i="1"/>
  <c r="D32" i="1"/>
  <c r="C32" i="1"/>
  <c r="B32" i="1"/>
  <c r="C61" i="1"/>
  <c r="N30" i="1"/>
  <c r="C60" i="1" s="1"/>
  <c r="N29" i="1"/>
  <c r="C59" i="1" s="1"/>
  <c r="N28" i="1"/>
  <c r="C58" i="1" s="1"/>
  <c r="N27" i="1"/>
  <c r="C57" i="1" s="1"/>
  <c r="N26" i="1"/>
  <c r="C56" i="1" s="1"/>
  <c r="N25" i="1"/>
  <c r="C55" i="1" s="1"/>
  <c r="N24" i="1"/>
  <c r="C54" i="1" s="1"/>
  <c r="C53" i="1"/>
  <c r="M19" i="1"/>
  <c r="L19" i="1"/>
  <c r="K19" i="1"/>
  <c r="J19" i="1"/>
  <c r="I19" i="1"/>
  <c r="H19" i="1"/>
  <c r="G19" i="1"/>
  <c r="F19" i="1"/>
  <c r="E19" i="1"/>
  <c r="D19" i="1"/>
  <c r="C19" i="1"/>
  <c r="B19" i="1"/>
  <c r="B61" i="1"/>
  <c r="N17" i="1"/>
  <c r="B60" i="1" s="1"/>
  <c r="N16" i="1"/>
  <c r="B59" i="1" s="1"/>
  <c r="N15" i="1"/>
  <c r="B58" i="1" s="1"/>
  <c r="N14" i="1"/>
  <c r="B57" i="1" s="1"/>
  <c r="N13" i="1"/>
  <c r="B56" i="1" s="1"/>
  <c r="N12" i="1"/>
  <c r="B55" i="1" s="1"/>
  <c r="N11" i="1"/>
  <c r="B54" i="1" s="1"/>
  <c r="B53" i="1"/>
  <c r="N46" i="1" l="1"/>
  <c r="N32" i="1"/>
  <c r="N19" i="1"/>
  <c r="B62" i="1"/>
  <c r="C62" i="1"/>
  <c r="D62" i="1"/>
</calcChain>
</file>

<file path=xl/sharedStrings.xml><?xml version="1.0" encoding="utf-8"?>
<sst xmlns="http://schemas.openxmlformats.org/spreadsheetml/2006/main" count="62" uniqueCount="34">
  <si>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</si>
  <si>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</si>
  <si>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</si>
  <si>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</si>
  <si>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</si>
  <si>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</si>
  <si>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</si>
  <si>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</si>
  <si>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</si>
  <si>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</si>
  <si>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</si>
  <si>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</si>
  <si>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</si>
  <si>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TOTAL</t>
  </si>
  <si>
    <t>Kenergy Corp.</t>
  </si>
  <si>
    <t>Test</t>
  </si>
  <si>
    <t>Period</t>
  </si>
  <si>
    <t>Residential</t>
  </si>
  <si>
    <t>Non-Residential Single Phase</t>
  </si>
  <si>
    <t>Three-Phase 1,001 KW and over</t>
  </si>
  <si>
    <t>Direct Serve Class A</t>
  </si>
  <si>
    <t>Direct Serve Class B</t>
  </si>
  <si>
    <t>Direct Serve Class C</t>
  </si>
  <si>
    <t>Street Lighting</t>
  </si>
  <si>
    <t>Three-Phase (0 - 1,000 KW)</t>
  </si>
  <si>
    <t>June</t>
  </si>
  <si>
    <t>2021 (Actual)</t>
  </si>
  <si>
    <t>2022 (Actual)</t>
  </si>
  <si>
    <t>Test Period Ended 02-28-2023 (Actual)</t>
  </si>
  <si>
    <t>Summary (Actual)</t>
  </si>
  <si>
    <t>Case No. 2023-00276</t>
  </si>
  <si>
    <t>PSC information request No. 1</t>
  </si>
  <si>
    <t>Item 16 - Number of Active Accounts by Rate Schedule</t>
  </si>
  <si>
    <t>Request 16, 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</si>
</sst>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0" borderId="0" xfId="1" applyNumberFormat="1" applyFont="1"/>
    <xf numFmtId="164" fontId="3" fillId="0" borderId="3" xfId="1" applyNumberFormat="1" applyFont="1" applyBorder="1"/>
    <xf numFmtId="164" fontId="3" fillId="0" borderId="0" xfId="0" applyNumberFormat="1" applyFont="1"/>
    <xf numFmtId="0" fontId="2" fillId="0" borderId="3" xfId="0" applyFont="1" applyBorder="1"/>
    <xf numFmtId="164" fontId="3" fillId="0" borderId="3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1C8E-950C-4AFD-AB38-5A21B762BFB7}">
  <sheetPr>
    <pageSetUpPr fitToPage="1"/>
  </sheetPr>
  <dimension ref="A1:N65"/>
  <sheetViews>
    <sheetView tabSelected="1" workbookViewId="0">
      <selection activeCell="A5" sqref="A5"/>
    </sheetView>
  </sheetViews>
  <sheetFormatPr defaultRowHeight="14.25" x14ac:dyDescent="0.2"/>
  <cols>
    <col min="1" max="1" width="52" style="2" bestFit="1" customWidth="1"/>
    <col min="2" max="14" width="11.7109375" style="2" customWidth="1"/>
    <col min="15" max="16384" width="9.140625" style="2"/>
  </cols>
  <sheetData>
    <row r="1" spans="1:14" ht="15" x14ac:dyDescent="0.25">
      <c r="A1" s="1" t="s">
        <v>14</v>
      </c>
    </row>
    <row r="2" spans="1:14" ht="15" x14ac:dyDescent="0.25">
      <c r="A2" s="1" t="s">
        <v>30</v>
      </c>
    </row>
    <row r="3" spans="1:14" ht="15" x14ac:dyDescent="0.25">
      <c r="A3" s="1" t="s">
        <v>31</v>
      </c>
    </row>
    <row r="4" spans="1:14" ht="15" x14ac:dyDescent="0.25">
      <c r="A4" s="1" t="s">
        <v>32</v>
      </c>
    </row>
    <row r="8" spans="1:14" ht="15" thickBot="1" x14ac:dyDescent="0.25"/>
    <row r="9" spans="1:14" ht="15.75" thickBot="1" x14ac:dyDescent="0.3">
      <c r="A9" s="11" t="s">
        <v>26</v>
      </c>
      <c r="B9" s="3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4" t="s">
        <v>8</v>
      </c>
      <c r="K9" s="4" t="s">
        <v>9</v>
      </c>
      <c r="L9" s="4" t="s">
        <v>10</v>
      </c>
      <c r="M9" s="4" t="s">
        <v>11</v>
      </c>
      <c r="N9" s="4" t="s">
        <v>12</v>
      </c>
    </row>
    <row r="10" spans="1:14" x14ac:dyDescent="0.2">
      <c r="A10" s="2" t="s">
        <v>17</v>
      </c>
      <c r="B10" s="5">
        <f>46622+210</f>
        <v>46832</v>
      </c>
      <c r="C10" s="5">
        <f>46591+208</f>
        <v>46799</v>
      </c>
      <c r="D10" s="5">
        <f>46518+207</f>
        <v>46725</v>
      </c>
      <c r="E10" s="5">
        <f>46576+207</f>
        <v>46783</v>
      </c>
      <c r="F10" s="5">
        <f>46580+212</f>
        <v>46792</v>
      </c>
      <c r="G10" s="5">
        <f>46638+217</f>
        <v>46855</v>
      </c>
      <c r="H10" s="5">
        <f>46698+220</f>
        <v>46918</v>
      </c>
      <c r="I10" s="5">
        <f>46768+218</f>
        <v>46986</v>
      </c>
      <c r="J10" s="5">
        <f>46775+215</f>
        <v>46990</v>
      </c>
      <c r="K10" s="5">
        <f>46786+214</f>
        <v>47000</v>
      </c>
      <c r="L10" s="5">
        <f>46818+214</f>
        <v>47032</v>
      </c>
      <c r="M10" s="5">
        <f>46841+217</f>
        <v>47058</v>
      </c>
      <c r="N10" s="5">
        <f>IF(SUM(B10:M10)=0,0,AVERAGE(B10:M10))</f>
        <v>46897.5</v>
      </c>
    </row>
    <row r="11" spans="1:14" x14ac:dyDescent="0.2">
      <c r="A11" s="2" t="s">
        <v>18</v>
      </c>
      <c r="B11" s="5">
        <f>9835+549</f>
        <v>10384</v>
      </c>
      <c r="C11" s="5">
        <f>9822+549</f>
        <v>10371</v>
      </c>
      <c r="D11" s="5">
        <f>9822+549</f>
        <v>10371</v>
      </c>
      <c r="E11" s="5">
        <f>9844+547</f>
        <v>10391</v>
      </c>
      <c r="F11" s="5">
        <f>9822+547</f>
        <v>10369</v>
      </c>
      <c r="G11" s="5">
        <f>9845+546</f>
        <v>10391</v>
      </c>
      <c r="H11" s="5">
        <f>9859+546</f>
        <v>10405</v>
      </c>
      <c r="I11" s="5">
        <f>9887+544</f>
        <v>10431</v>
      </c>
      <c r="J11" s="5">
        <f>9912+544</f>
        <v>10456</v>
      </c>
      <c r="K11" s="5">
        <f>9948+544</f>
        <v>10492</v>
      </c>
      <c r="L11" s="5">
        <f>9983+546</f>
        <v>10529</v>
      </c>
      <c r="M11" s="5">
        <f>9979+546</f>
        <v>10525</v>
      </c>
      <c r="N11" s="5">
        <f t="shared" ref="N11:N17" si="0">IF(SUM(B11:M11)=0,0,AVERAGE(B11:M11))</f>
        <v>10426.25</v>
      </c>
    </row>
    <row r="12" spans="1:14" x14ac:dyDescent="0.2">
      <c r="A12" s="2" t="s">
        <v>24</v>
      </c>
      <c r="B12" s="5">
        <f>1064+167</f>
        <v>1231</v>
      </c>
      <c r="C12" s="5">
        <f>1065+167</f>
        <v>1232</v>
      </c>
      <c r="D12" s="5">
        <f>1066+167</f>
        <v>1233</v>
      </c>
      <c r="E12" s="5">
        <f>1067+168</f>
        <v>1235</v>
      </c>
      <c r="F12" s="5">
        <f>1068+169</f>
        <v>1237</v>
      </c>
      <c r="G12" s="5">
        <f>1071+169</f>
        <v>1240</v>
      </c>
      <c r="H12" s="5">
        <f>1074+169</f>
        <v>1243</v>
      </c>
      <c r="I12" s="5">
        <f>1072+169</f>
        <v>1241</v>
      </c>
      <c r="J12" s="5">
        <f>1074+169</f>
        <v>1243</v>
      </c>
      <c r="K12" s="5">
        <f>1082+170</f>
        <v>1252</v>
      </c>
      <c r="L12" s="5">
        <f>1093+169</f>
        <v>1262</v>
      </c>
      <c r="M12" s="5">
        <f>1091+169</f>
        <v>1260</v>
      </c>
      <c r="N12" s="5">
        <f t="shared" si="0"/>
        <v>1242.4166666666667</v>
      </c>
    </row>
    <row r="13" spans="1:14" x14ac:dyDescent="0.2">
      <c r="A13" s="2" t="s">
        <v>19</v>
      </c>
      <c r="B13" s="5">
        <v>12</v>
      </c>
      <c r="C13" s="5">
        <v>12</v>
      </c>
      <c r="D13" s="5">
        <v>11</v>
      </c>
      <c r="E13" s="5">
        <v>11</v>
      </c>
      <c r="F13" s="5">
        <v>11</v>
      </c>
      <c r="G13" s="5">
        <v>11</v>
      </c>
      <c r="H13" s="5">
        <v>11</v>
      </c>
      <c r="I13" s="5">
        <v>11</v>
      </c>
      <c r="J13" s="5">
        <v>11</v>
      </c>
      <c r="K13" s="5">
        <v>11</v>
      </c>
      <c r="L13" s="5">
        <v>11</v>
      </c>
      <c r="M13" s="5">
        <v>11</v>
      </c>
      <c r="N13" s="5">
        <f t="shared" si="0"/>
        <v>11.166666666666666</v>
      </c>
    </row>
    <row r="14" spans="1:14" x14ac:dyDescent="0.2">
      <c r="A14" s="2" t="s">
        <v>23</v>
      </c>
      <c r="B14" s="5">
        <v>94</v>
      </c>
      <c r="C14" s="5">
        <v>95</v>
      </c>
      <c r="D14" s="5">
        <v>95</v>
      </c>
      <c r="E14" s="5">
        <v>95</v>
      </c>
      <c r="F14" s="5">
        <v>95</v>
      </c>
      <c r="G14" s="5">
        <v>95</v>
      </c>
      <c r="H14" s="5">
        <v>95</v>
      </c>
      <c r="I14" s="5">
        <v>95</v>
      </c>
      <c r="J14" s="5">
        <v>95</v>
      </c>
      <c r="K14" s="5">
        <v>95</v>
      </c>
      <c r="L14" s="5">
        <v>96</v>
      </c>
      <c r="M14" s="5">
        <v>96</v>
      </c>
      <c r="N14" s="5">
        <f t="shared" si="0"/>
        <v>95.083333333333329</v>
      </c>
    </row>
    <row r="15" spans="1:14" x14ac:dyDescent="0.2">
      <c r="A15" s="2" t="s">
        <v>20</v>
      </c>
      <c r="B15" s="5">
        <v>2</v>
      </c>
      <c r="C15" s="5">
        <v>2</v>
      </c>
      <c r="D15" s="5">
        <v>2</v>
      </c>
      <c r="E15" s="5">
        <v>2</v>
      </c>
      <c r="F15" s="5">
        <v>2</v>
      </c>
      <c r="G15" s="5">
        <v>2</v>
      </c>
      <c r="H15" s="5">
        <v>2</v>
      </c>
      <c r="I15" s="5">
        <v>2</v>
      </c>
      <c r="J15" s="5">
        <v>2</v>
      </c>
      <c r="K15" s="5">
        <v>2</v>
      </c>
      <c r="L15" s="5">
        <v>2</v>
      </c>
      <c r="M15" s="5">
        <v>2</v>
      </c>
      <c r="N15" s="5">
        <f t="shared" si="0"/>
        <v>2</v>
      </c>
    </row>
    <row r="16" spans="1:14" x14ac:dyDescent="0.2">
      <c r="A16" s="2" t="s">
        <v>21</v>
      </c>
      <c r="B16" s="5">
        <v>3</v>
      </c>
      <c r="C16" s="5">
        <v>3</v>
      </c>
      <c r="D16" s="5">
        <v>3</v>
      </c>
      <c r="E16" s="5">
        <v>3</v>
      </c>
      <c r="F16" s="5">
        <v>3</v>
      </c>
      <c r="G16" s="5">
        <v>3</v>
      </c>
      <c r="H16" s="5">
        <v>3</v>
      </c>
      <c r="I16" s="5">
        <v>3</v>
      </c>
      <c r="J16" s="5">
        <v>3</v>
      </c>
      <c r="K16" s="5">
        <v>3</v>
      </c>
      <c r="L16" s="5">
        <v>3</v>
      </c>
      <c r="M16" s="5">
        <v>3</v>
      </c>
      <c r="N16" s="5">
        <f t="shared" si="0"/>
        <v>3</v>
      </c>
    </row>
    <row r="17" spans="1:14" x14ac:dyDescent="0.2">
      <c r="A17" s="2" t="s">
        <v>22</v>
      </c>
      <c r="B17" s="5">
        <v>13</v>
      </c>
      <c r="C17" s="5">
        <v>13</v>
      </c>
      <c r="D17" s="5">
        <v>13</v>
      </c>
      <c r="E17" s="5">
        <v>13</v>
      </c>
      <c r="F17" s="5">
        <v>13</v>
      </c>
      <c r="G17" s="5">
        <v>13</v>
      </c>
      <c r="H17" s="5">
        <v>13</v>
      </c>
      <c r="I17" s="5">
        <v>13</v>
      </c>
      <c r="J17" s="5">
        <v>13</v>
      </c>
      <c r="K17" s="5">
        <v>13</v>
      </c>
      <c r="L17" s="5">
        <v>13</v>
      </c>
      <c r="M17" s="5">
        <v>12</v>
      </c>
      <c r="N17" s="5">
        <f t="shared" si="0"/>
        <v>12.916666666666666</v>
      </c>
    </row>
    <row r="18" spans="1:14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2" t="s">
        <v>13</v>
      </c>
      <c r="B19" s="5">
        <f t="shared" ref="B19:M19" si="1">SUM(B10:B18)</f>
        <v>58571</v>
      </c>
      <c r="C19" s="5">
        <f t="shared" si="1"/>
        <v>58527</v>
      </c>
      <c r="D19" s="5">
        <f t="shared" si="1"/>
        <v>58453</v>
      </c>
      <c r="E19" s="5">
        <f t="shared" si="1"/>
        <v>58533</v>
      </c>
      <c r="F19" s="5">
        <f t="shared" si="1"/>
        <v>58522</v>
      </c>
      <c r="G19" s="5">
        <f t="shared" si="1"/>
        <v>58610</v>
      </c>
      <c r="H19" s="5">
        <f t="shared" si="1"/>
        <v>58690</v>
      </c>
      <c r="I19" s="5">
        <f t="shared" si="1"/>
        <v>58782</v>
      </c>
      <c r="J19" s="5">
        <f t="shared" si="1"/>
        <v>58813</v>
      </c>
      <c r="K19" s="5">
        <f t="shared" si="1"/>
        <v>58868</v>
      </c>
      <c r="L19" s="5">
        <f t="shared" si="1"/>
        <v>58948</v>
      </c>
      <c r="M19" s="5">
        <f t="shared" si="1"/>
        <v>58967</v>
      </c>
      <c r="N19" s="5">
        <f>IF(SUM(B19:M19)=0,0,AVERAGE(B19:M19))</f>
        <v>58690.333333333336</v>
      </c>
    </row>
    <row r="20" spans="1:14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5" thickBot="1" x14ac:dyDescent="0.25"/>
    <row r="22" spans="1:14" ht="15.75" thickBot="1" x14ac:dyDescent="0.3">
      <c r="A22" s="11" t="s">
        <v>27</v>
      </c>
      <c r="B22" s="3" t="s">
        <v>0</v>
      </c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4" t="s">
        <v>6</v>
      </c>
      <c r="I22" s="4" t="s">
        <v>7</v>
      </c>
      <c r="J22" s="4" t="s">
        <v>8</v>
      </c>
      <c r="K22" s="4" t="s">
        <v>9</v>
      </c>
      <c r="L22" s="4" t="s">
        <v>10</v>
      </c>
      <c r="M22" s="4" t="s">
        <v>11</v>
      </c>
      <c r="N22" s="4" t="s">
        <v>12</v>
      </c>
    </row>
    <row r="23" spans="1:14" x14ac:dyDescent="0.2">
      <c r="A23" s="2" t="str">
        <f>A10</f>
        <v>Residential</v>
      </c>
      <c r="B23" s="5">
        <f>46853+214</f>
        <v>47067</v>
      </c>
      <c r="C23" s="5">
        <f>46874+211</f>
        <v>47085</v>
      </c>
      <c r="D23" s="5">
        <f>46835+209</f>
        <v>47044</v>
      </c>
      <c r="E23" s="5">
        <f>46894+208</f>
        <v>47102</v>
      </c>
      <c r="F23" s="5">
        <f>46860+206</f>
        <v>47066</v>
      </c>
      <c r="G23" s="5">
        <f>46901+207</f>
        <v>47108</v>
      </c>
      <c r="H23" s="5">
        <f>46886+210</f>
        <v>47096</v>
      </c>
      <c r="I23" s="5">
        <f>46963+210</f>
        <v>47173</v>
      </c>
      <c r="J23" s="5">
        <f>46988+203</f>
        <v>47191</v>
      </c>
      <c r="K23" s="5">
        <f>46947+203</f>
        <v>47150</v>
      </c>
      <c r="L23" s="5">
        <f>46985+199</f>
        <v>47184</v>
      </c>
      <c r="M23" s="5">
        <f>46034+1123</f>
        <v>47157</v>
      </c>
      <c r="N23" s="5">
        <f>IF(SUM(B23:M23)=0,0,AVERAGE(B23:M23))</f>
        <v>47118.583333333336</v>
      </c>
    </row>
    <row r="24" spans="1:14" x14ac:dyDescent="0.2">
      <c r="A24" s="2" t="str">
        <f t="shared" ref="A24:A30" si="2">A11</f>
        <v>Non-Residential Single Phase</v>
      </c>
      <c r="B24" s="5">
        <f>9994+545</f>
        <v>10539</v>
      </c>
      <c r="C24" s="5">
        <f>9970+544</f>
        <v>10514</v>
      </c>
      <c r="D24" s="5">
        <f>9962+545</f>
        <v>10507</v>
      </c>
      <c r="E24" s="5">
        <f>9974+542</f>
        <v>10516</v>
      </c>
      <c r="F24" s="5">
        <f>9961+542</f>
        <v>10503</v>
      </c>
      <c r="G24" s="5">
        <f>9988+542</f>
        <v>10530</v>
      </c>
      <c r="H24" s="5">
        <f>9997+542</f>
        <v>10539</v>
      </c>
      <c r="I24" s="5">
        <f>10025+541</f>
        <v>10566</v>
      </c>
      <c r="J24" s="5">
        <f>10041+542</f>
        <v>10583</v>
      </c>
      <c r="K24" s="5">
        <f>10082+542</f>
        <v>10624</v>
      </c>
      <c r="L24" s="5">
        <f>10106+542</f>
        <v>10648</v>
      </c>
      <c r="M24" s="5">
        <f>10122+542</f>
        <v>10664</v>
      </c>
      <c r="N24" s="5">
        <f t="shared" ref="N24:N30" si="3">IF(SUM(B24:M24)=0,0,AVERAGE(B24:M24))</f>
        <v>10561.083333333334</v>
      </c>
    </row>
    <row r="25" spans="1:14" x14ac:dyDescent="0.2">
      <c r="A25" s="2" t="str">
        <f t="shared" si="2"/>
        <v>Three-Phase (0 - 1,000 KW)</v>
      </c>
      <c r="B25" s="5">
        <f>1092+169</f>
        <v>1261</v>
      </c>
      <c r="C25" s="5">
        <f>1087+169</f>
        <v>1256</v>
      </c>
      <c r="D25" s="5">
        <f>1086+168</f>
        <v>1254</v>
      </c>
      <c r="E25" s="5">
        <f>1090+169</f>
        <v>1259</v>
      </c>
      <c r="F25" s="5">
        <f>1088+169</f>
        <v>1257</v>
      </c>
      <c r="G25" s="5">
        <f>1084+170</f>
        <v>1254</v>
      </c>
      <c r="H25" s="5">
        <f>1087+169</f>
        <v>1256</v>
      </c>
      <c r="I25" s="5">
        <f>1092+169</f>
        <v>1261</v>
      </c>
      <c r="J25" s="5">
        <f>1095+169</f>
        <v>1264</v>
      </c>
      <c r="K25" s="5">
        <f>1094+169</f>
        <v>1263</v>
      </c>
      <c r="L25" s="5">
        <f>1100+169</f>
        <v>1269</v>
      </c>
      <c r="M25" s="5">
        <f>1100+169</f>
        <v>1269</v>
      </c>
      <c r="N25" s="5">
        <f t="shared" si="3"/>
        <v>1260.25</v>
      </c>
    </row>
    <row r="26" spans="1:14" x14ac:dyDescent="0.2">
      <c r="A26" s="2" t="str">
        <f t="shared" si="2"/>
        <v>Three-Phase 1,001 KW and over</v>
      </c>
      <c r="B26" s="5">
        <v>11</v>
      </c>
      <c r="C26" s="5">
        <v>11</v>
      </c>
      <c r="D26" s="5">
        <v>11</v>
      </c>
      <c r="E26" s="5">
        <v>11</v>
      </c>
      <c r="F26" s="5">
        <v>11</v>
      </c>
      <c r="G26" s="5">
        <v>11</v>
      </c>
      <c r="H26" s="5">
        <v>11</v>
      </c>
      <c r="I26" s="5">
        <v>11</v>
      </c>
      <c r="J26" s="5">
        <v>11</v>
      </c>
      <c r="K26" s="5">
        <v>11</v>
      </c>
      <c r="L26" s="5">
        <v>11</v>
      </c>
      <c r="M26" s="5">
        <v>11</v>
      </c>
      <c r="N26" s="5">
        <f t="shared" si="3"/>
        <v>11</v>
      </c>
    </row>
    <row r="27" spans="1:14" x14ac:dyDescent="0.2">
      <c r="A27" s="2" t="str">
        <f t="shared" si="2"/>
        <v>Street Lighting</v>
      </c>
      <c r="B27" s="5">
        <v>96</v>
      </c>
      <c r="C27" s="5">
        <v>96</v>
      </c>
      <c r="D27" s="5">
        <v>96</v>
      </c>
      <c r="E27" s="5">
        <v>96</v>
      </c>
      <c r="F27" s="5">
        <v>97</v>
      </c>
      <c r="G27" s="5">
        <v>96</v>
      </c>
      <c r="H27" s="5">
        <v>96</v>
      </c>
      <c r="I27" s="5">
        <v>96</v>
      </c>
      <c r="J27" s="5">
        <v>96</v>
      </c>
      <c r="K27" s="5">
        <v>96</v>
      </c>
      <c r="L27" s="5">
        <v>96</v>
      </c>
      <c r="M27" s="5">
        <v>96</v>
      </c>
      <c r="N27" s="5">
        <f t="shared" si="3"/>
        <v>96.083333333333329</v>
      </c>
    </row>
    <row r="28" spans="1:14" x14ac:dyDescent="0.2">
      <c r="A28" s="2" t="str">
        <f t="shared" si="2"/>
        <v>Direct Serve Class A</v>
      </c>
      <c r="B28" s="5">
        <v>2</v>
      </c>
      <c r="C28" s="5">
        <v>2</v>
      </c>
      <c r="D28" s="5">
        <v>2</v>
      </c>
      <c r="E28" s="5">
        <v>2</v>
      </c>
      <c r="F28" s="5">
        <v>2</v>
      </c>
      <c r="G28" s="5">
        <v>2</v>
      </c>
      <c r="H28" s="5">
        <v>2</v>
      </c>
      <c r="I28" s="5">
        <v>2</v>
      </c>
      <c r="J28" s="5">
        <v>2</v>
      </c>
      <c r="K28" s="5">
        <v>2</v>
      </c>
      <c r="L28" s="5">
        <v>2</v>
      </c>
      <c r="M28" s="5">
        <v>2</v>
      </c>
      <c r="N28" s="5">
        <f t="shared" si="3"/>
        <v>2</v>
      </c>
    </row>
    <row r="29" spans="1:14" x14ac:dyDescent="0.2">
      <c r="A29" s="2" t="str">
        <f t="shared" si="2"/>
        <v>Direct Serve Class B</v>
      </c>
      <c r="B29" s="5">
        <v>3</v>
      </c>
      <c r="C29" s="5">
        <v>3</v>
      </c>
      <c r="D29" s="5">
        <v>3</v>
      </c>
      <c r="E29" s="5">
        <v>3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3</v>
      </c>
      <c r="M29" s="5">
        <v>3</v>
      </c>
      <c r="N29" s="5">
        <f t="shared" si="3"/>
        <v>3</v>
      </c>
    </row>
    <row r="30" spans="1:14" x14ac:dyDescent="0.2">
      <c r="A30" s="2" t="str">
        <f t="shared" si="2"/>
        <v>Direct Serve Class C</v>
      </c>
      <c r="B30" s="5">
        <v>12</v>
      </c>
      <c r="C30" s="5">
        <v>12</v>
      </c>
      <c r="D30" s="5">
        <v>12</v>
      </c>
      <c r="E30" s="5">
        <v>12</v>
      </c>
      <c r="F30" s="5">
        <v>12</v>
      </c>
      <c r="G30" s="5">
        <v>12</v>
      </c>
      <c r="H30" s="5">
        <v>12</v>
      </c>
      <c r="I30" s="5">
        <v>12</v>
      </c>
      <c r="J30" s="5">
        <v>12</v>
      </c>
      <c r="K30" s="5">
        <v>12</v>
      </c>
      <c r="L30" s="5">
        <v>12</v>
      </c>
      <c r="M30" s="5">
        <v>12</v>
      </c>
      <c r="N30" s="5">
        <f t="shared" si="3"/>
        <v>12</v>
      </c>
    </row>
    <row r="31" spans="1:14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2" t="s">
        <v>13</v>
      </c>
      <c r="B32" s="5">
        <f t="shared" ref="B32:M32" si="4">SUM(B23:B31)</f>
        <v>58991</v>
      </c>
      <c r="C32" s="5">
        <f t="shared" si="4"/>
        <v>58979</v>
      </c>
      <c r="D32" s="5">
        <f t="shared" si="4"/>
        <v>58929</v>
      </c>
      <c r="E32" s="5">
        <f t="shared" si="4"/>
        <v>59001</v>
      </c>
      <c r="F32" s="5">
        <f t="shared" si="4"/>
        <v>58951</v>
      </c>
      <c r="G32" s="5">
        <f t="shared" si="4"/>
        <v>59016</v>
      </c>
      <c r="H32" s="5">
        <f t="shared" si="4"/>
        <v>59015</v>
      </c>
      <c r="I32" s="5">
        <f t="shared" si="4"/>
        <v>59124</v>
      </c>
      <c r="J32" s="5">
        <f t="shared" si="4"/>
        <v>59162</v>
      </c>
      <c r="K32" s="5">
        <f t="shared" si="4"/>
        <v>59161</v>
      </c>
      <c r="L32" s="5">
        <f t="shared" si="4"/>
        <v>59225</v>
      </c>
      <c r="M32" s="5">
        <f t="shared" si="4"/>
        <v>59214</v>
      </c>
      <c r="N32" s="5">
        <f>IF(SUM(B32:M32)=0,0,AVERAGE(B32:M32))</f>
        <v>59064</v>
      </c>
    </row>
    <row r="35" spans="1:14" ht="15.75" thickBot="1" x14ac:dyDescent="0.3">
      <c r="B35" s="10">
        <v>2022</v>
      </c>
      <c r="C35" s="10">
        <v>2022</v>
      </c>
      <c r="D35" s="10">
        <v>2022</v>
      </c>
      <c r="E35" s="10">
        <v>2022</v>
      </c>
      <c r="F35" s="10">
        <v>2022</v>
      </c>
      <c r="G35" s="10">
        <v>2022</v>
      </c>
      <c r="H35" s="10">
        <v>2022</v>
      </c>
      <c r="I35" s="10">
        <v>2022</v>
      </c>
      <c r="J35" s="10">
        <v>2022</v>
      </c>
      <c r="K35" s="10">
        <v>2022</v>
      </c>
      <c r="L35" s="10">
        <v>2023</v>
      </c>
      <c r="M35" s="10">
        <v>2023</v>
      </c>
    </row>
    <row r="36" spans="1:14" ht="15.75" thickBot="1" x14ac:dyDescent="0.3">
      <c r="A36" s="11" t="s">
        <v>28</v>
      </c>
      <c r="B36" s="3" t="s">
        <v>2</v>
      </c>
      <c r="C36" s="4" t="s">
        <v>3</v>
      </c>
      <c r="D36" s="4" t="s">
        <v>4</v>
      </c>
      <c r="E36" s="4" t="s">
        <v>25</v>
      </c>
      <c r="F36" s="4" t="s">
        <v>6</v>
      </c>
      <c r="G36" s="4" t="s">
        <v>7</v>
      </c>
      <c r="H36" s="4" t="s">
        <v>8</v>
      </c>
      <c r="I36" s="4" t="s">
        <v>9</v>
      </c>
      <c r="J36" s="4" t="s">
        <v>10</v>
      </c>
      <c r="K36" s="4" t="s">
        <v>11</v>
      </c>
      <c r="L36" s="4" t="s">
        <v>0</v>
      </c>
      <c r="M36" s="4" t="s">
        <v>1</v>
      </c>
      <c r="N36" s="4" t="s">
        <v>12</v>
      </c>
    </row>
    <row r="37" spans="1:14" x14ac:dyDescent="0.2">
      <c r="A37" s="2" t="str">
        <f>A10</f>
        <v>Residential</v>
      </c>
      <c r="B37" s="5">
        <v>47044</v>
      </c>
      <c r="C37" s="5">
        <v>47102</v>
      </c>
      <c r="D37" s="5">
        <v>47066</v>
      </c>
      <c r="E37" s="5">
        <v>47108</v>
      </c>
      <c r="F37" s="5">
        <v>47096</v>
      </c>
      <c r="G37" s="5">
        <v>47173</v>
      </c>
      <c r="H37" s="5">
        <v>47191</v>
      </c>
      <c r="I37" s="5">
        <v>47150</v>
      </c>
      <c r="J37" s="5">
        <v>47184</v>
      </c>
      <c r="K37" s="5">
        <v>47157</v>
      </c>
      <c r="L37" s="5">
        <f>44594+2587</f>
        <v>47181</v>
      </c>
      <c r="M37" s="5">
        <f>40615+6437</f>
        <v>47052</v>
      </c>
      <c r="N37" s="5">
        <f>IF(SUM(B37:M37)=0,0,AVERAGE(B37:M37))</f>
        <v>47125.333333333336</v>
      </c>
    </row>
    <row r="38" spans="1:14" x14ac:dyDescent="0.2">
      <c r="A38" s="2" t="str">
        <f t="shared" ref="A38:A44" si="5">A11</f>
        <v>Non-Residential Single Phase</v>
      </c>
      <c r="B38" s="5">
        <v>10507</v>
      </c>
      <c r="C38" s="5">
        <v>10516</v>
      </c>
      <c r="D38" s="5">
        <v>10503</v>
      </c>
      <c r="E38" s="5">
        <v>10530</v>
      </c>
      <c r="F38" s="5">
        <v>10539</v>
      </c>
      <c r="G38" s="5">
        <v>10566</v>
      </c>
      <c r="H38" s="5">
        <v>10583</v>
      </c>
      <c r="I38" s="5">
        <v>10624</v>
      </c>
      <c r="J38" s="5">
        <v>10648</v>
      </c>
      <c r="K38" s="5">
        <v>10664</v>
      </c>
      <c r="L38" s="5">
        <f>10126+542</f>
        <v>10668</v>
      </c>
      <c r="M38" s="5">
        <f>10214+542</f>
        <v>10756</v>
      </c>
      <c r="N38" s="5">
        <f t="shared" ref="N38:N44" si="6">IF(SUM(B38:M38)=0,0,AVERAGE(B38:M38))</f>
        <v>10592</v>
      </c>
    </row>
    <row r="39" spans="1:14" x14ac:dyDescent="0.2">
      <c r="A39" s="2" t="str">
        <f t="shared" si="5"/>
        <v>Three-Phase (0 - 1,000 KW)</v>
      </c>
      <c r="B39" s="5">
        <v>1254</v>
      </c>
      <c r="C39" s="5">
        <v>1259</v>
      </c>
      <c r="D39" s="5">
        <v>1257</v>
      </c>
      <c r="E39" s="5">
        <v>1254</v>
      </c>
      <c r="F39" s="5">
        <v>1256</v>
      </c>
      <c r="G39" s="5">
        <v>1261</v>
      </c>
      <c r="H39" s="5">
        <v>1264</v>
      </c>
      <c r="I39" s="5">
        <v>1263</v>
      </c>
      <c r="J39" s="5">
        <v>1269</v>
      </c>
      <c r="K39" s="5">
        <v>1269</v>
      </c>
      <c r="L39" s="5">
        <f>1102+169</f>
        <v>1271</v>
      </c>
      <c r="M39" s="5">
        <f>1108+169</f>
        <v>1277</v>
      </c>
      <c r="N39" s="5">
        <f t="shared" si="6"/>
        <v>1262.8333333333333</v>
      </c>
    </row>
    <row r="40" spans="1:14" x14ac:dyDescent="0.2">
      <c r="A40" s="2" t="str">
        <f t="shared" si="5"/>
        <v>Three-Phase 1,001 KW and over</v>
      </c>
      <c r="B40" s="5">
        <v>11</v>
      </c>
      <c r="C40" s="5">
        <v>11</v>
      </c>
      <c r="D40" s="5">
        <v>11</v>
      </c>
      <c r="E40" s="5">
        <v>11</v>
      </c>
      <c r="F40" s="5">
        <v>11</v>
      </c>
      <c r="G40" s="5">
        <v>11</v>
      </c>
      <c r="H40" s="5">
        <v>11</v>
      </c>
      <c r="I40" s="5">
        <v>11</v>
      </c>
      <c r="J40" s="5">
        <v>11</v>
      </c>
      <c r="K40" s="5">
        <v>11</v>
      </c>
      <c r="L40" s="5">
        <v>11</v>
      </c>
      <c r="M40" s="5">
        <v>11</v>
      </c>
      <c r="N40" s="5">
        <f t="shared" si="6"/>
        <v>11</v>
      </c>
    </row>
    <row r="41" spans="1:14" x14ac:dyDescent="0.2">
      <c r="A41" s="2" t="str">
        <f t="shared" si="5"/>
        <v>Street Lighting</v>
      </c>
      <c r="B41" s="5">
        <v>96</v>
      </c>
      <c r="C41" s="5">
        <v>96</v>
      </c>
      <c r="D41" s="5">
        <v>97</v>
      </c>
      <c r="E41" s="5">
        <v>96</v>
      </c>
      <c r="F41" s="5">
        <v>96</v>
      </c>
      <c r="G41" s="5">
        <v>96</v>
      </c>
      <c r="H41" s="5">
        <v>96</v>
      </c>
      <c r="I41" s="5">
        <v>96</v>
      </c>
      <c r="J41" s="5">
        <v>96</v>
      </c>
      <c r="K41" s="5">
        <v>96</v>
      </c>
      <c r="L41" s="5">
        <v>96</v>
      </c>
      <c r="M41" s="5">
        <v>96</v>
      </c>
      <c r="N41" s="5">
        <f t="shared" si="6"/>
        <v>96.083333333333329</v>
      </c>
    </row>
    <row r="42" spans="1:14" x14ac:dyDescent="0.2">
      <c r="A42" s="2" t="str">
        <f t="shared" si="5"/>
        <v>Direct Serve Class A</v>
      </c>
      <c r="B42" s="5">
        <v>2</v>
      </c>
      <c r="C42" s="5">
        <v>2</v>
      </c>
      <c r="D42" s="5">
        <v>2</v>
      </c>
      <c r="E42" s="5">
        <v>2</v>
      </c>
      <c r="F42" s="5">
        <v>2</v>
      </c>
      <c r="G42" s="5">
        <v>2</v>
      </c>
      <c r="H42" s="5">
        <v>2</v>
      </c>
      <c r="I42" s="5">
        <v>2</v>
      </c>
      <c r="J42" s="5">
        <v>2</v>
      </c>
      <c r="K42" s="5">
        <v>2</v>
      </c>
      <c r="L42" s="5">
        <v>2</v>
      </c>
      <c r="M42" s="5">
        <v>2</v>
      </c>
      <c r="N42" s="5">
        <f t="shared" si="6"/>
        <v>2</v>
      </c>
    </row>
    <row r="43" spans="1:14" x14ac:dyDescent="0.2">
      <c r="A43" s="2" t="str">
        <f t="shared" si="5"/>
        <v>Direct Serve Class B</v>
      </c>
      <c r="B43" s="5">
        <v>3</v>
      </c>
      <c r="C43" s="5">
        <v>3</v>
      </c>
      <c r="D43" s="5">
        <v>3</v>
      </c>
      <c r="E43" s="5">
        <v>3</v>
      </c>
      <c r="F43" s="5">
        <v>3</v>
      </c>
      <c r="G43" s="5">
        <v>3</v>
      </c>
      <c r="H43" s="5">
        <v>3</v>
      </c>
      <c r="I43" s="5">
        <v>3</v>
      </c>
      <c r="J43" s="5">
        <v>3</v>
      </c>
      <c r="K43" s="5">
        <v>3</v>
      </c>
      <c r="L43" s="5">
        <v>3</v>
      </c>
      <c r="M43" s="5">
        <v>3</v>
      </c>
      <c r="N43" s="5">
        <f t="shared" si="6"/>
        <v>3</v>
      </c>
    </row>
    <row r="44" spans="1:14" x14ac:dyDescent="0.2">
      <c r="A44" s="2" t="str">
        <f t="shared" si="5"/>
        <v>Direct Serve Class C</v>
      </c>
      <c r="B44" s="5">
        <v>12</v>
      </c>
      <c r="C44" s="5">
        <v>12</v>
      </c>
      <c r="D44" s="5">
        <v>12</v>
      </c>
      <c r="E44" s="5">
        <v>12</v>
      </c>
      <c r="F44" s="5">
        <v>12</v>
      </c>
      <c r="G44" s="5">
        <v>12</v>
      </c>
      <c r="H44" s="5">
        <v>12</v>
      </c>
      <c r="I44" s="5">
        <v>12</v>
      </c>
      <c r="J44" s="5">
        <v>12</v>
      </c>
      <c r="K44" s="5">
        <v>12</v>
      </c>
      <c r="L44" s="5">
        <v>12</v>
      </c>
      <c r="M44" s="5">
        <v>12</v>
      </c>
      <c r="N44" s="5">
        <f t="shared" si="6"/>
        <v>12</v>
      </c>
    </row>
    <row r="45" spans="1:14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2" t="s">
        <v>13</v>
      </c>
      <c r="B46" s="5">
        <f t="shared" ref="B46:M46" si="7">SUM(B37:B45)</f>
        <v>58929</v>
      </c>
      <c r="C46" s="5">
        <f t="shared" si="7"/>
        <v>59001</v>
      </c>
      <c r="D46" s="5">
        <f t="shared" si="7"/>
        <v>58951</v>
      </c>
      <c r="E46" s="5">
        <f t="shared" si="7"/>
        <v>59016</v>
      </c>
      <c r="F46" s="5">
        <f t="shared" si="7"/>
        <v>59015</v>
      </c>
      <c r="G46" s="5">
        <f t="shared" si="7"/>
        <v>59124</v>
      </c>
      <c r="H46" s="5">
        <f t="shared" si="7"/>
        <v>59162</v>
      </c>
      <c r="I46" s="5">
        <f t="shared" si="7"/>
        <v>59161</v>
      </c>
      <c r="J46" s="5">
        <f t="shared" si="7"/>
        <v>59225</v>
      </c>
      <c r="K46" s="5">
        <f t="shared" si="7"/>
        <v>59214</v>
      </c>
      <c r="L46" s="5">
        <f t="shared" si="7"/>
        <v>59244</v>
      </c>
      <c r="M46" s="5">
        <f t="shared" si="7"/>
        <v>59209</v>
      </c>
      <c r="N46" s="5">
        <f>IF(SUM(B46:M46)=0,0,AVERAGE(B46:M46))</f>
        <v>59104.25</v>
      </c>
    </row>
    <row r="48" spans="1:14" ht="15" x14ac:dyDescent="0.25">
      <c r="A48" s="1"/>
    </row>
    <row r="49" spans="1:4" ht="15" x14ac:dyDescent="0.25">
      <c r="A49" s="1"/>
    </row>
    <row r="50" spans="1:4" ht="15" x14ac:dyDescent="0.25">
      <c r="A50" s="1"/>
    </row>
    <row r="51" spans="1:4" ht="15" x14ac:dyDescent="0.25">
      <c r="D51" s="10" t="s">
        <v>15</v>
      </c>
    </row>
    <row r="52" spans="1:4" ht="15" x14ac:dyDescent="0.25">
      <c r="A52" s="1" t="s">
        <v>29</v>
      </c>
      <c r="B52" s="8">
        <v>2021</v>
      </c>
      <c r="C52" s="8">
        <v>2022</v>
      </c>
      <c r="D52" s="4" t="s">
        <v>16</v>
      </c>
    </row>
    <row r="53" spans="1:4" x14ac:dyDescent="0.2">
      <c r="A53" s="2" t="str">
        <f>A10</f>
        <v>Residential</v>
      </c>
      <c r="B53" s="7">
        <f t="shared" ref="B53:B61" si="8">+N10</f>
        <v>46897.5</v>
      </c>
      <c r="C53" s="7">
        <f t="shared" ref="C53:C61" si="9">+N23</f>
        <v>47118.583333333336</v>
      </c>
      <c r="D53" s="7">
        <f t="shared" ref="D53:D61" si="10">+N37</f>
        <v>47125.333333333336</v>
      </c>
    </row>
    <row r="54" spans="1:4" x14ac:dyDescent="0.2">
      <c r="A54" s="2" t="str">
        <f t="shared" ref="A54:A60" si="11">A11</f>
        <v>Non-Residential Single Phase</v>
      </c>
      <c r="B54" s="7">
        <f t="shared" si="8"/>
        <v>10426.25</v>
      </c>
      <c r="C54" s="7">
        <f t="shared" si="9"/>
        <v>10561.083333333334</v>
      </c>
      <c r="D54" s="7">
        <f t="shared" si="10"/>
        <v>10592</v>
      </c>
    </row>
    <row r="55" spans="1:4" x14ac:dyDescent="0.2">
      <c r="A55" s="2" t="str">
        <f t="shared" si="11"/>
        <v>Three-Phase (0 - 1,000 KW)</v>
      </c>
      <c r="B55" s="7">
        <f t="shared" si="8"/>
        <v>1242.4166666666667</v>
      </c>
      <c r="C55" s="7">
        <f t="shared" si="9"/>
        <v>1260.25</v>
      </c>
      <c r="D55" s="7">
        <f t="shared" si="10"/>
        <v>1262.8333333333333</v>
      </c>
    </row>
    <row r="56" spans="1:4" x14ac:dyDescent="0.2">
      <c r="A56" s="2" t="str">
        <f t="shared" si="11"/>
        <v>Three-Phase 1,001 KW and over</v>
      </c>
      <c r="B56" s="7">
        <f t="shared" si="8"/>
        <v>11.166666666666666</v>
      </c>
      <c r="C56" s="7">
        <f t="shared" si="9"/>
        <v>11</v>
      </c>
      <c r="D56" s="7">
        <f t="shared" si="10"/>
        <v>11</v>
      </c>
    </row>
    <row r="57" spans="1:4" x14ac:dyDescent="0.2">
      <c r="A57" s="2" t="str">
        <f t="shared" si="11"/>
        <v>Street Lighting</v>
      </c>
      <c r="B57" s="7">
        <f t="shared" si="8"/>
        <v>95.083333333333329</v>
      </c>
      <c r="C57" s="7">
        <f t="shared" si="9"/>
        <v>96.083333333333329</v>
      </c>
      <c r="D57" s="7">
        <f t="shared" si="10"/>
        <v>96.083333333333329</v>
      </c>
    </row>
    <row r="58" spans="1:4" x14ac:dyDescent="0.2">
      <c r="A58" s="2" t="str">
        <f t="shared" si="11"/>
        <v>Direct Serve Class A</v>
      </c>
      <c r="B58" s="7">
        <f t="shared" si="8"/>
        <v>2</v>
      </c>
      <c r="C58" s="7">
        <f t="shared" si="9"/>
        <v>2</v>
      </c>
      <c r="D58" s="7">
        <f t="shared" si="10"/>
        <v>2</v>
      </c>
    </row>
    <row r="59" spans="1:4" x14ac:dyDescent="0.2">
      <c r="A59" s="2" t="str">
        <f t="shared" si="11"/>
        <v>Direct Serve Class B</v>
      </c>
      <c r="B59" s="7">
        <f t="shared" si="8"/>
        <v>3</v>
      </c>
      <c r="C59" s="7">
        <f t="shared" si="9"/>
        <v>3</v>
      </c>
      <c r="D59" s="7">
        <f t="shared" si="10"/>
        <v>3</v>
      </c>
    </row>
    <row r="60" spans="1:4" x14ac:dyDescent="0.2">
      <c r="A60" s="2" t="str">
        <f t="shared" si="11"/>
        <v>Direct Serve Class C</v>
      </c>
      <c r="B60" s="7">
        <f t="shared" si="8"/>
        <v>12.916666666666666</v>
      </c>
      <c r="C60" s="7">
        <f t="shared" si="9"/>
        <v>12</v>
      </c>
      <c r="D60" s="7">
        <f t="shared" si="10"/>
        <v>12</v>
      </c>
    </row>
    <row r="61" spans="1:4" x14ac:dyDescent="0.2">
      <c r="B61" s="9">
        <f t="shared" si="8"/>
        <v>0</v>
      </c>
      <c r="C61" s="9">
        <f t="shared" si="9"/>
        <v>0</v>
      </c>
      <c r="D61" s="9">
        <f t="shared" si="10"/>
        <v>0</v>
      </c>
    </row>
    <row r="62" spans="1:4" x14ac:dyDescent="0.2">
      <c r="A62" s="2" t="s">
        <v>13</v>
      </c>
      <c r="B62" s="7">
        <f>SUM(B53:B61)</f>
        <v>58690.333333333328</v>
      </c>
      <c r="C62" s="7">
        <f>SUM(C53:C61)</f>
        <v>59064.000000000007</v>
      </c>
      <c r="D62" s="7">
        <f>SUM(D53:D61)</f>
        <v>59104.250000000007</v>
      </c>
    </row>
    <row r="65" spans="5:5" x14ac:dyDescent="0.2">
      <c r="E65" s="2" t="s">
        <v>33</v>
      </c>
    </row>
  </sheetData>
  <phoneticPr fontId="4" type="noConversion"/>
  <pageMargins left="0.7" right="0.7" top="0.75" bottom="0.75" header="0.3" footer="0.3"/>
  <pageSetup scale="57" orientation="landscape" r:id="rId1"/>
  <ignoredErrors>
    <ignoredError sqref="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16 (Actual)</vt:lpstr>
      <vt:lpstr>'Item 16 (Actual)'!Print_Area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Travis Siewert</cp:lastModifiedBy>
  <cp:lastPrinted>2023-09-20T15:00:23Z</cp:lastPrinted>
  <dcterms:created xsi:type="dcterms:W3CDTF">2023-03-31T17:49:41Z</dcterms:created>
  <dcterms:modified xsi:type="dcterms:W3CDTF">2023-09-28T20:26:33Z</dcterms:modified>
</cp:coreProperties>
</file>