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AGE1\accounting\Travis\Rate Applications\2023 rate application\Data Requests\PSC data request no. 4\"/>
    </mc:Choice>
  </mc:AlternateContent>
  <xr:revisionPtr revIDLastSave="0" documentId="13_ncr:1_{EA28CA69-F23A-459A-9775-60D49B1703DE}" xr6:coauthVersionLast="47" xr6:coauthVersionMax="47" xr10:uidLastSave="{00000000-0000-0000-0000-000000000000}"/>
  <bookViews>
    <workbookView xWindow="28680" yWindow="-120" windowWidth="29040" windowHeight="15720" xr2:uid="{9D3F38DE-698A-443F-BC17-493D5352FB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5" i="1" l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4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6" i="1"/>
  <c r="V125" i="1"/>
  <c r="V126" i="1"/>
  <c r="V127" i="1"/>
  <c r="V128" i="1"/>
  <c r="V129" i="1"/>
  <c r="V130" i="1"/>
  <c r="V131" i="1"/>
  <c r="V132" i="1"/>
  <c r="V133" i="1"/>
  <c r="V134" i="1"/>
  <c r="U125" i="1"/>
  <c r="U126" i="1"/>
  <c r="U127" i="1"/>
  <c r="U128" i="1"/>
  <c r="U129" i="1"/>
  <c r="U130" i="1"/>
  <c r="U131" i="1"/>
  <c r="U132" i="1"/>
  <c r="U133" i="1"/>
  <c r="U134" i="1"/>
  <c r="T125" i="1"/>
  <c r="T126" i="1"/>
  <c r="T127" i="1"/>
  <c r="T128" i="1"/>
  <c r="T129" i="1"/>
  <c r="T130" i="1"/>
  <c r="T131" i="1"/>
  <c r="T132" i="1"/>
  <c r="T133" i="1"/>
  <c r="T134" i="1"/>
  <c r="S9" i="1"/>
  <c r="T9" i="1" s="1"/>
  <c r="S10" i="1"/>
  <c r="T10" i="1" s="1"/>
  <c r="S11" i="1"/>
  <c r="V11" i="1" s="1"/>
  <c r="S12" i="1"/>
  <c r="V12" i="1" s="1"/>
  <c r="S13" i="1"/>
  <c r="T13" i="1" s="1"/>
  <c r="S15" i="1"/>
  <c r="T15" i="1" s="1"/>
  <c r="S16" i="1"/>
  <c r="T16" i="1" s="1"/>
  <c r="S17" i="1"/>
  <c r="T17" i="1" s="1"/>
  <c r="S18" i="1"/>
  <c r="T18" i="1" s="1"/>
  <c r="S19" i="1"/>
  <c r="T19" i="1" s="1"/>
  <c r="S21" i="1"/>
  <c r="T21" i="1" s="1"/>
  <c r="S22" i="1"/>
  <c r="T22" i="1" s="1"/>
  <c r="S23" i="1"/>
  <c r="V23" i="1" s="1"/>
  <c r="S24" i="1"/>
  <c r="V24" i="1" s="1"/>
  <c r="S25" i="1"/>
  <c r="T25" i="1" s="1"/>
  <c r="S26" i="1"/>
  <c r="T26" i="1" s="1"/>
  <c r="S27" i="1"/>
  <c r="T27" i="1" s="1"/>
  <c r="S28" i="1"/>
  <c r="T28" i="1" s="1"/>
  <c r="S30" i="1"/>
  <c r="T30" i="1" s="1"/>
  <c r="S31" i="1"/>
  <c r="T31" i="1" s="1"/>
  <c r="S32" i="1"/>
  <c r="T32" i="1" s="1"/>
  <c r="S33" i="1"/>
  <c r="T33" i="1" s="1"/>
  <c r="S34" i="1"/>
  <c r="T34" i="1" s="1"/>
  <c r="S35" i="1"/>
  <c r="V35" i="1" s="1"/>
  <c r="S36" i="1"/>
  <c r="V36" i="1" s="1"/>
  <c r="S38" i="1"/>
  <c r="T38" i="1" s="1"/>
  <c r="S39" i="1"/>
  <c r="T39" i="1" s="1"/>
  <c r="S41" i="1"/>
  <c r="T41" i="1" s="1"/>
  <c r="S43" i="1"/>
  <c r="T43" i="1" s="1"/>
  <c r="S44" i="1"/>
  <c r="T44" i="1" s="1"/>
  <c r="S45" i="1"/>
  <c r="T45" i="1" s="1"/>
  <c r="S47" i="1"/>
  <c r="V47" i="1" s="1"/>
  <c r="S48" i="1"/>
  <c r="U48" i="1" s="1"/>
  <c r="S50" i="1"/>
  <c r="T50" i="1" s="1"/>
  <c r="S52" i="1"/>
  <c r="T52" i="1" s="1"/>
  <c r="S53" i="1"/>
  <c r="T53" i="1" s="1"/>
  <c r="S54" i="1"/>
  <c r="T54" i="1" s="1"/>
  <c r="S55" i="1"/>
  <c r="T55" i="1" s="1"/>
  <c r="S56" i="1"/>
  <c r="T56" i="1" s="1"/>
  <c r="S57" i="1"/>
  <c r="T57" i="1" s="1"/>
  <c r="S58" i="1"/>
  <c r="T58" i="1" s="1"/>
  <c r="S59" i="1"/>
  <c r="U59" i="1" s="1"/>
  <c r="S60" i="1"/>
  <c r="V60" i="1" s="1"/>
  <c r="S61" i="1"/>
  <c r="T61" i="1" s="1"/>
  <c r="S62" i="1"/>
  <c r="T62" i="1" s="1"/>
  <c r="S63" i="1"/>
  <c r="T63" i="1" s="1"/>
  <c r="S65" i="1"/>
  <c r="T65" i="1" s="1"/>
  <c r="S66" i="1"/>
  <c r="T66" i="1" s="1"/>
  <c r="S67" i="1"/>
  <c r="T67" i="1" s="1"/>
  <c r="S68" i="1"/>
  <c r="T68" i="1" s="1"/>
  <c r="S69" i="1"/>
  <c r="T69" i="1" s="1"/>
  <c r="S70" i="1"/>
  <c r="T70" i="1" s="1"/>
  <c r="S71" i="1"/>
  <c r="V71" i="1" s="1"/>
  <c r="S72" i="1"/>
  <c r="V72" i="1" s="1"/>
  <c r="S73" i="1"/>
  <c r="T73" i="1" s="1"/>
  <c r="S74" i="1"/>
  <c r="T74" i="1" s="1"/>
  <c r="S75" i="1"/>
  <c r="T75" i="1" s="1"/>
  <c r="S76" i="1"/>
  <c r="T76" i="1" s="1"/>
  <c r="S77" i="1"/>
  <c r="T77" i="1" s="1"/>
  <c r="S78" i="1"/>
  <c r="T78" i="1" s="1"/>
  <c r="S79" i="1"/>
  <c r="T79" i="1" s="1"/>
  <c r="S80" i="1"/>
  <c r="T80" i="1" s="1"/>
  <c r="S81" i="1"/>
  <c r="T81" i="1" s="1"/>
  <c r="S82" i="1"/>
  <c r="T82" i="1" s="1"/>
  <c r="S83" i="1"/>
  <c r="V83" i="1" s="1"/>
  <c r="S84" i="1"/>
  <c r="V84" i="1" s="1"/>
  <c r="S85" i="1"/>
  <c r="T85" i="1" s="1"/>
  <c r="S86" i="1"/>
  <c r="T86" i="1" s="1"/>
  <c r="S88" i="1"/>
  <c r="T88" i="1" s="1"/>
  <c r="S89" i="1"/>
  <c r="T89" i="1" s="1"/>
  <c r="S90" i="1"/>
  <c r="T90" i="1" s="1"/>
  <c r="S91" i="1"/>
  <c r="T91" i="1" s="1"/>
  <c r="S92" i="1"/>
  <c r="T92" i="1" s="1"/>
  <c r="S93" i="1"/>
  <c r="T93" i="1" s="1"/>
  <c r="S94" i="1"/>
  <c r="T94" i="1" s="1"/>
  <c r="S96" i="1"/>
  <c r="V96" i="1" s="1"/>
  <c r="S97" i="1"/>
  <c r="T97" i="1" s="1"/>
  <c r="S98" i="1"/>
  <c r="T98" i="1" s="1"/>
  <c r="S99" i="1"/>
  <c r="T99" i="1" s="1"/>
  <c r="S100" i="1"/>
  <c r="T100" i="1" s="1"/>
  <c r="S101" i="1"/>
  <c r="T101" i="1" s="1"/>
  <c r="S102" i="1"/>
  <c r="T102" i="1" s="1"/>
  <c r="S103" i="1"/>
  <c r="T103" i="1" s="1"/>
  <c r="S104" i="1"/>
  <c r="T104" i="1" s="1"/>
  <c r="S105" i="1"/>
  <c r="T105" i="1" s="1"/>
  <c r="S106" i="1"/>
  <c r="T106" i="1" s="1"/>
  <c r="S107" i="1"/>
  <c r="V107" i="1" s="1"/>
  <c r="S108" i="1"/>
  <c r="V108" i="1" s="1"/>
  <c r="S109" i="1"/>
  <c r="T109" i="1" s="1"/>
  <c r="S110" i="1"/>
  <c r="T110" i="1" s="1"/>
  <c r="S111" i="1"/>
  <c r="T111" i="1" s="1"/>
  <c r="S112" i="1"/>
  <c r="T112" i="1" s="1"/>
  <c r="S113" i="1"/>
  <c r="T113" i="1" s="1"/>
  <c r="S114" i="1"/>
  <c r="T114" i="1" s="1"/>
  <c r="S115" i="1"/>
  <c r="T115" i="1" s="1"/>
  <c r="S116" i="1"/>
  <c r="T116" i="1" s="1"/>
  <c r="S117" i="1"/>
  <c r="T117" i="1" s="1"/>
  <c r="S118" i="1"/>
  <c r="T118" i="1" s="1"/>
  <c r="S119" i="1"/>
  <c r="V119" i="1" s="1"/>
  <c r="S120" i="1"/>
  <c r="V120" i="1" s="1"/>
  <c r="S121" i="1"/>
  <c r="T121" i="1" s="1"/>
  <c r="S122" i="1"/>
  <c r="T122" i="1" s="1"/>
  <c r="S123" i="1"/>
  <c r="T123" i="1" s="1"/>
  <c r="S124" i="1"/>
  <c r="T124" i="1" s="1"/>
  <c r="S146" i="1"/>
  <c r="V146" i="1" s="1"/>
  <c r="S147" i="1"/>
  <c r="V147" i="1" s="1"/>
  <c r="S148" i="1"/>
  <c r="V148" i="1" s="1"/>
  <c r="S150" i="1"/>
  <c r="U150" i="1" s="1"/>
  <c r="S151" i="1"/>
  <c r="V151" i="1" s="1"/>
  <c r="S152" i="1"/>
  <c r="V152" i="1" s="1"/>
  <c r="S153" i="1"/>
  <c r="U153" i="1" s="1"/>
  <c r="S154" i="1"/>
  <c r="V154" i="1" s="1"/>
  <c r="S155" i="1"/>
  <c r="V155" i="1" s="1"/>
  <c r="S156" i="1"/>
  <c r="V156" i="1" s="1"/>
  <c r="S157" i="1"/>
  <c r="V157" i="1" s="1"/>
  <c r="S158" i="1"/>
  <c r="V158" i="1" s="1"/>
  <c r="S159" i="1"/>
  <c r="V159" i="1" s="1"/>
  <c r="U9" i="1" l="1"/>
  <c r="T159" i="1"/>
  <c r="T146" i="1"/>
  <c r="V10" i="1"/>
  <c r="U94" i="1"/>
  <c r="U55" i="1"/>
  <c r="V90" i="1"/>
  <c r="U54" i="1"/>
  <c r="V81" i="1"/>
  <c r="U93" i="1"/>
  <c r="V82" i="1"/>
  <c r="U81" i="1"/>
  <c r="U43" i="1"/>
  <c r="V69" i="1"/>
  <c r="U80" i="1"/>
  <c r="U34" i="1"/>
  <c r="V68" i="1"/>
  <c r="U79" i="1"/>
  <c r="U10" i="1"/>
  <c r="V67" i="1"/>
  <c r="T153" i="1"/>
  <c r="U78" i="1"/>
  <c r="V118" i="1"/>
  <c r="V66" i="1"/>
  <c r="T120" i="1"/>
  <c r="U70" i="1"/>
  <c r="V153" i="1"/>
  <c r="V117" i="1"/>
  <c r="V58" i="1"/>
  <c r="U44" i="1"/>
  <c r="T108" i="1"/>
  <c r="U106" i="1"/>
  <c r="U69" i="1"/>
  <c r="V94" i="1"/>
  <c r="V57" i="1"/>
  <c r="U82" i="1"/>
  <c r="T96" i="1"/>
  <c r="U105" i="1"/>
  <c r="U68" i="1"/>
  <c r="V93" i="1"/>
  <c r="V56" i="1"/>
  <c r="T84" i="1"/>
  <c r="U104" i="1"/>
  <c r="U57" i="1"/>
  <c r="V92" i="1"/>
  <c r="V55" i="1"/>
  <c r="T12" i="1"/>
  <c r="U103" i="1"/>
  <c r="U56" i="1"/>
  <c r="V91" i="1"/>
  <c r="V22" i="1"/>
  <c r="T158" i="1"/>
  <c r="U115" i="1"/>
  <c r="U21" i="1"/>
  <c r="V103" i="1"/>
  <c r="V70" i="1"/>
  <c r="V43" i="1"/>
  <c r="U114" i="1"/>
  <c r="U19" i="1"/>
  <c r="V102" i="1"/>
  <c r="V34" i="1"/>
  <c r="V30" i="1"/>
  <c r="U18" i="1"/>
  <c r="V33" i="1"/>
  <c r="U45" i="1"/>
  <c r="V32" i="1"/>
  <c r="V31" i="1"/>
  <c r="U102" i="1"/>
  <c r="V116" i="1"/>
  <c r="T60" i="1"/>
  <c r="U32" i="1"/>
  <c r="V114" i="1"/>
  <c r="T36" i="1"/>
  <c r="U118" i="1"/>
  <c r="U92" i="1"/>
  <c r="U66" i="1"/>
  <c r="U31" i="1"/>
  <c r="V106" i="1"/>
  <c r="V80" i="1"/>
  <c r="V54" i="1"/>
  <c r="V18" i="1"/>
  <c r="U33" i="1"/>
  <c r="V115" i="1"/>
  <c r="V21" i="1"/>
  <c r="T48" i="1"/>
  <c r="U67" i="1"/>
  <c r="V19" i="1"/>
  <c r="T24" i="1"/>
  <c r="U117" i="1"/>
  <c r="U91" i="1"/>
  <c r="U58" i="1"/>
  <c r="U30" i="1"/>
  <c r="V105" i="1"/>
  <c r="V79" i="1"/>
  <c r="V45" i="1"/>
  <c r="T72" i="1"/>
  <c r="U116" i="1"/>
  <c r="U90" i="1"/>
  <c r="U22" i="1"/>
  <c r="V104" i="1"/>
  <c r="V78" i="1"/>
  <c r="V44" i="1"/>
  <c r="V9" i="1"/>
  <c r="T71" i="1"/>
  <c r="T11" i="1"/>
  <c r="T150" i="1"/>
  <c r="T148" i="1"/>
  <c r="U148" i="1"/>
  <c r="U113" i="1"/>
  <c r="U101" i="1"/>
  <c r="U65" i="1"/>
  <c r="U53" i="1"/>
  <c r="U41" i="1"/>
  <c r="U17" i="1"/>
  <c r="V113" i="1"/>
  <c r="V101" i="1"/>
  <c r="V65" i="1"/>
  <c r="V53" i="1"/>
  <c r="V41" i="1"/>
  <c r="V17" i="1"/>
  <c r="T152" i="1"/>
  <c r="T47" i="1"/>
  <c r="U151" i="1"/>
  <c r="V150" i="1"/>
  <c r="T147" i="1"/>
  <c r="U159" i="1"/>
  <c r="U147" i="1"/>
  <c r="U124" i="1"/>
  <c r="U112" i="1"/>
  <c r="U100" i="1"/>
  <c r="U88" i="1"/>
  <c r="U76" i="1"/>
  <c r="U52" i="1"/>
  <c r="U16" i="1"/>
  <c r="V124" i="1"/>
  <c r="V112" i="1"/>
  <c r="V100" i="1"/>
  <c r="V88" i="1"/>
  <c r="V76" i="1"/>
  <c r="V52" i="1"/>
  <c r="V28" i="1"/>
  <c r="V16" i="1"/>
  <c r="T119" i="1"/>
  <c r="U152" i="1"/>
  <c r="T151" i="1"/>
  <c r="U158" i="1"/>
  <c r="U146" i="1"/>
  <c r="U123" i="1"/>
  <c r="U111" i="1"/>
  <c r="U99" i="1"/>
  <c r="U75" i="1"/>
  <c r="U63" i="1"/>
  <c r="U39" i="1"/>
  <c r="U27" i="1"/>
  <c r="U15" i="1"/>
  <c r="V123" i="1"/>
  <c r="V111" i="1"/>
  <c r="V99" i="1"/>
  <c r="V75" i="1"/>
  <c r="V63" i="1"/>
  <c r="V39" i="1"/>
  <c r="V27" i="1"/>
  <c r="V15" i="1"/>
  <c r="T59" i="1"/>
  <c r="T157" i="1"/>
  <c r="U157" i="1"/>
  <c r="U122" i="1"/>
  <c r="U110" i="1"/>
  <c r="U98" i="1"/>
  <c r="U86" i="1"/>
  <c r="U62" i="1"/>
  <c r="U50" i="1"/>
  <c r="U38" i="1"/>
  <c r="U26" i="1"/>
  <c r="V122" i="1"/>
  <c r="V110" i="1"/>
  <c r="V98" i="1"/>
  <c r="V86" i="1"/>
  <c r="V74" i="1"/>
  <c r="V62" i="1"/>
  <c r="V50" i="1"/>
  <c r="V38" i="1"/>
  <c r="V26" i="1"/>
  <c r="T107" i="1"/>
  <c r="T35" i="1"/>
  <c r="T156" i="1"/>
  <c r="U156" i="1"/>
  <c r="U121" i="1"/>
  <c r="U109" i="1"/>
  <c r="U97" i="1"/>
  <c r="U85" i="1"/>
  <c r="U73" i="1"/>
  <c r="U61" i="1"/>
  <c r="U13" i="1"/>
  <c r="V121" i="1"/>
  <c r="V109" i="1"/>
  <c r="V97" i="1"/>
  <c r="V85" i="1"/>
  <c r="V73" i="1"/>
  <c r="V61" i="1"/>
  <c r="V25" i="1"/>
  <c r="V13" i="1"/>
  <c r="T23" i="1"/>
  <c r="T155" i="1"/>
  <c r="U155" i="1"/>
  <c r="U120" i="1"/>
  <c r="U108" i="1"/>
  <c r="U96" i="1"/>
  <c r="U84" i="1"/>
  <c r="U72" i="1"/>
  <c r="U60" i="1"/>
  <c r="U36" i="1"/>
  <c r="U24" i="1"/>
  <c r="U12" i="1"/>
  <c r="T83" i="1"/>
  <c r="T154" i="1"/>
  <c r="U154" i="1"/>
  <c r="U119" i="1"/>
  <c r="U107" i="1"/>
  <c r="U83" i="1"/>
  <c r="U71" i="1"/>
  <c r="U47" i="1"/>
  <c r="U35" i="1"/>
  <c r="U23" i="1"/>
  <c r="U11" i="1"/>
  <c r="Q161" i="1" l="1"/>
  <c r="O161" i="1"/>
  <c r="E149" i="1"/>
  <c r="S149" i="1" s="1"/>
  <c r="F139" i="1"/>
  <c r="K133" i="1"/>
  <c r="I133" i="1"/>
  <c r="F133" i="1"/>
  <c r="K132" i="1"/>
  <c r="I132" i="1"/>
  <c r="F132" i="1"/>
  <c r="K131" i="1"/>
  <c r="I131" i="1"/>
  <c r="F131" i="1"/>
  <c r="K130" i="1"/>
  <c r="I130" i="1"/>
  <c r="F130" i="1"/>
  <c r="K129" i="1"/>
  <c r="I129" i="1"/>
  <c r="F129" i="1"/>
  <c r="K128" i="1"/>
  <c r="I128" i="1"/>
  <c r="F128" i="1"/>
  <c r="K127" i="1"/>
  <c r="I127" i="1"/>
  <c r="F127" i="1"/>
  <c r="K126" i="1"/>
  <c r="I126" i="1"/>
  <c r="F126" i="1"/>
  <c r="K125" i="1"/>
  <c r="I125" i="1"/>
  <c r="E125" i="1"/>
  <c r="K124" i="1"/>
  <c r="I124" i="1"/>
  <c r="F124" i="1"/>
  <c r="K123" i="1"/>
  <c r="I123" i="1"/>
  <c r="F123" i="1"/>
  <c r="K122" i="1"/>
  <c r="I122" i="1"/>
  <c r="F122" i="1"/>
  <c r="K121" i="1"/>
  <c r="I121" i="1"/>
  <c r="F121" i="1"/>
  <c r="K120" i="1"/>
  <c r="I120" i="1"/>
  <c r="F120" i="1"/>
  <c r="K119" i="1"/>
  <c r="I119" i="1"/>
  <c r="F119" i="1"/>
  <c r="K118" i="1"/>
  <c r="I118" i="1"/>
  <c r="F118" i="1"/>
  <c r="K117" i="1"/>
  <c r="I117" i="1"/>
  <c r="F117" i="1"/>
  <c r="K116" i="1"/>
  <c r="I116" i="1"/>
  <c r="F116" i="1"/>
  <c r="K115" i="1"/>
  <c r="I115" i="1"/>
  <c r="F115" i="1"/>
  <c r="K114" i="1"/>
  <c r="I114" i="1"/>
  <c r="F114" i="1"/>
  <c r="K113" i="1"/>
  <c r="I113" i="1"/>
  <c r="F113" i="1"/>
  <c r="K112" i="1"/>
  <c r="I112" i="1"/>
  <c r="F112" i="1"/>
  <c r="K111" i="1"/>
  <c r="I111" i="1"/>
  <c r="F111" i="1"/>
  <c r="K110" i="1"/>
  <c r="I110" i="1"/>
  <c r="F110" i="1"/>
  <c r="K109" i="1"/>
  <c r="I109" i="1"/>
  <c r="F109" i="1"/>
  <c r="K108" i="1"/>
  <c r="I108" i="1"/>
  <c r="F108" i="1"/>
  <c r="K107" i="1"/>
  <c r="I107" i="1"/>
  <c r="F107" i="1"/>
  <c r="K106" i="1"/>
  <c r="I106" i="1"/>
  <c r="F106" i="1"/>
  <c r="K105" i="1"/>
  <c r="I105" i="1"/>
  <c r="F105" i="1"/>
  <c r="K104" i="1"/>
  <c r="I104" i="1"/>
  <c r="F104" i="1"/>
  <c r="K103" i="1"/>
  <c r="I103" i="1"/>
  <c r="F103" i="1"/>
  <c r="K102" i="1"/>
  <c r="I102" i="1"/>
  <c r="F102" i="1"/>
  <c r="K101" i="1"/>
  <c r="I101" i="1"/>
  <c r="F101" i="1"/>
  <c r="K100" i="1"/>
  <c r="I100" i="1"/>
  <c r="F100" i="1"/>
  <c r="K99" i="1"/>
  <c r="I99" i="1"/>
  <c r="F99" i="1"/>
  <c r="K98" i="1"/>
  <c r="I98" i="1"/>
  <c r="F98" i="1"/>
  <c r="K97" i="1"/>
  <c r="I97" i="1"/>
  <c r="F97" i="1"/>
  <c r="K96" i="1"/>
  <c r="I96" i="1"/>
  <c r="F96" i="1"/>
  <c r="K95" i="1"/>
  <c r="I95" i="1"/>
  <c r="E95" i="1"/>
  <c r="K94" i="1"/>
  <c r="I94" i="1"/>
  <c r="F94" i="1"/>
  <c r="K93" i="1"/>
  <c r="I93" i="1"/>
  <c r="F93" i="1"/>
  <c r="K92" i="1"/>
  <c r="I92" i="1"/>
  <c r="F92" i="1"/>
  <c r="K91" i="1"/>
  <c r="I91" i="1"/>
  <c r="F91" i="1"/>
  <c r="K90" i="1"/>
  <c r="I90" i="1"/>
  <c r="F90" i="1"/>
  <c r="J89" i="1"/>
  <c r="V89" i="1" s="1"/>
  <c r="H89" i="1"/>
  <c r="F89" i="1"/>
  <c r="K88" i="1"/>
  <c r="I88" i="1"/>
  <c r="F88" i="1"/>
  <c r="K87" i="1"/>
  <c r="E87" i="1"/>
  <c r="S87" i="1" s="1"/>
  <c r="K86" i="1"/>
  <c r="I86" i="1"/>
  <c r="F86" i="1"/>
  <c r="K85" i="1"/>
  <c r="I85" i="1"/>
  <c r="F85" i="1"/>
  <c r="K84" i="1"/>
  <c r="I84" i="1"/>
  <c r="F84" i="1"/>
  <c r="K83" i="1"/>
  <c r="I83" i="1"/>
  <c r="F83" i="1"/>
  <c r="K82" i="1"/>
  <c r="I82" i="1"/>
  <c r="F82" i="1"/>
  <c r="K81" i="1"/>
  <c r="I81" i="1"/>
  <c r="F81" i="1"/>
  <c r="K80" i="1"/>
  <c r="I80" i="1"/>
  <c r="F80" i="1"/>
  <c r="K79" i="1"/>
  <c r="I79" i="1"/>
  <c r="F79" i="1"/>
  <c r="K78" i="1"/>
  <c r="I78" i="1"/>
  <c r="F78" i="1"/>
  <c r="J77" i="1"/>
  <c r="H77" i="1"/>
  <c r="U77" i="1" s="1"/>
  <c r="F77" i="1"/>
  <c r="K76" i="1"/>
  <c r="I76" i="1"/>
  <c r="F76" i="1"/>
  <c r="K75" i="1"/>
  <c r="I75" i="1"/>
  <c r="F75" i="1"/>
  <c r="K74" i="1"/>
  <c r="H74" i="1"/>
  <c r="U74" i="1" s="1"/>
  <c r="F74" i="1"/>
  <c r="K73" i="1"/>
  <c r="I73" i="1"/>
  <c r="F73" i="1"/>
  <c r="K72" i="1"/>
  <c r="I72" i="1"/>
  <c r="F72" i="1"/>
  <c r="K71" i="1"/>
  <c r="I71" i="1"/>
  <c r="F71" i="1"/>
  <c r="K70" i="1"/>
  <c r="I70" i="1"/>
  <c r="F70" i="1"/>
  <c r="K69" i="1"/>
  <c r="I69" i="1"/>
  <c r="F69" i="1"/>
  <c r="K68" i="1"/>
  <c r="I68" i="1"/>
  <c r="F68" i="1"/>
  <c r="K67" i="1"/>
  <c r="I67" i="1"/>
  <c r="F67" i="1"/>
  <c r="K66" i="1"/>
  <c r="I66" i="1"/>
  <c r="F66" i="1"/>
  <c r="K65" i="1"/>
  <c r="I65" i="1"/>
  <c r="F65" i="1"/>
  <c r="K64" i="1"/>
  <c r="I64" i="1"/>
  <c r="E64" i="1"/>
  <c r="S64" i="1" s="1"/>
  <c r="K63" i="1"/>
  <c r="I63" i="1"/>
  <c r="F63" i="1"/>
  <c r="K62" i="1"/>
  <c r="I62" i="1"/>
  <c r="F62" i="1"/>
  <c r="K61" i="1"/>
  <c r="I61" i="1"/>
  <c r="F61" i="1"/>
  <c r="K60" i="1"/>
  <c r="I60" i="1"/>
  <c r="F60" i="1"/>
  <c r="J59" i="1"/>
  <c r="V59" i="1" s="1"/>
  <c r="I59" i="1"/>
  <c r="F59" i="1"/>
  <c r="K58" i="1"/>
  <c r="I58" i="1"/>
  <c r="F58" i="1"/>
  <c r="K57" i="1"/>
  <c r="I57" i="1"/>
  <c r="F57" i="1"/>
  <c r="K56" i="1"/>
  <c r="I56" i="1"/>
  <c r="F56" i="1"/>
  <c r="K55" i="1"/>
  <c r="I55" i="1"/>
  <c r="F55" i="1"/>
  <c r="K54" i="1"/>
  <c r="I54" i="1"/>
  <c r="F54" i="1"/>
  <c r="K53" i="1"/>
  <c r="I53" i="1"/>
  <c r="F53" i="1"/>
  <c r="K52" i="1"/>
  <c r="I52" i="1"/>
  <c r="F52" i="1"/>
  <c r="K51" i="1"/>
  <c r="I51" i="1"/>
  <c r="E51" i="1"/>
  <c r="K50" i="1"/>
  <c r="I50" i="1"/>
  <c r="F50" i="1"/>
  <c r="K49" i="1"/>
  <c r="I49" i="1"/>
  <c r="E49" i="1"/>
  <c r="S49" i="1" s="1"/>
  <c r="J48" i="1"/>
  <c r="V48" i="1" s="1"/>
  <c r="I48" i="1"/>
  <c r="F48" i="1"/>
  <c r="K47" i="1"/>
  <c r="I47" i="1"/>
  <c r="F47" i="1"/>
  <c r="K46" i="1"/>
  <c r="I46" i="1"/>
  <c r="E46" i="1"/>
  <c r="K45" i="1"/>
  <c r="I45" i="1"/>
  <c r="F45" i="1"/>
  <c r="K44" i="1"/>
  <c r="I44" i="1"/>
  <c r="F44" i="1"/>
  <c r="K43" i="1"/>
  <c r="I43" i="1"/>
  <c r="F43" i="1"/>
  <c r="K42" i="1"/>
  <c r="I42" i="1"/>
  <c r="E42" i="1"/>
  <c r="K41" i="1"/>
  <c r="I41" i="1"/>
  <c r="F41" i="1"/>
  <c r="K40" i="1"/>
  <c r="I40" i="1"/>
  <c r="E40" i="1"/>
  <c r="K39" i="1"/>
  <c r="I39" i="1"/>
  <c r="F39" i="1"/>
  <c r="K38" i="1"/>
  <c r="I38" i="1"/>
  <c r="F38" i="1"/>
  <c r="K37" i="1"/>
  <c r="I37" i="1"/>
  <c r="E37" i="1"/>
  <c r="S37" i="1" s="1"/>
  <c r="K36" i="1"/>
  <c r="I36" i="1"/>
  <c r="F36" i="1"/>
  <c r="K35" i="1"/>
  <c r="I35" i="1"/>
  <c r="F35" i="1"/>
  <c r="K34" i="1"/>
  <c r="I34" i="1"/>
  <c r="F34" i="1"/>
  <c r="K33" i="1"/>
  <c r="I33" i="1"/>
  <c r="F33" i="1"/>
  <c r="K32" i="1"/>
  <c r="I32" i="1"/>
  <c r="F32" i="1"/>
  <c r="K31" i="1"/>
  <c r="I31" i="1"/>
  <c r="F31" i="1"/>
  <c r="K30" i="1"/>
  <c r="I30" i="1"/>
  <c r="F30" i="1"/>
  <c r="K29" i="1"/>
  <c r="I29" i="1"/>
  <c r="E29" i="1"/>
  <c r="S29" i="1" s="1"/>
  <c r="K28" i="1"/>
  <c r="H28" i="1"/>
  <c r="U28" i="1" s="1"/>
  <c r="F28" i="1"/>
  <c r="K27" i="1"/>
  <c r="I27" i="1"/>
  <c r="F27" i="1"/>
  <c r="K26" i="1"/>
  <c r="I26" i="1"/>
  <c r="F26" i="1"/>
  <c r="K25" i="1"/>
  <c r="H25" i="1"/>
  <c r="F25" i="1"/>
  <c r="K24" i="1"/>
  <c r="I24" i="1"/>
  <c r="F24" i="1"/>
  <c r="K23" i="1"/>
  <c r="I23" i="1"/>
  <c r="F23" i="1"/>
  <c r="K22" i="1"/>
  <c r="I22" i="1"/>
  <c r="F22" i="1"/>
  <c r="K21" i="1"/>
  <c r="I21" i="1"/>
  <c r="F21" i="1"/>
  <c r="K20" i="1"/>
  <c r="I20" i="1"/>
  <c r="E20" i="1"/>
  <c r="S20" i="1" s="1"/>
  <c r="K19" i="1"/>
  <c r="I19" i="1"/>
  <c r="F19" i="1"/>
  <c r="K18" i="1"/>
  <c r="I18" i="1"/>
  <c r="F18" i="1"/>
  <c r="K17" i="1"/>
  <c r="I17" i="1"/>
  <c r="F17" i="1"/>
  <c r="K16" i="1"/>
  <c r="I16" i="1"/>
  <c r="F16" i="1"/>
  <c r="K15" i="1"/>
  <c r="I15" i="1"/>
  <c r="F15" i="1"/>
  <c r="K14" i="1"/>
  <c r="I14" i="1"/>
  <c r="E14" i="1"/>
  <c r="S14" i="1" s="1"/>
  <c r="K13" i="1"/>
  <c r="I13" i="1"/>
  <c r="F13" i="1"/>
  <c r="K12" i="1"/>
  <c r="I12" i="1"/>
  <c r="F12" i="1"/>
  <c r="K11" i="1"/>
  <c r="I11" i="1"/>
  <c r="F11" i="1"/>
  <c r="K10" i="1"/>
  <c r="I10" i="1"/>
  <c r="F10" i="1"/>
  <c r="K9" i="1"/>
  <c r="I9" i="1"/>
  <c r="F9" i="1"/>
  <c r="K8" i="1"/>
  <c r="I8" i="1"/>
  <c r="E8" i="1"/>
  <c r="S8" i="1" s="1"/>
  <c r="K7" i="1"/>
  <c r="I7" i="1"/>
  <c r="E7" i="1"/>
  <c r="S7" i="1" s="1"/>
  <c r="K6" i="1"/>
  <c r="I6" i="1"/>
  <c r="E6" i="1"/>
  <c r="S6" i="1" s="1"/>
  <c r="T6" i="1" s="1"/>
  <c r="T29" i="1" l="1"/>
  <c r="V29" i="1"/>
  <c r="U29" i="1"/>
  <c r="T37" i="1"/>
  <c r="V37" i="1"/>
  <c r="U37" i="1"/>
  <c r="T49" i="1"/>
  <c r="V49" i="1"/>
  <c r="U49" i="1"/>
  <c r="I89" i="1"/>
  <c r="U89" i="1"/>
  <c r="I25" i="1"/>
  <c r="U25" i="1"/>
  <c r="K77" i="1"/>
  <c r="V77" i="1"/>
  <c r="F42" i="1"/>
  <c r="S42" i="1"/>
  <c r="F46" i="1"/>
  <c r="S46" i="1"/>
  <c r="U149" i="1"/>
  <c r="V149" i="1"/>
  <c r="T149" i="1"/>
  <c r="F95" i="1"/>
  <c r="S95" i="1"/>
  <c r="U7" i="1"/>
  <c r="T7" i="1"/>
  <c r="V7" i="1"/>
  <c r="F51" i="1"/>
  <c r="S51" i="1"/>
  <c r="T87" i="1"/>
  <c r="V87" i="1"/>
  <c r="U87" i="1"/>
  <c r="T14" i="1"/>
  <c r="V14" i="1"/>
  <c r="U14" i="1"/>
  <c r="V6" i="1"/>
  <c r="U6" i="1"/>
  <c r="T8" i="1"/>
  <c r="V8" i="1"/>
  <c r="U8" i="1"/>
  <c r="U20" i="1"/>
  <c r="T20" i="1"/>
  <c r="V20" i="1"/>
  <c r="F40" i="1"/>
  <c r="S40" i="1"/>
  <c r="T64" i="1"/>
  <c r="V64" i="1"/>
  <c r="U64" i="1"/>
  <c r="F20" i="1"/>
  <c r="F49" i="1"/>
  <c r="K59" i="1"/>
  <c r="K89" i="1"/>
  <c r="F125" i="1"/>
  <c r="I74" i="1"/>
  <c r="J135" i="1"/>
  <c r="J161" i="1" s="1"/>
  <c r="E135" i="1"/>
  <c r="F64" i="1"/>
  <c r="I28" i="1"/>
  <c r="F7" i="1"/>
  <c r="F8" i="1"/>
  <c r="F37" i="1"/>
  <c r="K48" i="1"/>
  <c r="F87" i="1"/>
  <c r="F29" i="1"/>
  <c r="I77" i="1"/>
  <c r="F14" i="1"/>
  <c r="I87" i="1"/>
  <c r="H135" i="1"/>
  <c r="F6" i="1"/>
  <c r="U46" i="1" l="1"/>
  <c r="T46" i="1"/>
  <c r="V46" i="1"/>
  <c r="T51" i="1"/>
  <c r="V51" i="1"/>
  <c r="U51" i="1"/>
  <c r="V42" i="1"/>
  <c r="U42" i="1"/>
  <c r="T42" i="1"/>
  <c r="V95" i="1"/>
  <c r="U95" i="1"/>
  <c r="T95" i="1"/>
  <c r="T40" i="1"/>
  <c r="V40" i="1"/>
  <c r="U40" i="1"/>
  <c r="K135" i="1"/>
  <c r="K138" i="1" s="1"/>
  <c r="K139" i="1"/>
  <c r="I135" i="1"/>
  <c r="I138" i="1" s="1"/>
  <c r="H161" i="1"/>
  <c r="I139" i="1"/>
  <c r="F135" i="1"/>
  <c r="F138" i="1" s="1"/>
  <c r="F164" i="1" s="1"/>
  <c r="F165" i="1" s="1"/>
  <c r="U164" i="1" l="1"/>
  <c r="U165" i="1" s="1"/>
  <c r="T164" i="1"/>
  <c r="T165" i="1" s="1"/>
  <c r="V164" i="1"/>
  <c r="V165" i="1" s="1"/>
  <c r="F142" i="1"/>
  <c r="K142" i="1"/>
  <c r="K164" i="1" s="1"/>
  <c r="K165" i="1" s="1"/>
  <c r="I142" i="1"/>
  <c r="I164" i="1" s="1"/>
  <c r="I165" i="1" s="1"/>
  <c r="W164" i="1" l="1"/>
  <c r="W166" i="1" s="1"/>
  <c r="L164" i="1"/>
</calcChain>
</file>

<file path=xl/sharedStrings.xml><?xml version="1.0" encoding="utf-8"?>
<sst xmlns="http://schemas.openxmlformats.org/spreadsheetml/2006/main" count="52" uniqueCount="41">
  <si>
    <t>FIRST NAME</t>
  </si>
  <si>
    <t>LAST NAME</t>
  </si>
  <si>
    <t>NO.</t>
  </si>
  <si>
    <t>TIMES 2,080 HRS</t>
  </si>
  <si>
    <t>Twelve mo ending 2/28/23 OT Hrs</t>
  </si>
  <si>
    <t>Proforma OT wages</t>
  </si>
  <si>
    <t>Twelve mo ending 2/28/2023 DT Hrs</t>
  </si>
  <si>
    <t>Proforma DT wages</t>
  </si>
  <si>
    <t>wages</t>
  </si>
  <si>
    <t>hours</t>
  </si>
  <si>
    <t>Regular</t>
  </si>
  <si>
    <t>OT</t>
  </si>
  <si>
    <t>DT</t>
  </si>
  <si>
    <t>Average hourly rate for proforma:</t>
  </si>
  <si>
    <t>Employees Terminated</t>
  </si>
  <si>
    <t>Hire Date</t>
  </si>
  <si>
    <t>OT and DT hours for proforma:</t>
  </si>
  <si>
    <t>Kenergy Corp.</t>
  </si>
  <si>
    <t>Case No: 2023-00276</t>
  </si>
  <si>
    <t xml:space="preserve">2/28/23 Hourly Rate </t>
  </si>
  <si>
    <t>Last Pay
Date</t>
  </si>
  <si>
    <t>Overtime</t>
  </si>
  <si>
    <t>Double Time</t>
  </si>
  <si>
    <t>Proforma</t>
  </si>
  <si>
    <t xml:space="preserve">Final Hourly Rate </t>
  </si>
  <si>
    <t>Proforma &amp; Test Period Labor Rates and Hours</t>
  </si>
  <si>
    <t>Test Period Base Hours</t>
  </si>
  <si>
    <t>Test Period Base Pay</t>
  </si>
  <si>
    <t>Test Period Ending 2/28/2023 Hourly Rate</t>
  </si>
  <si>
    <t>Test Period Base Hours Times 2/28/2023 Rate</t>
  </si>
  <si>
    <t>Test Period OT Hours Times 2/28/2023 Rate</t>
  </si>
  <si>
    <t>Test Period DT Hours Times 2/28/2023 Rate</t>
  </si>
  <si>
    <t>Total</t>
  </si>
  <si>
    <t>Dollars</t>
  </si>
  <si>
    <t>Rate</t>
  </si>
  <si>
    <t>Test Period Total</t>
  </si>
  <si>
    <t>Test Period Actual</t>
  </si>
  <si>
    <t>Test Period Average Rate</t>
  </si>
  <si>
    <t>Adjusted Proforma Using Actual Test Period Hours Times Test Period Ending 2/28/2023  Pay Rates</t>
  </si>
  <si>
    <t>Difference</t>
  </si>
  <si>
    <t>PSC No.4 Item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</si>
</sst>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_(&quot;$&quot;* #,##0_);_(&quot;$&quot;* \(#,##0\);_(&quot;$&quot;* &quot;-&quot;??_);_(@_)"/>
    <numFmt numFmtId="167" formatCode="&quot;$&quot;#,##0.00"/>
    <numFmt numFmtId="168" formatCode="0.0%"/>
    <numFmt numFmtId="169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4">
    <xf numFmtId="0" fontId="0" fillId="0" borderId="0" xfId="0"/>
    <xf numFmtId="165" fontId="0" fillId="0" borderId="0" xfId="0" applyNumberFormat="1"/>
    <xf numFmtId="0" fontId="2" fillId="0" borderId="0" xfId="0" applyFo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6" fillId="2" borderId="0" xfId="0" applyFont="1" applyFill="1" applyAlignment="1">
      <alignment horizontal="center"/>
    </xf>
    <xf numFmtId="43" fontId="6" fillId="2" borderId="0" xfId="1" applyFont="1" applyFill="1" applyAlignment="1">
      <alignment horizontal="center"/>
    </xf>
    <xf numFmtId="0" fontId="2" fillId="2" borderId="0" xfId="0" applyFont="1" applyFill="1"/>
    <xf numFmtId="166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3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7" fontId="3" fillId="2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43" fontId="0" fillId="2" borderId="0" xfId="1" applyFont="1" applyFill="1"/>
    <xf numFmtId="164" fontId="0" fillId="2" borderId="0" xfId="0" applyNumberFormat="1" applyFill="1"/>
    <xf numFmtId="167" fontId="0" fillId="2" borderId="0" xfId="0" applyNumberFormat="1" applyFill="1" applyAlignment="1">
      <alignment horizontal="center"/>
    </xf>
    <xf numFmtId="167" fontId="0" fillId="2" borderId="0" xfId="0" applyNumberFormat="1" applyFill="1"/>
    <xf numFmtId="167" fontId="0" fillId="2" borderId="2" xfId="0" applyNumberFormat="1" applyFill="1" applyBorder="1" applyAlignment="1">
      <alignment horizontal="center"/>
    </xf>
    <xf numFmtId="165" fontId="0" fillId="2" borderId="2" xfId="0" applyNumberFormat="1" applyFill="1" applyBorder="1"/>
    <xf numFmtId="43" fontId="0" fillId="2" borderId="2" xfId="1" applyFont="1" applyFill="1" applyBorder="1"/>
    <xf numFmtId="0" fontId="0" fillId="2" borderId="0" xfId="0" applyFill="1" applyAlignment="1">
      <alignment horizontal="center"/>
    </xf>
    <xf numFmtId="3" fontId="0" fillId="2" borderId="0" xfId="0" applyNumberFormat="1" applyFill="1"/>
    <xf numFmtId="165" fontId="0" fillId="2" borderId="0" xfId="0" applyNumberFormat="1" applyFill="1"/>
    <xf numFmtId="167" fontId="0" fillId="2" borderId="0" xfId="0" applyNumberFormat="1" applyFill="1" applyAlignment="1">
      <alignment horizontal="left"/>
    </xf>
    <xf numFmtId="166" fontId="0" fillId="2" borderId="0" xfId="2" applyNumberFormat="1" applyFont="1" applyFill="1" applyAlignment="1">
      <alignment horizontal="center"/>
    </xf>
    <xf numFmtId="168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left"/>
    </xf>
    <xf numFmtId="169" fontId="0" fillId="2" borderId="0" xfId="1" applyNumberFormat="1" applyFont="1" applyFill="1" applyAlignment="1">
      <alignment horizontal="center"/>
    </xf>
    <xf numFmtId="169" fontId="0" fillId="2" borderId="0" xfId="1" applyNumberFormat="1" applyFont="1" applyFill="1"/>
    <xf numFmtId="9" fontId="0" fillId="2" borderId="0" xfId="0" applyNumberFormat="1" applyFill="1" applyAlignment="1">
      <alignment horizontal="center"/>
    </xf>
    <xf numFmtId="167" fontId="0" fillId="2" borderId="4" xfId="0" applyNumberFormat="1" applyFill="1" applyBorder="1" applyAlignment="1">
      <alignment horizontal="right"/>
    </xf>
    <xf numFmtId="167" fontId="3" fillId="2" borderId="4" xfId="0" applyNumberFormat="1" applyFont="1" applyFill="1" applyBorder="1" applyAlignment="1">
      <alignment horizontal="center"/>
    </xf>
    <xf numFmtId="167" fontId="4" fillId="2" borderId="4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2" fontId="0" fillId="2" borderId="0" xfId="0" applyNumberFormat="1" applyFill="1"/>
    <xf numFmtId="0" fontId="3" fillId="2" borderId="0" xfId="0" applyFont="1" applyFill="1" applyAlignment="1">
      <alignment horizontal="center" wrapText="1"/>
    </xf>
    <xf numFmtId="3" fontId="0" fillId="2" borderId="4" xfId="0" applyNumberFormat="1" applyFill="1" applyBorder="1"/>
    <xf numFmtId="0" fontId="3" fillId="3" borderId="0" xfId="0" applyFont="1" applyFill="1" applyAlignment="1">
      <alignment horizontal="center" wrapText="1"/>
    </xf>
    <xf numFmtId="43" fontId="0" fillId="3" borderId="0" xfId="1" applyFont="1" applyFill="1"/>
    <xf numFmtId="0" fontId="0" fillId="3" borderId="0" xfId="0" applyFill="1"/>
    <xf numFmtId="43" fontId="2" fillId="3" borderId="0" xfId="0" applyNumberFormat="1" applyFont="1" applyFill="1"/>
    <xf numFmtId="165" fontId="0" fillId="3" borderId="0" xfId="0" applyNumberFormat="1" applyFill="1"/>
    <xf numFmtId="0" fontId="2" fillId="3" borderId="0" xfId="0" applyFont="1" applyFill="1"/>
    <xf numFmtId="0" fontId="0" fillId="4" borderId="0" xfId="0" applyFill="1"/>
    <xf numFmtId="0" fontId="3" fillId="4" borderId="0" xfId="0" applyFont="1" applyFill="1" applyAlignment="1">
      <alignment horizontal="center" wrapText="1"/>
    </xf>
    <xf numFmtId="43" fontId="0" fillId="4" borderId="0" xfId="0" applyNumberFormat="1" applyFill="1"/>
    <xf numFmtId="43" fontId="0" fillId="4" borderId="0" xfId="1" applyFont="1" applyFill="1"/>
    <xf numFmtId="0" fontId="6" fillId="4" borderId="0" xfId="0" applyFont="1" applyFill="1" applyAlignment="1">
      <alignment horizontal="center"/>
    </xf>
    <xf numFmtId="43" fontId="6" fillId="4" borderId="0" xfId="1" applyFont="1" applyFill="1" applyAlignment="1">
      <alignment horizontal="center"/>
    </xf>
    <xf numFmtId="2" fontId="2" fillId="4" borderId="0" xfId="0" applyNumberFormat="1" applyFont="1" applyFill="1"/>
    <xf numFmtId="165" fontId="2" fillId="4" borderId="0" xfId="0" applyNumberFormat="1" applyFont="1" applyFill="1" applyAlignment="1">
      <alignment horizontal="center"/>
    </xf>
    <xf numFmtId="0" fontId="2" fillId="4" borderId="0" xfId="0" applyFont="1" applyFill="1"/>
    <xf numFmtId="167" fontId="3" fillId="4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 applyFill="1" applyBorder="1"/>
    <xf numFmtId="43" fontId="2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4" fillId="0" borderId="3" xfId="0" applyFont="1" applyBorder="1" applyAlignment="1">
      <alignment horizontal="left"/>
    </xf>
    <xf numFmtId="0" fontId="0" fillId="0" borderId="1" xfId="0" applyBorder="1"/>
    <xf numFmtId="0" fontId="0" fillId="0" borderId="4" xfId="0" applyBorder="1" applyAlignment="1">
      <alignment horizontal="centerContinuous"/>
    </xf>
    <xf numFmtId="0" fontId="5" fillId="0" borderId="0" xfId="0" applyFont="1"/>
    <xf numFmtId="0" fontId="2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2" fontId="2" fillId="4" borderId="6" xfId="0" applyNumberFormat="1" applyFont="1" applyFill="1" applyBorder="1" applyAlignment="1">
      <alignment horizontal="center" wrapText="1"/>
    </xf>
    <xf numFmtId="2" fontId="2" fillId="4" borderId="7" xfId="0" applyNumberFormat="1" applyFont="1" applyFill="1" applyBorder="1" applyAlignment="1">
      <alignment horizontal="center" wrapText="1"/>
    </xf>
    <xf numFmtId="2" fontId="2" fillId="4" borderId="8" xfId="0" applyNumberFormat="1" applyFont="1" applyFill="1" applyBorder="1" applyAlignment="1">
      <alignment horizontal="center" wrapText="1"/>
    </xf>
    <xf numFmtId="2" fontId="2" fillId="4" borderId="9" xfId="0" applyNumberFormat="1" applyFont="1" applyFill="1" applyBorder="1" applyAlignment="1">
      <alignment horizontal="center" wrapText="1"/>
    </xf>
    <xf numFmtId="2" fontId="2" fillId="4" borderId="1" xfId="0" applyNumberFormat="1" applyFont="1" applyFill="1" applyBorder="1" applyAlignment="1">
      <alignment horizontal="center" wrapText="1"/>
    </xf>
    <xf numFmtId="2" fontId="2" fillId="4" borderId="10" xfId="0" applyNumberFormat="1" applyFont="1" applyFill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558F4-4AC8-4489-BB9A-C9A8D36C26CF}">
  <dimension ref="A1:X166"/>
  <sheetViews>
    <sheetView tabSelected="1" workbookViewId="0">
      <pane xSplit="4" ySplit="5" topLeftCell="J6" activePane="bottomRight" state="frozen"/>
      <selection pane="topRight" activeCell="E1" sqref="E1"/>
      <selection pane="bottomLeft" activeCell="A6" sqref="A6"/>
      <selection pane="bottomRight" activeCell="O9" sqref="O9"/>
    </sheetView>
  </sheetViews>
  <sheetFormatPr defaultRowHeight="15" x14ac:dyDescent="0.25"/>
  <cols>
    <col min="1" max="1" width="11.85546875" customWidth="1"/>
    <col min="2" max="2" width="13.42578125" customWidth="1"/>
    <col min="3" max="3" width="19.28515625" customWidth="1"/>
    <col min="4" max="4" width="4.28515625" bestFit="1" customWidth="1"/>
    <col min="5" max="5" width="11.5703125" bestFit="1" customWidth="1"/>
    <col min="6" max="6" width="12.5703125" bestFit="1" customWidth="1"/>
    <col min="7" max="7" width="1.5703125" customWidth="1"/>
    <col min="8" max="8" width="13.28515625" bestFit="1" customWidth="1"/>
    <col min="9" max="9" width="12.85546875" bestFit="1" customWidth="1"/>
    <col min="10" max="10" width="12.28515625" bestFit="1" customWidth="1"/>
    <col min="11" max="11" width="11.85546875" customWidth="1"/>
    <col min="12" max="12" width="15.85546875" customWidth="1"/>
    <col min="13" max="13" width="3" customWidth="1"/>
    <col min="14" max="14" width="16.7109375" customWidth="1"/>
    <col min="15" max="16" width="12.28515625" customWidth="1"/>
    <col min="17" max="17" width="14.28515625" bestFit="1" customWidth="1"/>
    <col min="18" max="18" width="5.7109375" customWidth="1"/>
    <col min="19" max="19" width="12.28515625" customWidth="1"/>
    <col min="20" max="20" width="14.28515625" bestFit="1" customWidth="1"/>
    <col min="21" max="21" width="13.28515625" bestFit="1" customWidth="1"/>
    <col min="22" max="22" width="12.28515625" customWidth="1"/>
    <col min="23" max="23" width="14.28515625" bestFit="1" customWidth="1"/>
  </cols>
  <sheetData>
    <row r="1" spans="1:23" x14ac:dyDescent="0.25">
      <c r="A1" s="2" t="s">
        <v>17</v>
      </c>
    </row>
    <row r="2" spans="1:23" x14ac:dyDescent="0.25">
      <c r="A2" s="2" t="s">
        <v>18</v>
      </c>
    </row>
    <row r="3" spans="1:23" ht="15" customHeight="1" x14ac:dyDescent="0.25">
      <c r="A3" s="2" t="s">
        <v>25</v>
      </c>
      <c r="S3" s="78" t="s">
        <v>38</v>
      </c>
      <c r="T3" s="79"/>
      <c r="U3" s="79"/>
      <c r="V3" s="79"/>
      <c r="W3" s="80"/>
    </row>
    <row r="4" spans="1:23" x14ac:dyDescent="0.25">
      <c r="A4" s="2" t="s">
        <v>40</v>
      </c>
      <c r="B4" s="2"/>
      <c r="C4" s="2"/>
      <c r="D4" s="2"/>
      <c r="E4" s="72" t="s">
        <v>23</v>
      </c>
      <c r="F4" s="73"/>
      <c r="G4" s="73"/>
      <c r="H4" s="73"/>
      <c r="I4" s="73"/>
      <c r="J4" s="73"/>
      <c r="K4" s="73"/>
      <c r="L4" s="74"/>
      <c r="N4" s="75" t="s">
        <v>36</v>
      </c>
      <c r="O4" s="76"/>
      <c r="P4" s="76"/>
      <c r="Q4" s="77"/>
      <c r="R4" s="55"/>
      <c r="S4" s="81"/>
      <c r="T4" s="82"/>
      <c r="U4" s="82"/>
      <c r="V4" s="82"/>
      <c r="W4" s="83"/>
    </row>
    <row r="5" spans="1:23" ht="64.5" x14ac:dyDescent="0.25">
      <c r="A5" s="58" t="s">
        <v>15</v>
      </c>
      <c r="B5" s="59" t="s">
        <v>0</v>
      </c>
      <c r="C5" s="60" t="s">
        <v>1</v>
      </c>
      <c r="D5" s="60" t="s">
        <v>2</v>
      </c>
      <c r="E5" s="13" t="s">
        <v>19</v>
      </c>
      <c r="F5" s="14" t="s">
        <v>3</v>
      </c>
      <c r="G5" s="4"/>
      <c r="H5" s="14" t="s">
        <v>4</v>
      </c>
      <c r="I5" s="14" t="s">
        <v>5</v>
      </c>
      <c r="J5" s="14" t="s">
        <v>6</v>
      </c>
      <c r="K5" s="14" t="s">
        <v>7</v>
      </c>
      <c r="L5" s="4"/>
      <c r="N5" s="41"/>
      <c r="O5" s="39" t="s">
        <v>26</v>
      </c>
      <c r="P5" s="39" t="s">
        <v>37</v>
      </c>
      <c r="Q5" s="39" t="s">
        <v>27</v>
      </c>
      <c r="R5" s="3"/>
      <c r="S5" s="46" t="s">
        <v>28</v>
      </c>
      <c r="T5" s="46" t="s">
        <v>29</v>
      </c>
      <c r="U5" s="46" t="s">
        <v>30</v>
      </c>
      <c r="V5" s="46" t="s">
        <v>31</v>
      </c>
      <c r="W5" s="45"/>
    </row>
    <row r="6" spans="1:23" x14ac:dyDescent="0.25">
      <c r="D6">
        <v>129</v>
      </c>
      <c r="E6" s="15">
        <f>4458.4/80</f>
        <v>55.73</v>
      </c>
      <c r="F6" s="15">
        <f>ROUND(E6*2080,2)</f>
        <v>115918.39999999999</v>
      </c>
      <c r="G6" s="4"/>
      <c r="H6" s="16"/>
      <c r="I6" s="15">
        <f>+IF(H6&gt;0,ROUND(H6*(E6*1.5),2),0)</f>
        <v>0</v>
      </c>
      <c r="J6" s="16"/>
      <c r="K6" s="15">
        <f>+IF(J6&gt;0,ROUND(J6*(E6*2),2),0)</f>
        <v>0</v>
      </c>
      <c r="L6" s="4"/>
      <c r="N6" s="41"/>
      <c r="O6" s="40">
        <v>2080</v>
      </c>
      <c r="P6" s="40">
        <f>Q6/O6</f>
        <v>50.193461538461534</v>
      </c>
      <c r="Q6" s="40">
        <v>104402.4</v>
      </c>
      <c r="R6" s="56"/>
      <c r="S6" s="47">
        <f>E6</f>
        <v>55.73</v>
      </c>
      <c r="T6" s="48">
        <f>S6*O6</f>
        <v>115918.39999999999</v>
      </c>
      <c r="U6" s="47">
        <f>H6*S6*1.5</f>
        <v>0</v>
      </c>
      <c r="V6" s="47">
        <f>J6*S6*2</f>
        <v>0</v>
      </c>
      <c r="W6" s="45"/>
    </row>
    <row r="7" spans="1:23" x14ac:dyDescent="0.25">
      <c r="D7">
        <v>178</v>
      </c>
      <c r="E7" s="15">
        <f>7108/80</f>
        <v>88.85</v>
      </c>
      <c r="F7" s="15">
        <f t="shared" ref="F7:F70" si="0">ROUND(E7*2080,2)</f>
        <v>184808</v>
      </c>
      <c r="G7" s="4"/>
      <c r="H7" s="16"/>
      <c r="I7" s="15">
        <f t="shared" ref="I7:I70" si="1">+IF(H7&gt;0,ROUND(H7*(E7*1.5),2),0)</f>
        <v>0</v>
      </c>
      <c r="J7" s="16"/>
      <c r="K7" s="15">
        <f t="shared" ref="K7:K70" si="2">+IF(J7&gt;0,ROUND(J7*(E7*2),2),0)</f>
        <v>0</v>
      </c>
      <c r="L7" s="4"/>
      <c r="N7" s="41"/>
      <c r="O7" s="40">
        <v>2080</v>
      </c>
      <c r="P7" s="40">
        <f t="shared" ref="P7:P70" si="3">Q7/O7</f>
        <v>85.108076923076936</v>
      </c>
      <c r="Q7" s="40">
        <v>177024.80000000002</v>
      </c>
      <c r="R7" s="56"/>
      <c r="S7" s="47">
        <f t="shared" ref="S7:S70" si="4">E7</f>
        <v>88.85</v>
      </c>
      <c r="T7" s="48">
        <f t="shared" ref="T7:T70" si="5">S7*O7</f>
        <v>184808</v>
      </c>
      <c r="U7" s="47">
        <f t="shared" ref="U7:U70" si="6">H7*S7*1.5</f>
        <v>0</v>
      </c>
      <c r="V7" s="47">
        <f t="shared" ref="V7:V70" si="7">J7*S7*2</f>
        <v>0</v>
      </c>
      <c r="W7" s="45"/>
    </row>
    <row r="8" spans="1:23" x14ac:dyDescent="0.25">
      <c r="D8">
        <v>189</v>
      </c>
      <c r="E8" s="15">
        <f>3910.4/80</f>
        <v>48.88</v>
      </c>
      <c r="F8" s="15">
        <f t="shared" si="0"/>
        <v>101670.39999999999</v>
      </c>
      <c r="G8" s="4"/>
      <c r="H8" s="16"/>
      <c r="I8" s="15">
        <f t="shared" si="1"/>
        <v>0</v>
      </c>
      <c r="J8" s="16"/>
      <c r="K8" s="15">
        <f t="shared" si="2"/>
        <v>0</v>
      </c>
      <c r="L8" s="4"/>
      <c r="N8" s="41"/>
      <c r="O8" s="40">
        <v>2080</v>
      </c>
      <c r="P8" s="40">
        <f t="shared" si="3"/>
        <v>46.818846153846152</v>
      </c>
      <c r="Q8" s="40">
        <v>97383.2</v>
      </c>
      <c r="R8" s="56"/>
      <c r="S8" s="47">
        <f t="shared" si="4"/>
        <v>48.88</v>
      </c>
      <c r="T8" s="48">
        <f t="shared" si="5"/>
        <v>101670.40000000001</v>
      </c>
      <c r="U8" s="47">
        <f t="shared" si="6"/>
        <v>0</v>
      </c>
      <c r="V8" s="47">
        <f t="shared" si="7"/>
        <v>0</v>
      </c>
      <c r="W8" s="45"/>
    </row>
    <row r="9" spans="1:23" x14ac:dyDescent="0.25">
      <c r="D9">
        <v>205</v>
      </c>
      <c r="E9" s="15">
        <v>41.06</v>
      </c>
      <c r="F9" s="15">
        <f t="shared" si="0"/>
        <v>85404.800000000003</v>
      </c>
      <c r="G9" s="4"/>
      <c r="H9" s="16">
        <v>463.5</v>
      </c>
      <c r="I9" s="15">
        <f t="shared" si="1"/>
        <v>28546.97</v>
      </c>
      <c r="J9" s="16">
        <v>162</v>
      </c>
      <c r="K9" s="15">
        <f t="shared" si="2"/>
        <v>13303.44</v>
      </c>
      <c r="L9" s="4"/>
      <c r="N9" s="41"/>
      <c r="O9" s="40">
        <v>2024</v>
      </c>
      <c r="P9" s="40">
        <f t="shared" si="3"/>
        <v>39.332411067193682</v>
      </c>
      <c r="Q9" s="40">
        <v>79608.800000000017</v>
      </c>
      <c r="R9" s="56"/>
      <c r="S9" s="47">
        <f t="shared" si="4"/>
        <v>41.06</v>
      </c>
      <c r="T9" s="48">
        <f>S9*O9</f>
        <v>83105.440000000002</v>
      </c>
      <c r="U9" s="47">
        <f>H9*S9*1.5</f>
        <v>28546.965000000004</v>
      </c>
      <c r="V9" s="47">
        <f t="shared" si="7"/>
        <v>13303.44</v>
      </c>
      <c r="W9" s="45"/>
    </row>
    <row r="10" spans="1:23" x14ac:dyDescent="0.25">
      <c r="D10">
        <v>213</v>
      </c>
      <c r="E10" s="15">
        <v>46.44</v>
      </c>
      <c r="F10" s="15">
        <f t="shared" si="0"/>
        <v>96595.199999999997</v>
      </c>
      <c r="G10" s="4"/>
      <c r="H10" s="16">
        <v>373.5</v>
      </c>
      <c r="I10" s="15">
        <f t="shared" si="1"/>
        <v>26018.01</v>
      </c>
      <c r="J10" s="16">
        <v>6</v>
      </c>
      <c r="K10" s="15">
        <f t="shared" si="2"/>
        <v>557.28</v>
      </c>
      <c r="L10" s="4"/>
      <c r="N10" s="41"/>
      <c r="O10" s="40">
        <v>2077</v>
      </c>
      <c r="P10" s="40">
        <f t="shared" si="3"/>
        <v>44.485368319691858</v>
      </c>
      <c r="Q10" s="40">
        <v>92396.109999999986</v>
      </c>
      <c r="R10" s="56"/>
      <c r="S10" s="47">
        <f t="shared" si="4"/>
        <v>46.44</v>
      </c>
      <c r="T10" s="48">
        <f t="shared" si="5"/>
        <v>96455.87999999999</v>
      </c>
      <c r="U10" s="47">
        <f t="shared" si="6"/>
        <v>26018.010000000002</v>
      </c>
      <c r="V10" s="47">
        <f>J10*S10*2</f>
        <v>557.28</v>
      </c>
      <c r="W10" s="45"/>
    </row>
    <row r="11" spans="1:23" x14ac:dyDescent="0.25">
      <c r="D11">
        <v>214</v>
      </c>
      <c r="E11" s="15">
        <v>40.85</v>
      </c>
      <c r="F11" s="15">
        <f t="shared" si="0"/>
        <v>84968</v>
      </c>
      <c r="G11" s="4"/>
      <c r="H11" s="16">
        <v>484</v>
      </c>
      <c r="I11" s="15">
        <f t="shared" si="1"/>
        <v>29657.1</v>
      </c>
      <c r="J11" s="16">
        <v>1</v>
      </c>
      <c r="K11" s="15">
        <f t="shared" si="2"/>
        <v>81.7</v>
      </c>
      <c r="L11" s="4"/>
      <c r="N11" s="41"/>
      <c r="O11" s="40">
        <v>2080</v>
      </c>
      <c r="P11" s="40">
        <f t="shared" si="3"/>
        <v>39.125</v>
      </c>
      <c r="Q11" s="40">
        <v>81380</v>
      </c>
      <c r="R11" s="56"/>
      <c r="S11" s="47">
        <f t="shared" si="4"/>
        <v>40.85</v>
      </c>
      <c r="T11" s="48">
        <f t="shared" si="5"/>
        <v>84968</v>
      </c>
      <c r="U11" s="47">
        <f t="shared" si="6"/>
        <v>29657.100000000002</v>
      </c>
      <c r="V11" s="47">
        <f t="shared" si="7"/>
        <v>81.7</v>
      </c>
      <c r="W11" s="45"/>
    </row>
    <row r="12" spans="1:23" x14ac:dyDescent="0.25">
      <c r="D12">
        <v>215</v>
      </c>
      <c r="E12" s="15">
        <v>41.25</v>
      </c>
      <c r="F12" s="15">
        <f t="shared" si="0"/>
        <v>85800</v>
      </c>
      <c r="G12" s="4"/>
      <c r="H12" s="16">
        <v>589.5</v>
      </c>
      <c r="I12" s="15">
        <f t="shared" si="1"/>
        <v>36475.31</v>
      </c>
      <c r="J12" s="16">
        <v>3.5</v>
      </c>
      <c r="K12" s="15">
        <f t="shared" si="2"/>
        <v>288.75</v>
      </c>
      <c r="L12" s="4"/>
      <c r="N12" s="41"/>
      <c r="O12" s="40">
        <v>2080</v>
      </c>
      <c r="P12" s="40">
        <f t="shared" si="3"/>
        <v>39.516153846153841</v>
      </c>
      <c r="Q12" s="40">
        <v>82193.599999999991</v>
      </c>
      <c r="R12" s="56"/>
      <c r="S12" s="47">
        <f t="shared" si="4"/>
        <v>41.25</v>
      </c>
      <c r="T12" s="48">
        <f t="shared" si="5"/>
        <v>85800</v>
      </c>
      <c r="U12" s="47">
        <f t="shared" si="6"/>
        <v>36475.3125</v>
      </c>
      <c r="V12" s="47">
        <f t="shared" si="7"/>
        <v>288.75</v>
      </c>
      <c r="W12" s="45"/>
    </row>
    <row r="13" spans="1:23" x14ac:dyDescent="0.25">
      <c r="D13">
        <v>219</v>
      </c>
      <c r="E13" s="15">
        <v>41.42</v>
      </c>
      <c r="F13" s="15">
        <f t="shared" si="0"/>
        <v>86153.600000000006</v>
      </c>
      <c r="G13" s="4"/>
      <c r="H13" s="16">
        <v>430.02</v>
      </c>
      <c r="I13" s="15">
        <f t="shared" si="1"/>
        <v>26717.14</v>
      </c>
      <c r="J13" s="16"/>
      <c r="K13" s="15">
        <f t="shared" si="2"/>
        <v>0</v>
      </c>
      <c r="L13" s="4"/>
      <c r="N13" s="41"/>
      <c r="O13" s="40">
        <v>2080</v>
      </c>
      <c r="P13" s="40">
        <f t="shared" si="3"/>
        <v>39.677307692307693</v>
      </c>
      <c r="Q13" s="40">
        <v>82528.800000000003</v>
      </c>
      <c r="R13" s="56"/>
      <c r="S13" s="47">
        <f t="shared" si="4"/>
        <v>41.42</v>
      </c>
      <c r="T13" s="48">
        <f t="shared" si="5"/>
        <v>86153.600000000006</v>
      </c>
      <c r="U13" s="47">
        <f t="shared" si="6"/>
        <v>26717.142599999999</v>
      </c>
      <c r="V13" s="47">
        <f t="shared" si="7"/>
        <v>0</v>
      </c>
      <c r="W13" s="45"/>
    </row>
    <row r="14" spans="1:23" x14ac:dyDescent="0.25">
      <c r="D14">
        <v>228</v>
      </c>
      <c r="E14" s="15">
        <f>5422.4/80</f>
        <v>67.78</v>
      </c>
      <c r="F14" s="15">
        <f t="shared" si="0"/>
        <v>140982.39999999999</v>
      </c>
      <c r="G14" s="4"/>
      <c r="H14" s="16"/>
      <c r="I14" s="15">
        <f t="shared" si="1"/>
        <v>0</v>
      </c>
      <c r="J14" s="16"/>
      <c r="K14" s="15">
        <f t="shared" si="2"/>
        <v>0</v>
      </c>
      <c r="L14" s="4"/>
      <c r="N14" s="41"/>
      <c r="O14" s="40">
        <v>2080</v>
      </c>
      <c r="P14" s="40">
        <f t="shared" si="3"/>
        <v>64.922692307692316</v>
      </c>
      <c r="Q14" s="40">
        <v>135039.20000000001</v>
      </c>
      <c r="R14" s="56"/>
      <c r="S14" s="47">
        <f t="shared" si="4"/>
        <v>67.78</v>
      </c>
      <c r="T14" s="48">
        <f t="shared" si="5"/>
        <v>140982.39999999999</v>
      </c>
      <c r="U14" s="47">
        <f t="shared" si="6"/>
        <v>0</v>
      </c>
      <c r="V14" s="47">
        <f t="shared" si="7"/>
        <v>0</v>
      </c>
      <c r="W14" s="45"/>
    </row>
    <row r="15" spans="1:23" x14ac:dyDescent="0.25">
      <c r="D15">
        <v>259</v>
      </c>
      <c r="E15" s="15">
        <v>46.81</v>
      </c>
      <c r="F15" s="15">
        <f t="shared" si="0"/>
        <v>97364.800000000003</v>
      </c>
      <c r="G15" s="4"/>
      <c r="H15" s="16">
        <v>4.5</v>
      </c>
      <c r="I15" s="15">
        <f t="shared" si="1"/>
        <v>315.97000000000003</v>
      </c>
      <c r="J15" s="16"/>
      <c r="K15" s="15">
        <f t="shared" si="2"/>
        <v>0</v>
      </c>
      <c r="L15" s="4"/>
      <c r="N15" s="41"/>
      <c r="O15" s="40">
        <v>2080</v>
      </c>
      <c r="P15" s="40">
        <f t="shared" si="3"/>
        <v>44.837307692307697</v>
      </c>
      <c r="Q15" s="40">
        <v>93261.6</v>
      </c>
      <c r="R15" s="56"/>
      <c r="S15" s="47">
        <f t="shared" si="4"/>
        <v>46.81</v>
      </c>
      <c r="T15" s="48">
        <f t="shared" si="5"/>
        <v>97364.800000000003</v>
      </c>
      <c r="U15" s="47">
        <f t="shared" si="6"/>
        <v>315.96750000000003</v>
      </c>
      <c r="V15" s="47">
        <f t="shared" si="7"/>
        <v>0</v>
      </c>
      <c r="W15" s="45"/>
    </row>
    <row r="16" spans="1:23" x14ac:dyDescent="0.25">
      <c r="D16">
        <v>281</v>
      </c>
      <c r="E16" s="15">
        <v>45.79</v>
      </c>
      <c r="F16" s="15">
        <f t="shared" si="0"/>
        <v>95243.199999999997</v>
      </c>
      <c r="G16" s="4"/>
      <c r="H16" s="16">
        <v>341.83</v>
      </c>
      <c r="I16" s="15">
        <f t="shared" si="1"/>
        <v>23478.59</v>
      </c>
      <c r="J16" s="16">
        <v>5.92</v>
      </c>
      <c r="K16" s="15">
        <f t="shared" si="2"/>
        <v>542.15</v>
      </c>
      <c r="L16" s="4"/>
      <c r="N16" s="41"/>
      <c r="O16" s="40">
        <v>2080</v>
      </c>
      <c r="P16" s="40">
        <f t="shared" si="3"/>
        <v>44.027384615384619</v>
      </c>
      <c r="Q16" s="40">
        <v>91576.960000000006</v>
      </c>
      <c r="R16" s="56"/>
      <c r="S16" s="47">
        <f t="shared" si="4"/>
        <v>45.79</v>
      </c>
      <c r="T16" s="48">
        <f t="shared" si="5"/>
        <v>95243.199999999997</v>
      </c>
      <c r="U16" s="47">
        <f t="shared" si="6"/>
        <v>23478.593549999998</v>
      </c>
      <c r="V16" s="47">
        <f t="shared" si="7"/>
        <v>542.15359999999998</v>
      </c>
      <c r="W16" s="45"/>
    </row>
    <row r="17" spans="4:23" x14ac:dyDescent="0.25">
      <c r="D17">
        <v>316</v>
      </c>
      <c r="E17" s="15">
        <v>45.72</v>
      </c>
      <c r="F17" s="15">
        <f t="shared" si="0"/>
        <v>95097.600000000006</v>
      </c>
      <c r="G17" s="4"/>
      <c r="H17" s="16">
        <v>221.5</v>
      </c>
      <c r="I17" s="15">
        <f t="shared" si="1"/>
        <v>15190.47</v>
      </c>
      <c r="J17" s="16"/>
      <c r="K17" s="15">
        <f t="shared" si="2"/>
        <v>0</v>
      </c>
      <c r="L17" s="4"/>
      <c r="N17" s="41"/>
      <c r="O17" s="40">
        <v>2080</v>
      </c>
      <c r="P17" s="40">
        <f t="shared" si="3"/>
        <v>43.791538461538458</v>
      </c>
      <c r="Q17" s="40">
        <v>91086.399999999994</v>
      </c>
      <c r="R17" s="56"/>
      <c r="S17" s="47">
        <f t="shared" si="4"/>
        <v>45.72</v>
      </c>
      <c r="T17" s="48">
        <f t="shared" si="5"/>
        <v>95097.599999999991</v>
      </c>
      <c r="U17" s="47">
        <f t="shared" si="6"/>
        <v>15190.47</v>
      </c>
      <c r="V17" s="47">
        <f t="shared" si="7"/>
        <v>0</v>
      </c>
      <c r="W17" s="45"/>
    </row>
    <row r="18" spans="4:23" x14ac:dyDescent="0.25">
      <c r="D18">
        <v>328</v>
      </c>
      <c r="E18" s="15">
        <v>33.659999999999997</v>
      </c>
      <c r="F18" s="15">
        <f t="shared" si="0"/>
        <v>70012.800000000003</v>
      </c>
      <c r="G18" s="4"/>
      <c r="H18" s="16">
        <v>21</v>
      </c>
      <c r="I18" s="15">
        <f t="shared" si="1"/>
        <v>1060.29</v>
      </c>
      <c r="J18" s="16"/>
      <c r="K18" s="15">
        <f t="shared" si="2"/>
        <v>0</v>
      </c>
      <c r="L18" s="4"/>
      <c r="N18" s="41"/>
      <c r="O18" s="40">
        <v>2080</v>
      </c>
      <c r="P18" s="40">
        <f t="shared" si="3"/>
        <v>32.244615384615386</v>
      </c>
      <c r="Q18" s="40">
        <v>67068.800000000003</v>
      </c>
      <c r="R18" s="56"/>
      <c r="S18" s="47">
        <f t="shared" si="4"/>
        <v>33.659999999999997</v>
      </c>
      <c r="T18" s="48">
        <f t="shared" si="5"/>
        <v>70012.799999999988</v>
      </c>
      <c r="U18" s="47">
        <f t="shared" si="6"/>
        <v>1060.29</v>
      </c>
      <c r="V18" s="47">
        <f t="shared" si="7"/>
        <v>0</v>
      </c>
      <c r="W18" s="45"/>
    </row>
    <row r="19" spans="4:23" x14ac:dyDescent="0.25">
      <c r="D19">
        <v>330</v>
      </c>
      <c r="E19" s="15">
        <v>44.57</v>
      </c>
      <c r="F19" s="15">
        <f t="shared" si="0"/>
        <v>92705.600000000006</v>
      </c>
      <c r="G19" s="4"/>
      <c r="H19" s="16">
        <v>252</v>
      </c>
      <c r="I19" s="15">
        <f t="shared" si="1"/>
        <v>16847.46</v>
      </c>
      <c r="J19" s="16"/>
      <c r="K19" s="15">
        <f t="shared" si="2"/>
        <v>0</v>
      </c>
      <c r="L19" s="4"/>
      <c r="N19" s="41"/>
      <c r="O19" s="40">
        <v>2080</v>
      </c>
      <c r="P19" s="40">
        <f t="shared" si="3"/>
        <v>42.694615384615389</v>
      </c>
      <c r="Q19" s="40">
        <v>88804.800000000003</v>
      </c>
      <c r="R19" s="56"/>
      <c r="S19" s="47">
        <f t="shared" si="4"/>
        <v>44.57</v>
      </c>
      <c r="T19" s="48">
        <f t="shared" si="5"/>
        <v>92705.600000000006</v>
      </c>
      <c r="U19" s="47">
        <f t="shared" si="6"/>
        <v>16847.46</v>
      </c>
      <c r="V19" s="47">
        <f t="shared" si="7"/>
        <v>0</v>
      </c>
      <c r="W19" s="45"/>
    </row>
    <row r="20" spans="4:23" x14ac:dyDescent="0.25">
      <c r="D20">
        <v>335</v>
      </c>
      <c r="E20" s="15">
        <f>5524.8/80</f>
        <v>69.06</v>
      </c>
      <c r="F20" s="15">
        <f t="shared" si="0"/>
        <v>143644.79999999999</v>
      </c>
      <c r="G20" s="4"/>
      <c r="H20" s="16"/>
      <c r="I20" s="15">
        <f t="shared" si="1"/>
        <v>0</v>
      </c>
      <c r="J20" s="16"/>
      <c r="K20" s="15">
        <f t="shared" si="2"/>
        <v>0</v>
      </c>
      <c r="L20" s="4"/>
      <c r="N20" s="41"/>
      <c r="O20" s="40">
        <v>2080</v>
      </c>
      <c r="P20" s="40">
        <f t="shared" si="3"/>
        <v>66.149615384615387</v>
      </c>
      <c r="Q20" s="40">
        <v>137591.20000000001</v>
      </c>
      <c r="R20" s="56"/>
      <c r="S20" s="47">
        <f t="shared" si="4"/>
        <v>69.06</v>
      </c>
      <c r="T20" s="48">
        <f t="shared" si="5"/>
        <v>143644.80000000002</v>
      </c>
      <c r="U20" s="47">
        <f t="shared" si="6"/>
        <v>0</v>
      </c>
      <c r="V20" s="47">
        <f t="shared" si="7"/>
        <v>0</v>
      </c>
      <c r="W20" s="45"/>
    </row>
    <row r="21" spans="4:23" x14ac:dyDescent="0.25">
      <c r="D21">
        <v>337</v>
      </c>
      <c r="E21" s="15">
        <v>40.97</v>
      </c>
      <c r="F21" s="15">
        <f t="shared" si="0"/>
        <v>85217.600000000006</v>
      </c>
      <c r="G21" s="4"/>
      <c r="H21" s="16">
        <v>229.75</v>
      </c>
      <c r="I21" s="15">
        <f t="shared" si="1"/>
        <v>14119.29</v>
      </c>
      <c r="J21" s="16">
        <v>7</v>
      </c>
      <c r="K21" s="15">
        <f t="shared" si="2"/>
        <v>573.58000000000004</v>
      </c>
      <c r="L21" s="4"/>
      <c r="N21" s="41"/>
      <c r="O21" s="40">
        <v>2080</v>
      </c>
      <c r="P21" s="40">
        <f t="shared" si="3"/>
        <v>39.245000000000005</v>
      </c>
      <c r="Q21" s="40">
        <v>81629.600000000006</v>
      </c>
      <c r="R21" s="56"/>
      <c r="S21" s="47">
        <f t="shared" si="4"/>
        <v>40.97</v>
      </c>
      <c r="T21" s="48">
        <f t="shared" si="5"/>
        <v>85217.599999999991</v>
      </c>
      <c r="U21" s="47">
        <f t="shared" si="6"/>
        <v>14119.286250000001</v>
      </c>
      <c r="V21" s="47">
        <f t="shared" si="7"/>
        <v>573.57999999999993</v>
      </c>
      <c r="W21" s="45"/>
    </row>
    <row r="22" spans="4:23" x14ac:dyDescent="0.25">
      <c r="D22">
        <v>352</v>
      </c>
      <c r="E22" s="15">
        <v>32.700000000000003</v>
      </c>
      <c r="F22" s="15">
        <f t="shared" si="0"/>
        <v>68016</v>
      </c>
      <c r="G22" s="4"/>
      <c r="H22" s="16"/>
      <c r="I22" s="15">
        <f t="shared" si="1"/>
        <v>0</v>
      </c>
      <c r="J22" s="16"/>
      <c r="K22" s="15">
        <f t="shared" si="2"/>
        <v>0</v>
      </c>
      <c r="L22" s="4"/>
      <c r="N22" s="41"/>
      <c r="O22" s="40">
        <v>2080</v>
      </c>
      <c r="P22" s="40">
        <f t="shared" si="3"/>
        <v>31.32</v>
      </c>
      <c r="Q22" s="40">
        <v>65145.599999999999</v>
      </c>
      <c r="R22" s="56"/>
      <c r="S22" s="47">
        <f t="shared" si="4"/>
        <v>32.700000000000003</v>
      </c>
      <c r="T22" s="48">
        <f t="shared" si="5"/>
        <v>68016</v>
      </c>
      <c r="U22" s="47">
        <f t="shared" si="6"/>
        <v>0</v>
      </c>
      <c r="V22" s="47">
        <f t="shared" si="7"/>
        <v>0</v>
      </c>
      <c r="W22" s="45"/>
    </row>
    <row r="23" spans="4:23" x14ac:dyDescent="0.25">
      <c r="D23">
        <v>370</v>
      </c>
      <c r="E23" s="15">
        <v>32.07</v>
      </c>
      <c r="F23" s="15">
        <f t="shared" si="0"/>
        <v>66705.600000000006</v>
      </c>
      <c r="G23" s="4"/>
      <c r="H23" s="16">
        <v>25.16</v>
      </c>
      <c r="I23" s="15">
        <f t="shared" si="1"/>
        <v>1210.32</v>
      </c>
      <c r="J23" s="16"/>
      <c r="K23" s="15">
        <f t="shared" si="2"/>
        <v>0</v>
      </c>
      <c r="L23" s="4"/>
      <c r="N23" s="41"/>
      <c r="O23" s="40">
        <v>2080</v>
      </c>
      <c r="P23" s="40">
        <f t="shared" si="3"/>
        <v>30.716538461538462</v>
      </c>
      <c r="Q23" s="40">
        <v>63890.400000000001</v>
      </c>
      <c r="R23" s="56"/>
      <c r="S23" s="47">
        <f t="shared" si="4"/>
        <v>32.07</v>
      </c>
      <c r="T23" s="48">
        <f t="shared" si="5"/>
        <v>66705.600000000006</v>
      </c>
      <c r="U23" s="47">
        <f t="shared" si="6"/>
        <v>1210.3218000000002</v>
      </c>
      <c r="V23" s="47">
        <f t="shared" si="7"/>
        <v>0</v>
      </c>
      <c r="W23" s="45"/>
    </row>
    <row r="24" spans="4:23" x14ac:dyDescent="0.25">
      <c r="D24">
        <v>379</v>
      </c>
      <c r="E24" s="15">
        <v>35.29</v>
      </c>
      <c r="F24" s="15">
        <f t="shared" si="0"/>
        <v>73403.199999999997</v>
      </c>
      <c r="G24" s="4"/>
      <c r="H24" s="16">
        <v>2</v>
      </c>
      <c r="I24" s="15">
        <f t="shared" si="1"/>
        <v>105.87</v>
      </c>
      <c r="J24" s="16"/>
      <c r="K24" s="15">
        <f t="shared" si="2"/>
        <v>0</v>
      </c>
      <c r="L24" s="4"/>
      <c r="N24" s="41"/>
      <c r="O24" s="40">
        <v>2080</v>
      </c>
      <c r="P24" s="40">
        <f t="shared" si="3"/>
        <v>33.803846153846152</v>
      </c>
      <c r="Q24" s="40">
        <v>70312</v>
      </c>
      <c r="R24" s="56"/>
      <c r="S24" s="47">
        <f t="shared" si="4"/>
        <v>35.29</v>
      </c>
      <c r="T24" s="48">
        <f t="shared" si="5"/>
        <v>73403.199999999997</v>
      </c>
      <c r="U24" s="47">
        <f t="shared" si="6"/>
        <v>105.87</v>
      </c>
      <c r="V24" s="47">
        <f t="shared" si="7"/>
        <v>0</v>
      </c>
      <c r="W24" s="45"/>
    </row>
    <row r="25" spans="4:23" x14ac:dyDescent="0.25">
      <c r="D25">
        <v>382</v>
      </c>
      <c r="E25" s="15">
        <v>46.55</v>
      </c>
      <c r="F25" s="15">
        <f t="shared" si="0"/>
        <v>96824</v>
      </c>
      <c r="G25" s="4"/>
      <c r="H25" s="16">
        <f>204+4.5</f>
        <v>208.5</v>
      </c>
      <c r="I25" s="15">
        <f t="shared" si="1"/>
        <v>14558.51</v>
      </c>
      <c r="J25" s="16">
        <v>3.75</v>
      </c>
      <c r="K25" s="15">
        <f t="shared" si="2"/>
        <v>349.13</v>
      </c>
      <c r="L25" s="4"/>
      <c r="N25" s="41"/>
      <c r="O25" s="40">
        <v>2080</v>
      </c>
      <c r="P25" s="40">
        <f t="shared" si="3"/>
        <v>44.675961538461536</v>
      </c>
      <c r="Q25" s="40">
        <v>92926</v>
      </c>
      <c r="R25" s="56"/>
      <c r="S25" s="47">
        <f t="shared" si="4"/>
        <v>46.55</v>
      </c>
      <c r="T25" s="48">
        <f t="shared" si="5"/>
        <v>96824</v>
      </c>
      <c r="U25" s="47">
        <f t="shared" si="6"/>
        <v>14558.512499999999</v>
      </c>
      <c r="V25" s="47">
        <f t="shared" si="7"/>
        <v>349.125</v>
      </c>
      <c r="W25" s="45"/>
    </row>
    <row r="26" spans="4:23" x14ac:dyDescent="0.25">
      <c r="D26">
        <v>395</v>
      </c>
      <c r="E26" s="15">
        <v>59.95</v>
      </c>
      <c r="F26" s="15">
        <f t="shared" si="0"/>
        <v>124696</v>
      </c>
      <c r="G26" s="4"/>
      <c r="H26" s="16">
        <v>134.5</v>
      </c>
      <c r="I26" s="15">
        <f t="shared" si="1"/>
        <v>12094.91</v>
      </c>
      <c r="J26" s="16"/>
      <c r="K26" s="15">
        <f t="shared" si="2"/>
        <v>0</v>
      </c>
      <c r="L26" s="4"/>
      <c r="N26" s="41"/>
      <c r="O26" s="40">
        <v>2080</v>
      </c>
      <c r="P26" s="40">
        <f t="shared" si="3"/>
        <v>53.763461538461542</v>
      </c>
      <c r="Q26" s="40">
        <v>111828</v>
      </c>
      <c r="R26" s="56"/>
      <c r="S26" s="47">
        <f t="shared" si="4"/>
        <v>59.95</v>
      </c>
      <c r="T26" s="48">
        <f t="shared" si="5"/>
        <v>124696</v>
      </c>
      <c r="U26" s="47">
        <f t="shared" si="6"/>
        <v>12094.9125</v>
      </c>
      <c r="V26" s="47">
        <f t="shared" si="7"/>
        <v>0</v>
      </c>
      <c r="W26" s="45"/>
    </row>
    <row r="27" spans="4:23" x14ac:dyDescent="0.25">
      <c r="D27">
        <v>397</v>
      </c>
      <c r="E27" s="15">
        <v>42.18</v>
      </c>
      <c r="F27" s="15">
        <f t="shared" si="0"/>
        <v>87734.399999999994</v>
      </c>
      <c r="G27" s="4"/>
      <c r="H27" s="16">
        <v>375</v>
      </c>
      <c r="I27" s="15">
        <f t="shared" si="1"/>
        <v>23726.25</v>
      </c>
      <c r="J27" s="16">
        <v>3.5</v>
      </c>
      <c r="K27" s="15">
        <f t="shared" si="2"/>
        <v>295.26</v>
      </c>
      <c r="L27" s="4"/>
      <c r="N27" s="41"/>
      <c r="O27" s="40">
        <v>2080</v>
      </c>
      <c r="P27" s="40">
        <f t="shared" si="3"/>
        <v>40.401923076923076</v>
      </c>
      <c r="Q27" s="40">
        <v>84036</v>
      </c>
      <c r="R27" s="56"/>
      <c r="S27" s="47">
        <f t="shared" si="4"/>
        <v>42.18</v>
      </c>
      <c r="T27" s="48">
        <f t="shared" si="5"/>
        <v>87734.399999999994</v>
      </c>
      <c r="U27" s="47">
        <f t="shared" si="6"/>
        <v>23726.25</v>
      </c>
      <c r="V27" s="47">
        <f t="shared" si="7"/>
        <v>295.26</v>
      </c>
      <c r="W27" s="45"/>
    </row>
    <row r="28" spans="4:23" x14ac:dyDescent="0.25">
      <c r="D28">
        <v>422</v>
      </c>
      <c r="E28" s="15">
        <v>33.130000000000003</v>
      </c>
      <c r="F28" s="15">
        <f t="shared" si="0"/>
        <v>68910.399999999994</v>
      </c>
      <c r="G28" s="4"/>
      <c r="H28" s="16">
        <f>15+17</f>
        <v>32</v>
      </c>
      <c r="I28" s="15">
        <f t="shared" si="1"/>
        <v>1590.24</v>
      </c>
      <c r="J28" s="16"/>
      <c r="K28" s="15">
        <f t="shared" si="2"/>
        <v>0</v>
      </c>
      <c r="L28" s="4"/>
      <c r="N28" s="41"/>
      <c r="O28" s="40">
        <v>2080</v>
      </c>
      <c r="P28" s="40">
        <f t="shared" si="3"/>
        <v>33.884951923076919</v>
      </c>
      <c r="Q28" s="40">
        <v>70480.7</v>
      </c>
      <c r="R28" s="56"/>
      <c r="S28" s="47">
        <f t="shared" si="4"/>
        <v>33.130000000000003</v>
      </c>
      <c r="T28" s="48">
        <f t="shared" si="5"/>
        <v>68910.400000000009</v>
      </c>
      <c r="U28" s="47">
        <f t="shared" si="6"/>
        <v>1590.2400000000002</v>
      </c>
      <c r="V28" s="47">
        <f t="shared" si="7"/>
        <v>0</v>
      </c>
      <c r="W28" s="45"/>
    </row>
    <row r="29" spans="4:23" x14ac:dyDescent="0.25">
      <c r="D29">
        <v>427</v>
      </c>
      <c r="E29" s="15">
        <f>3498.4/80</f>
        <v>43.730000000000004</v>
      </c>
      <c r="F29" s="15">
        <f t="shared" si="0"/>
        <v>90958.399999999994</v>
      </c>
      <c r="G29" s="4"/>
      <c r="H29" s="16"/>
      <c r="I29" s="15">
        <f t="shared" si="1"/>
        <v>0</v>
      </c>
      <c r="J29" s="16"/>
      <c r="K29" s="15">
        <f t="shared" si="2"/>
        <v>0</v>
      </c>
      <c r="L29" s="4"/>
      <c r="N29" s="41"/>
      <c r="O29" s="40">
        <v>2080</v>
      </c>
      <c r="P29" s="40">
        <f t="shared" si="3"/>
        <v>41.89</v>
      </c>
      <c r="Q29" s="40">
        <v>87131.199999999997</v>
      </c>
      <c r="R29" s="56"/>
      <c r="S29" s="47">
        <f t="shared" si="4"/>
        <v>43.730000000000004</v>
      </c>
      <c r="T29" s="48">
        <f t="shared" si="5"/>
        <v>90958.400000000009</v>
      </c>
      <c r="U29" s="47">
        <f t="shared" si="6"/>
        <v>0</v>
      </c>
      <c r="V29" s="47">
        <f t="shared" si="7"/>
        <v>0</v>
      </c>
      <c r="W29" s="45"/>
    </row>
    <row r="30" spans="4:23" x14ac:dyDescent="0.25">
      <c r="D30">
        <v>428</v>
      </c>
      <c r="E30" s="15">
        <v>40.86</v>
      </c>
      <c r="F30" s="15">
        <f t="shared" si="0"/>
        <v>84988.800000000003</v>
      </c>
      <c r="G30" s="4"/>
      <c r="H30" s="16">
        <v>6.5</v>
      </c>
      <c r="I30" s="15">
        <f t="shared" si="1"/>
        <v>398.39</v>
      </c>
      <c r="J30" s="16"/>
      <c r="K30" s="15">
        <f t="shared" si="2"/>
        <v>0</v>
      </c>
      <c r="L30" s="4"/>
      <c r="N30" s="41"/>
      <c r="O30" s="40">
        <v>2080</v>
      </c>
      <c r="P30" s="40">
        <f t="shared" si="3"/>
        <v>39.134999999999991</v>
      </c>
      <c r="Q30" s="40">
        <v>81400.799999999988</v>
      </c>
      <c r="R30" s="56"/>
      <c r="S30" s="47">
        <f t="shared" si="4"/>
        <v>40.86</v>
      </c>
      <c r="T30" s="48">
        <f t="shared" si="5"/>
        <v>84988.800000000003</v>
      </c>
      <c r="U30" s="47">
        <f t="shared" si="6"/>
        <v>398.38499999999999</v>
      </c>
      <c r="V30" s="47">
        <f t="shared" si="7"/>
        <v>0</v>
      </c>
      <c r="W30" s="45"/>
    </row>
    <row r="31" spans="4:23" x14ac:dyDescent="0.25">
      <c r="D31">
        <v>431</v>
      </c>
      <c r="E31" s="15">
        <v>41.06</v>
      </c>
      <c r="F31" s="15">
        <f t="shared" si="0"/>
        <v>85404.800000000003</v>
      </c>
      <c r="G31" s="4"/>
      <c r="H31" s="16">
        <v>376.5</v>
      </c>
      <c r="I31" s="15">
        <f t="shared" si="1"/>
        <v>23188.639999999999</v>
      </c>
      <c r="J31" s="16">
        <v>6</v>
      </c>
      <c r="K31" s="15">
        <f t="shared" si="2"/>
        <v>492.72</v>
      </c>
      <c r="L31" s="4"/>
      <c r="N31" s="41"/>
      <c r="O31" s="40">
        <v>2076</v>
      </c>
      <c r="P31" s="40">
        <f t="shared" si="3"/>
        <v>39.326589595375722</v>
      </c>
      <c r="Q31" s="40">
        <v>81642</v>
      </c>
      <c r="R31" s="56"/>
      <c r="S31" s="47">
        <f t="shared" si="4"/>
        <v>41.06</v>
      </c>
      <c r="T31" s="48">
        <f t="shared" si="5"/>
        <v>85240.56</v>
      </c>
      <c r="U31" s="47">
        <f t="shared" si="6"/>
        <v>23188.635000000002</v>
      </c>
      <c r="V31" s="47">
        <f t="shared" si="7"/>
        <v>492.72</v>
      </c>
      <c r="W31" s="45"/>
    </row>
    <row r="32" spans="4:23" x14ac:dyDescent="0.25">
      <c r="D32">
        <v>432</v>
      </c>
      <c r="E32" s="15">
        <v>33.409999999999997</v>
      </c>
      <c r="F32" s="15">
        <f t="shared" si="0"/>
        <v>69492.800000000003</v>
      </c>
      <c r="G32" s="4"/>
      <c r="H32" s="16">
        <v>40.24</v>
      </c>
      <c r="I32" s="15">
        <f t="shared" si="1"/>
        <v>2016.63</v>
      </c>
      <c r="J32" s="16"/>
      <c r="K32" s="15">
        <f t="shared" si="2"/>
        <v>0</v>
      </c>
      <c r="L32" s="4"/>
      <c r="N32" s="41"/>
      <c r="O32" s="40">
        <v>2080</v>
      </c>
      <c r="P32" s="40">
        <f t="shared" si="3"/>
        <v>31.23465384615384</v>
      </c>
      <c r="Q32" s="40">
        <v>64968.079999999987</v>
      </c>
      <c r="R32" s="56"/>
      <c r="S32" s="47">
        <f t="shared" si="4"/>
        <v>33.409999999999997</v>
      </c>
      <c r="T32" s="48">
        <f t="shared" si="5"/>
        <v>69492.799999999988</v>
      </c>
      <c r="U32" s="47">
        <f t="shared" si="6"/>
        <v>2016.6276</v>
      </c>
      <c r="V32" s="47">
        <f t="shared" si="7"/>
        <v>0</v>
      </c>
      <c r="W32" s="45"/>
    </row>
    <row r="33" spans="4:23" x14ac:dyDescent="0.25">
      <c r="D33">
        <v>433</v>
      </c>
      <c r="E33" s="15">
        <v>44.57</v>
      </c>
      <c r="F33" s="15">
        <f t="shared" si="0"/>
        <v>92705.600000000006</v>
      </c>
      <c r="G33" s="4"/>
      <c r="H33" s="16">
        <v>325.51</v>
      </c>
      <c r="I33" s="15">
        <f t="shared" si="1"/>
        <v>21761.97</v>
      </c>
      <c r="J33" s="16">
        <v>1.5</v>
      </c>
      <c r="K33" s="15">
        <f t="shared" si="2"/>
        <v>133.71</v>
      </c>
      <c r="L33" s="4"/>
      <c r="N33" s="41"/>
      <c r="O33" s="40">
        <v>2080</v>
      </c>
      <c r="P33" s="40">
        <f t="shared" si="3"/>
        <v>42.259615384615387</v>
      </c>
      <c r="Q33" s="40">
        <v>87900</v>
      </c>
      <c r="R33" s="56"/>
      <c r="S33" s="47">
        <f t="shared" si="4"/>
        <v>44.57</v>
      </c>
      <c r="T33" s="48">
        <f t="shared" si="5"/>
        <v>92705.600000000006</v>
      </c>
      <c r="U33" s="47">
        <f t="shared" si="6"/>
        <v>21761.97105</v>
      </c>
      <c r="V33" s="47">
        <f t="shared" si="7"/>
        <v>133.71</v>
      </c>
      <c r="W33" s="45"/>
    </row>
    <row r="34" spans="4:23" x14ac:dyDescent="0.25">
      <c r="D34">
        <v>445</v>
      </c>
      <c r="E34" s="15">
        <v>47.33</v>
      </c>
      <c r="F34" s="15">
        <f t="shared" si="0"/>
        <v>98446.399999999994</v>
      </c>
      <c r="G34" s="4"/>
      <c r="H34" s="16">
        <v>4</v>
      </c>
      <c r="I34" s="15">
        <f t="shared" si="1"/>
        <v>283.98</v>
      </c>
      <c r="J34" s="16"/>
      <c r="K34" s="15">
        <f t="shared" si="2"/>
        <v>0</v>
      </c>
      <c r="L34" s="4"/>
      <c r="N34" s="41"/>
      <c r="O34" s="40">
        <v>2080</v>
      </c>
      <c r="P34" s="40">
        <f t="shared" si="3"/>
        <v>45.339615384615385</v>
      </c>
      <c r="Q34" s="40">
        <v>94306.4</v>
      </c>
      <c r="R34" s="56"/>
      <c r="S34" s="47">
        <f t="shared" si="4"/>
        <v>47.33</v>
      </c>
      <c r="T34" s="48">
        <f t="shared" si="5"/>
        <v>98446.399999999994</v>
      </c>
      <c r="U34" s="47">
        <f t="shared" si="6"/>
        <v>283.98</v>
      </c>
      <c r="V34" s="47">
        <f t="shared" si="7"/>
        <v>0</v>
      </c>
      <c r="W34" s="45"/>
    </row>
    <row r="35" spans="4:23" x14ac:dyDescent="0.25">
      <c r="D35">
        <v>447</v>
      </c>
      <c r="E35" s="15">
        <v>33.74</v>
      </c>
      <c r="F35" s="15">
        <f t="shared" si="0"/>
        <v>70179.199999999997</v>
      </c>
      <c r="G35" s="4"/>
      <c r="H35" s="16">
        <v>90.75</v>
      </c>
      <c r="I35" s="15">
        <f t="shared" si="1"/>
        <v>4592.8599999999997</v>
      </c>
      <c r="J35" s="16">
        <v>2</v>
      </c>
      <c r="K35" s="15">
        <f t="shared" si="2"/>
        <v>134.96</v>
      </c>
      <c r="L35" s="4"/>
      <c r="N35" s="41"/>
      <c r="O35" s="40">
        <v>2080</v>
      </c>
      <c r="P35" s="40">
        <f t="shared" si="3"/>
        <v>32.315769230769234</v>
      </c>
      <c r="Q35" s="40">
        <v>67216.800000000003</v>
      </c>
      <c r="R35" s="56"/>
      <c r="S35" s="47">
        <f t="shared" si="4"/>
        <v>33.74</v>
      </c>
      <c r="T35" s="48">
        <f t="shared" si="5"/>
        <v>70179.199999999997</v>
      </c>
      <c r="U35" s="47">
        <f t="shared" si="6"/>
        <v>4592.8575000000001</v>
      </c>
      <c r="V35" s="47">
        <f t="shared" si="7"/>
        <v>134.96</v>
      </c>
      <c r="W35" s="45"/>
    </row>
    <row r="36" spans="4:23" x14ac:dyDescent="0.25">
      <c r="D36">
        <v>448</v>
      </c>
      <c r="E36" s="15">
        <v>32.07</v>
      </c>
      <c r="F36" s="15">
        <f t="shared" si="0"/>
        <v>66705.600000000006</v>
      </c>
      <c r="G36" s="4"/>
      <c r="H36" s="16">
        <v>57.87</v>
      </c>
      <c r="I36" s="15">
        <f t="shared" si="1"/>
        <v>2783.84</v>
      </c>
      <c r="J36" s="16"/>
      <c r="K36" s="15">
        <f t="shared" si="2"/>
        <v>0</v>
      </c>
      <c r="L36" s="4"/>
      <c r="N36" s="41"/>
      <c r="O36" s="40">
        <v>2080</v>
      </c>
      <c r="P36" s="40">
        <f t="shared" si="3"/>
        <v>30.716538461538462</v>
      </c>
      <c r="Q36" s="40">
        <v>63890.400000000001</v>
      </c>
      <c r="R36" s="56"/>
      <c r="S36" s="47">
        <f t="shared" si="4"/>
        <v>32.07</v>
      </c>
      <c r="T36" s="48">
        <f t="shared" si="5"/>
        <v>66705.600000000006</v>
      </c>
      <c r="U36" s="47">
        <f t="shared" si="6"/>
        <v>2783.8363499999996</v>
      </c>
      <c r="V36" s="47">
        <f t="shared" si="7"/>
        <v>0</v>
      </c>
      <c r="W36" s="45"/>
    </row>
    <row r="37" spans="4:23" x14ac:dyDescent="0.25">
      <c r="D37">
        <v>449</v>
      </c>
      <c r="E37" s="15">
        <f>3341.6/80</f>
        <v>41.769999999999996</v>
      </c>
      <c r="F37" s="15">
        <f t="shared" si="0"/>
        <v>86881.600000000006</v>
      </c>
      <c r="G37" s="4"/>
      <c r="H37" s="16"/>
      <c r="I37" s="15">
        <f t="shared" si="1"/>
        <v>0</v>
      </c>
      <c r="J37" s="16"/>
      <c r="K37" s="15">
        <f t="shared" si="2"/>
        <v>0</v>
      </c>
      <c r="L37" s="4"/>
      <c r="N37" s="41"/>
      <c r="O37" s="40">
        <v>2080</v>
      </c>
      <c r="P37" s="40">
        <f t="shared" si="3"/>
        <v>40.009615384615387</v>
      </c>
      <c r="Q37" s="40">
        <v>83220</v>
      </c>
      <c r="R37" s="56"/>
      <c r="S37" s="47">
        <f t="shared" si="4"/>
        <v>41.769999999999996</v>
      </c>
      <c r="T37" s="48">
        <f t="shared" si="5"/>
        <v>86881.599999999991</v>
      </c>
      <c r="U37" s="47">
        <f t="shared" si="6"/>
        <v>0</v>
      </c>
      <c r="V37" s="47">
        <f t="shared" si="7"/>
        <v>0</v>
      </c>
      <c r="W37" s="45"/>
    </row>
    <row r="38" spans="4:23" x14ac:dyDescent="0.25">
      <c r="D38">
        <v>455</v>
      </c>
      <c r="E38" s="15">
        <v>35.18</v>
      </c>
      <c r="F38" s="15">
        <f t="shared" si="0"/>
        <v>73174.399999999994</v>
      </c>
      <c r="G38" s="4"/>
      <c r="H38" s="16">
        <v>56</v>
      </c>
      <c r="I38" s="15">
        <f t="shared" si="1"/>
        <v>2955.12</v>
      </c>
      <c r="J38" s="16"/>
      <c r="K38" s="15">
        <f t="shared" si="2"/>
        <v>0</v>
      </c>
      <c r="L38" s="4"/>
      <c r="N38" s="41"/>
      <c r="O38" s="40">
        <v>2080</v>
      </c>
      <c r="P38" s="40">
        <f t="shared" si="3"/>
        <v>33.693846153846152</v>
      </c>
      <c r="Q38" s="40">
        <v>70083.199999999997</v>
      </c>
      <c r="R38" s="56"/>
      <c r="S38" s="47">
        <f t="shared" si="4"/>
        <v>35.18</v>
      </c>
      <c r="T38" s="48">
        <f t="shared" si="5"/>
        <v>73174.399999999994</v>
      </c>
      <c r="U38" s="47">
        <f t="shared" si="6"/>
        <v>2955.12</v>
      </c>
      <c r="V38" s="47">
        <f t="shared" si="7"/>
        <v>0</v>
      </c>
      <c r="W38" s="45"/>
    </row>
    <row r="39" spans="4:23" x14ac:dyDescent="0.25">
      <c r="D39">
        <v>473</v>
      </c>
      <c r="E39" s="15">
        <v>37.6</v>
      </c>
      <c r="F39" s="15">
        <f t="shared" si="0"/>
        <v>78208</v>
      </c>
      <c r="G39" s="4"/>
      <c r="H39" s="16">
        <v>19</v>
      </c>
      <c r="I39" s="15">
        <f t="shared" si="1"/>
        <v>1071.5999999999999</v>
      </c>
      <c r="J39" s="16"/>
      <c r="K39" s="15">
        <f t="shared" si="2"/>
        <v>0</v>
      </c>
      <c r="L39" s="4"/>
      <c r="N39" s="41"/>
      <c r="O39" s="40">
        <v>2080</v>
      </c>
      <c r="P39" s="40">
        <f t="shared" si="3"/>
        <v>36.016538461538467</v>
      </c>
      <c r="Q39" s="40">
        <v>74914.400000000009</v>
      </c>
      <c r="R39" s="56"/>
      <c r="S39" s="47">
        <f t="shared" si="4"/>
        <v>37.6</v>
      </c>
      <c r="T39" s="48">
        <f t="shared" si="5"/>
        <v>78208</v>
      </c>
      <c r="U39" s="47">
        <f t="shared" si="6"/>
        <v>1071.5999999999999</v>
      </c>
      <c r="V39" s="47">
        <f t="shared" si="7"/>
        <v>0</v>
      </c>
      <c r="W39" s="45"/>
    </row>
    <row r="40" spans="4:23" x14ac:dyDescent="0.25">
      <c r="D40">
        <v>475</v>
      </c>
      <c r="E40" s="15">
        <f>5029.6/80</f>
        <v>62.870000000000005</v>
      </c>
      <c r="F40" s="15">
        <f t="shared" si="0"/>
        <v>130769.60000000001</v>
      </c>
      <c r="G40" s="4"/>
      <c r="H40" s="16"/>
      <c r="I40" s="15">
        <f t="shared" si="1"/>
        <v>0</v>
      </c>
      <c r="J40" s="16"/>
      <c r="K40" s="15">
        <f t="shared" si="2"/>
        <v>0</v>
      </c>
      <c r="L40" s="4"/>
      <c r="N40" s="41"/>
      <c r="O40" s="40">
        <v>2080</v>
      </c>
      <c r="P40" s="40">
        <f t="shared" si="3"/>
        <v>60.225000000000001</v>
      </c>
      <c r="Q40" s="40">
        <v>125268</v>
      </c>
      <c r="R40" s="56"/>
      <c r="S40" s="47">
        <f t="shared" si="4"/>
        <v>62.870000000000005</v>
      </c>
      <c r="T40" s="48">
        <f t="shared" si="5"/>
        <v>130769.60000000001</v>
      </c>
      <c r="U40" s="47">
        <f t="shared" si="6"/>
        <v>0</v>
      </c>
      <c r="V40" s="47">
        <f t="shared" si="7"/>
        <v>0</v>
      </c>
      <c r="W40" s="45"/>
    </row>
    <row r="41" spans="4:23" x14ac:dyDescent="0.25">
      <c r="D41">
        <v>476</v>
      </c>
      <c r="E41" s="15">
        <v>44.1</v>
      </c>
      <c r="F41" s="15">
        <f t="shared" si="0"/>
        <v>91728</v>
      </c>
      <c r="G41" s="4"/>
      <c r="H41" s="16">
        <v>447.78</v>
      </c>
      <c r="I41" s="15">
        <f t="shared" si="1"/>
        <v>29620.65</v>
      </c>
      <c r="J41" s="16">
        <v>4</v>
      </c>
      <c r="K41" s="15">
        <f t="shared" si="2"/>
        <v>352.8</v>
      </c>
      <c r="L41" s="4"/>
      <c r="N41" s="41"/>
      <c r="O41" s="40">
        <v>2080</v>
      </c>
      <c r="P41" s="40">
        <f t="shared" si="3"/>
        <v>41.315384615384616</v>
      </c>
      <c r="Q41" s="40">
        <v>85936</v>
      </c>
      <c r="R41" s="56"/>
      <c r="S41" s="47">
        <f t="shared" si="4"/>
        <v>44.1</v>
      </c>
      <c r="T41" s="48">
        <f t="shared" si="5"/>
        <v>91728</v>
      </c>
      <c r="U41" s="47">
        <f t="shared" si="6"/>
        <v>29620.646999999997</v>
      </c>
      <c r="V41" s="47">
        <f t="shared" si="7"/>
        <v>352.8</v>
      </c>
      <c r="W41" s="45"/>
    </row>
    <row r="42" spans="4:23" x14ac:dyDescent="0.25">
      <c r="D42">
        <v>478</v>
      </c>
      <c r="E42" s="15">
        <f>3740.8/80</f>
        <v>46.760000000000005</v>
      </c>
      <c r="F42" s="15">
        <f t="shared" si="0"/>
        <v>97260.800000000003</v>
      </c>
      <c r="G42" s="4"/>
      <c r="H42" s="16"/>
      <c r="I42" s="15">
        <f t="shared" si="1"/>
        <v>0</v>
      </c>
      <c r="J42" s="16"/>
      <c r="K42" s="15">
        <f t="shared" si="2"/>
        <v>0</v>
      </c>
      <c r="L42" s="4"/>
      <c r="N42" s="41"/>
      <c r="O42" s="40">
        <v>2080</v>
      </c>
      <c r="P42" s="40">
        <f t="shared" si="3"/>
        <v>44.787307692307692</v>
      </c>
      <c r="Q42" s="40">
        <v>93157.6</v>
      </c>
      <c r="R42" s="56"/>
      <c r="S42" s="47">
        <f t="shared" si="4"/>
        <v>46.760000000000005</v>
      </c>
      <c r="T42" s="48">
        <f t="shared" si="5"/>
        <v>97260.800000000017</v>
      </c>
      <c r="U42" s="47">
        <f t="shared" si="6"/>
        <v>0</v>
      </c>
      <c r="V42" s="47">
        <f t="shared" si="7"/>
        <v>0</v>
      </c>
      <c r="W42" s="45"/>
    </row>
    <row r="43" spans="4:23" x14ac:dyDescent="0.25">
      <c r="D43">
        <v>497</v>
      </c>
      <c r="E43" s="15">
        <v>33.58</v>
      </c>
      <c r="F43" s="15">
        <f t="shared" si="0"/>
        <v>69846.399999999994</v>
      </c>
      <c r="G43" s="4"/>
      <c r="H43" s="16">
        <v>13</v>
      </c>
      <c r="I43" s="15">
        <f t="shared" si="1"/>
        <v>654.80999999999995</v>
      </c>
      <c r="J43" s="16"/>
      <c r="K43" s="15">
        <f t="shared" si="2"/>
        <v>0</v>
      </c>
      <c r="L43" s="4"/>
      <c r="N43" s="41"/>
      <c r="O43" s="40">
        <v>2080</v>
      </c>
      <c r="P43" s="40">
        <f t="shared" si="3"/>
        <v>32.164615384615388</v>
      </c>
      <c r="Q43" s="40">
        <v>66902.400000000009</v>
      </c>
      <c r="R43" s="56"/>
      <c r="S43" s="47">
        <f t="shared" si="4"/>
        <v>33.58</v>
      </c>
      <c r="T43" s="48">
        <f t="shared" si="5"/>
        <v>69846.399999999994</v>
      </c>
      <c r="U43" s="47">
        <f t="shared" si="6"/>
        <v>654.80999999999995</v>
      </c>
      <c r="V43" s="47">
        <f t="shared" si="7"/>
        <v>0</v>
      </c>
      <c r="W43" s="45"/>
    </row>
    <row r="44" spans="4:23" x14ac:dyDescent="0.25">
      <c r="D44">
        <v>512</v>
      </c>
      <c r="E44" s="15">
        <v>45.86</v>
      </c>
      <c r="F44" s="15">
        <f t="shared" si="0"/>
        <v>95388.800000000003</v>
      </c>
      <c r="G44" s="4"/>
      <c r="H44" s="16">
        <v>41.5</v>
      </c>
      <c r="I44" s="15">
        <f t="shared" si="1"/>
        <v>2854.79</v>
      </c>
      <c r="J44" s="16"/>
      <c r="K44" s="15">
        <f t="shared" si="2"/>
        <v>0</v>
      </c>
      <c r="L44" s="4"/>
      <c r="N44" s="41"/>
      <c r="O44" s="40">
        <v>2064</v>
      </c>
      <c r="P44" s="40">
        <f t="shared" si="3"/>
        <v>43.933488372093016</v>
      </c>
      <c r="Q44" s="40">
        <v>90678.719999999987</v>
      </c>
      <c r="R44" s="56"/>
      <c r="S44" s="47">
        <f t="shared" si="4"/>
        <v>45.86</v>
      </c>
      <c r="T44" s="48">
        <f t="shared" si="5"/>
        <v>94655.039999999994</v>
      </c>
      <c r="U44" s="47">
        <f t="shared" si="6"/>
        <v>2854.7849999999999</v>
      </c>
      <c r="V44" s="47">
        <f t="shared" si="7"/>
        <v>0</v>
      </c>
      <c r="W44" s="45"/>
    </row>
    <row r="45" spans="4:23" x14ac:dyDescent="0.25">
      <c r="D45">
        <v>518</v>
      </c>
      <c r="E45" s="15">
        <v>32.07</v>
      </c>
      <c r="F45" s="15">
        <f t="shared" si="0"/>
        <v>66705.600000000006</v>
      </c>
      <c r="G45" s="4"/>
      <c r="H45" s="16">
        <v>45.74</v>
      </c>
      <c r="I45" s="15">
        <f t="shared" si="1"/>
        <v>2200.3200000000002</v>
      </c>
      <c r="J45" s="16"/>
      <c r="K45" s="15">
        <f t="shared" si="2"/>
        <v>0</v>
      </c>
      <c r="L45" s="4"/>
      <c r="N45" s="41"/>
      <c r="O45" s="40">
        <v>2043.46</v>
      </c>
      <c r="P45" s="40">
        <f t="shared" si="3"/>
        <v>30.719696005794095</v>
      </c>
      <c r="Q45" s="40">
        <v>62774.47</v>
      </c>
      <c r="R45" s="56"/>
      <c r="S45" s="47">
        <f t="shared" si="4"/>
        <v>32.07</v>
      </c>
      <c r="T45" s="48">
        <f t="shared" si="5"/>
        <v>65533.762200000005</v>
      </c>
      <c r="U45" s="47">
        <f t="shared" si="6"/>
        <v>2200.3227000000002</v>
      </c>
      <c r="V45" s="47">
        <f t="shared" si="7"/>
        <v>0</v>
      </c>
      <c r="W45" s="45"/>
    </row>
    <row r="46" spans="4:23" x14ac:dyDescent="0.25">
      <c r="D46">
        <v>519</v>
      </c>
      <c r="E46" s="15">
        <f>7071.2/80</f>
        <v>88.39</v>
      </c>
      <c r="F46" s="15">
        <f t="shared" si="0"/>
        <v>183851.2</v>
      </c>
      <c r="G46" s="4"/>
      <c r="H46" s="16"/>
      <c r="I46" s="15">
        <f t="shared" si="1"/>
        <v>0</v>
      </c>
      <c r="J46" s="16"/>
      <c r="K46" s="15">
        <f t="shared" si="2"/>
        <v>0</v>
      </c>
      <c r="L46" s="4"/>
      <c r="N46" s="41"/>
      <c r="O46" s="40">
        <v>2080</v>
      </c>
      <c r="P46" s="40">
        <f t="shared" si="3"/>
        <v>84.665769230769229</v>
      </c>
      <c r="Q46" s="40">
        <v>176104.8</v>
      </c>
      <c r="R46" s="56"/>
      <c r="S46" s="47">
        <f t="shared" si="4"/>
        <v>88.39</v>
      </c>
      <c r="T46" s="48">
        <f t="shared" si="5"/>
        <v>183851.2</v>
      </c>
      <c r="U46" s="47">
        <f t="shared" si="6"/>
        <v>0</v>
      </c>
      <c r="V46" s="47">
        <f t="shared" si="7"/>
        <v>0</v>
      </c>
      <c r="W46" s="45"/>
    </row>
    <row r="47" spans="4:23" x14ac:dyDescent="0.25">
      <c r="D47">
        <v>534</v>
      </c>
      <c r="E47" s="15">
        <v>46.35</v>
      </c>
      <c r="F47" s="15">
        <f t="shared" si="0"/>
        <v>96408</v>
      </c>
      <c r="G47" s="4"/>
      <c r="H47" s="16">
        <v>294</v>
      </c>
      <c r="I47" s="15">
        <f t="shared" si="1"/>
        <v>20440.349999999999</v>
      </c>
      <c r="J47" s="16">
        <v>161.5</v>
      </c>
      <c r="K47" s="15">
        <f t="shared" si="2"/>
        <v>14971.05</v>
      </c>
      <c r="L47" s="4"/>
      <c r="N47" s="41"/>
      <c r="O47" s="40">
        <v>2024</v>
      </c>
      <c r="P47" s="40">
        <f t="shared" si="3"/>
        <v>44.651778656126481</v>
      </c>
      <c r="Q47" s="40">
        <v>90375.2</v>
      </c>
      <c r="R47" s="56"/>
      <c r="S47" s="47">
        <f t="shared" si="4"/>
        <v>46.35</v>
      </c>
      <c r="T47" s="48">
        <f t="shared" si="5"/>
        <v>93812.400000000009</v>
      </c>
      <c r="U47" s="47">
        <f t="shared" si="6"/>
        <v>20440.349999999999</v>
      </c>
      <c r="V47" s="47">
        <f t="shared" si="7"/>
        <v>14971.050000000001</v>
      </c>
      <c r="W47" s="45"/>
    </row>
    <row r="48" spans="4:23" x14ac:dyDescent="0.25">
      <c r="D48">
        <v>535</v>
      </c>
      <c r="E48" s="15">
        <v>43.7</v>
      </c>
      <c r="F48" s="15">
        <f t="shared" si="0"/>
        <v>90896</v>
      </c>
      <c r="G48" s="4"/>
      <c r="H48" s="16">
        <v>437</v>
      </c>
      <c r="I48" s="15">
        <f t="shared" si="1"/>
        <v>28645.35</v>
      </c>
      <c r="J48" s="16">
        <f>1+155</f>
        <v>156</v>
      </c>
      <c r="K48" s="15">
        <f t="shared" si="2"/>
        <v>13634.4</v>
      </c>
      <c r="L48" s="4"/>
      <c r="N48" s="41"/>
      <c r="O48" s="40">
        <v>2022</v>
      </c>
      <c r="P48" s="40">
        <f t="shared" si="3"/>
        <v>39.880474777448065</v>
      </c>
      <c r="Q48" s="40">
        <v>80638.319999999992</v>
      </c>
      <c r="R48" s="56"/>
      <c r="S48" s="47">
        <f t="shared" si="4"/>
        <v>43.7</v>
      </c>
      <c r="T48" s="48">
        <f t="shared" si="5"/>
        <v>88361.400000000009</v>
      </c>
      <c r="U48" s="47">
        <f t="shared" si="6"/>
        <v>28645.350000000002</v>
      </c>
      <c r="V48" s="47">
        <f t="shared" si="7"/>
        <v>13634.400000000001</v>
      </c>
      <c r="W48" s="45"/>
    </row>
    <row r="49" spans="4:23" x14ac:dyDescent="0.25">
      <c r="D49">
        <v>536</v>
      </c>
      <c r="E49" s="15">
        <f>4983.2/80</f>
        <v>62.29</v>
      </c>
      <c r="F49" s="15">
        <f t="shared" si="0"/>
        <v>129563.2</v>
      </c>
      <c r="G49" s="4"/>
      <c r="H49" s="16"/>
      <c r="I49" s="15">
        <f t="shared" si="1"/>
        <v>0</v>
      </c>
      <c r="J49" s="16"/>
      <c r="K49" s="15">
        <f t="shared" si="2"/>
        <v>0</v>
      </c>
      <c r="L49" s="4"/>
      <c r="N49" s="41"/>
      <c r="O49" s="40">
        <v>2080</v>
      </c>
      <c r="P49" s="40">
        <f t="shared" si="3"/>
        <v>59.662692307692318</v>
      </c>
      <c r="Q49" s="40">
        <v>124098.40000000002</v>
      </c>
      <c r="R49" s="56"/>
      <c r="S49" s="47">
        <f t="shared" si="4"/>
        <v>62.29</v>
      </c>
      <c r="T49" s="48">
        <f t="shared" si="5"/>
        <v>129563.2</v>
      </c>
      <c r="U49" s="47">
        <f t="shared" si="6"/>
        <v>0</v>
      </c>
      <c r="V49" s="47">
        <f t="shared" si="7"/>
        <v>0</v>
      </c>
      <c r="W49" s="45"/>
    </row>
    <row r="50" spans="4:23" x14ac:dyDescent="0.25">
      <c r="D50">
        <v>541</v>
      </c>
      <c r="E50" s="15">
        <v>40.69</v>
      </c>
      <c r="F50" s="15">
        <f t="shared" si="0"/>
        <v>84635.199999999997</v>
      </c>
      <c r="G50" s="4"/>
      <c r="H50" s="16">
        <v>2</v>
      </c>
      <c r="I50" s="15">
        <f t="shared" si="1"/>
        <v>122.07</v>
      </c>
      <c r="J50" s="16"/>
      <c r="K50" s="15">
        <f t="shared" si="2"/>
        <v>0</v>
      </c>
      <c r="L50" s="4"/>
      <c r="N50" s="41"/>
      <c r="O50" s="40">
        <v>2080</v>
      </c>
      <c r="P50" s="40">
        <f t="shared" si="3"/>
        <v>38.973846153846154</v>
      </c>
      <c r="Q50" s="40">
        <v>81065.600000000006</v>
      </c>
      <c r="R50" s="56"/>
      <c r="S50" s="47">
        <f t="shared" si="4"/>
        <v>40.69</v>
      </c>
      <c r="T50" s="48">
        <f t="shared" si="5"/>
        <v>84635.199999999997</v>
      </c>
      <c r="U50" s="47">
        <f t="shared" si="6"/>
        <v>122.07</v>
      </c>
      <c r="V50" s="47">
        <f t="shared" si="7"/>
        <v>0</v>
      </c>
      <c r="W50" s="45"/>
    </row>
    <row r="51" spans="4:23" x14ac:dyDescent="0.25">
      <c r="D51">
        <v>578</v>
      </c>
      <c r="E51" s="15">
        <f>4983.2/80</f>
        <v>62.29</v>
      </c>
      <c r="F51" s="15">
        <f t="shared" si="0"/>
        <v>129563.2</v>
      </c>
      <c r="G51" s="4"/>
      <c r="H51" s="16"/>
      <c r="I51" s="15">
        <f t="shared" si="1"/>
        <v>0</v>
      </c>
      <c r="J51" s="16"/>
      <c r="K51" s="15">
        <f t="shared" si="2"/>
        <v>0</v>
      </c>
      <c r="L51" s="4"/>
      <c r="N51" s="41"/>
      <c r="O51" s="40">
        <v>2080</v>
      </c>
      <c r="P51" s="40">
        <f t="shared" si="3"/>
        <v>59.662692307692303</v>
      </c>
      <c r="Q51" s="40">
        <v>124098.4</v>
      </c>
      <c r="R51" s="56"/>
      <c r="S51" s="47">
        <f t="shared" si="4"/>
        <v>62.29</v>
      </c>
      <c r="T51" s="48">
        <f t="shared" si="5"/>
        <v>129563.2</v>
      </c>
      <c r="U51" s="47">
        <f t="shared" si="6"/>
        <v>0</v>
      </c>
      <c r="V51" s="47">
        <f t="shared" si="7"/>
        <v>0</v>
      </c>
      <c r="W51" s="45"/>
    </row>
    <row r="52" spans="4:23" x14ac:dyDescent="0.25">
      <c r="D52">
        <v>580</v>
      </c>
      <c r="E52" s="15">
        <v>33.42</v>
      </c>
      <c r="F52" s="15">
        <f t="shared" si="0"/>
        <v>69513.600000000006</v>
      </c>
      <c r="G52" s="4"/>
      <c r="H52" s="16"/>
      <c r="I52" s="15">
        <f t="shared" si="1"/>
        <v>0</v>
      </c>
      <c r="J52" s="16"/>
      <c r="K52" s="15">
        <f t="shared" si="2"/>
        <v>0</v>
      </c>
      <c r="L52" s="4"/>
      <c r="N52" s="41"/>
      <c r="O52" s="40">
        <v>2080</v>
      </c>
      <c r="P52" s="40">
        <f t="shared" si="3"/>
        <v>32.013461538461542</v>
      </c>
      <c r="Q52" s="40">
        <v>66588</v>
      </c>
      <c r="R52" s="56"/>
      <c r="S52" s="47">
        <f t="shared" si="4"/>
        <v>33.42</v>
      </c>
      <c r="T52" s="48">
        <f t="shared" si="5"/>
        <v>69513.600000000006</v>
      </c>
      <c r="U52" s="47">
        <f t="shared" si="6"/>
        <v>0</v>
      </c>
      <c r="V52" s="47">
        <f t="shared" si="7"/>
        <v>0</v>
      </c>
      <c r="W52" s="45"/>
    </row>
    <row r="53" spans="4:23" x14ac:dyDescent="0.25">
      <c r="D53">
        <v>581</v>
      </c>
      <c r="E53" s="15">
        <v>57.14</v>
      </c>
      <c r="F53" s="15">
        <f t="shared" si="0"/>
        <v>118851.2</v>
      </c>
      <c r="G53" s="4"/>
      <c r="H53" s="16">
        <v>7</v>
      </c>
      <c r="I53" s="15">
        <f t="shared" si="1"/>
        <v>599.97</v>
      </c>
      <c r="J53" s="16"/>
      <c r="K53" s="15">
        <f t="shared" si="2"/>
        <v>0</v>
      </c>
      <c r="L53" s="4"/>
      <c r="N53" s="41"/>
      <c r="O53" s="40">
        <v>2080</v>
      </c>
      <c r="P53" s="40">
        <f t="shared" si="3"/>
        <v>52.33384615384616</v>
      </c>
      <c r="Q53" s="40">
        <v>108854.40000000001</v>
      </c>
      <c r="R53" s="56"/>
      <c r="S53" s="47">
        <f t="shared" si="4"/>
        <v>57.14</v>
      </c>
      <c r="T53" s="48">
        <f t="shared" si="5"/>
        <v>118851.2</v>
      </c>
      <c r="U53" s="47">
        <f t="shared" si="6"/>
        <v>599.97</v>
      </c>
      <c r="V53" s="47">
        <f t="shared" si="7"/>
        <v>0</v>
      </c>
      <c r="W53" s="45"/>
    </row>
    <row r="54" spans="4:23" x14ac:dyDescent="0.25">
      <c r="D54">
        <v>598</v>
      </c>
      <c r="E54" s="15">
        <v>45.15</v>
      </c>
      <c r="F54" s="15">
        <f t="shared" si="0"/>
        <v>93912</v>
      </c>
      <c r="G54" s="4"/>
      <c r="H54" s="16">
        <v>168</v>
      </c>
      <c r="I54" s="15">
        <f t="shared" si="1"/>
        <v>11377.8</v>
      </c>
      <c r="J54" s="16"/>
      <c r="K54" s="15">
        <f t="shared" si="2"/>
        <v>0</v>
      </c>
      <c r="L54" s="4"/>
      <c r="N54" s="41"/>
      <c r="O54" s="40">
        <v>2080</v>
      </c>
      <c r="P54" s="40">
        <f t="shared" si="3"/>
        <v>43.248076923076923</v>
      </c>
      <c r="Q54" s="40">
        <v>89956</v>
      </c>
      <c r="R54" s="56"/>
      <c r="S54" s="47">
        <f t="shared" si="4"/>
        <v>45.15</v>
      </c>
      <c r="T54" s="48">
        <f t="shared" si="5"/>
        <v>93912</v>
      </c>
      <c r="U54" s="47">
        <f t="shared" si="6"/>
        <v>11377.8</v>
      </c>
      <c r="V54" s="47">
        <f t="shared" si="7"/>
        <v>0</v>
      </c>
      <c r="W54" s="45"/>
    </row>
    <row r="55" spans="4:23" x14ac:dyDescent="0.25">
      <c r="D55">
        <v>616</v>
      </c>
      <c r="E55" s="15">
        <v>32.07</v>
      </c>
      <c r="F55" s="15">
        <f t="shared" si="0"/>
        <v>66705.600000000006</v>
      </c>
      <c r="G55" s="4"/>
      <c r="H55" s="16">
        <v>38.81</v>
      </c>
      <c r="I55" s="15">
        <f t="shared" si="1"/>
        <v>1866.96</v>
      </c>
      <c r="J55" s="16"/>
      <c r="K55" s="15">
        <f t="shared" si="2"/>
        <v>0</v>
      </c>
      <c r="L55" s="4"/>
      <c r="N55" s="41"/>
      <c r="O55" s="40">
        <v>2080</v>
      </c>
      <c r="P55" s="40">
        <f t="shared" si="3"/>
        <v>30.716538461538462</v>
      </c>
      <c r="Q55" s="40">
        <v>63890.400000000001</v>
      </c>
      <c r="R55" s="56"/>
      <c r="S55" s="47">
        <f t="shared" si="4"/>
        <v>32.07</v>
      </c>
      <c r="T55" s="48">
        <f t="shared" si="5"/>
        <v>66705.600000000006</v>
      </c>
      <c r="U55" s="47">
        <f t="shared" si="6"/>
        <v>1866.95505</v>
      </c>
      <c r="V55" s="47">
        <f t="shared" si="7"/>
        <v>0</v>
      </c>
      <c r="W55" s="45"/>
    </row>
    <row r="56" spans="4:23" x14ac:dyDescent="0.25">
      <c r="D56">
        <v>618</v>
      </c>
      <c r="E56" s="15">
        <v>103.7</v>
      </c>
      <c r="F56" s="15">
        <f t="shared" si="0"/>
        <v>215696</v>
      </c>
      <c r="G56" s="4"/>
      <c r="H56" s="16"/>
      <c r="I56" s="15">
        <f t="shared" si="1"/>
        <v>0</v>
      </c>
      <c r="J56" s="16"/>
      <c r="K56" s="15">
        <f t="shared" si="2"/>
        <v>0</v>
      </c>
      <c r="L56" s="4"/>
      <c r="N56" s="41"/>
      <c r="O56" s="40">
        <v>2080</v>
      </c>
      <c r="P56" s="40">
        <f t="shared" si="3"/>
        <v>97.006538461538454</v>
      </c>
      <c r="Q56" s="40">
        <v>201773.59999999998</v>
      </c>
      <c r="R56" s="56"/>
      <c r="S56" s="47">
        <f t="shared" si="4"/>
        <v>103.7</v>
      </c>
      <c r="T56" s="48">
        <f t="shared" si="5"/>
        <v>215696</v>
      </c>
      <c r="U56" s="47">
        <f t="shared" si="6"/>
        <v>0</v>
      </c>
      <c r="V56" s="47">
        <f t="shared" si="7"/>
        <v>0</v>
      </c>
      <c r="W56" s="45"/>
    </row>
    <row r="57" spans="4:23" x14ac:dyDescent="0.25">
      <c r="D57">
        <v>634</v>
      </c>
      <c r="E57" s="15">
        <v>25.66</v>
      </c>
      <c r="F57" s="15">
        <f t="shared" si="0"/>
        <v>53372.800000000003</v>
      </c>
      <c r="G57" s="4"/>
      <c r="H57" s="16">
        <v>28.1</v>
      </c>
      <c r="I57" s="15">
        <f t="shared" si="1"/>
        <v>1081.57</v>
      </c>
      <c r="J57" s="16"/>
      <c r="K57" s="15">
        <f t="shared" si="2"/>
        <v>0</v>
      </c>
      <c r="L57" s="4"/>
      <c r="N57" s="41"/>
      <c r="O57" s="40">
        <v>2080</v>
      </c>
      <c r="P57" s="40">
        <f t="shared" si="3"/>
        <v>24.580769230769235</v>
      </c>
      <c r="Q57" s="40">
        <v>51128.000000000007</v>
      </c>
      <c r="R57" s="56"/>
      <c r="S57" s="47">
        <f t="shared" si="4"/>
        <v>25.66</v>
      </c>
      <c r="T57" s="48">
        <f t="shared" si="5"/>
        <v>53372.800000000003</v>
      </c>
      <c r="U57" s="47">
        <f t="shared" si="6"/>
        <v>1081.569</v>
      </c>
      <c r="V57" s="47">
        <f t="shared" si="7"/>
        <v>0</v>
      </c>
      <c r="W57" s="45"/>
    </row>
    <row r="58" spans="4:23" x14ac:dyDescent="0.25">
      <c r="D58">
        <v>635</v>
      </c>
      <c r="E58" s="15">
        <v>40.93</v>
      </c>
      <c r="F58" s="15">
        <f t="shared" si="0"/>
        <v>85134.399999999994</v>
      </c>
      <c r="G58" s="4"/>
      <c r="H58" s="16">
        <v>236.25</v>
      </c>
      <c r="I58" s="15">
        <f t="shared" si="1"/>
        <v>14504.57</v>
      </c>
      <c r="J58" s="16"/>
      <c r="K58" s="15">
        <f t="shared" si="2"/>
        <v>0</v>
      </c>
      <c r="L58" s="4"/>
      <c r="N58" s="41"/>
      <c r="O58" s="40">
        <v>2080</v>
      </c>
      <c r="P58" s="40">
        <f t="shared" si="3"/>
        <v>39.204999999999998</v>
      </c>
      <c r="Q58" s="40">
        <v>81546.399999999994</v>
      </c>
      <c r="R58" s="56"/>
      <c r="S58" s="47">
        <f t="shared" si="4"/>
        <v>40.93</v>
      </c>
      <c r="T58" s="48">
        <f t="shared" si="5"/>
        <v>85134.399999999994</v>
      </c>
      <c r="U58" s="47">
        <f t="shared" si="6"/>
        <v>14504.568749999999</v>
      </c>
      <c r="V58" s="47">
        <f t="shared" si="7"/>
        <v>0</v>
      </c>
      <c r="W58" s="45"/>
    </row>
    <row r="59" spans="4:23" x14ac:dyDescent="0.25">
      <c r="D59">
        <v>638</v>
      </c>
      <c r="E59" s="15">
        <v>42.08</v>
      </c>
      <c r="F59" s="15">
        <f t="shared" si="0"/>
        <v>87526.399999999994</v>
      </c>
      <c r="G59" s="4"/>
      <c r="H59" s="16">
        <v>523</v>
      </c>
      <c r="I59" s="15">
        <f t="shared" si="1"/>
        <v>33011.760000000002</v>
      </c>
      <c r="J59" s="16">
        <f>2+157.5</f>
        <v>159.5</v>
      </c>
      <c r="K59" s="15">
        <f t="shared" si="2"/>
        <v>13423.52</v>
      </c>
      <c r="L59" s="4"/>
      <c r="N59" s="41"/>
      <c r="O59" s="40">
        <v>2024</v>
      </c>
      <c r="P59" s="40">
        <f t="shared" si="3"/>
        <v>41.048735177865609</v>
      </c>
      <c r="Q59" s="40">
        <v>83082.64</v>
      </c>
      <c r="R59" s="56"/>
      <c r="S59" s="47">
        <f t="shared" si="4"/>
        <v>42.08</v>
      </c>
      <c r="T59" s="48">
        <f t="shared" si="5"/>
        <v>85169.919999999998</v>
      </c>
      <c r="U59" s="47">
        <f t="shared" si="6"/>
        <v>33011.760000000002</v>
      </c>
      <c r="V59" s="47">
        <f t="shared" si="7"/>
        <v>13423.519999999999</v>
      </c>
      <c r="W59" s="45"/>
    </row>
    <row r="60" spans="4:23" x14ac:dyDescent="0.25">
      <c r="D60">
        <v>640</v>
      </c>
      <c r="E60" s="15">
        <v>46.35</v>
      </c>
      <c r="F60" s="15">
        <f t="shared" si="0"/>
        <v>96408</v>
      </c>
      <c r="G60" s="4"/>
      <c r="H60" s="16">
        <v>436</v>
      </c>
      <c r="I60" s="15">
        <f t="shared" si="1"/>
        <v>30312.9</v>
      </c>
      <c r="J60" s="16">
        <v>2</v>
      </c>
      <c r="K60" s="15">
        <f t="shared" si="2"/>
        <v>185.4</v>
      </c>
      <c r="L60" s="4"/>
      <c r="N60" s="41"/>
      <c r="O60" s="40">
        <v>2080</v>
      </c>
      <c r="P60" s="40">
        <f t="shared" si="3"/>
        <v>44.60153846153846</v>
      </c>
      <c r="Q60" s="40">
        <v>92771.199999999997</v>
      </c>
      <c r="R60" s="56"/>
      <c r="S60" s="47">
        <f t="shared" si="4"/>
        <v>46.35</v>
      </c>
      <c r="T60" s="48">
        <f t="shared" si="5"/>
        <v>96408</v>
      </c>
      <c r="U60" s="47">
        <f t="shared" si="6"/>
        <v>30312.9</v>
      </c>
      <c r="V60" s="47">
        <f t="shared" si="7"/>
        <v>185.4</v>
      </c>
      <c r="W60" s="45"/>
    </row>
    <row r="61" spans="4:23" x14ac:dyDescent="0.25">
      <c r="D61">
        <v>642</v>
      </c>
      <c r="E61" s="15">
        <v>39.33</v>
      </c>
      <c r="F61" s="15">
        <f t="shared" si="0"/>
        <v>81806.399999999994</v>
      </c>
      <c r="G61" s="4"/>
      <c r="H61" s="16">
        <v>106</v>
      </c>
      <c r="I61" s="15">
        <f t="shared" si="1"/>
        <v>6253.47</v>
      </c>
      <c r="J61" s="16"/>
      <c r="K61" s="15">
        <f t="shared" si="2"/>
        <v>0</v>
      </c>
      <c r="L61" s="4"/>
      <c r="N61" s="41"/>
      <c r="O61" s="40">
        <v>2080</v>
      </c>
      <c r="P61" s="40">
        <f t="shared" si="3"/>
        <v>35.011923076923075</v>
      </c>
      <c r="Q61" s="40">
        <v>72824.800000000003</v>
      </c>
      <c r="R61" s="56"/>
      <c r="S61" s="47">
        <f t="shared" si="4"/>
        <v>39.33</v>
      </c>
      <c r="T61" s="48">
        <f t="shared" si="5"/>
        <v>81806.399999999994</v>
      </c>
      <c r="U61" s="47">
        <f t="shared" si="6"/>
        <v>6253.4699999999993</v>
      </c>
      <c r="V61" s="47">
        <f t="shared" si="7"/>
        <v>0</v>
      </c>
      <c r="W61" s="45"/>
    </row>
    <row r="62" spans="4:23" x14ac:dyDescent="0.25">
      <c r="D62">
        <v>646</v>
      </c>
      <c r="E62" s="15">
        <v>33.89</v>
      </c>
      <c r="F62" s="15">
        <f t="shared" si="0"/>
        <v>70491.199999999997</v>
      </c>
      <c r="G62" s="4"/>
      <c r="H62" s="16">
        <v>144.57</v>
      </c>
      <c r="I62" s="15">
        <f t="shared" si="1"/>
        <v>7349.22</v>
      </c>
      <c r="J62" s="16"/>
      <c r="K62" s="15">
        <f t="shared" si="2"/>
        <v>0</v>
      </c>
      <c r="L62" s="4"/>
      <c r="N62" s="41"/>
      <c r="O62" s="40">
        <v>2080</v>
      </c>
      <c r="P62" s="40">
        <f t="shared" si="3"/>
        <v>32.465769230769233</v>
      </c>
      <c r="Q62" s="40">
        <v>67528.800000000003</v>
      </c>
      <c r="R62" s="56"/>
      <c r="S62" s="47">
        <f t="shared" si="4"/>
        <v>33.89</v>
      </c>
      <c r="T62" s="48">
        <f t="shared" si="5"/>
        <v>70491.199999999997</v>
      </c>
      <c r="U62" s="47">
        <f t="shared" si="6"/>
        <v>7349.2159499999998</v>
      </c>
      <c r="V62" s="47">
        <f t="shared" si="7"/>
        <v>0</v>
      </c>
      <c r="W62" s="45"/>
    </row>
    <row r="63" spans="4:23" x14ac:dyDescent="0.25">
      <c r="D63">
        <v>647</v>
      </c>
      <c r="E63" s="15">
        <v>33.409999999999997</v>
      </c>
      <c r="F63" s="15">
        <f t="shared" si="0"/>
        <v>69492.800000000003</v>
      </c>
      <c r="G63" s="4"/>
      <c r="H63" s="16">
        <v>26.58</v>
      </c>
      <c r="I63" s="15">
        <f t="shared" si="1"/>
        <v>1332.06</v>
      </c>
      <c r="J63" s="16"/>
      <c r="K63" s="15">
        <f t="shared" si="2"/>
        <v>0</v>
      </c>
      <c r="L63" s="4"/>
      <c r="N63" s="41"/>
      <c r="O63" s="40">
        <v>2080</v>
      </c>
      <c r="P63" s="40">
        <f t="shared" si="3"/>
        <v>29.928442307692308</v>
      </c>
      <c r="Q63" s="40">
        <v>62251.16</v>
      </c>
      <c r="R63" s="56"/>
      <c r="S63" s="47">
        <f t="shared" si="4"/>
        <v>33.409999999999997</v>
      </c>
      <c r="T63" s="48">
        <f t="shared" si="5"/>
        <v>69492.799999999988</v>
      </c>
      <c r="U63" s="47">
        <f t="shared" si="6"/>
        <v>1332.0566999999996</v>
      </c>
      <c r="V63" s="47">
        <f t="shared" si="7"/>
        <v>0</v>
      </c>
      <c r="W63" s="45"/>
    </row>
    <row r="64" spans="4:23" x14ac:dyDescent="0.25">
      <c r="D64">
        <v>648</v>
      </c>
      <c r="E64" s="15">
        <f>3818.4/80</f>
        <v>47.730000000000004</v>
      </c>
      <c r="F64" s="15">
        <f t="shared" si="0"/>
        <v>99278.399999999994</v>
      </c>
      <c r="G64" s="4"/>
      <c r="H64" s="16"/>
      <c r="I64" s="15">
        <f t="shared" si="1"/>
        <v>0</v>
      </c>
      <c r="J64" s="16"/>
      <c r="K64" s="15">
        <f t="shared" si="2"/>
        <v>0</v>
      </c>
      <c r="L64" s="4"/>
      <c r="N64" s="41"/>
      <c r="O64" s="40">
        <v>2080</v>
      </c>
      <c r="P64" s="40">
        <f t="shared" si="3"/>
        <v>45.721923076923076</v>
      </c>
      <c r="Q64" s="40">
        <v>95101.6</v>
      </c>
      <c r="R64" s="56"/>
      <c r="S64" s="47">
        <f t="shared" si="4"/>
        <v>47.730000000000004</v>
      </c>
      <c r="T64" s="48">
        <f t="shared" si="5"/>
        <v>99278.400000000009</v>
      </c>
      <c r="U64" s="47">
        <f t="shared" si="6"/>
        <v>0</v>
      </c>
      <c r="V64" s="47">
        <f t="shared" si="7"/>
        <v>0</v>
      </c>
      <c r="W64" s="45"/>
    </row>
    <row r="65" spans="4:23" x14ac:dyDescent="0.25">
      <c r="D65">
        <v>650</v>
      </c>
      <c r="E65" s="15">
        <v>30.1</v>
      </c>
      <c r="F65" s="15">
        <f t="shared" si="0"/>
        <v>62608</v>
      </c>
      <c r="G65" s="4"/>
      <c r="H65" s="16">
        <v>43.68</v>
      </c>
      <c r="I65" s="15">
        <f t="shared" si="1"/>
        <v>1972.15</v>
      </c>
      <c r="J65" s="16"/>
      <c r="K65" s="15">
        <f t="shared" si="2"/>
        <v>0</v>
      </c>
      <c r="L65" s="4"/>
      <c r="N65" s="41"/>
      <c r="O65" s="40">
        <v>2080</v>
      </c>
      <c r="P65" s="40">
        <f t="shared" si="3"/>
        <v>27.101153846153846</v>
      </c>
      <c r="Q65" s="40">
        <v>56370.400000000001</v>
      </c>
      <c r="R65" s="56"/>
      <c r="S65" s="47">
        <f t="shared" si="4"/>
        <v>30.1</v>
      </c>
      <c r="T65" s="48">
        <f t="shared" si="5"/>
        <v>62608</v>
      </c>
      <c r="U65" s="47">
        <f t="shared" si="6"/>
        <v>1972.152</v>
      </c>
      <c r="V65" s="47">
        <f t="shared" si="7"/>
        <v>0</v>
      </c>
      <c r="W65" s="45"/>
    </row>
    <row r="66" spans="4:23" x14ac:dyDescent="0.25">
      <c r="D66">
        <v>651</v>
      </c>
      <c r="E66" s="15">
        <v>33.409999999999997</v>
      </c>
      <c r="F66" s="15">
        <f t="shared" si="0"/>
        <v>69492.800000000003</v>
      </c>
      <c r="G66" s="4"/>
      <c r="H66" s="16">
        <v>50.19</v>
      </c>
      <c r="I66" s="15">
        <f t="shared" si="1"/>
        <v>2515.27</v>
      </c>
      <c r="J66" s="16"/>
      <c r="K66" s="15">
        <f t="shared" si="2"/>
        <v>0</v>
      </c>
      <c r="L66" s="4"/>
      <c r="N66" s="41"/>
      <c r="O66" s="40">
        <v>2080</v>
      </c>
      <c r="P66" s="40">
        <f t="shared" si="3"/>
        <v>30.113461538461539</v>
      </c>
      <c r="Q66" s="40">
        <v>62636</v>
      </c>
      <c r="R66" s="56"/>
      <c r="S66" s="47">
        <f t="shared" si="4"/>
        <v>33.409999999999997</v>
      </c>
      <c r="T66" s="48">
        <f t="shared" si="5"/>
        <v>69492.799999999988</v>
      </c>
      <c r="U66" s="47">
        <f t="shared" si="6"/>
        <v>2515.2718499999996</v>
      </c>
      <c r="V66" s="47">
        <f t="shared" si="7"/>
        <v>0</v>
      </c>
      <c r="W66" s="45"/>
    </row>
    <row r="67" spans="4:23" x14ac:dyDescent="0.25">
      <c r="D67">
        <v>653</v>
      </c>
      <c r="E67" s="15">
        <v>30.24</v>
      </c>
      <c r="F67" s="15">
        <f t="shared" si="0"/>
        <v>62899.199999999997</v>
      </c>
      <c r="G67" s="4"/>
      <c r="H67" s="16"/>
      <c r="I67" s="15">
        <f t="shared" si="1"/>
        <v>0</v>
      </c>
      <c r="J67" s="16"/>
      <c r="K67" s="15">
        <f t="shared" si="2"/>
        <v>0</v>
      </c>
      <c r="L67" s="4"/>
      <c r="N67" s="41"/>
      <c r="O67" s="40">
        <v>2080</v>
      </c>
      <c r="P67" s="40">
        <f t="shared" si="3"/>
        <v>28.966153846153844</v>
      </c>
      <c r="Q67" s="40">
        <v>60249.599999999999</v>
      </c>
      <c r="R67" s="56"/>
      <c r="S67" s="47">
        <f t="shared" si="4"/>
        <v>30.24</v>
      </c>
      <c r="T67" s="48">
        <f t="shared" si="5"/>
        <v>62899.199999999997</v>
      </c>
      <c r="U67" s="47">
        <f t="shared" si="6"/>
        <v>0</v>
      </c>
      <c r="V67" s="47">
        <f t="shared" si="7"/>
        <v>0</v>
      </c>
      <c r="W67" s="45"/>
    </row>
    <row r="68" spans="4:23" x14ac:dyDescent="0.25">
      <c r="D68">
        <v>654</v>
      </c>
      <c r="E68" s="15">
        <v>41.06</v>
      </c>
      <c r="F68" s="15">
        <f t="shared" si="0"/>
        <v>85404.800000000003</v>
      </c>
      <c r="G68" s="4"/>
      <c r="H68" s="16">
        <v>475.5</v>
      </c>
      <c r="I68" s="15">
        <f t="shared" si="1"/>
        <v>29286.05</v>
      </c>
      <c r="J68" s="16">
        <v>4.5</v>
      </c>
      <c r="K68" s="15">
        <f t="shared" si="2"/>
        <v>369.54</v>
      </c>
      <c r="L68" s="4"/>
      <c r="N68" s="41"/>
      <c r="O68" s="40">
        <v>2080</v>
      </c>
      <c r="P68" s="40">
        <f t="shared" si="3"/>
        <v>39.326153846153844</v>
      </c>
      <c r="Q68" s="40">
        <v>81798.399999999994</v>
      </c>
      <c r="R68" s="56"/>
      <c r="S68" s="47">
        <f t="shared" si="4"/>
        <v>41.06</v>
      </c>
      <c r="T68" s="48">
        <f t="shared" si="5"/>
        <v>85404.800000000003</v>
      </c>
      <c r="U68" s="47">
        <f t="shared" si="6"/>
        <v>29286.045000000006</v>
      </c>
      <c r="V68" s="47">
        <f t="shared" si="7"/>
        <v>369.54</v>
      </c>
      <c r="W68" s="45"/>
    </row>
    <row r="69" spans="4:23" x14ac:dyDescent="0.25">
      <c r="D69">
        <v>655</v>
      </c>
      <c r="E69" s="15">
        <v>41.15</v>
      </c>
      <c r="F69" s="15">
        <f t="shared" si="0"/>
        <v>85592</v>
      </c>
      <c r="G69" s="4"/>
      <c r="H69" s="16">
        <v>602</v>
      </c>
      <c r="I69" s="15">
        <f t="shared" si="1"/>
        <v>37158.449999999997</v>
      </c>
      <c r="J69" s="16">
        <v>161.5</v>
      </c>
      <c r="K69" s="15">
        <f t="shared" si="2"/>
        <v>13291.45</v>
      </c>
      <c r="L69" s="4"/>
      <c r="N69" s="41"/>
      <c r="O69" s="40">
        <v>2024</v>
      </c>
      <c r="P69" s="40">
        <f t="shared" si="3"/>
        <v>39.422411067193671</v>
      </c>
      <c r="Q69" s="40">
        <v>79790.959999999992</v>
      </c>
      <c r="R69" s="56"/>
      <c r="S69" s="47">
        <f t="shared" si="4"/>
        <v>41.15</v>
      </c>
      <c r="T69" s="48">
        <f t="shared" si="5"/>
        <v>83287.599999999991</v>
      </c>
      <c r="U69" s="47">
        <f t="shared" si="6"/>
        <v>37158.449999999997</v>
      </c>
      <c r="V69" s="47">
        <f t="shared" si="7"/>
        <v>13291.449999999999</v>
      </c>
      <c r="W69" s="45"/>
    </row>
    <row r="70" spans="4:23" x14ac:dyDescent="0.25">
      <c r="D70">
        <v>657</v>
      </c>
      <c r="E70" s="15">
        <v>83.3</v>
      </c>
      <c r="F70" s="15">
        <f t="shared" si="0"/>
        <v>173264</v>
      </c>
      <c r="G70" s="4"/>
      <c r="H70" s="16"/>
      <c r="I70" s="15">
        <f t="shared" si="1"/>
        <v>0</v>
      </c>
      <c r="J70" s="16"/>
      <c r="K70" s="15">
        <f t="shared" si="2"/>
        <v>0</v>
      </c>
      <c r="L70" s="4"/>
      <c r="N70" s="41"/>
      <c r="O70" s="40">
        <v>2080</v>
      </c>
      <c r="P70" s="40">
        <f t="shared" si="3"/>
        <v>74.11684615384614</v>
      </c>
      <c r="Q70" s="40">
        <v>154163.03999999998</v>
      </c>
      <c r="R70" s="56"/>
      <c r="S70" s="47">
        <f t="shared" si="4"/>
        <v>83.3</v>
      </c>
      <c r="T70" s="48">
        <f t="shared" si="5"/>
        <v>173264</v>
      </c>
      <c r="U70" s="47">
        <f t="shared" si="6"/>
        <v>0</v>
      </c>
      <c r="V70" s="47">
        <f t="shared" si="7"/>
        <v>0</v>
      </c>
      <c r="W70" s="45"/>
    </row>
    <row r="71" spans="4:23" x14ac:dyDescent="0.25">
      <c r="D71">
        <v>659</v>
      </c>
      <c r="E71" s="15">
        <v>40.659999999999997</v>
      </c>
      <c r="F71" s="15">
        <f t="shared" ref="F71:F133" si="8">ROUND(E71*2080,2)</f>
        <v>84572.800000000003</v>
      </c>
      <c r="G71" s="4"/>
      <c r="H71" s="16">
        <v>556</v>
      </c>
      <c r="I71" s="15">
        <f t="shared" ref="I71:I133" si="9">+IF(H71&gt;0,ROUND(H71*(E71*1.5),2),0)</f>
        <v>33910.44</v>
      </c>
      <c r="J71" s="16">
        <v>7</v>
      </c>
      <c r="K71" s="15">
        <f t="shared" ref="K71:K131" si="10">+IF(J71&gt;0,ROUND(J71*(E71*2),2),0)</f>
        <v>569.24</v>
      </c>
      <c r="L71" s="4"/>
      <c r="N71" s="41"/>
      <c r="O71" s="40">
        <v>2075.5</v>
      </c>
      <c r="P71" s="40">
        <f t="shared" ref="P71:P124" si="11">Q71/O71</f>
        <v>38.944331486388819</v>
      </c>
      <c r="Q71" s="40">
        <v>80828.959999999992</v>
      </c>
      <c r="R71" s="56"/>
      <c r="S71" s="47">
        <f t="shared" ref="S71:S102" si="12">E71</f>
        <v>40.659999999999997</v>
      </c>
      <c r="T71" s="48">
        <f t="shared" ref="T71:T102" si="13">S71*O71</f>
        <v>84389.829999999987</v>
      </c>
      <c r="U71" s="47">
        <f t="shared" ref="U71:U134" si="14">H71*S71*1.5</f>
        <v>33910.44</v>
      </c>
      <c r="V71" s="47">
        <f t="shared" ref="V71:V134" si="15">J71*S71*2</f>
        <v>569.24</v>
      </c>
      <c r="W71" s="45"/>
    </row>
    <row r="72" spans="4:23" x14ac:dyDescent="0.25">
      <c r="D72">
        <v>661</v>
      </c>
      <c r="E72" s="15">
        <v>46.23</v>
      </c>
      <c r="F72" s="15">
        <f t="shared" si="8"/>
        <v>96158.399999999994</v>
      </c>
      <c r="G72" s="4"/>
      <c r="H72" s="16">
        <v>419.5</v>
      </c>
      <c r="I72" s="15">
        <f t="shared" si="9"/>
        <v>29090.23</v>
      </c>
      <c r="J72" s="16">
        <v>10.5</v>
      </c>
      <c r="K72" s="15">
        <f t="shared" si="10"/>
        <v>970.83</v>
      </c>
      <c r="L72" s="4"/>
      <c r="N72" s="41"/>
      <c r="O72" s="40">
        <v>2078</v>
      </c>
      <c r="P72" s="40">
        <f t="shared" si="11"/>
        <v>44.284090471607314</v>
      </c>
      <c r="Q72" s="40">
        <v>92022.34</v>
      </c>
      <c r="R72" s="56"/>
      <c r="S72" s="47">
        <f t="shared" si="12"/>
        <v>46.23</v>
      </c>
      <c r="T72" s="48">
        <f t="shared" si="13"/>
        <v>96065.939999999988</v>
      </c>
      <c r="U72" s="47">
        <f t="shared" si="14"/>
        <v>29090.227499999994</v>
      </c>
      <c r="V72" s="47">
        <f t="shared" si="15"/>
        <v>970.82999999999993</v>
      </c>
      <c r="W72" s="45"/>
    </row>
    <row r="73" spans="4:23" x14ac:dyDescent="0.25">
      <c r="D73">
        <v>662</v>
      </c>
      <c r="E73" s="15">
        <v>44.64</v>
      </c>
      <c r="F73" s="15">
        <f t="shared" si="8"/>
        <v>92851.199999999997</v>
      </c>
      <c r="G73" s="4"/>
      <c r="H73" s="16">
        <v>275</v>
      </c>
      <c r="I73" s="15">
        <f t="shared" si="9"/>
        <v>18414</v>
      </c>
      <c r="J73" s="16">
        <v>4</v>
      </c>
      <c r="K73" s="15">
        <f t="shared" si="10"/>
        <v>357.12</v>
      </c>
      <c r="L73" s="4"/>
      <c r="N73" s="41"/>
      <c r="O73" s="40">
        <v>2078.5</v>
      </c>
      <c r="P73" s="40">
        <f t="shared" si="11"/>
        <v>42.755949001683909</v>
      </c>
      <c r="Q73" s="40">
        <v>88868.24</v>
      </c>
      <c r="R73" s="56"/>
      <c r="S73" s="47">
        <f t="shared" si="12"/>
        <v>44.64</v>
      </c>
      <c r="T73" s="48">
        <f t="shared" si="13"/>
        <v>92784.24</v>
      </c>
      <c r="U73" s="47">
        <f t="shared" si="14"/>
        <v>18414</v>
      </c>
      <c r="V73" s="47">
        <f t="shared" si="15"/>
        <v>357.12</v>
      </c>
      <c r="W73" s="45"/>
    </row>
    <row r="74" spans="4:23" x14ac:dyDescent="0.25">
      <c r="D74">
        <v>663</v>
      </c>
      <c r="E74" s="15">
        <v>44.1</v>
      </c>
      <c r="F74" s="15">
        <f t="shared" si="8"/>
        <v>91728</v>
      </c>
      <c r="G74" s="4"/>
      <c r="H74" s="16">
        <f>643.95+8.5</f>
        <v>652.45000000000005</v>
      </c>
      <c r="I74" s="15">
        <f t="shared" si="9"/>
        <v>43159.57</v>
      </c>
      <c r="J74" s="16">
        <v>4</v>
      </c>
      <c r="K74" s="15">
        <f t="shared" si="10"/>
        <v>352.8</v>
      </c>
      <c r="L74" s="4"/>
      <c r="N74" s="41"/>
      <c r="O74" s="40">
        <v>2080</v>
      </c>
      <c r="P74" s="40">
        <f t="shared" si="11"/>
        <v>41.438461538461539</v>
      </c>
      <c r="Q74" s="40">
        <v>86192</v>
      </c>
      <c r="R74" s="56"/>
      <c r="S74" s="47">
        <f t="shared" si="12"/>
        <v>44.1</v>
      </c>
      <c r="T74" s="48">
        <f t="shared" si="13"/>
        <v>91728</v>
      </c>
      <c r="U74" s="47">
        <f t="shared" si="14"/>
        <v>43159.567500000005</v>
      </c>
      <c r="V74" s="47">
        <f t="shared" si="15"/>
        <v>352.8</v>
      </c>
      <c r="W74" s="45"/>
    </row>
    <row r="75" spans="4:23" x14ac:dyDescent="0.25">
      <c r="D75">
        <v>664</v>
      </c>
      <c r="E75" s="15">
        <v>41.34</v>
      </c>
      <c r="F75" s="15">
        <f t="shared" si="8"/>
        <v>85987.199999999997</v>
      </c>
      <c r="G75" s="4"/>
      <c r="H75" s="16">
        <v>430.75</v>
      </c>
      <c r="I75" s="15">
        <f t="shared" si="9"/>
        <v>26710.81</v>
      </c>
      <c r="J75" s="16"/>
      <c r="K75" s="15">
        <f t="shared" si="10"/>
        <v>0</v>
      </c>
      <c r="L75" s="4"/>
      <c r="N75" s="41"/>
      <c r="O75" s="40">
        <v>2080</v>
      </c>
      <c r="P75" s="40">
        <f t="shared" si="11"/>
        <v>39.597307692307687</v>
      </c>
      <c r="Q75" s="40">
        <v>82362.399999999994</v>
      </c>
      <c r="R75" s="56"/>
      <c r="S75" s="47">
        <f t="shared" si="12"/>
        <v>41.34</v>
      </c>
      <c r="T75" s="48">
        <f t="shared" si="13"/>
        <v>85987.200000000012</v>
      </c>
      <c r="U75" s="47">
        <f t="shared" si="14"/>
        <v>26710.807500000003</v>
      </c>
      <c r="V75" s="47">
        <f t="shared" si="15"/>
        <v>0</v>
      </c>
      <c r="W75" s="45"/>
    </row>
    <row r="76" spans="4:23" x14ac:dyDescent="0.25">
      <c r="D76">
        <v>665</v>
      </c>
      <c r="E76" s="15">
        <v>39.89</v>
      </c>
      <c r="F76" s="15">
        <f t="shared" si="8"/>
        <v>82971.199999999997</v>
      </c>
      <c r="G76" s="4"/>
      <c r="H76" s="16">
        <v>139.5</v>
      </c>
      <c r="I76" s="15">
        <f t="shared" si="9"/>
        <v>8346.98</v>
      </c>
      <c r="J76" s="16"/>
      <c r="K76" s="15">
        <f t="shared" si="10"/>
        <v>0</v>
      </c>
      <c r="L76" s="4"/>
      <c r="N76" s="41"/>
      <c r="O76" s="40">
        <v>2080</v>
      </c>
      <c r="P76" s="40">
        <f t="shared" si="11"/>
        <v>37.572307692307696</v>
      </c>
      <c r="Q76" s="40">
        <v>78150.400000000009</v>
      </c>
      <c r="R76" s="56"/>
      <c r="S76" s="47">
        <f t="shared" si="12"/>
        <v>39.89</v>
      </c>
      <c r="T76" s="48">
        <f t="shared" si="13"/>
        <v>82971.199999999997</v>
      </c>
      <c r="U76" s="47">
        <f t="shared" si="14"/>
        <v>8346.9825000000001</v>
      </c>
      <c r="V76" s="47">
        <f t="shared" si="15"/>
        <v>0</v>
      </c>
      <c r="W76" s="45"/>
    </row>
    <row r="77" spans="4:23" x14ac:dyDescent="0.25">
      <c r="D77">
        <v>668</v>
      </c>
      <c r="E77" s="15">
        <v>44.1</v>
      </c>
      <c r="F77" s="15">
        <f t="shared" si="8"/>
        <v>91728</v>
      </c>
      <c r="G77" s="4"/>
      <c r="H77" s="16">
        <f>494.5+16.5</f>
        <v>511</v>
      </c>
      <c r="I77" s="15">
        <f t="shared" si="9"/>
        <v>33802.65</v>
      </c>
      <c r="J77" s="16">
        <f>157.5+1</f>
        <v>158.5</v>
      </c>
      <c r="K77" s="15">
        <f t="shared" si="10"/>
        <v>13979.7</v>
      </c>
      <c r="L77" s="4"/>
      <c r="N77" s="41"/>
      <c r="O77" s="40">
        <v>2022.5</v>
      </c>
      <c r="P77" s="40">
        <f t="shared" si="11"/>
        <v>40.887663782447468</v>
      </c>
      <c r="Q77" s="40">
        <v>82695.3</v>
      </c>
      <c r="R77" s="56"/>
      <c r="S77" s="47">
        <f t="shared" si="12"/>
        <v>44.1</v>
      </c>
      <c r="T77" s="48">
        <f t="shared" si="13"/>
        <v>89192.25</v>
      </c>
      <c r="U77" s="47">
        <f t="shared" si="14"/>
        <v>33802.65</v>
      </c>
      <c r="V77" s="47">
        <f t="shared" si="15"/>
        <v>13979.7</v>
      </c>
      <c r="W77" s="45"/>
    </row>
    <row r="78" spans="4:23" x14ac:dyDescent="0.25">
      <c r="D78">
        <v>669</v>
      </c>
      <c r="E78" s="15">
        <v>41.31</v>
      </c>
      <c r="F78" s="15">
        <f t="shared" si="8"/>
        <v>85924.800000000003</v>
      </c>
      <c r="G78" s="4"/>
      <c r="H78" s="16">
        <v>60.25</v>
      </c>
      <c r="I78" s="15">
        <f t="shared" si="9"/>
        <v>3733.39</v>
      </c>
      <c r="J78" s="16"/>
      <c r="K78" s="15">
        <f t="shared" si="10"/>
        <v>0</v>
      </c>
      <c r="L78" s="4"/>
      <c r="N78" s="41"/>
      <c r="O78" s="40">
        <v>2080</v>
      </c>
      <c r="P78" s="40">
        <f t="shared" si="11"/>
        <v>39.567307692307693</v>
      </c>
      <c r="Q78" s="40">
        <v>82300</v>
      </c>
      <c r="R78" s="56"/>
      <c r="S78" s="47">
        <f t="shared" si="12"/>
        <v>41.31</v>
      </c>
      <c r="T78" s="48">
        <f t="shared" si="13"/>
        <v>85924.800000000003</v>
      </c>
      <c r="U78" s="47">
        <f t="shared" si="14"/>
        <v>3733.3912500000006</v>
      </c>
      <c r="V78" s="47">
        <f t="shared" si="15"/>
        <v>0</v>
      </c>
      <c r="W78" s="45"/>
    </row>
    <row r="79" spans="4:23" x14ac:dyDescent="0.25">
      <c r="D79">
        <v>672</v>
      </c>
      <c r="E79" s="15">
        <v>41.01</v>
      </c>
      <c r="F79" s="15">
        <f t="shared" si="8"/>
        <v>85300.800000000003</v>
      </c>
      <c r="G79" s="4"/>
      <c r="H79" s="16">
        <v>3.75</v>
      </c>
      <c r="I79" s="15">
        <f t="shared" si="9"/>
        <v>230.68</v>
      </c>
      <c r="J79" s="16"/>
      <c r="K79" s="15">
        <f t="shared" si="10"/>
        <v>0</v>
      </c>
      <c r="L79" s="4"/>
      <c r="N79" s="41"/>
      <c r="O79" s="40">
        <v>2080</v>
      </c>
      <c r="P79" s="40">
        <f t="shared" si="11"/>
        <v>39.285000000000004</v>
      </c>
      <c r="Q79" s="40">
        <v>81712.800000000003</v>
      </c>
      <c r="R79" s="56"/>
      <c r="S79" s="47">
        <f t="shared" si="12"/>
        <v>41.01</v>
      </c>
      <c r="T79" s="48">
        <f t="shared" si="13"/>
        <v>85300.800000000003</v>
      </c>
      <c r="U79" s="47">
        <f t="shared" si="14"/>
        <v>230.68124999999998</v>
      </c>
      <c r="V79" s="47">
        <f t="shared" si="15"/>
        <v>0</v>
      </c>
      <c r="W79" s="45"/>
    </row>
    <row r="80" spans="4:23" x14ac:dyDescent="0.25">
      <c r="D80">
        <v>676</v>
      </c>
      <c r="E80" s="15">
        <v>30.1</v>
      </c>
      <c r="F80" s="15">
        <f t="shared" si="8"/>
        <v>62608</v>
      </c>
      <c r="G80" s="4"/>
      <c r="H80" s="16">
        <v>9.59</v>
      </c>
      <c r="I80" s="15">
        <f t="shared" si="9"/>
        <v>432.99</v>
      </c>
      <c r="J80" s="16"/>
      <c r="K80" s="15">
        <f t="shared" si="10"/>
        <v>0</v>
      </c>
      <c r="L80" s="4"/>
      <c r="N80" s="41"/>
      <c r="O80" s="40">
        <v>2080</v>
      </c>
      <c r="P80" s="40">
        <f t="shared" si="11"/>
        <v>26.915384615384614</v>
      </c>
      <c r="Q80" s="40">
        <v>55984</v>
      </c>
      <c r="R80" s="56"/>
      <c r="S80" s="47">
        <f t="shared" si="12"/>
        <v>30.1</v>
      </c>
      <c r="T80" s="48">
        <f t="shared" si="13"/>
        <v>62608</v>
      </c>
      <c r="U80" s="47">
        <f t="shared" si="14"/>
        <v>432.98849999999999</v>
      </c>
      <c r="V80" s="47">
        <f t="shared" si="15"/>
        <v>0</v>
      </c>
      <c r="W80" s="45"/>
    </row>
    <row r="81" spans="4:23" x14ac:dyDescent="0.25">
      <c r="D81">
        <v>677</v>
      </c>
      <c r="E81" s="15">
        <v>40.65</v>
      </c>
      <c r="F81" s="15">
        <f t="shared" si="8"/>
        <v>84552</v>
      </c>
      <c r="G81" s="4"/>
      <c r="H81" s="16">
        <v>310.05</v>
      </c>
      <c r="I81" s="15">
        <f t="shared" si="9"/>
        <v>18905.3</v>
      </c>
      <c r="J81" s="16">
        <v>5.66</v>
      </c>
      <c r="K81" s="15">
        <f t="shared" si="10"/>
        <v>460.16</v>
      </c>
      <c r="L81" s="4"/>
      <c r="N81" s="41"/>
      <c r="O81" s="40">
        <v>2080</v>
      </c>
      <c r="P81" s="40">
        <f t="shared" si="11"/>
        <v>38.933846153846162</v>
      </c>
      <c r="Q81" s="40">
        <v>80982.400000000009</v>
      </c>
      <c r="R81" s="56"/>
      <c r="S81" s="47">
        <f t="shared" si="12"/>
        <v>40.65</v>
      </c>
      <c r="T81" s="48">
        <f t="shared" si="13"/>
        <v>84552</v>
      </c>
      <c r="U81" s="47">
        <f t="shared" si="14"/>
        <v>18905.298749999998</v>
      </c>
      <c r="V81" s="47">
        <f t="shared" si="15"/>
        <v>460.15800000000002</v>
      </c>
      <c r="W81" s="45"/>
    </row>
    <row r="82" spans="4:23" x14ac:dyDescent="0.25">
      <c r="D82">
        <v>678</v>
      </c>
      <c r="E82" s="15">
        <v>33.409999999999997</v>
      </c>
      <c r="F82" s="15">
        <f t="shared" si="8"/>
        <v>69492.800000000003</v>
      </c>
      <c r="G82" s="4"/>
      <c r="H82" s="16">
        <v>24.93</v>
      </c>
      <c r="I82" s="15">
        <f t="shared" si="9"/>
        <v>1249.3699999999999</v>
      </c>
      <c r="J82" s="16"/>
      <c r="K82" s="15">
        <f t="shared" si="10"/>
        <v>0</v>
      </c>
      <c r="L82" s="4"/>
      <c r="N82" s="41"/>
      <c r="O82" s="40">
        <v>2080</v>
      </c>
      <c r="P82" s="40">
        <f t="shared" si="11"/>
        <v>29.355384615384619</v>
      </c>
      <c r="Q82" s="40">
        <v>61059.200000000004</v>
      </c>
      <c r="R82" s="56"/>
      <c r="S82" s="47">
        <f t="shared" si="12"/>
        <v>33.409999999999997</v>
      </c>
      <c r="T82" s="48">
        <f t="shared" si="13"/>
        <v>69492.799999999988</v>
      </c>
      <c r="U82" s="47">
        <f t="shared" si="14"/>
        <v>1249.3669499999999</v>
      </c>
      <c r="V82" s="47">
        <f t="shared" si="15"/>
        <v>0</v>
      </c>
      <c r="W82" s="45"/>
    </row>
    <row r="83" spans="4:23" x14ac:dyDescent="0.25">
      <c r="D83">
        <v>683</v>
      </c>
      <c r="E83" s="15">
        <v>30.1</v>
      </c>
      <c r="F83" s="15">
        <f t="shared" si="8"/>
        <v>62608</v>
      </c>
      <c r="G83" s="4"/>
      <c r="H83" s="16">
        <v>13.28</v>
      </c>
      <c r="I83" s="15">
        <f t="shared" si="9"/>
        <v>599.59</v>
      </c>
      <c r="J83" s="16"/>
      <c r="K83" s="15">
        <f t="shared" si="10"/>
        <v>0</v>
      </c>
      <c r="L83" s="4"/>
      <c r="N83" s="41"/>
      <c r="O83" s="40">
        <v>2078.75</v>
      </c>
      <c r="P83" s="40">
        <f t="shared" si="11"/>
        <v>26.225688514732411</v>
      </c>
      <c r="Q83" s="40">
        <v>54516.65</v>
      </c>
      <c r="R83" s="56"/>
      <c r="S83" s="47">
        <f t="shared" si="12"/>
        <v>30.1</v>
      </c>
      <c r="T83" s="48">
        <f t="shared" si="13"/>
        <v>62570.375</v>
      </c>
      <c r="U83" s="47">
        <f t="shared" si="14"/>
        <v>599.59199999999998</v>
      </c>
      <c r="V83" s="47">
        <f t="shared" si="15"/>
        <v>0</v>
      </c>
      <c r="W83" s="45"/>
    </row>
    <row r="84" spans="4:23" x14ac:dyDescent="0.25">
      <c r="D84">
        <v>685</v>
      </c>
      <c r="E84" s="15">
        <v>24.1</v>
      </c>
      <c r="F84" s="15">
        <f t="shared" si="8"/>
        <v>50128</v>
      </c>
      <c r="G84" s="4"/>
      <c r="H84" s="16">
        <v>13.75</v>
      </c>
      <c r="I84" s="15">
        <f t="shared" si="9"/>
        <v>497.06</v>
      </c>
      <c r="J84" s="16"/>
      <c r="K84" s="15">
        <f t="shared" si="10"/>
        <v>0</v>
      </c>
      <c r="L84" s="4"/>
      <c r="N84" s="41"/>
      <c r="O84" s="40">
        <v>2076.5</v>
      </c>
      <c r="P84" s="40">
        <f t="shared" si="11"/>
        <v>23.06522995424994</v>
      </c>
      <c r="Q84" s="40">
        <v>47894.95</v>
      </c>
      <c r="R84" s="56"/>
      <c r="S84" s="47">
        <f t="shared" si="12"/>
        <v>24.1</v>
      </c>
      <c r="T84" s="48">
        <f t="shared" si="13"/>
        <v>50043.65</v>
      </c>
      <c r="U84" s="47">
        <f t="shared" si="14"/>
        <v>497.0625</v>
      </c>
      <c r="V84" s="47">
        <f t="shared" si="15"/>
        <v>0</v>
      </c>
      <c r="W84" s="45"/>
    </row>
    <row r="85" spans="4:23" x14ac:dyDescent="0.25">
      <c r="D85">
        <v>688</v>
      </c>
      <c r="E85" s="15">
        <v>40.65</v>
      </c>
      <c r="F85" s="15">
        <f t="shared" si="8"/>
        <v>84552</v>
      </c>
      <c r="G85" s="4"/>
      <c r="H85" s="16">
        <v>22.5</v>
      </c>
      <c r="I85" s="15">
        <f t="shared" si="9"/>
        <v>1371.94</v>
      </c>
      <c r="J85" s="16"/>
      <c r="K85" s="15">
        <f t="shared" si="10"/>
        <v>0</v>
      </c>
      <c r="L85" s="4"/>
      <c r="N85" s="41"/>
      <c r="O85" s="40">
        <v>2080</v>
      </c>
      <c r="P85" s="40">
        <f t="shared" si="11"/>
        <v>37.235384615384611</v>
      </c>
      <c r="Q85" s="40">
        <v>77449.599999999991</v>
      </c>
      <c r="R85" s="56"/>
      <c r="S85" s="47">
        <f t="shared" si="12"/>
        <v>40.65</v>
      </c>
      <c r="T85" s="48">
        <f t="shared" si="13"/>
        <v>84552</v>
      </c>
      <c r="U85" s="47">
        <f t="shared" si="14"/>
        <v>1371.9375</v>
      </c>
      <c r="V85" s="47">
        <f t="shared" si="15"/>
        <v>0</v>
      </c>
      <c r="W85" s="45"/>
    </row>
    <row r="86" spans="4:23" x14ac:dyDescent="0.25">
      <c r="D86">
        <v>689</v>
      </c>
      <c r="E86" s="15">
        <v>40.65</v>
      </c>
      <c r="F86" s="15">
        <f t="shared" si="8"/>
        <v>84552</v>
      </c>
      <c r="G86" s="4"/>
      <c r="H86" s="16">
        <v>325.25</v>
      </c>
      <c r="I86" s="15">
        <f t="shared" si="9"/>
        <v>19832.12</v>
      </c>
      <c r="J86" s="16"/>
      <c r="K86" s="15">
        <f t="shared" si="10"/>
        <v>0</v>
      </c>
      <c r="L86" s="4"/>
      <c r="N86" s="41"/>
      <c r="O86" s="40">
        <v>2080</v>
      </c>
      <c r="P86" s="40">
        <f t="shared" si="11"/>
        <v>37.427923076923079</v>
      </c>
      <c r="Q86" s="40">
        <v>77850.080000000002</v>
      </c>
      <c r="R86" s="56"/>
      <c r="S86" s="47">
        <f t="shared" si="12"/>
        <v>40.65</v>
      </c>
      <c r="T86" s="48">
        <f t="shared" si="13"/>
        <v>84552</v>
      </c>
      <c r="U86" s="47">
        <f t="shared" si="14"/>
        <v>19832.118750000001</v>
      </c>
      <c r="V86" s="47">
        <f t="shared" si="15"/>
        <v>0</v>
      </c>
      <c r="W86" s="45"/>
    </row>
    <row r="87" spans="4:23" x14ac:dyDescent="0.25">
      <c r="D87">
        <v>690</v>
      </c>
      <c r="E87" s="15">
        <f>3124.8/80</f>
        <v>39.06</v>
      </c>
      <c r="F87" s="15">
        <f t="shared" si="8"/>
        <v>81244.800000000003</v>
      </c>
      <c r="G87" s="4"/>
      <c r="H87" s="16">
        <v>1</v>
      </c>
      <c r="I87" s="15">
        <f t="shared" si="9"/>
        <v>58.59</v>
      </c>
      <c r="J87" s="16"/>
      <c r="K87" s="15">
        <f t="shared" si="10"/>
        <v>0</v>
      </c>
      <c r="L87" s="4"/>
      <c r="N87" s="41"/>
      <c r="O87" s="40">
        <v>2080</v>
      </c>
      <c r="P87" s="40">
        <f t="shared" si="11"/>
        <v>34.515519230769229</v>
      </c>
      <c r="Q87" s="40">
        <v>71792.28</v>
      </c>
      <c r="R87" s="56"/>
      <c r="S87" s="47">
        <f t="shared" si="12"/>
        <v>39.06</v>
      </c>
      <c r="T87" s="48">
        <f t="shared" si="13"/>
        <v>81244.800000000003</v>
      </c>
      <c r="U87" s="47">
        <f t="shared" si="14"/>
        <v>58.59</v>
      </c>
      <c r="V87" s="47">
        <f t="shared" si="15"/>
        <v>0</v>
      </c>
      <c r="W87" s="45"/>
    </row>
    <row r="88" spans="4:23" x14ac:dyDescent="0.25">
      <c r="D88">
        <v>692</v>
      </c>
      <c r="E88" s="15">
        <v>38.64</v>
      </c>
      <c r="F88" s="15">
        <f t="shared" si="8"/>
        <v>80371.199999999997</v>
      </c>
      <c r="G88" s="4"/>
      <c r="H88" s="16">
        <v>576.45000000000005</v>
      </c>
      <c r="I88" s="15">
        <f t="shared" si="9"/>
        <v>33411.040000000001</v>
      </c>
      <c r="J88" s="16">
        <v>163.5</v>
      </c>
      <c r="K88" s="15">
        <f t="shared" si="10"/>
        <v>12635.28</v>
      </c>
      <c r="L88" s="4"/>
      <c r="N88" s="41"/>
      <c r="O88" s="40">
        <v>2024</v>
      </c>
      <c r="P88" s="40">
        <f t="shared" si="11"/>
        <v>35.334664031620555</v>
      </c>
      <c r="Q88" s="40">
        <v>71517.36</v>
      </c>
      <c r="R88" s="56"/>
      <c r="S88" s="47">
        <f t="shared" si="12"/>
        <v>38.64</v>
      </c>
      <c r="T88" s="48">
        <f t="shared" si="13"/>
        <v>78207.360000000001</v>
      </c>
      <c r="U88" s="47">
        <f t="shared" si="14"/>
        <v>33411.042000000001</v>
      </c>
      <c r="V88" s="47">
        <f t="shared" si="15"/>
        <v>12635.28</v>
      </c>
      <c r="W88" s="45"/>
    </row>
    <row r="89" spans="4:23" x14ac:dyDescent="0.25">
      <c r="D89">
        <v>693</v>
      </c>
      <c r="E89" s="15">
        <v>40.65</v>
      </c>
      <c r="F89" s="15">
        <f t="shared" si="8"/>
        <v>84552</v>
      </c>
      <c r="G89" s="4"/>
      <c r="H89" s="16">
        <f>233.34+155</f>
        <v>388.34000000000003</v>
      </c>
      <c r="I89" s="15">
        <f t="shared" si="9"/>
        <v>23679.03</v>
      </c>
      <c r="J89" s="16">
        <f>3.75+0.5</f>
        <v>4.25</v>
      </c>
      <c r="K89" s="15">
        <f t="shared" si="10"/>
        <v>345.53</v>
      </c>
      <c r="L89" s="4"/>
      <c r="N89" s="41"/>
      <c r="O89" s="40">
        <v>2080</v>
      </c>
      <c r="P89" s="40">
        <f t="shared" si="11"/>
        <v>39.681942307692303</v>
      </c>
      <c r="Q89" s="40">
        <v>82538.439999999988</v>
      </c>
      <c r="R89" s="56"/>
      <c r="S89" s="47">
        <f t="shared" si="12"/>
        <v>40.65</v>
      </c>
      <c r="T89" s="48">
        <f t="shared" si="13"/>
        <v>84552</v>
      </c>
      <c r="U89" s="47">
        <f t="shared" si="14"/>
        <v>23679.031500000001</v>
      </c>
      <c r="V89" s="47">
        <f t="shared" si="15"/>
        <v>345.52499999999998</v>
      </c>
      <c r="W89" s="45"/>
    </row>
    <row r="90" spans="4:23" x14ac:dyDescent="0.25">
      <c r="D90">
        <v>694</v>
      </c>
      <c r="E90" s="15">
        <v>24.1</v>
      </c>
      <c r="F90" s="15">
        <f t="shared" si="8"/>
        <v>50128</v>
      </c>
      <c r="G90" s="4"/>
      <c r="H90" s="16">
        <v>31.69</v>
      </c>
      <c r="I90" s="15">
        <f t="shared" si="9"/>
        <v>1145.5899999999999</v>
      </c>
      <c r="J90" s="16"/>
      <c r="K90" s="15">
        <f t="shared" si="10"/>
        <v>0</v>
      </c>
      <c r="L90" s="4"/>
      <c r="N90" s="41"/>
      <c r="O90" s="40">
        <v>2080</v>
      </c>
      <c r="P90" s="40">
        <f t="shared" si="11"/>
        <v>23.082692307692309</v>
      </c>
      <c r="Q90" s="40">
        <v>48012</v>
      </c>
      <c r="R90" s="56"/>
      <c r="S90" s="47">
        <f t="shared" si="12"/>
        <v>24.1</v>
      </c>
      <c r="T90" s="48">
        <f t="shared" si="13"/>
        <v>50128</v>
      </c>
      <c r="U90" s="47">
        <f t="shared" si="14"/>
        <v>1145.5934999999999</v>
      </c>
      <c r="V90" s="47">
        <f t="shared" si="15"/>
        <v>0</v>
      </c>
      <c r="W90" s="45"/>
    </row>
    <row r="91" spans="4:23" x14ac:dyDescent="0.25">
      <c r="D91">
        <v>695</v>
      </c>
      <c r="E91" s="15">
        <v>38.1</v>
      </c>
      <c r="F91" s="15">
        <f t="shared" si="8"/>
        <v>79248</v>
      </c>
      <c r="G91" s="4"/>
      <c r="H91" s="16">
        <v>183</v>
      </c>
      <c r="I91" s="15">
        <f t="shared" si="9"/>
        <v>10458.450000000001</v>
      </c>
      <c r="J91" s="16">
        <v>3</v>
      </c>
      <c r="K91" s="15">
        <f t="shared" si="10"/>
        <v>228.6</v>
      </c>
      <c r="L91" s="4"/>
      <c r="N91" s="41"/>
      <c r="O91" s="40">
        <v>2080</v>
      </c>
      <c r="P91" s="40">
        <f t="shared" si="11"/>
        <v>34.067307692307693</v>
      </c>
      <c r="Q91" s="40">
        <v>70860</v>
      </c>
      <c r="R91" s="56"/>
      <c r="S91" s="47">
        <f t="shared" si="12"/>
        <v>38.1</v>
      </c>
      <c r="T91" s="48">
        <f t="shared" si="13"/>
        <v>79248</v>
      </c>
      <c r="U91" s="47">
        <f t="shared" si="14"/>
        <v>10458.450000000001</v>
      </c>
      <c r="V91" s="47">
        <f t="shared" si="15"/>
        <v>228.60000000000002</v>
      </c>
      <c r="W91" s="45"/>
    </row>
    <row r="92" spans="4:23" x14ac:dyDescent="0.25">
      <c r="D92">
        <v>696</v>
      </c>
      <c r="E92" s="15">
        <v>40.65</v>
      </c>
      <c r="F92" s="15">
        <f t="shared" si="8"/>
        <v>84552</v>
      </c>
      <c r="G92" s="4"/>
      <c r="H92" s="16">
        <v>77.75</v>
      </c>
      <c r="I92" s="15">
        <f t="shared" si="9"/>
        <v>4740.8100000000004</v>
      </c>
      <c r="J92" s="16"/>
      <c r="K92" s="15">
        <f t="shared" si="10"/>
        <v>0</v>
      </c>
      <c r="L92" s="4"/>
      <c r="N92" s="41"/>
      <c r="O92" s="40">
        <v>2080</v>
      </c>
      <c r="P92" s="40">
        <f t="shared" si="11"/>
        <v>38.933846153846162</v>
      </c>
      <c r="Q92" s="40">
        <v>80982.400000000009</v>
      </c>
      <c r="R92" s="56"/>
      <c r="S92" s="47">
        <f t="shared" si="12"/>
        <v>40.65</v>
      </c>
      <c r="T92" s="48">
        <f t="shared" si="13"/>
        <v>84552</v>
      </c>
      <c r="U92" s="47">
        <f t="shared" si="14"/>
        <v>4740.8062499999996</v>
      </c>
      <c r="V92" s="47">
        <f t="shared" si="15"/>
        <v>0</v>
      </c>
      <c r="W92" s="45"/>
    </row>
    <row r="93" spans="4:23" x14ac:dyDescent="0.25">
      <c r="D93">
        <v>697</v>
      </c>
      <c r="E93" s="15">
        <v>36.64</v>
      </c>
      <c r="F93" s="15">
        <f t="shared" si="8"/>
        <v>76211.199999999997</v>
      </c>
      <c r="G93" s="4"/>
      <c r="H93" s="16">
        <v>591</v>
      </c>
      <c r="I93" s="15">
        <f t="shared" si="9"/>
        <v>32481.360000000001</v>
      </c>
      <c r="J93" s="16">
        <v>6.5</v>
      </c>
      <c r="K93" s="15">
        <f t="shared" si="10"/>
        <v>476.32</v>
      </c>
      <c r="L93" s="4"/>
      <c r="N93" s="41"/>
      <c r="O93" s="40">
        <v>2077</v>
      </c>
      <c r="P93" s="40">
        <f t="shared" si="11"/>
        <v>33.429451131439578</v>
      </c>
      <c r="Q93" s="40">
        <v>69432.97</v>
      </c>
      <c r="R93" s="56"/>
      <c r="S93" s="47">
        <f t="shared" si="12"/>
        <v>36.64</v>
      </c>
      <c r="T93" s="48">
        <f t="shared" si="13"/>
        <v>76101.279999999999</v>
      </c>
      <c r="U93" s="47">
        <f t="shared" si="14"/>
        <v>32481.360000000001</v>
      </c>
      <c r="V93" s="47">
        <f t="shared" si="15"/>
        <v>476.32</v>
      </c>
      <c r="W93" s="45"/>
    </row>
    <row r="94" spans="4:23" x14ac:dyDescent="0.25">
      <c r="D94">
        <v>698</v>
      </c>
      <c r="E94" s="15">
        <v>36.64</v>
      </c>
      <c r="F94" s="15">
        <f t="shared" si="8"/>
        <v>76211.199999999997</v>
      </c>
      <c r="G94" s="4"/>
      <c r="H94" s="16">
        <v>341.28</v>
      </c>
      <c r="I94" s="15">
        <f t="shared" si="9"/>
        <v>18756.75</v>
      </c>
      <c r="J94" s="16">
        <v>3.5</v>
      </c>
      <c r="K94" s="15">
        <f t="shared" si="10"/>
        <v>256.48</v>
      </c>
      <c r="L94" s="4"/>
      <c r="N94" s="41"/>
      <c r="O94" s="40">
        <v>2080</v>
      </c>
      <c r="P94" s="40">
        <f t="shared" si="11"/>
        <v>33.428846153846152</v>
      </c>
      <c r="Q94" s="40">
        <v>69532</v>
      </c>
      <c r="R94" s="56"/>
      <c r="S94" s="47">
        <f t="shared" si="12"/>
        <v>36.64</v>
      </c>
      <c r="T94" s="48">
        <f t="shared" si="13"/>
        <v>76211.199999999997</v>
      </c>
      <c r="U94" s="47">
        <f t="shared" si="14"/>
        <v>18756.748799999998</v>
      </c>
      <c r="V94" s="47">
        <f t="shared" si="15"/>
        <v>256.48</v>
      </c>
      <c r="W94" s="45"/>
    </row>
    <row r="95" spans="4:23" x14ac:dyDescent="0.25">
      <c r="D95">
        <v>700</v>
      </c>
      <c r="E95" s="15">
        <f>3648.8/80</f>
        <v>45.61</v>
      </c>
      <c r="F95" s="15">
        <f t="shared" si="8"/>
        <v>94868.800000000003</v>
      </c>
      <c r="G95" s="4"/>
      <c r="H95" s="16"/>
      <c r="I95" s="15">
        <f t="shared" si="9"/>
        <v>0</v>
      </c>
      <c r="J95" s="16"/>
      <c r="K95" s="15">
        <f t="shared" si="10"/>
        <v>0</v>
      </c>
      <c r="L95" s="4"/>
      <c r="N95" s="41"/>
      <c r="O95" s="40">
        <v>2080</v>
      </c>
      <c r="P95" s="40">
        <f t="shared" si="11"/>
        <v>43.690384615384609</v>
      </c>
      <c r="Q95" s="40">
        <v>90875.999999999985</v>
      </c>
      <c r="R95" s="56"/>
      <c r="S95" s="47">
        <f t="shared" si="12"/>
        <v>45.61</v>
      </c>
      <c r="T95" s="48">
        <f t="shared" si="13"/>
        <v>94868.800000000003</v>
      </c>
      <c r="U95" s="47">
        <f t="shared" si="14"/>
        <v>0</v>
      </c>
      <c r="V95" s="47">
        <f t="shared" si="15"/>
        <v>0</v>
      </c>
      <c r="W95" s="45"/>
    </row>
    <row r="96" spans="4:23" x14ac:dyDescent="0.25">
      <c r="D96">
        <v>702</v>
      </c>
      <c r="E96" s="15">
        <v>30.1</v>
      </c>
      <c r="F96" s="15">
        <f t="shared" si="8"/>
        <v>62608</v>
      </c>
      <c r="G96" s="4"/>
      <c r="H96" s="16">
        <v>39.159999999999997</v>
      </c>
      <c r="I96" s="15">
        <f t="shared" si="9"/>
        <v>1768.07</v>
      </c>
      <c r="J96" s="16"/>
      <c r="K96" s="15">
        <f t="shared" si="10"/>
        <v>0</v>
      </c>
      <c r="L96" s="4"/>
      <c r="N96" s="41"/>
      <c r="O96" s="40">
        <v>2080</v>
      </c>
      <c r="P96" s="40">
        <f t="shared" si="11"/>
        <v>26.216538461538462</v>
      </c>
      <c r="Q96" s="40">
        <v>54530.400000000001</v>
      </c>
      <c r="R96" s="56"/>
      <c r="S96" s="47">
        <f t="shared" si="12"/>
        <v>30.1</v>
      </c>
      <c r="T96" s="48">
        <f t="shared" si="13"/>
        <v>62608</v>
      </c>
      <c r="U96" s="47">
        <f t="shared" si="14"/>
        <v>1768.0739999999998</v>
      </c>
      <c r="V96" s="47">
        <f t="shared" si="15"/>
        <v>0</v>
      </c>
      <c r="W96" s="45"/>
    </row>
    <row r="97" spans="4:23" x14ac:dyDescent="0.25">
      <c r="D97">
        <v>703</v>
      </c>
      <c r="E97" s="15">
        <v>38.93</v>
      </c>
      <c r="F97" s="15">
        <f t="shared" si="8"/>
        <v>80974.399999999994</v>
      </c>
      <c r="G97" s="4"/>
      <c r="H97" s="16">
        <v>239.75</v>
      </c>
      <c r="I97" s="15">
        <f t="shared" si="9"/>
        <v>14000.2</v>
      </c>
      <c r="J97" s="16"/>
      <c r="K97" s="15">
        <f t="shared" si="10"/>
        <v>0</v>
      </c>
      <c r="L97" s="4"/>
      <c r="N97" s="41"/>
      <c r="O97" s="40">
        <v>2080</v>
      </c>
      <c r="P97" s="40">
        <f t="shared" si="11"/>
        <v>36.461923076923078</v>
      </c>
      <c r="Q97" s="40">
        <v>75840.800000000003</v>
      </c>
      <c r="R97" s="56"/>
      <c r="S97" s="47">
        <f t="shared" si="12"/>
        <v>38.93</v>
      </c>
      <c r="T97" s="48">
        <f t="shared" si="13"/>
        <v>80974.399999999994</v>
      </c>
      <c r="U97" s="47">
        <f t="shared" si="14"/>
        <v>14000.201250000002</v>
      </c>
      <c r="V97" s="47">
        <f t="shared" si="15"/>
        <v>0</v>
      </c>
      <c r="W97" s="45"/>
    </row>
    <row r="98" spans="4:23" x14ac:dyDescent="0.25">
      <c r="D98">
        <v>704</v>
      </c>
      <c r="E98" s="15">
        <v>40.65</v>
      </c>
      <c r="F98" s="15">
        <f t="shared" si="8"/>
        <v>84552</v>
      </c>
      <c r="G98" s="4"/>
      <c r="H98" s="16">
        <v>227.5</v>
      </c>
      <c r="I98" s="15">
        <f t="shared" si="9"/>
        <v>13871.81</v>
      </c>
      <c r="J98" s="16"/>
      <c r="K98" s="15">
        <f t="shared" si="10"/>
        <v>0</v>
      </c>
      <c r="L98" s="4"/>
      <c r="N98" s="41"/>
      <c r="O98" s="40">
        <v>2080</v>
      </c>
      <c r="P98" s="40">
        <f t="shared" si="11"/>
        <v>38.933846153846162</v>
      </c>
      <c r="Q98" s="40">
        <v>80982.400000000009</v>
      </c>
      <c r="R98" s="56"/>
      <c r="S98" s="47">
        <f t="shared" si="12"/>
        <v>40.65</v>
      </c>
      <c r="T98" s="48">
        <f t="shared" si="13"/>
        <v>84552</v>
      </c>
      <c r="U98" s="47">
        <f t="shared" si="14"/>
        <v>13871.8125</v>
      </c>
      <c r="V98" s="47">
        <f t="shared" si="15"/>
        <v>0</v>
      </c>
      <c r="W98" s="45"/>
    </row>
    <row r="99" spans="4:23" x14ac:dyDescent="0.25">
      <c r="D99">
        <v>705</v>
      </c>
      <c r="E99" s="15">
        <v>33</v>
      </c>
      <c r="F99" s="15">
        <f t="shared" si="8"/>
        <v>68640</v>
      </c>
      <c r="G99" s="4"/>
      <c r="H99" s="16">
        <v>863.79</v>
      </c>
      <c r="I99" s="15">
        <f t="shared" si="9"/>
        <v>42757.61</v>
      </c>
      <c r="J99" s="16">
        <v>8.5</v>
      </c>
      <c r="K99" s="15">
        <f t="shared" si="10"/>
        <v>561</v>
      </c>
      <c r="L99" s="4"/>
      <c r="N99" s="41"/>
      <c r="O99" s="40">
        <v>2080</v>
      </c>
      <c r="P99" s="40">
        <f t="shared" si="11"/>
        <v>31.291538461538462</v>
      </c>
      <c r="Q99" s="40">
        <v>65086.400000000001</v>
      </c>
      <c r="R99" s="56"/>
      <c r="S99" s="47">
        <f t="shared" si="12"/>
        <v>33</v>
      </c>
      <c r="T99" s="48">
        <f t="shared" si="13"/>
        <v>68640</v>
      </c>
      <c r="U99" s="47">
        <f t="shared" si="14"/>
        <v>42757.604999999996</v>
      </c>
      <c r="V99" s="47">
        <f t="shared" si="15"/>
        <v>561</v>
      </c>
      <c r="W99" s="45"/>
    </row>
    <row r="100" spans="4:23" x14ac:dyDescent="0.25">
      <c r="D100">
        <v>706</v>
      </c>
      <c r="E100" s="15">
        <v>30.1</v>
      </c>
      <c r="F100" s="15">
        <f t="shared" si="8"/>
        <v>62608</v>
      </c>
      <c r="G100" s="4"/>
      <c r="H100" s="16">
        <v>24.29</v>
      </c>
      <c r="I100" s="15">
        <f t="shared" si="9"/>
        <v>1096.69</v>
      </c>
      <c r="J100" s="16"/>
      <c r="K100" s="15">
        <f t="shared" si="10"/>
        <v>0</v>
      </c>
      <c r="L100" s="4"/>
      <c r="N100" s="41"/>
      <c r="O100" s="40">
        <v>2080</v>
      </c>
      <c r="P100" s="40">
        <f t="shared" si="11"/>
        <v>26.216538461538462</v>
      </c>
      <c r="Q100" s="40">
        <v>54530.400000000001</v>
      </c>
      <c r="R100" s="56"/>
      <c r="S100" s="47">
        <f t="shared" si="12"/>
        <v>30.1</v>
      </c>
      <c r="T100" s="48">
        <f t="shared" si="13"/>
        <v>62608</v>
      </c>
      <c r="U100" s="47">
        <f t="shared" si="14"/>
        <v>1096.6935000000001</v>
      </c>
      <c r="V100" s="47">
        <f t="shared" si="15"/>
        <v>0</v>
      </c>
      <c r="W100" s="45"/>
    </row>
    <row r="101" spans="4:23" x14ac:dyDescent="0.25">
      <c r="D101">
        <v>707</v>
      </c>
      <c r="E101" s="15">
        <v>33</v>
      </c>
      <c r="F101" s="15">
        <f t="shared" si="8"/>
        <v>68640</v>
      </c>
      <c r="G101" s="4"/>
      <c r="H101" s="16">
        <v>280.54000000000002</v>
      </c>
      <c r="I101" s="15">
        <f t="shared" si="9"/>
        <v>13886.73</v>
      </c>
      <c r="J101" s="16">
        <v>3.75</v>
      </c>
      <c r="K101" s="15">
        <f t="shared" si="10"/>
        <v>247.5</v>
      </c>
      <c r="L101" s="4"/>
      <c r="N101" s="41"/>
      <c r="O101" s="40">
        <v>2080</v>
      </c>
      <c r="P101" s="40">
        <f t="shared" si="11"/>
        <v>30.226153846153846</v>
      </c>
      <c r="Q101" s="40">
        <v>62870.400000000001</v>
      </c>
      <c r="R101" s="56"/>
      <c r="S101" s="47">
        <f t="shared" si="12"/>
        <v>33</v>
      </c>
      <c r="T101" s="48">
        <f t="shared" si="13"/>
        <v>68640</v>
      </c>
      <c r="U101" s="47">
        <f t="shared" si="14"/>
        <v>13886.730000000003</v>
      </c>
      <c r="V101" s="47">
        <f t="shared" si="15"/>
        <v>247.5</v>
      </c>
      <c r="W101" s="45"/>
    </row>
    <row r="102" spans="4:23" x14ac:dyDescent="0.25">
      <c r="D102">
        <v>708</v>
      </c>
      <c r="E102" s="15">
        <v>33</v>
      </c>
      <c r="F102" s="15">
        <f t="shared" si="8"/>
        <v>68640</v>
      </c>
      <c r="G102" s="4"/>
      <c r="H102" s="16">
        <v>562.75</v>
      </c>
      <c r="I102" s="15">
        <f t="shared" si="9"/>
        <v>27856.13</v>
      </c>
      <c r="J102" s="16">
        <v>1.5</v>
      </c>
      <c r="K102" s="15">
        <f t="shared" si="10"/>
        <v>99</v>
      </c>
      <c r="L102" s="4"/>
      <c r="N102" s="41"/>
      <c r="O102" s="40">
        <v>2080</v>
      </c>
      <c r="P102" s="40">
        <f t="shared" si="11"/>
        <v>29.586923076923075</v>
      </c>
      <c r="Q102" s="40">
        <v>61540.799999999996</v>
      </c>
      <c r="R102" s="56"/>
      <c r="S102" s="47">
        <f t="shared" si="12"/>
        <v>33</v>
      </c>
      <c r="T102" s="48">
        <f t="shared" si="13"/>
        <v>68640</v>
      </c>
      <c r="U102" s="47">
        <f t="shared" si="14"/>
        <v>27856.125</v>
      </c>
      <c r="V102" s="47">
        <f t="shared" si="15"/>
        <v>99</v>
      </c>
      <c r="W102" s="45"/>
    </row>
    <row r="103" spans="4:23" x14ac:dyDescent="0.25">
      <c r="D103">
        <v>709</v>
      </c>
      <c r="E103" s="15">
        <v>40.65</v>
      </c>
      <c r="F103" s="15">
        <f t="shared" si="8"/>
        <v>84552</v>
      </c>
      <c r="G103" s="4"/>
      <c r="H103" s="16">
        <v>313.58</v>
      </c>
      <c r="I103" s="15">
        <f t="shared" si="9"/>
        <v>19120.54</v>
      </c>
      <c r="J103" s="16">
        <v>0.67</v>
      </c>
      <c r="K103" s="15">
        <f t="shared" si="10"/>
        <v>54.47</v>
      </c>
      <c r="L103" s="4"/>
      <c r="N103" s="41"/>
      <c r="O103" s="40">
        <v>2080</v>
      </c>
      <c r="P103" s="40">
        <f t="shared" si="11"/>
        <v>38.933846153846162</v>
      </c>
      <c r="Q103" s="40">
        <v>80982.400000000009</v>
      </c>
      <c r="R103" s="56"/>
      <c r="S103" s="47">
        <f t="shared" ref="S103:S124" si="16">E103</f>
        <v>40.65</v>
      </c>
      <c r="T103" s="48">
        <f t="shared" ref="T103:T134" si="17">S103*O103</f>
        <v>84552</v>
      </c>
      <c r="U103" s="47">
        <f t="shared" si="14"/>
        <v>19120.540499999996</v>
      </c>
      <c r="V103" s="47">
        <f t="shared" si="15"/>
        <v>54.471000000000004</v>
      </c>
      <c r="W103" s="45"/>
    </row>
    <row r="104" spans="4:23" x14ac:dyDescent="0.25">
      <c r="D104">
        <v>712</v>
      </c>
      <c r="E104" s="15">
        <v>36.93</v>
      </c>
      <c r="F104" s="15">
        <f t="shared" si="8"/>
        <v>76814.399999999994</v>
      </c>
      <c r="G104" s="4"/>
      <c r="H104" s="16">
        <v>371.75</v>
      </c>
      <c r="I104" s="15">
        <f t="shared" si="9"/>
        <v>20593.09</v>
      </c>
      <c r="J104" s="16"/>
      <c r="K104" s="15">
        <f t="shared" si="10"/>
        <v>0</v>
      </c>
      <c r="L104" s="4"/>
      <c r="N104" s="41"/>
      <c r="O104" s="40">
        <v>1992</v>
      </c>
      <c r="P104" s="40">
        <f t="shared" si="11"/>
        <v>32.475722891566264</v>
      </c>
      <c r="Q104" s="40">
        <v>64691.64</v>
      </c>
      <c r="R104" s="56"/>
      <c r="S104" s="47">
        <f t="shared" si="16"/>
        <v>36.93</v>
      </c>
      <c r="T104" s="48">
        <f t="shared" si="17"/>
        <v>73564.56</v>
      </c>
      <c r="U104" s="47">
        <f t="shared" si="14"/>
        <v>20593.091249999998</v>
      </c>
      <c r="V104" s="47">
        <f t="shared" si="15"/>
        <v>0</v>
      </c>
      <c r="W104" s="45"/>
    </row>
    <row r="105" spans="4:23" x14ac:dyDescent="0.25">
      <c r="D105">
        <v>713</v>
      </c>
      <c r="E105" s="15">
        <v>36.93</v>
      </c>
      <c r="F105" s="15">
        <f t="shared" si="8"/>
        <v>76814.399999999994</v>
      </c>
      <c r="G105" s="4"/>
      <c r="H105" s="16">
        <v>489</v>
      </c>
      <c r="I105" s="15">
        <f t="shared" si="9"/>
        <v>27088.16</v>
      </c>
      <c r="J105" s="16"/>
      <c r="K105" s="15">
        <f t="shared" si="10"/>
        <v>0</v>
      </c>
      <c r="L105" s="4"/>
      <c r="N105" s="41"/>
      <c r="O105" s="40">
        <v>2000</v>
      </c>
      <c r="P105" s="40">
        <f t="shared" si="11"/>
        <v>32.48348</v>
      </c>
      <c r="Q105" s="40">
        <v>64966.96</v>
      </c>
      <c r="R105" s="56"/>
      <c r="S105" s="47">
        <f t="shared" si="16"/>
        <v>36.93</v>
      </c>
      <c r="T105" s="48">
        <f t="shared" si="17"/>
        <v>73860</v>
      </c>
      <c r="U105" s="47">
        <f t="shared" si="14"/>
        <v>27088.154999999999</v>
      </c>
      <c r="V105" s="47">
        <f t="shared" si="15"/>
        <v>0</v>
      </c>
      <c r="W105" s="45"/>
    </row>
    <row r="106" spans="4:23" x14ac:dyDescent="0.25">
      <c r="D106">
        <v>714</v>
      </c>
      <c r="E106" s="15">
        <v>36.64</v>
      </c>
      <c r="F106" s="15">
        <f t="shared" si="8"/>
        <v>76211.199999999997</v>
      </c>
      <c r="G106" s="4"/>
      <c r="H106" s="16">
        <v>452.9</v>
      </c>
      <c r="I106" s="15">
        <f t="shared" si="9"/>
        <v>24891.38</v>
      </c>
      <c r="J106" s="16">
        <v>9</v>
      </c>
      <c r="K106" s="15">
        <f t="shared" si="10"/>
        <v>659.52</v>
      </c>
      <c r="L106" s="4"/>
      <c r="N106" s="41"/>
      <c r="O106" s="40">
        <v>2080</v>
      </c>
      <c r="P106" s="40">
        <f t="shared" si="11"/>
        <v>33.428846153846152</v>
      </c>
      <c r="Q106" s="40">
        <v>69532</v>
      </c>
      <c r="R106" s="56"/>
      <c r="S106" s="47">
        <f t="shared" si="16"/>
        <v>36.64</v>
      </c>
      <c r="T106" s="48">
        <f t="shared" si="17"/>
        <v>76211.199999999997</v>
      </c>
      <c r="U106" s="47">
        <f t="shared" si="14"/>
        <v>24891.384000000002</v>
      </c>
      <c r="V106" s="47">
        <f t="shared" si="15"/>
        <v>659.52</v>
      </c>
      <c r="W106" s="45"/>
    </row>
    <row r="107" spans="4:23" x14ac:dyDescent="0.25">
      <c r="D107">
        <v>715</v>
      </c>
      <c r="E107" s="15">
        <v>32.479999999999997</v>
      </c>
      <c r="F107" s="15">
        <f t="shared" si="8"/>
        <v>67558.399999999994</v>
      </c>
      <c r="G107" s="4"/>
      <c r="H107" s="16">
        <v>257.60000000000002</v>
      </c>
      <c r="I107" s="15">
        <f t="shared" si="9"/>
        <v>12550.27</v>
      </c>
      <c r="J107" s="16"/>
      <c r="K107" s="15">
        <f t="shared" si="10"/>
        <v>0</v>
      </c>
      <c r="L107" s="4"/>
      <c r="N107" s="41"/>
      <c r="O107" s="40">
        <v>2080</v>
      </c>
      <c r="P107" s="40">
        <f t="shared" si="11"/>
        <v>28.298076923076923</v>
      </c>
      <c r="Q107" s="40">
        <v>58860</v>
      </c>
      <c r="R107" s="56"/>
      <c r="S107" s="47">
        <f t="shared" si="16"/>
        <v>32.479999999999997</v>
      </c>
      <c r="T107" s="48">
        <f t="shared" si="17"/>
        <v>67558.399999999994</v>
      </c>
      <c r="U107" s="47">
        <f t="shared" si="14"/>
        <v>12550.272000000001</v>
      </c>
      <c r="V107" s="47">
        <f t="shared" si="15"/>
        <v>0</v>
      </c>
      <c r="W107" s="45"/>
    </row>
    <row r="108" spans="4:23" x14ac:dyDescent="0.25">
      <c r="D108">
        <v>716</v>
      </c>
      <c r="E108" s="15">
        <v>36.93</v>
      </c>
      <c r="F108" s="15">
        <f t="shared" si="8"/>
        <v>76814.399999999994</v>
      </c>
      <c r="G108" s="4"/>
      <c r="H108" s="16">
        <v>416</v>
      </c>
      <c r="I108" s="15">
        <f t="shared" si="9"/>
        <v>23044.32</v>
      </c>
      <c r="J108" s="16">
        <v>0.5</v>
      </c>
      <c r="K108" s="15">
        <f t="shared" si="10"/>
        <v>36.93</v>
      </c>
      <c r="L108" s="4"/>
      <c r="N108" s="41"/>
      <c r="O108" s="40">
        <v>1996</v>
      </c>
      <c r="P108" s="40">
        <f t="shared" si="11"/>
        <v>32.47456913827655</v>
      </c>
      <c r="Q108" s="40">
        <v>64819.24</v>
      </c>
      <c r="R108" s="56"/>
      <c r="S108" s="47">
        <f t="shared" si="16"/>
        <v>36.93</v>
      </c>
      <c r="T108" s="48">
        <f t="shared" si="17"/>
        <v>73712.28</v>
      </c>
      <c r="U108" s="47">
        <f t="shared" si="14"/>
        <v>23044.32</v>
      </c>
      <c r="V108" s="47">
        <f t="shared" si="15"/>
        <v>36.93</v>
      </c>
      <c r="W108" s="45"/>
    </row>
    <row r="109" spans="4:23" x14ac:dyDescent="0.25">
      <c r="D109">
        <v>717</v>
      </c>
      <c r="E109" s="15">
        <v>36.93</v>
      </c>
      <c r="F109" s="15">
        <f t="shared" si="8"/>
        <v>76814.399999999994</v>
      </c>
      <c r="G109" s="4"/>
      <c r="H109" s="16">
        <v>349.5</v>
      </c>
      <c r="I109" s="15">
        <f t="shared" si="9"/>
        <v>19360.55</v>
      </c>
      <c r="J109" s="16"/>
      <c r="K109" s="15">
        <f t="shared" si="10"/>
        <v>0</v>
      </c>
      <c r="L109" s="4"/>
      <c r="N109" s="41"/>
      <c r="O109" s="40">
        <v>2004</v>
      </c>
      <c r="P109" s="40">
        <f t="shared" si="11"/>
        <v>32.492355289421155</v>
      </c>
      <c r="Q109" s="40">
        <v>65114.68</v>
      </c>
      <c r="R109" s="56"/>
      <c r="S109" s="47">
        <f t="shared" si="16"/>
        <v>36.93</v>
      </c>
      <c r="T109" s="48">
        <f t="shared" si="17"/>
        <v>74007.72</v>
      </c>
      <c r="U109" s="47">
        <f t="shared" si="14"/>
        <v>19360.552499999998</v>
      </c>
      <c r="V109" s="47">
        <f t="shared" si="15"/>
        <v>0</v>
      </c>
      <c r="W109" s="45"/>
    </row>
    <row r="110" spans="4:23" x14ac:dyDescent="0.25">
      <c r="D110">
        <v>718</v>
      </c>
      <c r="E110" s="15">
        <v>34.659999999999997</v>
      </c>
      <c r="F110" s="15">
        <f t="shared" si="8"/>
        <v>72092.800000000003</v>
      </c>
      <c r="G110" s="4"/>
      <c r="H110" s="16">
        <v>474.5</v>
      </c>
      <c r="I110" s="15">
        <f t="shared" si="9"/>
        <v>24669.26</v>
      </c>
      <c r="J110" s="16">
        <v>160</v>
      </c>
      <c r="K110" s="15">
        <f t="shared" si="10"/>
        <v>11091.2</v>
      </c>
      <c r="L110" s="4"/>
      <c r="N110" s="41"/>
      <c r="O110" s="40">
        <v>2021</v>
      </c>
      <c r="P110" s="40">
        <f t="shared" si="11"/>
        <v>31.757070757050965</v>
      </c>
      <c r="Q110" s="40">
        <v>64181.04</v>
      </c>
      <c r="R110" s="56"/>
      <c r="S110" s="47">
        <f t="shared" si="16"/>
        <v>34.659999999999997</v>
      </c>
      <c r="T110" s="48">
        <f t="shared" si="17"/>
        <v>70047.859999999986</v>
      </c>
      <c r="U110" s="47">
        <f t="shared" si="14"/>
        <v>24669.254999999997</v>
      </c>
      <c r="V110" s="47">
        <f t="shared" si="15"/>
        <v>11091.199999999999</v>
      </c>
      <c r="W110" s="45"/>
    </row>
    <row r="111" spans="4:23" x14ac:dyDescent="0.25">
      <c r="D111">
        <v>719</v>
      </c>
      <c r="E111" s="15">
        <v>38.799999999999997</v>
      </c>
      <c r="F111" s="15">
        <f t="shared" si="8"/>
        <v>80704</v>
      </c>
      <c r="G111" s="4"/>
      <c r="H111" s="16">
        <v>24</v>
      </c>
      <c r="I111" s="15">
        <f t="shared" si="9"/>
        <v>1396.8</v>
      </c>
      <c r="J111" s="16"/>
      <c r="K111" s="15">
        <f t="shared" si="10"/>
        <v>0</v>
      </c>
      <c r="L111" s="4"/>
      <c r="N111" s="41"/>
      <c r="O111" s="40">
        <v>2080</v>
      </c>
      <c r="P111" s="40">
        <f t="shared" si="11"/>
        <v>31.998076923076923</v>
      </c>
      <c r="Q111" s="40">
        <v>66556</v>
      </c>
      <c r="R111" s="56"/>
      <c r="S111" s="47">
        <f t="shared" si="16"/>
        <v>38.799999999999997</v>
      </c>
      <c r="T111" s="48">
        <f t="shared" si="17"/>
        <v>80704</v>
      </c>
      <c r="U111" s="47">
        <f t="shared" si="14"/>
        <v>1396.8</v>
      </c>
      <c r="V111" s="47">
        <f t="shared" si="15"/>
        <v>0</v>
      </c>
      <c r="W111" s="45"/>
    </row>
    <row r="112" spans="4:23" x14ac:dyDescent="0.25">
      <c r="D112">
        <v>720</v>
      </c>
      <c r="E112" s="15">
        <v>29.8</v>
      </c>
      <c r="F112" s="15">
        <f t="shared" si="8"/>
        <v>61984</v>
      </c>
      <c r="G112" s="4"/>
      <c r="H112" s="16">
        <v>117.27</v>
      </c>
      <c r="I112" s="15">
        <f t="shared" si="9"/>
        <v>5241.97</v>
      </c>
      <c r="J112" s="16"/>
      <c r="K112" s="15">
        <f t="shared" si="10"/>
        <v>0</v>
      </c>
      <c r="L112" s="4"/>
      <c r="N112" s="41"/>
      <c r="O112" s="40">
        <v>2080</v>
      </c>
      <c r="P112" s="40">
        <f t="shared" si="11"/>
        <v>28.287307692307692</v>
      </c>
      <c r="Q112" s="40">
        <v>58837.599999999999</v>
      </c>
      <c r="R112" s="56"/>
      <c r="S112" s="47">
        <f t="shared" si="16"/>
        <v>29.8</v>
      </c>
      <c r="T112" s="48">
        <f t="shared" si="17"/>
        <v>61984</v>
      </c>
      <c r="U112" s="47">
        <f t="shared" si="14"/>
        <v>5241.9690000000001</v>
      </c>
      <c r="V112" s="47">
        <f t="shared" si="15"/>
        <v>0</v>
      </c>
      <c r="W112" s="45"/>
    </row>
    <row r="113" spans="1:23" x14ac:dyDescent="0.25">
      <c r="D113">
        <v>721</v>
      </c>
      <c r="E113" s="15">
        <v>28.88</v>
      </c>
      <c r="F113" s="15">
        <f t="shared" si="8"/>
        <v>60070.400000000001</v>
      </c>
      <c r="G113" s="4"/>
      <c r="H113" s="16">
        <v>324.11</v>
      </c>
      <c r="I113" s="15">
        <f t="shared" si="9"/>
        <v>14040.45</v>
      </c>
      <c r="J113" s="16">
        <v>157</v>
      </c>
      <c r="K113" s="15">
        <f t="shared" si="10"/>
        <v>9068.32</v>
      </c>
      <c r="L113" s="4"/>
      <c r="N113" s="41"/>
      <c r="O113" s="40">
        <v>2024</v>
      </c>
      <c r="P113" s="40">
        <f t="shared" si="11"/>
        <v>26.40411067193676</v>
      </c>
      <c r="Q113" s="40">
        <v>53441.919999999998</v>
      </c>
      <c r="R113" s="56"/>
      <c r="S113" s="47">
        <f t="shared" si="16"/>
        <v>28.88</v>
      </c>
      <c r="T113" s="48">
        <f t="shared" si="17"/>
        <v>58453.119999999995</v>
      </c>
      <c r="U113" s="47">
        <f t="shared" si="14"/>
        <v>14040.4452</v>
      </c>
      <c r="V113" s="47">
        <f t="shared" si="15"/>
        <v>9068.32</v>
      </c>
      <c r="W113" s="45"/>
    </row>
    <row r="114" spans="1:23" x14ac:dyDescent="0.25">
      <c r="D114">
        <v>722</v>
      </c>
      <c r="E114" s="15">
        <v>28.88</v>
      </c>
      <c r="F114" s="15">
        <f t="shared" si="8"/>
        <v>60070.400000000001</v>
      </c>
      <c r="G114" s="4"/>
      <c r="H114" s="16">
        <v>411.1</v>
      </c>
      <c r="I114" s="15">
        <f t="shared" si="9"/>
        <v>17808.849999999999</v>
      </c>
      <c r="J114" s="16">
        <v>5.67</v>
      </c>
      <c r="K114" s="15">
        <f t="shared" si="10"/>
        <v>327.5</v>
      </c>
      <c r="L114" s="4"/>
      <c r="N114" s="41"/>
      <c r="O114" s="40">
        <v>2080</v>
      </c>
      <c r="P114" s="40">
        <f t="shared" si="11"/>
        <v>25.379230769230769</v>
      </c>
      <c r="Q114" s="40">
        <v>52788.800000000003</v>
      </c>
      <c r="R114" s="56"/>
      <c r="S114" s="47">
        <f t="shared" si="16"/>
        <v>28.88</v>
      </c>
      <c r="T114" s="48">
        <f t="shared" si="17"/>
        <v>60070.400000000001</v>
      </c>
      <c r="U114" s="47">
        <f t="shared" si="14"/>
        <v>17808.852000000003</v>
      </c>
      <c r="V114" s="47">
        <f t="shared" si="15"/>
        <v>327.49919999999997</v>
      </c>
      <c r="W114" s="45"/>
    </row>
    <row r="115" spans="1:23" x14ac:dyDescent="0.25">
      <c r="D115">
        <v>724</v>
      </c>
      <c r="E115" s="15">
        <v>32.479999999999997</v>
      </c>
      <c r="F115" s="15">
        <f t="shared" si="8"/>
        <v>67558.399999999994</v>
      </c>
      <c r="G115" s="4"/>
      <c r="H115" s="16">
        <v>473.5</v>
      </c>
      <c r="I115" s="15">
        <f t="shared" si="9"/>
        <v>23068.92</v>
      </c>
      <c r="J115" s="16">
        <v>162.5</v>
      </c>
      <c r="K115" s="15">
        <f t="shared" si="10"/>
        <v>10556</v>
      </c>
      <c r="L115" s="4"/>
      <c r="N115" s="41"/>
      <c r="O115" s="40">
        <v>2021.5</v>
      </c>
      <c r="P115" s="40">
        <f t="shared" si="11"/>
        <v>29.486198367548848</v>
      </c>
      <c r="Q115" s="40">
        <v>59606.35</v>
      </c>
      <c r="R115" s="56"/>
      <c r="S115" s="47">
        <f t="shared" si="16"/>
        <v>32.479999999999997</v>
      </c>
      <c r="T115" s="48">
        <f t="shared" si="17"/>
        <v>65658.319999999992</v>
      </c>
      <c r="U115" s="47">
        <f t="shared" si="14"/>
        <v>23068.92</v>
      </c>
      <c r="V115" s="47">
        <f t="shared" si="15"/>
        <v>10555.999999999998</v>
      </c>
      <c r="W115" s="45"/>
    </row>
    <row r="116" spans="1:23" x14ac:dyDescent="0.25">
      <c r="D116">
        <v>725</v>
      </c>
      <c r="E116" s="15">
        <v>30.1</v>
      </c>
      <c r="F116" s="15">
        <f t="shared" si="8"/>
        <v>62608</v>
      </c>
      <c r="G116" s="4"/>
      <c r="H116" s="16">
        <v>153.5</v>
      </c>
      <c r="I116" s="15">
        <f t="shared" si="9"/>
        <v>6930.53</v>
      </c>
      <c r="J116" s="16"/>
      <c r="K116" s="15">
        <f t="shared" si="10"/>
        <v>0</v>
      </c>
      <c r="L116" s="4"/>
      <c r="N116" s="41"/>
      <c r="O116" s="40">
        <v>2080</v>
      </c>
      <c r="P116" s="40">
        <f t="shared" si="11"/>
        <v>27.163076923076925</v>
      </c>
      <c r="Q116" s="40">
        <v>56499.200000000004</v>
      </c>
      <c r="R116" s="56"/>
      <c r="S116" s="47">
        <f t="shared" si="16"/>
        <v>30.1</v>
      </c>
      <c r="T116" s="48">
        <f t="shared" si="17"/>
        <v>62608</v>
      </c>
      <c r="U116" s="47">
        <f t="shared" si="14"/>
        <v>6930.5250000000005</v>
      </c>
      <c r="V116" s="47">
        <f t="shared" si="15"/>
        <v>0</v>
      </c>
      <c r="W116" s="45"/>
    </row>
    <row r="117" spans="1:23" x14ac:dyDescent="0.25">
      <c r="D117">
        <v>726</v>
      </c>
      <c r="E117" s="15">
        <v>38.94</v>
      </c>
      <c r="F117" s="15">
        <f t="shared" si="8"/>
        <v>80995.199999999997</v>
      </c>
      <c r="G117" s="4"/>
      <c r="H117" s="16">
        <v>189.5</v>
      </c>
      <c r="I117" s="15">
        <f t="shared" si="9"/>
        <v>11068.7</v>
      </c>
      <c r="J117" s="16"/>
      <c r="K117" s="15">
        <f t="shared" si="10"/>
        <v>0</v>
      </c>
      <c r="L117" s="4"/>
      <c r="N117" s="41"/>
      <c r="O117" s="40">
        <v>2080</v>
      </c>
      <c r="P117" s="40">
        <f t="shared" si="11"/>
        <v>36.595769230769221</v>
      </c>
      <c r="Q117" s="40">
        <v>76119.199999999983</v>
      </c>
      <c r="R117" s="56"/>
      <c r="S117" s="47">
        <f t="shared" si="16"/>
        <v>38.94</v>
      </c>
      <c r="T117" s="48">
        <f t="shared" si="17"/>
        <v>80995.199999999997</v>
      </c>
      <c r="U117" s="47">
        <f t="shared" si="14"/>
        <v>11068.695</v>
      </c>
      <c r="V117" s="47">
        <f t="shared" si="15"/>
        <v>0</v>
      </c>
      <c r="W117" s="45"/>
    </row>
    <row r="118" spans="1:23" x14ac:dyDescent="0.25">
      <c r="D118">
        <v>727</v>
      </c>
      <c r="E118" s="15">
        <v>32.479999999999997</v>
      </c>
      <c r="F118" s="15">
        <f t="shared" si="8"/>
        <v>67558.399999999994</v>
      </c>
      <c r="G118" s="4"/>
      <c r="H118" s="16">
        <v>438.5</v>
      </c>
      <c r="I118" s="15">
        <f t="shared" si="9"/>
        <v>21363.72</v>
      </c>
      <c r="J118" s="16">
        <v>10.5</v>
      </c>
      <c r="K118" s="15">
        <f t="shared" si="10"/>
        <v>682.08</v>
      </c>
      <c r="L118" s="4"/>
      <c r="N118" s="41"/>
      <c r="O118" s="40">
        <v>2078.5</v>
      </c>
      <c r="P118" s="40">
        <f t="shared" si="11"/>
        <v>28.724878518162139</v>
      </c>
      <c r="Q118" s="40">
        <v>59704.66</v>
      </c>
      <c r="R118" s="56"/>
      <c r="S118" s="47">
        <f t="shared" si="16"/>
        <v>32.479999999999997</v>
      </c>
      <c r="T118" s="48">
        <f t="shared" si="17"/>
        <v>67509.679999999993</v>
      </c>
      <c r="U118" s="47">
        <f t="shared" si="14"/>
        <v>21363.719999999998</v>
      </c>
      <c r="V118" s="47">
        <f t="shared" si="15"/>
        <v>682.07999999999993</v>
      </c>
      <c r="W118" s="45"/>
    </row>
    <row r="119" spans="1:23" x14ac:dyDescent="0.25">
      <c r="D119">
        <v>728</v>
      </c>
      <c r="E119" s="15">
        <v>28.88</v>
      </c>
      <c r="F119" s="15">
        <f t="shared" si="8"/>
        <v>60070.400000000001</v>
      </c>
      <c r="G119" s="4"/>
      <c r="H119" s="16">
        <v>281</v>
      </c>
      <c r="I119" s="15">
        <f t="shared" si="9"/>
        <v>12172.92</v>
      </c>
      <c r="J119" s="16">
        <v>4</v>
      </c>
      <c r="K119" s="15">
        <f t="shared" si="10"/>
        <v>231.04</v>
      </c>
      <c r="L119" s="4"/>
      <c r="N119" s="41"/>
      <c r="O119" s="40">
        <v>2080</v>
      </c>
      <c r="P119" s="40">
        <f t="shared" si="11"/>
        <v>24.151538461538461</v>
      </c>
      <c r="Q119" s="40">
        <v>50235.199999999997</v>
      </c>
      <c r="R119" s="56"/>
      <c r="S119" s="47">
        <f t="shared" si="16"/>
        <v>28.88</v>
      </c>
      <c r="T119" s="48">
        <f t="shared" si="17"/>
        <v>60070.400000000001</v>
      </c>
      <c r="U119" s="47">
        <f t="shared" si="14"/>
        <v>12172.92</v>
      </c>
      <c r="V119" s="47">
        <f t="shared" si="15"/>
        <v>231.04</v>
      </c>
      <c r="W119" s="45"/>
    </row>
    <row r="120" spans="1:23" x14ac:dyDescent="0.25">
      <c r="D120">
        <v>729</v>
      </c>
      <c r="E120" s="15">
        <v>34.659999999999997</v>
      </c>
      <c r="F120" s="15">
        <f t="shared" si="8"/>
        <v>72092.800000000003</v>
      </c>
      <c r="G120" s="4"/>
      <c r="H120" s="16">
        <v>476.5</v>
      </c>
      <c r="I120" s="15">
        <f t="shared" si="9"/>
        <v>24773.24</v>
      </c>
      <c r="J120" s="16">
        <v>4.5</v>
      </c>
      <c r="K120" s="15">
        <f t="shared" si="10"/>
        <v>311.94</v>
      </c>
      <c r="L120" s="4"/>
      <c r="N120" s="41"/>
      <c r="O120" s="40">
        <v>2078.5</v>
      </c>
      <c r="P120" s="40">
        <f t="shared" si="11"/>
        <v>31.993091171517921</v>
      </c>
      <c r="Q120" s="40">
        <v>66497.64</v>
      </c>
      <c r="R120" s="56"/>
      <c r="S120" s="47">
        <f t="shared" si="16"/>
        <v>34.659999999999997</v>
      </c>
      <c r="T120" s="48">
        <f t="shared" si="17"/>
        <v>72040.81</v>
      </c>
      <c r="U120" s="47">
        <f t="shared" si="14"/>
        <v>24773.234999999997</v>
      </c>
      <c r="V120" s="47">
        <f t="shared" si="15"/>
        <v>311.93999999999994</v>
      </c>
      <c r="W120" s="45"/>
    </row>
    <row r="121" spans="1:23" x14ac:dyDescent="0.25">
      <c r="D121">
        <v>730</v>
      </c>
      <c r="E121" s="15">
        <v>36.64</v>
      </c>
      <c r="F121" s="15">
        <f t="shared" si="8"/>
        <v>76211.199999999997</v>
      </c>
      <c r="G121" s="4"/>
      <c r="H121" s="16">
        <v>432.5</v>
      </c>
      <c r="I121" s="15">
        <f t="shared" si="9"/>
        <v>23770.2</v>
      </c>
      <c r="J121" s="16">
        <v>2</v>
      </c>
      <c r="K121" s="15">
        <f t="shared" si="10"/>
        <v>146.56</v>
      </c>
      <c r="L121" s="4"/>
      <c r="N121" s="41"/>
      <c r="O121" s="40">
        <v>2080</v>
      </c>
      <c r="P121" s="40">
        <f t="shared" si="11"/>
        <v>33.428846153846152</v>
      </c>
      <c r="Q121" s="40">
        <v>69532</v>
      </c>
      <c r="R121" s="56"/>
      <c r="S121" s="47">
        <f t="shared" si="16"/>
        <v>36.64</v>
      </c>
      <c r="T121" s="48">
        <f t="shared" si="17"/>
        <v>76211.199999999997</v>
      </c>
      <c r="U121" s="47">
        <f t="shared" si="14"/>
        <v>23770.2</v>
      </c>
      <c r="V121" s="47">
        <f t="shared" si="15"/>
        <v>146.56</v>
      </c>
      <c r="W121" s="45"/>
    </row>
    <row r="122" spans="1:23" x14ac:dyDescent="0.25">
      <c r="D122">
        <v>731</v>
      </c>
      <c r="E122" s="15">
        <v>33.01</v>
      </c>
      <c r="F122" s="15">
        <f t="shared" si="8"/>
        <v>68660.800000000003</v>
      </c>
      <c r="G122" s="4"/>
      <c r="H122" s="16">
        <v>394</v>
      </c>
      <c r="I122" s="15">
        <f t="shared" si="9"/>
        <v>19508.91</v>
      </c>
      <c r="J122" s="16">
        <v>3.5</v>
      </c>
      <c r="K122" s="15">
        <f t="shared" si="10"/>
        <v>231.07</v>
      </c>
      <c r="L122" s="4"/>
      <c r="N122" s="41"/>
      <c r="O122" s="40">
        <v>2080</v>
      </c>
      <c r="P122" s="40">
        <f t="shared" si="11"/>
        <v>31.621153846153845</v>
      </c>
      <c r="Q122" s="40">
        <v>65772</v>
      </c>
      <c r="R122" s="56"/>
      <c r="S122" s="47">
        <f t="shared" si="16"/>
        <v>33.01</v>
      </c>
      <c r="T122" s="48">
        <f t="shared" si="17"/>
        <v>68660.800000000003</v>
      </c>
      <c r="U122" s="47">
        <f t="shared" si="14"/>
        <v>19508.909999999996</v>
      </c>
      <c r="V122" s="47">
        <f t="shared" si="15"/>
        <v>231.07</v>
      </c>
      <c r="W122" s="45"/>
    </row>
    <row r="123" spans="1:23" x14ac:dyDescent="0.25">
      <c r="A123" s="61">
        <v>44711</v>
      </c>
      <c r="D123">
        <v>732</v>
      </c>
      <c r="E123" s="15">
        <v>32.67</v>
      </c>
      <c r="F123" s="15">
        <f t="shared" si="8"/>
        <v>67953.600000000006</v>
      </c>
      <c r="G123" s="4"/>
      <c r="H123" s="16"/>
      <c r="I123" s="15">
        <f t="shared" si="9"/>
        <v>0</v>
      </c>
      <c r="J123" s="16"/>
      <c r="K123" s="15">
        <f t="shared" si="10"/>
        <v>0</v>
      </c>
      <c r="L123" s="4"/>
      <c r="N123" s="41"/>
      <c r="O123" s="40">
        <v>1480</v>
      </c>
      <c r="P123" s="40">
        <f t="shared" si="11"/>
        <v>31.069729729729733</v>
      </c>
      <c r="Q123" s="40">
        <v>45983.200000000004</v>
      </c>
      <c r="R123" s="56"/>
      <c r="S123" s="47">
        <f t="shared" si="16"/>
        <v>32.67</v>
      </c>
      <c r="T123" s="48">
        <f t="shared" si="17"/>
        <v>48351.600000000006</v>
      </c>
      <c r="U123" s="47">
        <f t="shared" si="14"/>
        <v>0</v>
      </c>
      <c r="V123" s="47">
        <f t="shared" si="15"/>
        <v>0</v>
      </c>
      <c r="W123" s="45"/>
    </row>
    <row r="124" spans="1:23" x14ac:dyDescent="0.25">
      <c r="A124" s="61">
        <v>44823</v>
      </c>
      <c r="D124">
        <v>733</v>
      </c>
      <c r="E124" s="15">
        <v>32.479999999999997</v>
      </c>
      <c r="F124" s="15">
        <f t="shared" si="8"/>
        <v>67558.399999999994</v>
      </c>
      <c r="G124" s="4"/>
      <c r="H124" s="16">
        <v>109</v>
      </c>
      <c r="I124" s="15">
        <f t="shared" si="9"/>
        <v>5310.48</v>
      </c>
      <c r="J124" s="16"/>
      <c r="K124" s="15">
        <f t="shared" si="10"/>
        <v>0</v>
      </c>
      <c r="L124" s="4"/>
      <c r="N124" s="41"/>
      <c r="O124" s="40">
        <v>840</v>
      </c>
      <c r="P124" s="40">
        <f t="shared" si="11"/>
        <v>31.372857142857139</v>
      </c>
      <c r="Q124" s="40">
        <v>26353.199999999997</v>
      </c>
      <c r="R124" s="56"/>
      <c r="S124" s="47">
        <f t="shared" si="16"/>
        <v>32.479999999999997</v>
      </c>
      <c r="T124" s="48">
        <f t="shared" si="17"/>
        <v>27283.199999999997</v>
      </c>
      <c r="U124" s="47">
        <f t="shared" si="14"/>
        <v>5310.48</v>
      </c>
      <c r="V124" s="47">
        <f t="shared" si="15"/>
        <v>0</v>
      </c>
      <c r="W124" s="45"/>
    </row>
    <row r="125" spans="1:23" x14ac:dyDescent="0.25">
      <c r="A125" s="61">
        <v>44998</v>
      </c>
      <c r="D125">
        <v>734</v>
      </c>
      <c r="E125" s="15">
        <f>10576.93/80</f>
        <v>132.211625</v>
      </c>
      <c r="F125" s="15">
        <f t="shared" si="8"/>
        <v>275000.18</v>
      </c>
      <c r="G125" s="4"/>
      <c r="H125" s="16"/>
      <c r="I125" s="15">
        <f t="shared" si="9"/>
        <v>0</v>
      </c>
      <c r="J125" s="16"/>
      <c r="K125" s="15">
        <f t="shared" si="10"/>
        <v>0</v>
      </c>
      <c r="L125" s="4"/>
      <c r="N125" s="41"/>
      <c r="O125" s="40">
        <v>0</v>
      </c>
      <c r="P125" s="40"/>
      <c r="Q125" s="40">
        <v>0</v>
      </c>
      <c r="R125" s="56"/>
      <c r="S125" s="47"/>
      <c r="T125" s="48">
        <f t="shared" si="17"/>
        <v>0</v>
      </c>
      <c r="U125" s="47">
        <f t="shared" si="14"/>
        <v>0</v>
      </c>
      <c r="V125" s="47">
        <f t="shared" si="15"/>
        <v>0</v>
      </c>
      <c r="W125" s="45"/>
    </row>
    <row r="126" spans="1:23" x14ac:dyDescent="0.25">
      <c r="A126" s="61">
        <v>44998</v>
      </c>
      <c r="D126">
        <v>735</v>
      </c>
      <c r="E126" s="15">
        <v>28.88</v>
      </c>
      <c r="F126" s="15">
        <f t="shared" si="8"/>
        <v>60070.400000000001</v>
      </c>
      <c r="G126" s="4"/>
      <c r="H126" s="16"/>
      <c r="I126" s="15">
        <f t="shared" si="9"/>
        <v>0</v>
      </c>
      <c r="J126" s="16"/>
      <c r="K126" s="15">
        <f t="shared" si="10"/>
        <v>0</v>
      </c>
      <c r="L126" s="4"/>
      <c r="N126" s="41"/>
      <c r="O126" s="40">
        <v>0</v>
      </c>
      <c r="P126" s="40"/>
      <c r="Q126" s="40">
        <v>0</v>
      </c>
      <c r="R126" s="56"/>
      <c r="S126" s="47"/>
      <c r="T126" s="48">
        <f t="shared" si="17"/>
        <v>0</v>
      </c>
      <c r="U126" s="47">
        <f t="shared" si="14"/>
        <v>0</v>
      </c>
      <c r="V126" s="47">
        <f t="shared" si="15"/>
        <v>0</v>
      </c>
      <c r="W126" s="45"/>
    </row>
    <row r="127" spans="1:23" x14ac:dyDescent="0.25">
      <c r="A127" s="61">
        <v>45012</v>
      </c>
      <c r="D127">
        <v>736</v>
      </c>
      <c r="E127" s="15">
        <v>30.07</v>
      </c>
      <c r="F127" s="15">
        <f t="shared" si="8"/>
        <v>62545.599999999999</v>
      </c>
      <c r="G127" s="4"/>
      <c r="H127" s="16"/>
      <c r="I127" s="15">
        <f t="shared" si="9"/>
        <v>0</v>
      </c>
      <c r="J127" s="16"/>
      <c r="K127" s="15">
        <f t="shared" si="10"/>
        <v>0</v>
      </c>
      <c r="L127" s="4"/>
      <c r="N127" s="41"/>
      <c r="O127" s="40">
        <v>0</v>
      </c>
      <c r="P127" s="40"/>
      <c r="Q127" s="40">
        <v>0</v>
      </c>
      <c r="R127" s="56"/>
      <c r="S127" s="47"/>
      <c r="T127" s="48">
        <f t="shared" si="17"/>
        <v>0</v>
      </c>
      <c r="U127" s="47">
        <f t="shared" si="14"/>
        <v>0</v>
      </c>
      <c r="V127" s="47">
        <f t="shared" si="15"/>
        <v>0</v>
      </c>
      <c r="W127" s="45"/>
    </row>
    <row r="128" spans="1:23" x14ac:dyDescent="0.25">
      <c r="A128" s="61">
        <v>45013</v>
      </c>
      <c r="D128">
        <v>737</v>
      </c>
      <c r="E128" s="15">
        <v>24.1</v>
      </c>
      <c r="F128" s="15">
        <f t="shared" si="8"/>
        <v>50128</v>
      </c>
      <c r="G128" s="4"/>
      <c r="H128" s="16"/>
      <c r="I128" s="15">
        <f t="shared" si="9"/>
        <v>0</v>
      </c>
      <c r="J128" s="16"/>
      <c r="K128" s="15">
        <f t="shared" si="10"/>
        <v>0</v>
      </c>
      <c r="L128" s="4"/>
      <c r="N128" s="41"/>
      <c r="O128" s="40">
        <v>0</v>
      </c>
      <c r="P128" s="40"/>
      <c r="Q128" s="40">
        <v>0</v>
      </c>
      <c r="R128" s="56"/>
      <c r="S128" s="47"/>
      <c r="T128" s="48">
        <f t="shared" si="17"/>
        <v>0</v>
      </c>
      <c r="U128" s="47">
        <f t="shared" si="14"/>
        <v>0</v>
      </c>
      <c r="V128" s="47">
        <f t="shared" si="15"/>
        <v>0</v>
      </c>
      <c r="W128" s="45"/>
    </row>
    <row r="129" spans="1:23" x14ac:dyDescent="0.25">
      <c r="A129" s="61">
        <v>45013</v>
      </c>
      <c r="D129">
        <v>738</v>
      </c>
      <c r="E129" s="15">
        <v>24.1</v>
      </c>
      <c r="F129" s="15">
        <f t="shared" si="8"/>
        <v>50128</v>
      </c>
      <c r="G129" s="4"/>
      <c r="H129" s="16"/>
      <c r="I129" s="15">
        <f t="shared" si="9"/>
        <v>0</v>
      </c>
      <c r="J129" s="16"/>
      <c r="K129" s="15">
        <f t="shared" si="10"/>
        <v>0</v>
      </c>
      <c r="L129" s="4"/>
      <c r="N129" s="41"/>
      <c r="O129" s="40">
        <v>0</v>
      </c>
      <c r="P129" s="40"/>
      <c r="Q129" s="40">
        <v>0</v>
      </c>
      <c r="R129" s="56"/>
      <c r="S129" s="47"/>
      <c r="T129" s="48">
        <f t="shared" si="17"/>
        <v>0</v>
      </c>
      <c r="U129" s="47">
        <f t="shared" si="14"/>
        <v>0</v>
      </c>
      <c r="V129" s="47">
        <f t="shared" si="15"/>
        <v>0</v>
      </c>
      <c r="W129" s="45"/>
    </row>
    <row r="130" spans="1:23" x14ac:dyDescent="0.25">
      <c r="A130" s="61">
        <v>45023</v>
      </c>
      <c r="D130">
        <v>739</v>
      </c>
      <c r="E130" s="15">
        <v>25.1</v>
      </c>
      <c r="F130" s="15">
        <f t="shared" si="8"/>
        <v>52208</v>
      </c>
      <c r="G130" s="4"/>
      <c r="H130" s="16"/>
      <c r="I130" s="15">
        <f t="shared" si="9"/>
        <v>0</v>
      </c>
      <c r="J130" s="16"/>
      <c r="K130" s="15">
        <f t="shared" si="10"/>
        <v>0</v>
      </c>
      <c r="L130" s="4"/>
      <c r="N130" s="41"/>
      <c r="O130" s="40">
        <v>0</v>
      </c>
      <c r="P130" s="40"/>
      <c r="Q130" s="40">
        <v>0</v>
      </c>
      <c r="R130" s="56"/>
      <c r="S130" s="47"/>
      <c r="T130" s="48">
        <f t="shared" si="17"/>
        <v>0</v>
      </c>
      <c r="U130" s="47">
        <f t="shared" si="14"/>
        <v>0</v>
      </c>
      <c r="V130" s="47">
        <f t="shared" si="15"/>
        <v>0</v>
      </c>
      <c r="W130" s="45"/>
    </row>
    <row r="131" spans="1:23" x14ac:dyDescent="0.25">
      <c r="A131" s="61">
        <v>45023</v>
      </c>
      <c r="D131">
        <v>740</v>
      </c>
      <c r="E131" s="15">
        <v>25.1</v>
      </c>
      <c r="F131" s="15">
        <f t="shared" si="8"/>
        <v>52208</v>
      </c>
      <c r="G131" s="4"/>
      <c r="H131" s="16"/>
      <c r="I131" s="15">
        <f t="shared" si="9"/>
        <v>0</v>
      </c>
      <c r="J131" s="16"/>
      <c r="K131" s="15">
        <f t="shared" si="10"/>
        <v>0</v>
      </c>
      <c r="L131" s="4"/>
      <c r="N131" s="41"/>
      <c r="O131" s="40">
        <v>0</v>
      </c>
      <c r="P131" s="40"/>
      <c r="Q131" s="40">
        <v>0</v>
      </c>
      <c r="R131" s="56"/>
      <c r="S131" s="47"/>
      <c r="T131" s="48">
        <f t="shared" si="17"/>
        <v>0</v>
      </c>
      <c r="U131" s="47">
        <f t="shared" si="14"/>
        <v>0</v>
      </c>
      <c r="V131" s="47">
        <f t="shared" si="15"/>
        <v>0</v>
      </c>
      <c r="W131" s="45"/>
    </row>
    <row r="132" spans="1:23" x14ac:dyDescent="0.25">
      <c r="A132" s="61">
        <v>45026</v>
      </c>
      <c r="D132">
        <v>741</v>
      </c>
      <c r="E132" s="15">
        <v>33</v>
      </c>
      <c r="F132" s="15">
        <f t="shared" si="8"/>
        <v>68640</v>
      </c>
      <c r="G132" s="4"/>
      <c r="H132" s="16"/>
      <c r="I132" s="15">
        <f t="shared" si="9"/>
        <v>0</v>
      </c>
      <c r="J132" s="16"/>
      <c r="K132" s="15">
        <f>+IF(J132&gt;0,ROUND(J132*(E132*2),2),0)</f>
        <v>0</v>
      </c>
      <c r="L132" s="4"/>
      <c r="N132" s="41"/>
      <c r="O132" s="40">
        <v>0</v>
      </c>
      <c r="P132" s="40"/>
      <c r="Q132" s="40">
        <v>0</v>
      </c>
      <c r="R132" s="56"/>
      <c r="S132" s="47"/>
      <c r="T132" s="48">
        <f t="shared" si="17"/>
        <v>0</v>
      </c>
      <c r="U132" s="47">
        <f t="shared" si="14"/>
        <v>0</v>
      </c>
      <c r="V132" s="47">
        <f t="shared" si="15"/>
        <v>0</v>
      </c>
      <c r="W132" s="45"/>
    </row>
    <row r="133" spans="1:23" x14ac:dyDescent="0.25">
      <c r="A133" s="61">
        <v>45054</v>
      </c>
      <c r="D133">
        <v>743</v>
      </c>
      <c r="E133" s="15">
        <v>24.1</v>
      </c>
      <c r="F133" s="15">
        <f t="shared" si="8"/>
        <v>50128</v>
      </c>
      <c r="G133" s="4"/>
      <c r="H133" s="16"/>
      <c r="I133" s="15">
        <f t="shared" si="9"/>
        <v>0</v>
      </c>
      <c r="J133" s="16"/>
      <c r="K133" s="15">
        <f>+IF(J133&gt;0,ROUND(J133*(E133*2),2),0)</f>
        <v>0</v>
      </c>
      <c r="L133" s="4"/>
      <c r="N133" s="41"/>
      <c r="O133" s="40">
        <v>0</v>
      </c>
      <c r="P133" s="40"/>
      <c r="Q133" s="40">
        <v>0</v>
      </c>
      <c r="R133" s="56"/>
      <c r="S133" s="47"/>
      <c r="T133" s="48">
        <f t="shared" si="17"/>
        <v>0</v>
      </c>
      <c r="U133" s="47">
        <f t="shared" si="14"/>
        <v>0</v>
      </c>
      <c r="V133" s="47">
        <f t="shared" si="15"/>
        <v>0</v>
      </c>
      <c r="W133" s="45"/>
    </row>
    <row r="134" spans="1:23" x14ac:dyDescent="0.25">
      <c r="D134" s="62"/>
      <c r="E134" s="17"/>
      <c r="F134" s="18"/>
      <c r="G134" s="4"/>
      <c r="H134" s="16"/>
      <c r="I134" s="16"/>
      <c r="J134" s="16"/>
      <c r="K134" s="16"/>
      <c r="L134" s="4"/>
      <c r="N134" s="41"/>
      <c r="O134" s="40">
        <v>0</v>
      </c>
      <c r="P134" s="40"/>
      <c r="Q134" s="40">
        <v>0</v>
      </c>
      <c r="R134" s="56"/>
      <c r="S134" s="47"/>
      <c r="T134" s="48">
        <f t="shared" si="17"/>
        <v>0</v>
      </c>
      <c r="U134" s="47">
        <f t="shared" si="14"/>
        <v>0</v>
      </c>
      <c r="V134" s="47">
        <f t="shared" si="15"/>
        <v>0</v>
      </c>
      <c r="W134" s="45"/>
    </row>
    <row r="135" spans="1:23" ht="15.75" thickBot="1" x14ac:dyDescent="0.3">
      <c r="C135" s="62">
        <f>COUNTA(D6:D134)</f>
        <v>128</v>
      </c>
      <c r="D135" s="62"/>
      <c r="E135" s="19">
        <f>SUM(E6:E134)</f>
        <v>5260.421624999999</v>
      </c>
      <c r="F135" s="20">
        <f>SUM(F6:F134)</f>
        <v>10941676.980000004</v>
      </c>
      <c r="G135" s="4"/>
      <c r="H135" s="21">
        <f>SUM(H6:H134)</f>
        <v>24476.480000000007</v>
      </c>
      <c r="I135" s="21">
        <f>SUM(I6:I134)</f>
        <v>1431955.5099999995</v>
      </c>
      <c r="J135" s="21">
        <f>SUM(J6:J134)</f>
        <v>1755.1700000000003</v>
      </c>
      <c r="K135" s="20">
        <f>SUM(K6:K134)</f>
        <v>137917.03</v>
      </c>
      <c r="L135" s="4"/>
      <c r="N135" s="41"/>
      <c r="O135" s="40"/>
      <c r="P135" s="40"/>
      <c r="Q135" s="40"/>
      <c r="R135" s="56"/>
      <c r="S135" s="47"/>
      <c r="T135" s="48"/>
      <c r="U135" s="47"/>
      <c r="V135" s="47"/>
      <c r="W135" s="45"/>
    </row>
    <row r="136" spans="1:23" ht="15.75" thickTop="1" x14ac:dyDescent="0.25">
      <c r="D136" s="62"/>
      <c r="E136" s="22"/>
      <c r="F136" s="4"/>
      <c r="G136" s="4"/>
      <c r="H136" s="4"/>
      <c r="I136" s="4"/>
      <c r="J136" s="4"/>
      <c r="K136" s="23"/>
      <c r="L136" s="4"/>
      <c r="N136" s="41"/>
      <c r="O136" s="40"/>
      <c r="P136" s="40"/>
      <c r="Q136" s="40"/>
      <c r="R136" s="56"/>
      <c r="S136" s="47"/>
      <c r="T136" s="48"/>
      <c r="U136" s="47"/>
      <c r="V136" s="47"/>
      <c r="W136" s="45"/>
    </row>
    <row r="137" spans="1:23" x14ac:dyDescent="0.25">
      <c r="D137" s="62"/>
      <c r="E137" s="4"/>
      <c r="F137" s="24"/>
      <c r="G137" s="4"/>
      <c r="H137" s="4"/>
      <c r="I137" s="4"/>
      <c r="J137" s="22"/>
      <c r="K137" s="4"/>
      <c r="L137" s="4"/>
      <c r="N137" s="41"/>
      <c r="O137" s="40"/>
      <c r="P137" s="40"/>
      <c r="Q137" s="40"/>
      <c r="R137" s="56"/>
      <c r="S137" s="47"/>
      <c r="T137" s="48"/>
      <c r="U137" s="47"/>
      <c r="V137" s="47"/>
      <c r="W137" s="45"/>
    </row>
    <row r="138" spans="1:23" x14ac:dyDescent="0.25">
      <c r="D138" s="62"/>
      <c r="E138" s="25" t="s">
        <v>8</v>
      </c>
      <c r="F138" s="26">
        <f>F135+F136</f>
        <v>10941676.980000004</v>
      </c>
      <c r="G138" s="4"/>
      <c r="H138" s="4"/>
      <c r="I138" s="24">
        <f>+I135</f>
        <v>1431955.5099999995</v>
      </c>
      <c r="J138" s="27"/>
      <c r="K138" s="24">
        <f>+K135</f>
        <v>137917.03</v>
      </c>
      <c r="L138" s="4"/>
      <c r="N138" s="41"/>
      <c r="O138" s="40"/>
      <c r="P138" s="40"/>
      <c r="Q138" s="40"/>
      <c r="R138" s="56"/>
      <c r="S138" s="47"/>
      <c r="T138" s="48"/>
      <c r="U138" s="47"/>
      <c r="V138" s="47"/>
      <c r="W138" s="45"/>
    </row>
    <row r="139" spans="1:23" x14ac:dyDescent="0.25">
      <c r="C139" s="63"/>
      <c r="E139" s="28" t="s">
        <v>9</v>
      </c>
      <c r="F139" s="29">
        <f>+C135*2080</f>
        <v>266240</v>
      </c>
      <c r="G139" s="4"/>
      <c r="H139" s="4"/>
      <c r="I139" s="23">
        <f>+H135</f>
        <v>24476.480000000007</v>
      </c>
      <c r="J139" s="4"/>
      <c r="K139" s="23">
        <f>+J135</f>
        <v>1755.1700000000003</v>
      </c>
      <c r="L139" s="4"/>
      <c r="N139" s="41"/>
      <c r="O139" s="40"/>
      <c r="P139" s="40"/>
      <c r="Q139" s="40"/>
      <c r="R139" s="56"/>
      <c r="S139" s="47"/>
      <c r="T139" s="48"/>
      <c r="U139" s="47"/>
      <c r="V139" s="47"/>
      <c r="W139" s="45"/>
    </row>
    <row r="140" spans="1:23" x14ac:dyDescent="0.25">
      <c r="C140" s="63"/>
      <c r="E140" s="30"/>
      <c r="F140" s="4"/>
      <c r="G140" s="4"/>
      <c r="H140" s="18"/>
      <c r="I140" s="18"/>
      <c r="J140" s="4"/>
      <c r="K140" s="18"/>
      <c r="L140" s="4"/>
      <c r="M140" s="1"/>
      <c r="N140" s="43"/>
      <c r="O140" s="40"/>
      <c r="P140" s="40"/>
      <c r="Q140" s="40"/>
      <c r="R140" s="56"/>
      <c r="S140" s="47"/>
      <c r="T140" s="48"/>
      <c r="U140" s="47"/>
      <c r="V140" s="47"/>
      <c r="W140" s="45"/>
    </row>
    <row r="141" spans="1:23" x14ac:dyDescent="0.25">
      <c r="C141" s="64"/>
      <c r="E141" s="17"/>
      <c r="F141" s="17"/>
      <c r="G141" s="4"/>
      <c r="H141" s="18"/>
      <c r="I141" s="18"/>
      <c r="J141" s="31"/>
      <c r="K141" s="18"/>
      <c r="L141" s="4"/>
      <c r="N141" s="41"/>
      <c r="O141" s="40"/>
      <c r="P141" s="40"/>
      <c r="Q141" s="40"/>
      <c r="R141" s="56"/>
      <c r="S141" s="47"/>
      <c r="T141" s="48"/>
      <c r="U141" s="47"/>
      <c r="V141" s="47"/>
      <c r="W141" s="45"/>
    </row>
    <row r="142" spans="1:23" x14ac:dyDescent="0.25">
      <c r="B142" s="65" t="s">
        <v>13</v>
      </c>
      <c r="C142" s="66"/>
      <c r="D142" s="67"/>
      <c r="E142" s="32" t="s">
        <v>10</v>
      </c>
      <c r="F142" s="33">
        <f>ROUND(F138/F139,6)</f>
        <v>41.097043999999997</v>
      </c>
      <c r="G142" s="4"/>
      <c r="H142" s="34" t="s">
        <v>11</v>
      </c>
      <c r="I142" s="33">
        <f>ROUND(I138/I139,6)</f>
        <v>58.503326999999999</v>
      </c>
      <c r="J142" s="35" t="s">
        <v>12</v>
      </c>
      <c r="K142" s="33">
        <f>ROUND(K138/K139,6)</f>
        <v>78.577590999999998</v>
      </c>
      <c r="L142" s="4"/>
      <c r="N142" s="41"/>
      <c r="O142" s="40"/>
      <c r="P142" s="40"/>
      <c r="Q142" s="40"/>
      <c r="R142" s="56"/>
      <c r="S142" s="47"/>
      <c r="T142" s="48"/>
      <c r="U142" s="47"/>
      <c r="V142" s="47"/>
      <c r="W142" s="45"/>
    </row>
    <row r="143" spans="1:23" x14ac:dyDescent="0.25">
      <c r="D143" s="62"/>
      <c r="E143" s="4"/>
      <c r="F143" s="4"/>
      <c r="G143" s="4"/>
      <c r="H143" s="4"/>
      <c r="I143" s="4"/>
      <c r="J143" s="4"/>
      <c r="K143" s="4"/>
      <c r="L143" s="4"/>
      <c r="N143" s="41"/>
      <c r="O143" s="40"/>
      <c r="P143" s="40"/>
      <c r="Q143" s="40"/>
      <c r="R143" s="56"/>
      <c r="S143" s="47"/>
      <c r="T143" s="48"/>
      <c r="U143" s="47"/>
      <c r="V143" s="47"/>
      <c r="W143" s="45"/>
    </row>
    <row r="144" spans="1:23" x14ac:dyDescent="0.25">
      <c r="A144" s="68" t="s">
        <v>14</v>
      </c>
      <c r="D144" s="62"/>
      <c r="E144" s="4"/>
      <c r="F144" s="4"/>
      <c r="G144" s="4"/>
      <c r="H144" s="4"/>
      <c r="I144" s="4"/>
      <c r="J144" s="4"/>
      <c r="K144" s="4"/>
      <c r="L144" s="4"/>
      <c r="N144" s="41"/>
      <c r="O144" s="40"/>
      <c r="P144" s="40"/>
      <c r="Q144" s="40"/>
      <c r="R144" s="56"/>
      <c r="S144" s="47"/>
      <c r="T144" s="48"/>
      <c r="U144" s="47"/>
      <c r="V144" s="47"/>
      <c r="W144" s="45"/>
    </row>
    <row r="145" spans="1:23" ht="30" x14ac:dyDescent="0.25">
      <c r="A145" s="69" t="s">
        <v>20</v>
      </c>
      <c r="B145" s="59" t="s">
        <v>0</v>
      </c>
      <c r="C145" s="60" t="s">
        <v>1</v>
      </c>
      <c r="D145" s="60" t="s">
        <v>2</v>
      </c>
      <c r="E145" s="13" t="s">
        <v>24</v>
      </c>
      <c r="F145" s="14" t="s">
        <v>3</v>
      </c>
      <c r="G145" s="4"/>
      <c r="H145" s="4"/>
      <c r="I145" s="4"/>
      <c r="J145" s="4"/>
      <c r="K145" s="4"/>
      <c r="L145" s="4"/>
      <c r="N145" s="41"/>
      <c r="O145" s="40"/>
      <c r="P145" s="40"/>
      <c r="Q145" s="40"/>
      <c r="R145" s="56"/>
      <c r="S145" s="47"/>
      <c r="T145" s="48"/>
      <c r="U145" s="47"/>
      <c r="V145" s="47"/>
      <c r="W145" s="45"/>
    </row>
    <row r="146" spans="1:23" x14ac:dyDescent="0.25">
      <c r="A146" s="61">
        <v>44664</v>
      </c>
      <c r="B146" s="70"/>
      <c r="C146" s="71"/>
      <c r="D146" s="71">
        <v>244</v>
      </c>
      <c r="E146" s="36">
        <v>45.17</v>
      </c>
      <c r="F146" s="37"/>
      <c r="G146" s="4"/>
      <c r="H146" s="4"/>
      <c r="I146" s="4"/>
      <c r="J146" s="4"/>
      <c r="K146" s="4"/>
      <c r="L146" s="4"/>
      <c r="N146" s="41"/>
      <c r="O146" s="40">
        <v>239.07</v>
      </c>
      <c r="P146" s="40">
        <f t="shared" ref="P146:P159" si="18">Q146/O146</f>
        <v>45.169992052536919</v>
      </c>
      <c r="Q146" s="40">
        <v>10798.79</v>
      </c>
      <c r="R146" s="56"/>
      <c r="S146" s="47">
        <f t="shared" ref="S146:S159" si="19">E146</f>
        <v>45.17</v>
      </c>
      <c r="T146" s="48">
        <f>S146*O146</f>
        <v>10798.7919</v>
      </c>
      <c r="U146" s="47">
        <f t="shared" ref="U146:U159" si="20">H146*S146*1.5</f>
        <v>0</v>
      </c>
      <c r="V146" s="47">
        <f t="shared" ref="V146:V159" si="21">J146*S146*2</f>
        <v>0</v>
      </c>
      <c r="W146" s="45"/>
    </row>
    <row r="147" spans="1:23" x14ac:dyDescent="0.25">
      <c r="A147" s="61">
        <v>44650</v>
      </c>
      <c r="B147" s="70"/>
      <c r="C147" s="71"/>
      <c r="D147" s="71">
        <v>388</v>
      </c>
      <c r="E147" s="36">
        <v>31.01</v>
      </c>
      <c r="F147" s="37"/>
      <c r="G147" s="4"/>
      <c r="H147" s="4"/>
      <c r="I147" s="4"/>
      <c r="J147" s="4"/>
      <c r="K147" s="4"/>
      <c r="L147" s="4"/>
      <c r="N147" s="41"/>
      <c r="O147" s="40">
        <v>220</v>
      </c>
      <c r="P147" s="40">
        <f t="shared" si="18"/>
        <v>31.01</v>
      </c>
      <c r="Q147" s="40">
        <v>6822.2000000000007</v>
      </c>
      <c r="R147" s="56"/>
      <c r="S147" s="47">
        <f t="shared" si="19"/>
        <v>31.01</v>
      </c>
      <c r="T147" s="48">
        <f t="shared" ref="T147:T158" si="22">S147*O147</f>
        <v>6822.2000000000007</v>
      </c>
      <c r="U147" s="47">
        <f t="shared" si="20"/>
        <v>0</v>
      </c>
      <c r="V147" s="47">
        <f t="shared" si="21"/>
        <v>0</v>
      </c>
      <c r="W147" s="45"/>
    </row>
    <row r="148" spans="1:23" x14ac:dyDescent="0.25">
      <c r="A148" s="61">
        <v>44636</v>
      </c>
      <c r="B148" s="70"/>
      <c r="C148" s="71"/>
      <c r="D148" s="71">
        <v>491</v>
      </c>
      <c r="E148" s="36">
        <v>38.909999999999997</v>
      </c>
      <c r="F148" s="37"/>
      <c r="G148" s="4"/>
      <c r="H148" s="4"/>
      <c r="I148" s="4"/>
      <c r="J148" s="4"/>
      <c r="K148" s="4"/>
      <c r="L148" s="4"/>
      <c r="N148" s="41"/>
      <c r="O148" s="40">
        <v>125</v>
      </c>
      <c r="P148" s="40">
        <f t="shared" si="18"/>
        <v>38.909999999999997</v>
      </c>
      <c r="Q148" s="40">
        <v>4863.75</v>
      </c>
      <c r="R148" s="56"/>
      <c r="S148" s="47">
        <f t="shared" si="19"/>
        <v>38.909999999999997</v>
      </c>
      <c r="T148" s="48">
        <f t="shared" si="22"/>
        <v>4863.75</v>
      </c>
      <c r="U148" s="47">
        <f t="shared" si="20"/>
        <v>0</v>
      </c>
      <c r="V148" s="47">
        <f t="shared" si="21"/>
        <v>0</v>
      </c>
      <c r="W148" s="45"/>
    </row>
    <row r="149" spans="1:23" x14ac:dyDescent="0.25">
      <c r="A149" s="61">
        <v>44636</v>
      </c>
      <c r="B149" s="70"/>
      <c r="C149" s="71"/>
      <c r="D149" s="71">
        <v>699</v>
      </c>
      <c r="E149" s="36">
        <f>4310.88/56</f>
        <v>76.98</v>
      </c>
      <c r="F149" s="37"/>
      <c r="G149" s="4"/>
      <c r="H149" s="4"/>
      <c r="I149" s="4"/>
      <c r="J149" s="4"/>
      <c r="K149" s="4"/>
      <c r="L149" s="4"/>
      <c r="N149" s="41"/>
      <c r="O149" s="40">
        <v>120</v>
      </c>
      <c r="P149" s="40">
        <f t="shared" si="18"/>
        <v>76.98</v>
      </c>
      <c r="Q149" s="40">
        <v>9237.6</v>
      </c>
      <c r="R149" s="56"/>
      <c r="S149" s="47">
        <f t="shared" si="19"/>
        <v>76.98</v>
      </c>
      <c r="T149" s="48">
        <f t="shared" si="22"/>
        <v>9237.6</v>
      </c>
      <c r="U149" s="47">
        <f t="shared" si="20"/>
        <v>0</v>
      </c>
      <c r="V149" s="47">
        <f t="shared" si="21"/>
        <v>0</v>
      </c>
      <c r="W149" s="45"/>
    </row>
    <row r="150" spans="1:23" x14ac:dyDescent="0.25">
      <c r="A150" s="61">
        <v>44664</v>
      </c>
      <c r="C150" s="70"/>
      <c r="D150">
        <v>420</v>
      </c>
      <c r="E150" s="36">
        <v>39.1</v>
      </c>
      <c r="F150" s="15"/>
      <c r="G150" s="4"/>
      <c r="H150" s="4"/>
      <c r="I150" s="4"/>
      <c r="J150" s="4"/>
      <c r="K150" s="4"/>
      <c r="L150" s="4"/>
      <c r="N150" s="41"/>
      <c r="O150" s="40">
        <v>290.29000000000002</v>
      </c>
      <c r="P150" s="40">
        <f t="shared" si="18"/>
        <v>39.100003444831032</v>
      </c>
      <c r="Q150" s="40">
        <v>11350.34</v>
      </c>
      <c r="R150" s="56"/>
      <c r="S150" s="47">
        <f t="shared" si="19"/>
        <v>39.1</v>
      </c>
      <c r="T150" s="48">
        <f t="shared" si="22"/>
        <v>11350.339000000002</v>
      </c>
      <c r="U150" s="47">
        <f t="shared" si="20"/>
        <v>0</v>
      </c>
      <c r="V150" s="47">
        <f t="shared" si="21"/>
        <v>0</v>
      </c>
      <c r="W150" s="45"/>
    </row>
    <row r="151" spans="1:23" x14ac:dyDescent="0.25">
      <c r="A151" s="61">
        <v>44762</v>
      </c>
      <c r="D151">
        <v>496</v>
      </c>
      <c r="E151" s="36">
        <v>44.33</v>
      </c>
      <c r="F151" s="15"/>
      <c r="G151" s="4"/>
      <c r="H151" s="4">
        <v>7</v>
      </c>
      <c r="I151" s="4"/>
      <c r="J151" s="23"/>
      <c r="K151" s="4"/>
      <c r="L151" s="4"/>
      <c r="N151" s="41"/>
      <c r="O151" s="40">
        <v>828.3</v>
      </c>
      <c r="P151" s="40">
        <f t="shared" si="18"/>
        <v>44.33000120729205</v>
      </c>
      <c r="Q151" s="40">
        <v>36718.54</v>
      </c>
      <c r="R151" s="56"/>
      <c r="S151" s="47">
        <f t="shared" si="19"/>
        <v>44.33</v>
      </c>
      <c r="T151" s="48">
        <f t="shared" si="22"/>
        <v>36718.538999999997</v>
      </c>
      <c r="U151" s="47">
        <f t="shared" si="20"/>
        <v>465.46500000000003</v>
      </c>
      <c r="V151" s="47">
        <f t="shared" si="21"/>
        <v>0</v>
      </c>
      <c r="W151" s="45"/>
    </row>
    <row r="152" spans="1:23" x14ac:dyDescent="0.25">
      <c r="A152" s="61">
        <v>44762</v>
      </c>
      <c r="C152" s="70"/>
      <c r="D152">
        <v>199</v>
      </c>
      <c r="E152" s="36">
        <v>61.26</v>
      </c>
      <c r="F152" s="15"/>
      <c r="G152" s="4"/>
      <c r="H152" s="4"/>
      <c r="I152" s="4"/>
      <c r="J152" s="4"/>
      <c r="K152" s="4"/>
      <c r="L152" s="4"/>
      <c r="N152" s="41"/>
      <c r="O152" s="40">
        <v>865.85</v>
      </c>
      <c r="P152" s="40">
        <f t="shared" si="18"/>
        <v>61.259998845065539</v>
      </c>
      <c r="Q152" s="40">
        <v>53041.97</v>
      </c>
      <c r="R152" s="56"/>
      <c r="S152" s="47">
        <f t="shared" si="19"/>
        <v>61.26</v>
      </c>
      <c r="T152" s="48">
        <f t="shared" si="22"/>
        <v>53041.970999999998</v>
      </c>
      <c r="U152" s="47">
        <f t="shared" si="20"/>
        <v>0</v>
      </c>
      <c r="V152" s="47">
        <f t="shared" si="21"/>
        <v>0</v>
      </c>
      <c r="W152" s="45"/>
    </row>
    <row r="153" spans="1:23" x14ac:dyDescent="0.25">
      <c r="A153" s="61">
        <v>44846</v>
      </c>
      <c r="C153" s="70"/>
      <c r="D153">
        <v>282</v>
      </c>
      <c r="E153" s="36">
        <v>63.07</v>
      </c>
      <c r="F153" s="15"/>
      <c r="G153" s="4"/>
      <c r="H153" s="4"/>
      <c r="I153" s="4"/>
      <c r="J153" s="4"/>
      <c r="K153" s="4"/>
      <c r="L153" s="4"/>
      <c r="N153" s="41"/>
      <c r="O153" s="40">
        <v>1323</v>
      </c>
      <c r="P153" s="40">
        <f t="shared" si="18"/>
        <v>63.070000000000014</v>
      </c>
      <c r="Q153" s="40">
        <v>83441.610000000015</v>
      </c>
      <c r="R153" s="56"/>
      <c r="S153" s="47">
        <f t="shared" si="19"/>
        <v>63.07</v>
      </c>
      <c r="T153" s="48">
        <f t="shared" si="22"/>
        <v>83441.61</v>
      </c>
      <c r="U153" s="47">
        <f t="shared" si="20"/>
        <v>0</v>
      </c>
      <c r="V153" s="47">
        <f t="shared" si="21"/>
        <v>0</v>
      </c>
      <c r="W153" s="45"/>
    </row>
    <row r="154" spans="1:23" x14ac:dyDescent="0.25">
      <c r="A154" s="61">
        <v>44776</v>
      </c>
      <c r="C154" s="70"/>
      <c r="D154" s="62">
        <v>701</v>
      </c>
      <c r="E154" s="36">
        <v>31.13</v>
      </c>
      <c r="F154" s="15"/>
      <c r="G154" s="4"/>
      <c r="H154" s="4">
        <v>151.5</v>
      </c>
      <c r="I154" s="4"/>
      <c r="J154" s="4">
        <v>3</v>
      </c>
      <c r="K154" s="4"/>
      <c r="L154" s="4"/>
      <c r="N154" s="41"/>
      <c r="O154" s="40">
        <v>1071.5</v>
      </c>
      <c r="P154" s="40">
        <f t="shared" si="18"/>
        <v>31.129995333644423</v>
      </c>
      <c r="Q154" s="40">
        <v>33355.79</v>
      </c>
      <c r="R154" s="56"/>
      <c r="S154" s="47">
        <f t="shared" si="19"/>
        <v>31.13</v>
      </c>
      <c r="T154" s="48">
        <f t="shared" si="22"/>
        <v>33355.794999999998</v>
      </c>
      <c r="U154" s="47">
        <f t="shared" si="20"/>
        <v>7074.2924999999996</v>
      </c>
      <c r="V154" s="47">
        <f t="shared" si="21"/>
        <v>186.78</v>
      </c>
      <c r="W154" s="45"/>
    </row>
    <row r="155" spans="1:23" x14ac:dyDescent="0.25">
      <c r="A155" s="61">
        <v>44916</v>
      </c>
      <c r="C155" s="70"/>
      <c r="D155">
        <v>723</v>
      </c>
      <c r="E155" s="36">
        <v>27.5</v>
      </c>
      <c r="F155" s="15"/>
      <c r="G155" s="4"/>
      <c r="H155" s="4">
        <v>351.34</v>
      </c>
      <c r="I155" s="4"/>
      <c r="J155" s="4">
        <v>7.5</v>
      </c>
      <c r="K155" s="4"/>
      <c r="L155" s="4"/>
      <c r="N155" s="41"/>
      <c r="O155" s="40">
        <v>1722.92</v>
      </c>
      <c r="P155" s="40">
        <f t="shared" si="18"/>
        <v>24.768636965152186</v>
      </c>
      <c r="Q155" s="40">
        <v>42674.380000000005</v>
      </c>
      <c r="R155" s="56"/>
      <c r="S155" s="47">
        <f t="shared" si="19"/>
        <v>27.5</v>
      </c>
      <c r="T155" s="48">
        <f t="shared" si="22"/>
        <v>47380.3</v>
      </c>
      <c r="U155" s="47">
        <f t="shared" si="20"/>
        <v>14492.774999999998</v>
      </c>
      <c r="V155" s="47">
        <f t="shared" si="21"/>
        <v>412.5</v>
      </c>
      <c r="W155" s="45"/>
    </row>
    <row r="156" spans="1:23" x14ac:dyDescent="0.25">
      <c r="A156" s="61">
        <v>45000</v>
      </c>
      <c r="D156">
        <v>220</v>
      </c>
      <c r="E156" s="36">
        <v>43.83</v>
      </c>
      <c r="F156" s="15"/>
      <c r="G156" s="4"/>
      <c r="H156" s="4">
        <v>20</v>
      </c>
      <c r="I156" s="4"/>
      <c r="J156" s="4">
        <v>1</v>
      </c>
      <c r="K156" s="4"/>
      <c r="L156" s="4"/>
      <c r="N156" s="41"/>
      <c r="O156" s="40">
        <v>2080</v>
      </c>
      <c r="P156" s="40">
        <f t="shared" si="18"/>
        <v>43.889653846153841</v>
      </c>
      <c r="Q156" s="40">
        <v>91290.48</v>
      </c>
      <c r="R156" s="56"/>
      <c r="S156" s="47">
        <f t="shared" si="19"/>
        <v>43.83</v>
      </c>
      <c r="T156" s="48">
        <f t="shared" si="22"/>
        <v>91166.399999999994</v>
      </c>
      <c r="U156" s="47">
        <f t="shared" si="20"/>
        <v>1314.8999999999999</v>
      </c>
      <c r="V156" s="47">
        <f t="shared" si="21"/>
        <v>87.66</v>
      </c>
      <c r="W156" s="45"/>
    </row>
    <row r="157" spans="1:23" x14ac:dyDescent="0.25">
      <c r="A157" s="61">
        <v>44986</v>
      </c>
      <c r="D157">
        <v>383</v>
      </c>
      <c r="E157" s="36">
        <v>42.45</v>
      </c>
      <c r="F157" s="15"/>
      <c r="G157" s="4"/>
      <c r="H157" s="4">
        <v>1</v>
      </c>
      <c r="I157" s="4"/>
      <c r="J157" s="4"/>
      <c r="K157" s="4"/>
      <c r="L157" s="4"/>
      <c r="N157" s="41"/>
      <c r="O157" s="40">
        <v>2080</v>
      </c>
      <c r="P157" s="40">
        <f t="shared" si="18"/>
        <v>42.45</v>
      </c>
      <c r="Q157" s="40">
        <v>88296</v>
      </c>
      <c r="R157" s="56"/>
      <c r="S157" s="47">
        <f t="shared" si="19"/>
        <v>42.45</v>
      </c>
      <c r="T157" s="48">
        <f t="shared" si="22"/>
        <v>88296</v>
      </c>
      <c r="U157" s="47">
        <f t="shared" si="20"/>
        <v>63.675000000000004</v>
      </c>
      <c r="V157" s="47">
        <f t="shared" si="21"/>
        <v>0</v>
      </c>
      <c r="W157" s="45"/>
    </row>
    <row r="158" spans="1:23" x14ac:dyDescent="0.25">
      <c r="A158" s="61">
        <v>45014</v>
      </c>
      <c r="C158" s="70"/>
      <c r="D158">
        <v>320</v>
      </c>
      <c r="E158" s="36">
        <v>40.85</v>
      </c>
      <c r="F158" s="15"/>
      <c r="G158" s="4"/>
      <c r="H158" s="4"/>
      <c r="I158" s="4"/>
      <c r="J158" s="4"/>
      <c r="K158" s="4"/>
      <c r="L158" s="4"/>
      <c r="N158" s="41"/>
      <c r="O158" s="40">
        <v>2080</v>
      </c>
      <c r="P158" s="40">
        <f t="shared" si="18"/>
        <v>39.125</v>
      </c>
      <c r="Q158" s="40">
        <v>81380</v>
      </c>
      <c r="R158" s="56"/>
      <c r="S158" s="47">
        <f t="shared" si="19"/>
        <v>40.85</v>
      </c>
      <c r="T158" s="48">
        <f t="shared" si="22"/>
        <v>84968</v>
      </c>
      <c r="U158" s="47">
        <f t="shared" si="20"/>
        <v>0</v>
      </c>
      <c r="V158" s="47">
        <f t="shared" si="21"/>
        <v>0</v>
      </c>
      <c r="W158" s="45"/>
    </row>
    <row r="159" spans="1:23" x14ac:dyDescent="0.25">
      <c r="A159" s="61">
        <v>45137</v>
      </c>
      <c r="D159">
        <v>686</v>
      </c>
      <c r="E159" s="36">
        <v>169.72</v>
      </c>
      <c r="F159" s="15"/>
      <c r="G159" s="4"/>
      <c r="H159" s="4"/>
      <c r="I159" s="4"/>
      <c r="J159" s="4"/>
      <c r="K159" s="4"/>
      <c r="L159" s="4"/>
      <c r="N159" s="41"/>
      <c r="O159" s="40">
        <v>2080</v>
      </c>
      <c r="P159" s="40">
        <f t="shared" si="18"/>
        <v>161.45454326923078</v>
      </c>
      <c r="Q159" s="40">
        <v>335825.45</v>
      </c>
      <c r="R159" s="56"/>
      <c r="S159" s="47">
        <f t="shared" si="19"/>
        <v>169.72</v>
      </c>
      <c r="T159" s="48">
        <f>S159*O159</f>
        <v>353017.59999999998</v>
      </c>
      <c r="U159" s="47">
        <f t="shared" si="20"/>
        <v>0</v>
      </c>
      <c r="V159" s="47">
        <f t="shared" si="21"/>
        <v>0</v>
      </c>
      <c r="W159" s="45"/>
    </row>
    <row r="160" spans="1:23" x14ac:dyDescent="0.25">
      <c r="C160" s="70"/>
      <c r="E160" s="4"/>
      <c r="F160" s="4"/>
      <c r="G160" s="4"/>
      <c r="H160" s="4"/>
      <c r="I160" s="4"/>
      <c r="J160" s="4"/>
      <c r="K160" s="4"/>
      <c r="L160" s="4"/>
      <c r="N160" s="41"/>
      <c r="O160" s="41"/>
      <c r="P160" s="41"/>
      <c r="Q160" s="41"/>
      <c r="S160" s="45"/>
      <c r="T160" s="45"/>
      <c r="U160" s="45"/>
      <c r="V160" s="45"/>
      <c r="W160" s="45"/>
    </row>
    <row r="161" spans="1:24" x14ac:dyDescent="0.25">
      <c r="A161" t="s">
        <v>16</v>
      </c>
      <c r="E161" s="4"/>
      <c r="F161" s="4"/>
      <c r="G161" s="4"/>
      <c r="H161" s="38">
        <f>SUM(H145:H160)+H135</f>
        <v>25007.320000000007</v>
      </c>
      <c r="I161" s="38"/>
      <c r="J161" s="38">
        <f>+J135+SUM(J144:J160)</f>
        <v>1766.6700000000003</v>
      </c>
      <c r="K161" s="38"/>
      <c r="L161" s="4"/>
      <c r="N161" s="44" t="s">
        <v>35</v>
      </c>
      <c r="O161" s="42">
        <f>SUM(O6:O160)</f>
        <v>259830.64000000004</v>
      </c>
      <c r="P161" s="42"/>
      <c r="Q161" s="42">
        <f>SUM(Q6:Q160)</f>
        <v>10383637.759999996</v>
      </c>
      <c r="R161" s="57"/>
      <c r="S161" s="45"/>
      <c r="T161" s="45"/>
      <c r="U161" s="45"/>
      <c r="V161" s="45"/>
      <c r="W161" s="45"/>
    </row>
    <row r="162" spans="1:24" x14ac:dyDescent="0.25">
      <c r="E162" s="4"/>
      <c r="F162" s="4"/>
      <c r="G162" s="4"/>
      <c r="H162" s="15"/>
      <c r="I162" s="15"/>
      <c r="J162" s="15"/>
      <c r="K162" s="4"/>
      <c r="L162" s="4"/>
      <c r="S162" s="45"/>
      <c r="T162" s="45"/>
      <c r="U162" s="45"/>
      <c r="V162" s="45"/>
      <c r="W162" s="45"/>
    </row>
    <row r="163" spans="1:24" x14ac:dyDescent="0.25">
      <c r="E163" s="4"/>
      <c r="F163" s="5" t="s">
        <v>10</v>
      </c>
      <c r="G163" s="5"/>
      <c r="H163" s="6"/>
      <c r="I163" s="6" t="s">
        <v>21</v>
      </c>
      <c r="J163" s="6"/>
      <c r="K163" s="5" t="s">
        <v>22</v>
      </c>
      <c r="L163" s="5" t="s">
        <v>23</v>
      </c>
      <c r="S163" s="45"/>
      <c r="T163" s="49" t="s">
        <v>10</v>
      </c>
      <c r="U163" s="50" t="s">
        <v>21</v>
      </c>
      <c r="V163" s="49" t="s">
        <v>22</v>
      </c>
      <c r="W163" s="49" t="s">
        <v>32</v>
      </c>
    </row>
    <row r="164" spans="1:24" x14ac:dyDescent="0.25">
      <c r="E164" s="7" t="s">
        <v>33</v>
      </c>
      <c r="F164" s="8">
        <f>F138</f>
        <v>10941676.980000004</v>
      </c>
      <c r="G164" s="9"/>
      <c r="H164" s="10"/>
      <c r="I164" s="11">
        <f>H161*I142</f>
        <v>1463011.4193536404</v>
      </c>
      <c r="J164" s="10"/>
      <c r="K164" s="11">
        <f>J161*K142</f>
        <v>138820.67269197002</v>
      </c>
      <c r="L164" s="11">
        <f>F164+I164+K164</f>
        <v>12543509.072045613</v>
      </c>
      <c r="S164" s="51" t="s">
        <v>33</v>
      </c>
      <c r="T164" s="52">
        <f>SUM(T6:T163)</f>
        <v>11037852.973100001</v>
      </c>
      <c r="U164" s="52">
        <f>SUM(U6:U163)</f>
        <v>1455366.5603999996</v>
      </c>
      <c r="V164" s="52">
        <f>SUM(V6:V163)</f>
        <v>138603.96179999999</v>
      </c>
      <c r="W164" s="52">
        <f>T164+U164+V164</f>
        <v>12631823.495300001</v>
      </c>
    </row>
    <row r="165" spans="1:24" x14ac:dyDescent="0.25">
      <c r="E165" s="7" t="s">
        <v>34</v>
      </c>
      <c r="F165" s="12">
        <f>F164/F139</f>
        <v>41.097043945312514</v>
      </c>
      <c r="G165" s="4"/>
      <c r="H165" s="4"/>
      <c r="I165" s="12">
        <f>I164/H161</f>
        <v>58.503326999999999</v>
      </c>
      <c r="J165" s="4"/>
      <c r="K165" s="12">
        <f>K164/J161</f>
        <v>78.577590999999998</v>
      </c>
      <c r="L165" s="4"/>
      <c r="S165" s="53" t="s">
        <v>34</v>
      </c>
      <c r="T165" s="54">
        <f>T164/O161</f>
        <v>42.480952104416936</v>
      </c>
      <c r="U165" s="54">
        <f>U164/H161</f>
        <v>58.197622152233791</v>
      </c>
      <c r="V165" s="54">
        <f>V164/J161</f>
        <v>78.454924688821322</v>
      </c>
      <c r="W165" s="45"/>
    </row>
    <row r="166" spans="1:24" x14ac:dyDescent="0.25">
      <c r="W166" s="1">
        <f>W164-L164</f>
        <v>88314.423254387453</v>
      </c>
      <c r="X166" t="s">
        <v>39</v>
      </c>
    </row>
  </sheetData>
  <sortState xmlns:xlrd2="http://schemas.microsoft.com/office/spreadsheetml/2017/richdata2" ref="A150:K158">
    <sortCondition ref="A150:A158"/>
  </sortState>
  <mergeCells count="3">
    <mergeCell ref="E4:L4"/>
    <mergeCell ref="N4:Q4"/>
    <mergeCell ref="S3:W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Siewert</dc:creator>
  <cp:lastModifiedBy>Steve Thompson</cp:lastModifiedBy>
  <dcterms:created xsi:type="dcterms:W3CDTF">2024-01-19T19:28:35Z</dcterms:created>
  <dcterms:modified xsi:type="dcterms:W3CDTF">2024-01-26T19:53:49Z</dcterms:modified>
</cp:coreProperties>
</file>