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D7F96C7-FE3D-4F23-8985-DD04EACE0C2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rrent and Proposed Rates" sheetId="19" r:id="rId1"/>
    <sheet name="FA-5" sheetId="9" r:id="rId2"/>
    <sheet name="10 A&amp;B" sheetId="22" r:id="rId3"/>
    <sheet name="FA-6" sheetId="10" r:id="rId4"/>
    <sheet name="FA-4A" sheetId="18" r:id="rId5"/>
    <sheet name="Residential Current Rates" sheetId="1" r:id="rId6"/>
    <sheet name="Residential 10% Increase" sheetId="20" r:id="rId7"/>
    <sheet name=" Commercial Current Rates" sheetId="2" r:id="rId8"/>
    <sheet name=" Commercial 10% Increase" sheetId="2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3" i="20"/>
  <c r="E25" i="20"/>
  <c r="E25" i="21" l="1"/>
  <c r="E24" i="21"/>
  <c r="E23" i="21"/>
  <c r="D25" i="2"/>
  <c r="D21" i="10" l="1"/>
  <c r="M14" i="9" l="1"/>
  <c r="M15" i="9"/>
  <c r="G39" i="9"/>
  <c r="G44" i="9" s="1"/>
  <c r="I27" i="9"/>
  <c r="M27" i="9" s="1"/>
  <c r="I28" i="9"/>
  <c r="M28" i="9" s="1"/>
  <c r="I29" i="9"/>
  <c r="I30" i="9"/>
  <c r="M30" i="9" s="1"/>
  <c r="I31" i="9"/>
  <c r="I32" i="9"/>
  <c r="I33" i="9"/>
  <c r="I34" i="9"/>
  <c r="I35" i="9"/>
  <c r="I36" i="9"/>
  <c r="G13" i="9"/>
  <c r="M37" i="9"/>
  <c r="B15" i="1"/>
  <c r="B22" i="1" s="1"/>
  <c r="E22" i="2"/>
  <c r="E24" i="20"/>
  <c r="E25" i="1"/>
  <c r="E24" i="1"/>
  <c r="E23" i="1"/>
  <c r="D25" i="21"/>
  <c r="D24" i="21"/>
  <c r="D23" i="21"/>
  <c r="D22" i="21"/>
  <c r="E22" i="21" s="1"/>
  <c r="E26" i="21" s="1"/>
  <c r="E4" i="18" s="1"/>
  <c r="C26" i="21"/>
  <c r="B25" i="21"/>
  <c r="B24" i="21"/>
  <c r="B23" i="21"/>
  <c r="H15" i="21"/>
  <c r="G15" i="21"/>
  <c r="F15" i="21"/>
  <c r="E15" i="21"/>
  <c r="D15" i="21"/>
  <c r="C15" i="21"/>
  <c r="B15" i="21"/>
  <c r="D23" i="2"/>
  <c r="D24" i="2"/>
  <c r="D22" i="2"/>
  <c r="D25" i="20"/>
  <c r="D24" i="20"/>
  <c r="D23" i="20"/>
  <c r="D22" i="20"/>
  <c r="C26" i="20"/>
  <c r="B25" i="20"/>
  <c r="B24" i="20"/>
  <c r="B23" i="20"/>
  <c r="H15" i="20"/>
  <c r="G15" i="20"/>
  <c r="F15" i="20"/>
  <c r="E15" i="20"/>
  <c r="D15" i="20"/>
  <c r="C15" i="20"/>
  <c r="B15" i="20"/>
  <c r="B22" i="20" s="1"/>
  <c r="E22" i="20" s="1"/>
  <c r="H13" i="19"/>
  <c r="E26" i="20" l="1"/>
  <c r="E3" i="18" s="1"/>
  <c r="B23" i="1" l="1"/>
  <c r="B24" i="1"/>
  <c r="H7" i="19"/>
  <c r="E22" i="1" l="1"/>
  <c r="M38" i="9" l="1"/>
  <c r="M36" i="9"/>
  <c r="I25" i="9"/>
  <c r="M25" i="9" s="1"/>
  <c r="M31" i="9"/>
  <c r="M29" i="9"/>
  <c r="M35" i="9"/>
  <c r="I23" i="9"/>
  <c r="M23" i="9" s="1"/>
  <c r="I22" i="9"/>
  <c r="M32" i="9"/>
  <c r="M34" i="9"/>
  <c r="I24" i="9"/>
  <c r="M24" i="9" s="1"/>
  <c r="I26" i="9"/>
  <c r="M26" i="9" s="1"/>
  <c r="M33" i="9"/>
  <c r="H30" i="19"/>
  <c r="H29" i="19"/>
  <c r="H28" i="19"/>
  <c r="H27" i="19"/>
  <c r="H23" i="19"/>
  <c r="H22" i="19"/>
  <c r="H21" i="19"/>
  <c r="H20" i="19"/>
  <c r="H16" i="19"/>
  <c r="H15" i="19"/>
  <c r="H14" i="19"/>
  <c r="H9" i="19"/>
  <c r="H8" i="19"/>
  <c r="H6" i="19"/>
  <c r="M22" i="9" l="1"/>
  <c r="M39" i="9" s="1"/>
  <c r="D5" i="10" s="1"/>
  <c r="I39" i="9"/>
  <c r="I44" i="9" s="1"/>
  <c r="D6" i="10"/>
  <c r="D7" i="10" s="1"/>
  <c r="M42" i="9"/>
  <c r="M16" i="9"/>
  <c r="M13" i="9"/>
  <c r="I17" i="9"/>
  <c r="G17" i="9"/>
  <c r="D9" i="10" s="1"/>
  <c r="G11" i="9"/>
  <c r="D11" i="10" s="1"/>
  <c r="D8" i="10" l="1"/>
  <c r="M44" i="9"/>
  <c r="D10" i="10" s="1"/>
  <c r="D12" i="10" s="1"/>
  <c r="G18" i="9"/>
  <c r="G46" i="9" s="1"/>
  <c r="M17" i="9"/>
  <c r="B25" i="2" l="1"/>
  <c r="B24" i="2"/>
  <c r="B23" i="2"/>
  <c r="G15" i="2"/>
  <c r="F15" i="2"/>
  <c r="E15" i="2"/>
  <c r="D15" i="2"/>
  <c r="C15" i="2"/>
  <c r="B15" i="2"/>
  <c r="B25" i="1"/>
  <c r="D15" i="1"/>
  <c r="E15" i="1"/>
  <c r="F15" i="1"/>
  <c r="G15" i="1"/>
  <c r="C15" i="1"/>
  <c r="E5" i="18" l="1"/>
  <c r="C26" i="1"/>
  <c r="E26" i="2"/>
  <c r="C4" i="18" s="1"/>
  <c r="G4" i="18" s="1"/>
  <c r="H15" i="2"/>
  <c r="C26" i="2"/>
  <c r="E26" i="1"/>
  <c r="C3" i="18" s="1"/>
  <c r="H15" i="1"/>
  <c r="C5" i="18" l="1"/>
  <c r="G3" i="18"/>
  <c r="G5" i="18" s="1"/>
  <c r="I10" i="9" s="1"/>
  <c r="M10" i="9" l="1"/>
  <c r="M11" i="9" s="1"/>
  <c r="M18" i="9" s="1"/>
  <c r="M46" i="9" s="1"/>
  <c r="I11" i="9"/>
  <c r="I18" i="9" s="1"/>
  <c r="I46" i="9" s="1"/>
</calcChain>
</file>

<file path=xl/sharedStrings.xml><?xml version="1.0" encoding="utf-8"?>
<sst xmlns="http://schemas.openxmlformats.org/spreadsheetml/2006/main" count="330" uniqueCount="145">
  <si>
    <t>USAGE TABLE</t>
  </si>
  <si>
    <t>Usage by Rate Increment</t>
  </si>
  <si>
    <t>Class:</t>
  </si>
  <si>
    <t>Residential-Existing</t>
  </si>
  <si>
    <t>(2) Bills</t>
  </si>
  <si>
    <t>(9) Total</t>
  </si>
  <si>
    <t>(1) Usage</t>
  </si>
  <si>
    <t>First 280 min</t>
  </si>
  <si>
    <t>Next 720 cf</t>
  </si>
  <si>
    <t>Next 3,000 cf</t>
  </si>
  <si>
    <t>Next 8,000 cf</t>
  </si>
  <si>
    <t>Totals</t>
  </si>
  <si>
    <t>REVENUE TABLE</t>
  </si>
  <si>
    <t>Revenue by Rate Increment</t>
  </si>
  <si>
    <t>(5) Revenue</t>
  </si>
  <si>
    <t>Commercial-Existing</t>
  </si>
  <si>
    <t>FA-4A</t>
  </si>
  <si>
    <t>Operating Revenues</t>
  </si>
  <si>
    <t>Sales of Water</t>
  </si>
  <si>
    <t>Metered Water Sales</t>
  </si>
  <si>
    <t>Test Year</t>
  </si>
  <si>
    <t>Adjustment</t>
  </si>
  <si>
    <t>Reference</t>
  </si>
  <si>
    <t>Pro Forma</t>
  </si>
  <si>
    <t>Total Sales of Water</t>
  </si>
  <si>
    <t>$</t>
  </si>
  <si>
    <t>Other Water Revenues</t>
  </si>
  <si>
    <t>Total Other Water Revenues</t>
  </si>
  <si>
    <t>Total Operating Revenues</t>
  </si>
  <si>
    <t>Operating Expenses</t>
  </si>
  <si>
    <t>Purchased Water</t>
  </si>
  <si>
    <t>Insurance</t>
  </si>
  <si>
    <t>Depreciation Expense</t>
  </si>
  <si>
    <t>Total Operating Expenses</t>
  </si>
  <si>
    <t>Utility Operating Income</t>
  </si>
  <si>
    <t>FA-5</t>
  </si>
  <si>
    <t>SCHEDULE OF ADJUSTED OPERATIONS-WATER UTILITY</t>
  </si>
  <si>
    <t>FA-6</t>
  </si>
  <si>
    <t>REVENUE REQUIREMENT CALCULATION-DEBT COVERAGE METHOD</t>
  </si>
  <si>
    <t>(This method is used commonly by non-profits that have long-term debts outstanding.)</t>
  </si>
  <si>
    <t>Pro forma Operating Expenses</t>
  </si>
  <si>
    <t>Plus:</t>
  </si>
  <si>
    <t>Average Annual Debt Principal and Interest Payments</t>
  </si>
  <si>
    <t>Debt Coverage Requirement</t>
  </si>
  <si>
    <t>Total Revenue Requirement</t>
  </si>
  <si>
    <t>Less:</t>
  </si>
  <si>
    <t>Debt Coverage</t>
  </si>
  <si>
    <t>Debt Coverage Ratio</t>
  </si>
  <si>
    <t>Revenue Required from Rates</t>
  </si>
  <si>
    <t>Revenue from Sales at Present Rates</t>
  </si>
  <si>
    <t>Required Revenue Increase</t>
  </si>
  <si>
    <t>Notes:</t>
  </si>
  <si>
    <t>Total</t>
  </si>
  <si>
    <t>CURRENT AND PROPOSED RATES</t>
  </si>
  <si>
    <t>Current Rates</t>
  </si>
  <si>
    <t>Proposed Rates</t>
  </si>
  <si>
    <t>Residential</t>
  </si>
  <si>
    <t>min</t>
  </si>
  <si>
    <t>Commercial</t>
  </si>
  <si>
    <t>Government</t>
  </si>
  <si>
    <t>Per Audited Financial Statements</t>
  </si>
  <si>
    <t>Miscellaneous</t>
  </si>
  <si>
    <t>Water</t>
  </si>
  <si>
    <t>Commissioners</t>
  </si>
  <si>
    <t>Supplies</t>
  </si>
  <si>
    <t>Taxes &amp; License</t>
  </si>
  <si>
    <t>Travel</t>
  </si>
  <si>
    <t>Professional Services</t>
  </si>
  <si>
    <t>Repairs and Maintenance</t>
  </si>
  <si>
    <t>Utilities</t>
  </si>
  <si>
    <t>Current</t>
  </si>
  <si>
    <t>Proposed</t>
  </si>
  <si>
    <t>Proposed Adjustment</t>
  </si>
  <si>
    <t>Industrial</t>
  </si>
  <si>
    <t>5% Increase</t>
  </si>
  <si>
    <t>Depreciation</t>
  </si>
  <si>
    <t>Total Water Expenses</t>
  </si>
  <si>
    <t>3 Year Average</t>
  </si>
  <si>
    <t>Add back:</t>
  </si>
  <si>
    <t>First 2,000</t>
  </si>
  <si>
    <t>Next 5,000</t>
  </si>
  <si>
    <t>Over 10,000</t>
  </si>
  <si>
    <t>(1) Usage Gallons</t>
  </si>
  <si>
    <t>First 2,000 Gallons</t>
  </si>
  <si>
    <t>Over 10,000 Gallons</t>
  </si>
  <si>
    <t>(4) First 2,000</t>
  </si>
  <si>
    <t>(5) Next 3,000</t>
  </si>
  <si>
    <t>(6) Next 5,000</t>
  </si>
  <si>
    <t>(7) Over 10,000</t>
  </si>
  <si>
    <t>First 2,000 Minimum Bill</t>
  </si>
  <si>
    <t xml:space="preserve">(4) Rates </t>
  </si>
  <si>
    <t>(3) Gallons</t>
  </si>
  <si>
    <t>Test Period from 1/1/2022 to 12/31/2022</t>
  </si>
  <si>
    <t>(1) Usage-Gallons</t>
  </si>
  <si>
    <t>(8) Over 10,000</t>
  </si>
  <si>
    <t xml:space="preserve">Next 3,000  </t>
  </si>
  <si>
    <t xml:space="preserve">Next 3,000   </t>
  </si>
  <si>
    <t>Next 3,000 Gallons</t>
  </si>
  <si>
    <t>Next 5,000 Gallons</t>
  </si>
  <si>
    <t>Revenue from Present/Proposed Rates</t>
  </si>
  <si>
    <t>First 2,000 Gal</t>
  </si>
  <si>
    <t>Next 3,000 Gal</t>
  </si>
  <si>
    <t>Next 5,000 Gal</t>
  </si>
  <si>
    <t xml:space="preserve">Over 10,000 Gal </t>
  </si>
  <si>
    <t>1000 Gallons</t>
  </si>
  <si>
    <t>Over 10,000 Gal</t>
  </si>
  <si>
    <t>First 2,000 min</t>
  </si>
  <si>
    <t>Test Year 12/31/2022</t>
  </si>
  <si>
    <t>Fees and charges</t>
  </si>
  <si>
    <t>Interest income</t>
  </si>
  <si>
    <t>Personnel</t>
  </si>
  <si>
    <t>Postage</t>
  </si>
  <si>
    <t>Advertising</t>
  </si>
  <si>
    <t>Telephone</t>
  </si>
  <si>
    <t>Bank Charges</t>
  </si>
  <si>
    <t>Interest in long-term debt</t>
  </si>
  <si>
    <t>Grant revenue</t>
  </si>
  <si>
    <t>The audit report only reported principal payments in cummulative totals.</t>
  </si>
  <si>
    <t>*</t>
  </si>
  <si>
    <t>Long-term debt</t>
  </si>
  <si>
    <t>**</t>
  </si>
  <si>
    <t>Debt Coverage Requirement ($583,374*.99)</t>
  </si>
  <si>
    <t>(Includes Depreciation)</t>
  </si>
  <si>
    <t>This includes grant revenue.</t>
  </si>
  <si>
    <t>Statement of Adjusted Operations</t>
  </si>
  <si>
    <t>Metered Water Sales was increased by the proposed 10% increase.</t>
  </si>
  <si>
    <t xml:space="preserve">The District considered the normal operations cost would increase   </t>
  </si>
  <si>
    <t xml:space="preserve">  at a rate of 5% in the next reporting period.</t>
  </si>
  <si>
    <t>Interest will be according to the amortization schedule.</t>
  </si>
  <si>
    <t>Depreciation is exempted here to more reflect operations.</t>
  </si>
  <si>
    <t>Depreciation is added back to more clearly reflect overall financial comparisons.</t>
  </si>
  <si>
    <t>10b.</t>
  </si>
  <si>
    <t>In preparing the Schedule of Adjusted Operations I used the information on the latest audit report.</t>
  </si>
  <si>
    <t xml:space="preserve">I looked at the significant accounting policies in the note disclosures and no specific mention of how </t>
  </si>
  <si>
    <t xml:space="preserve">forfeited discounts, if discounts are even offered, are handled in the financial statements.  So my </t>
  </si>
  <si>
    <t xml:space="preserve">assumption is that the utility uses the gross method (included in sales) of accounting for sales and so no recording of </t>
  </si>
  <si>
    <t>Forfeited discounts</t>
  </si>
  <si>
    <t>discounts are made, or are insignificant.</t>
  </si>
  <si>
    <t>Non-recurring Charges</t>
  </si>
  <si>
    <t xml:space="preserve">Since this is significant I would think this would be included and explained in the audit report used to </t>
  </si>
  <si>
    <t>gather this information.  Since no mention is made is my assumption that the utility has no significant non-recurring</t>
  </si>
  <si>
    <t>charges.</t>
  </si>
  <si>
    <t>10a.</t>
  </si>
  <si>
    <t>The workpapers used are all unprotected for your review within this document.  The only other document</t>
  </si>
  <si>
    <t xml:space="preserve">used is the audit report for the years ended December 31, 2022 and 2021.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</si>
</sst>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3" fontId="0" fillId="0" borderId="0" xfId="1" applyFont="1"/>
    <xf numFmtId="164" fontId="0" fillId="0" borderId="0" xfId="1" applyNumberFormat="1" applyFont="1"/>
    <xf numFmtId="164" fontId="0" fillId="0" borderId="2" xfId="1" applyNumberFormat="1" applyFont="1" applyBorder="1"/>
    <xf numFmtId="0" fontId="2" fillId="0" borderId="0" xfId="0" applyFont="1"/>
    <xf numFmtId="165" fontId="0" fillId="0" borderId="0" xfId="1" applyNumberFormat="1" applyFont="1"/>
    <xf numFmtId="165" fontId="0" fillId="0" borderId="0" xfId="1" applyNumberFormat="1" applyFont="1" applyBorder="1"/>
    <xf numFmtId="164" fontId="0" fillId="0" borderId="0" xfId="1" applyNumberFormat="1" applyFont="1" applyBorder="1"/>
    <xf numFmtId="44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164" fontId="0" fillId="0" borderId="3" xfId="1" applyNumberFormat="1" applyFont="1" applyBorder="1"/>
    <xf numFmtId="43" fontId="0" fillId="0" borderId="0" xfId="0" applyNumberFormat="1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 wrapText="1"/>
    </xf>
    <xf numFmtId="43" fontId="0" fillId="0" borderId="0" xfId="1" applyFont="1" applyFill="1"/>
    <xf numFmtId="164" fontId="0" fillId="0" borderId="0" xfId="1" applyNumberFormat="1" applyFont="1" applyFill="1"/>
    <xf numFmtId="166" fontId="0" fillId="0" borderId="0" xfId="2" applyNumberFormat="1" applyFont="1"/>
    <xf numFmtId="166" fontId="0" fillId="0" borderId="0" xfId="1" applyNumberFormat="1" applyFont="1"/>
    <xf numFmtId="166" fontId="0" fillId="0" borderId="2" xfId="2" applyNumberFormat="1" applyFont="1" applyBorder="1"/>
    <xf numFmtId="0" fontId="5" fillId="0" borderId="0" xfId="0" applyFont="1"/>
    <xf numFmtId="164" fontId="6" fillId="0" borderId="0" xfId="1" applyNumberFormat="1" applyFont="1"/>
    <xf numFmtId="164" fontId="6" fillId="0" borderId="3" xfId="1" applyNumberFormat="1" applyFont="1" applyBorder="1"/>
    <xf numFmtId="164" fontId="6" fillId="0" borderId="0" xfId="1" applyNumberFormat="1" applyFont="1" applyBorder="1"/>
    <xf numFmtId="164" fontId="6" fillId="0" borderId="1" xfId="1" applyNumberFormat="1" applyFont="1" applyBorder="1"/>
    <xf numFmtId="164" fontId="7" fillId="0" borderId="0" xfId="1" applyNumberFormat="1" applyFont="1" applyAlignment="1">
      <alignment horizontal="center" wrapText="1"/>
    </xf>
    <xf numFmtId="164" fontId="7" fillId="0" borderId="1" xfId="1" applyNumberFormat="1" applyFont="1" applyBorder="1" applyAlignment="1">
      <alignment horizontal="center" wrapText="1"/>
    </xf>
    <xf numFmtId="164" fontId="6" fillId="0" borderId="4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wrapText="1"/>
    </xf>
    <xf numFmtId="164" fontId="7" fillId="0" borderId="0" xfId="1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workbookViewId="0">
      <selection activeCell="C19" sqref="C19"/>
    </sheetView>
  </sheetViews>
  <sheetFormatPr defaultRowHeight="15" x14ac:dyDescent="0.25"/>
  <cols>
    <col min="1" max="1" width="12.42578125" customWidth="1"/>
    <col min="2" max="2" width="15" customWidth="1"/>
    <col min="3" max="3" width="9.140625" style="4"/>
    <col min="4" max="4" width="12.5703125" customWidth="1"/>
    <col min="6" max="6" width="13.28515625" customWidth="1"/>
    <col min="7" max="7" width="14.140625" customWidth="1"/>
    <col min="9" max="9" width="13.5703125" customWidth="1"/>
  </cols>
  <sheetData>
    <row r="1" spans="1:9" x14ac:dyDescent="0.25">
      <c r="A1" s="39" t="s">
        <v>53</v>
      </c>
      <c r="B1" s="39"/>
      <c r="C1" s="39"/>
      <c r="D1" s="39"/>
      <c r="E1" s="39"/>
      <c r="F1" s="39"/>
      <c r="G1" s="39"/>
      <c r="H1" s="39"/>
      <c r="I1" s="39"/>
    </row>
    <row r="4" spans="1:9" x14ac:dyDescent="0.25">
      <c r="C4" s="40" t="s">
        <v>54</v>
      </c>
      <c r="D4" s="40"/>
      <c r="H4" s="40" t="s">
        <v>55</v>
      </c>
      <c r="I4" s="40"/>
    </row>
    <row r="5" spans="1:9" x14ac:dyDescent="0.25">
      <c r="H5" s="4"/>
    </row>
    <row r="6" spans="1:9" x14ac:dyDescent="0.25">
      <c r="A6" t="s">
        <v>56</v>
      </c>
      <c r="B6" t="s">
        <v>100</v>
      </c>
      <c r="C6" s="19">
        <v>21.11</v>
      </c>
      <c r="D6" t="s">
        <v>57</v>
      </c>
      <c r="F6" t="s">
        <v>56</v>
      </c>
      <c r="G6" t="s">
        <v>106</v>
      </c>
      <c r="H6" s="19">
        <f>C6*1.1</f>
        <v>23.221</v>
      </c>
      <c r="I6" t="s">
        <v>57</v>
      </c>
    </row>
    <row r="7" spans="1:9" x14ac:dyDescent="0.25">
      <c r="B7" t="s">
        <v>101</v>
      </c>
      <c r="C7" s="19">
        <v>10.199999999999999</v>
      </c>
      <c r="D7" t="s">
        <v>104</v>
      </c>
      <c r="G7" t="s">
        <v>101</v>
      </c>
      <c r="H7" s="19">
        <f>C7*1.1</f>
        <v>11.22</v>
      </c>
      <c r="I7" t="s">
        <v>104</v>
      </c>
    </row>
    <row r="8" spans="1:9" x14ac:dyDescent="0.25">
      <c r="B8" t="s">
        <v>102</v>
      </c>
      <c r="C8" s="19">
        <v>8.73</v>
      </c>
      <c r="D8" t="s">
        <v>104</v>
      </c>
      <c r="G8" t="s">
        <v>102</v>
      </c>
      <c r="H8" s="19">
        <f t="shared" ref="H8:H9" si="0">C8*1.1</f>
        <v>9.6030000000000015</v>
      </c>
      <c r="I8" t="s">
        <v>104</v>
      </c>
    </row>
    <row r="9" spans="1:9" x14ac:dyDescent="0.25">
      <c r="B9" t="s">
        <v>103</v>
      </c>
      <c r="C9" s="19">
        <v>7.51</v>
      </c>
      <c r="D9" t="s">
        <v>104</v>
      </c>
      <c r="G9" t="s">
        <v>105</v>
      </c>
      <c r="H9" s="19">
        <f t="shared" si="0"/>
        <v>8.261000000000001</v>
      </c>
      <c r="I9" t="s">
        <v>104</v>
      </c>
    </row>
    <row r="10" spans="1:9" x14ac:dyDescent="0.25">
      <c r="C10" s="19"/>
      <c r="H10" s="19"/>
    </row>
    <row r="11" spans="1:9" x14ac:dyDescent="0.25">
      <c r="C11" s="19"/>
      <c r="H11" s="19"/>
    </row>
    <row r="12" spans="1:9" x14ac:dyDescent="0.25">
      <c r="C12" s="19"/>
      <c r="H12" s="19"/>
    </row>
    <row r="13" spans="1:9" x14ac:dyDescent="0.25">
      <c r="A13" t="s">
        <v>58</v>
      </c>
      <c r="B13" t="s">
        <v>100</v>
      </c>
      <c r="C13" s="19">
        <v>21.11</v>
      </c>
      <c r="D13" t="s">
        <v>57</v>
      </c>
      <c r="F13" t="s">
        <v>58</v>
      </c>
      <c r="G13" t="s">
        <v>106</v>
      </c>
      <c r="H13" s="19">
        <f>C13*1.1</f>
        <v>23.221</v>
      </c>
      <c r="I13" t="s">
        <v>57</v>
      </c>
    </row>
    <row r="14" spans="1:9" x14ac:dyDescent="0.25">
      <c r="B14" t="s">
        <v>101</v>
      </c>
      <c r="C14" s="19">
        <v>10.199999999999999</v>
      </c>
      <c r="D14" t="s">
        <v>104</v>
      </c>
      <c r="G14" t="s">
        <v>101</v>
      </c>
      <c r="H14" s="19">
        <f t="shared" ref="H14:H30" si="1">C14*1.1</f>
        <v>11.22</v>
      </c>
      <c r="I14" t="s">
        <v>104</v>
      </c>
    </row>
    <row r="15" spans="1:9" x14ac:dyDescent="0.25">
      <c r="B15" t="s">
        <v>102</v>
      </c>
      <c r="C15" s="19">
        <v>8.73</v>
      </c>
      <c r="D15" t="s">
        <v>104</v>
      </c>
      <c r="G15" t="s">
        <v>102</v>
      </c>
      <c r="H15" s="19">
        <f t="shared" si="1"/>
        <v>9.6030000000000015</v>
      </c>
      <c r="I15" t="s">
        <v>104</v>
      </c>
    </row>
    <row r="16" spans="1:9" x14ac:dyDescent="0.25">
      <c r="B16" t="s">
        <v>105</v>
      </c>
      <c r="C16" s="19">
        <v>7.51</v>
      </c>
      <c r="D16" t="s">
        <v>104</v>
      </c>
      <c r="G16" t="s">
        <v>105</v>
      </c>
      <c r="H16" s="19">
        <f t="shared" si="1"/>
        <v>8.261000000000001</v>
      </c>
      <c r="I16" t="s">
        <v>104</v>
      </c>
    </row>
    <row r="17" spans="1:9" x14ac:dyDescent="0.25">
      <c r="C17" s="19"/>
      <c r="H17" s="19"/>
    </row>
    <row r="18" spans="1:9" x14ac:dyDescent="0.25">
      <c r="C18" s="19"/>
      <c r="H18" s="19"/>
    </row>
    <row r="19" spans="1:9" x14ac:dyDescent="0.25">
      <c r="C19" s="19"/>
      <c r="H19" s="19"/>
    </row>
    <row r="20" spans="1:9" x14ac:dyDescent="0.25">
      <c r="A20" t="s">
        <v>59</v>
      </c>
      <c r="B20" t="s">
        <v>100</v>
      </c>
      <c r="C20" s="19"/>
      <c r="D20" t="s">
        <v>57</v>
      </c>
      <c r="F20" t="s">
        <v>59</v>
      </c>
      <c r="G20" t="s">
        <v>7</v>
      </c>
      <c r="H20" s="19">
        <f t="shared" ref="H20" si="2">C20*1.1</f>
        <v>0</v>
      </c>
      <c r="I20" t="s">
        <v>57</v>
      </c>
    </row>
    <row r="21" spans="1:9" x14ac:dyDescent="0.25">
      <c r="B21" t="s">
        <v>101</v>
      </c>
      <c r="C21" s="19"/>
      <c r="D21" t="s">
        <v>104</v>
      </c>
      <c r="G21" t="s">
        <v>8</v>
      </c>
      <c r="H21" s="19">
        <f t="shared" si="1"/>
        <v>0</v>
      </c>
      <c r="I21" t="s">
        <v>104</v>
      </c>
    </row>
    <row r="22" spans="1:9" x14ac:dyDescent="0.25">
      <c r="B22" t="s">
        <v>102</v>
      </c>
      <c r="C22" s="19"/>
      <c r="D22" t="s">
        <v>104</v>
      </c>
      <c r="G22" t="s">
        <v>9</v>
      </c>
      <c r="H22" s="19">
        <f t="shared" si="1"/>
        <v>0</v>
      </c>
      <c r="I22" t="s">
        <v>104</v>
      </c>
    </row>
    <row r="23" spans="1:9" x14ac:dyDescent="0.25">
      <c r="B23" t="s">
        <v>103</v>
      </c>
      <c r="C23" s="19"/>
      <c r="D23" t="s">
        <v>104</v>
      </c>
      <c r="G23" t="s">
        <v>10</v>
      </c>
      <c r="H23" s="19">
        <f t="shared" si="1"/>
        <v>0</v>
      </c>
      <c r="I23" t="s">
        <v>104</v>
      </c>
    </row>
    <row r="24" spans="1:9" x14ac:dyDescent="0.25">
      <c r="C24" s="19"/>
      <c r="H24" s="19"/>
    </row>
    <row r="25" spans="1:9" x14ac:dyDescent="0.25">
      <c r="C25" s="19"/>
      <c r="H25" s="19"/>
    </row>
    <row r="26" spans="1:9" x14ac:dyDescent="0.25">
      <c r="C26" s="19"/>
      <c r="H26" s="19"/>
    </row>
    <row r="27" spans="1:9" x14ac:dyDescent="0.25">
      <c r="A27" t="s">
        <v>73</v>
      </c>
      <c r="B27" t="s">
        <v>100</v>
      </c>
      <c r="C27" s="19"/>
      <c r="D27" t="s">
        <v>57</v>
      </c>
      <c r="F27" t="s">
        <v>73</v>
      </c>
      <c r="G27" t="s">
        <v>7</v>
      </c>
      <c r="H27" s="19">
        <f t="shared" ref="H27" si="3">C27*1.1</f>
        <v>0</v>
      </c>
      <c r="I27" t="s">
        <v>57</v>
      </c>
    </row>
    <row r="28" spans="1:9" x14ac:dyDescent="0.25">
      <c r="B28" t="s">
        <v>101</v>
      </c>
      <c r="C28" s="19"/>
      <c r="D28" t="s">
        <v>104</v>
      </c>
      <c r="G28" t="s">
        <v>8</v>
      </c>
      <c r="H28" s="19">
        <f t="shared" si="1"/>
        <v>0</v>
      </c>
      <c r="I28" t="s">
        <v>104</v>
      </c>
    </row>
    <row r="29" spans="1:9" x14ac:dyDescent="0.25">
      <c r="B29" t="s">
        <v>102</v>
      </c>
      <c r="C29" s="19"/>
      <c r="D29" t="s">
        <v>104</v>
      </c>
      <c r="G29" t="s">
        <v>9</v>
      </c>
      <c r="H29" s="19">
        <f t="shared" si="1"/>
        <v>0</v>
      </c>
      <c r="I29" t="s">
        <v>104</v>
      </c>
    </row>
    <row r="30" spans="1:9" x14ac:dyDescent="0.25">
      <c r="B30" t="s">
        <v>103</v>
      </c>
      <c r="C30" s="19"/>
      <c r="D30" t="s">
        <v>104</v>
      </c>
      <c r="G30" t="s">
        <v>10</v>
      </c>
      <c r="H30" s="19">
        <f t="shared" si="1"/>
        <v>0</v>
      </c>
      <c r="I30" t="s">
        <v>104</v>
      </c>
    </row>
    <row r="31" spans="1:9" x14ac:dyDescent="0.25">
      <c r="C31" s="19"/>
      <c r="H31" s="19"/>
    </row>
    <row r="32" spans="1:9" x14ac:dyDescent="0.25">
      <c r="C32" s="19"/>
      <c r="H32" s="19"/>
    </row>
    <row r="33" spans="8:8" x14ac:dyDescent="0.25">
      <c r="H33" s="4"/>
    </row>
  </sheetData>
  <mergeCells count="3">
    <mergeCell ref="A1:I1"/>
    <mergeCell ref="C4:D4"/>
    <mergeCell ref="H4:I4"/>
  </mergeCells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"/>
  <sheetViews>
    <sheetView workbookViewId="0">
      <pane xSplit="6" ySplit="6" topLeftCell="G19" activePane="bottomRight" state="frozen"/>
      <selection pane="topRight" activeCell="G1" sqref="G1"/>
      <selection pane="bottomLeft" activeCell="A7" sqref="A7"/>
      <selection pane="bottomRight" activeCell="I10" sqref="I10"/>
    </sheetView>
  </sheetViews>
  <sheetFormatPr defaultRowHeight="15" x14ac:dyDescent="0.25"/>
  <cols>
    <col min="1" max="1" width="3" style="7" customWidth="1"/>
    <col min="2" max="3" width="3" customWidth="1"/>
    <col min="4" max="4" width="3.5703125" customWidth="1"/>
    <col min="5" max="5" width="42.85546875" customWidth="1"/>
    <col min="6" max="6" width="2.7109375" customWidth="1"/>
    <col min="7" max="7" width="14.7109375" style="25" customWidth="1"/>
    <col min="8" max="8" width="2.85546875" style="34" customWidth="1"/>
    <col min="9" max="9" width="14.7109375" style="25" customWidth="1"/>
    <col min="10" max="10" width="3.140625" style="25" customWidth="1"/>
    <col min="11" max="11" width="14" style="32" customWidth="1"/>
    <col min="12" max="12" width="2.85546875" style="34" customWidth="1"/>
    <col min="13" max="13" width="14.7109375" style="25" customWidth="1"/>
    <col min="14" max="14" width="17.5703125" customWidth="1"/>
  </cols>
  <sheetData>
    <row r="1" spans="1:15" x14ac:dyDescent="0.25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5" x14ac:dyDescent="0.25">
      <c r="A3" s="41" t="s">
        <v>107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5" spans="1:15" ht="45" x14ac:dyDescent="0.25">
      <c r="G5" s="29" t="s">
        <v>60</v>
      </c>
    </row>
    <row r="6" spans="1:15" s="13" customFormat="1" x14ac:dyDescent="0.25">
      <c r="G6" s="30" t="s">
        <v>20</v>
      </c>
      <c r="H6" s="35"/>
      <c r="I6" s="30" t="s">
        <v>21</v>
      </c>
      <c r="J6" s="36"/>
      <c r="K6" s="37" t="s">
        <v>22</v>
      </c>
      <c r="L6" s="35"/>
      <c r="M6" s="30" t="s">
        <v>23</v>
      </c>
    </row>
    <row r="8" spans="1:15" x14ac:dyDescent="0.25">
      <c r="A8" s="7" t="s">
        <v>17</v>
      </c>
      <c r="O8" s="7" t="s">
        <v>124</v>
      </c>
    </row>
    <row r="9" spans="1:15" x14ac:dyDescent="0.25">
      <c r="B9" t="s">
        <v>18</v>
      </c>
    </row>
    <row r="10" spans="1:15" x14ac:dyDescent="0.25">
      <c r="C10" t="s">
        <v>19</v>
      </c>
      <c r="F10" s="14" t="s">
        <v>25</v>
      </c>
      <c r="G10" s="25">
        <v>1026043</v>
      </c>
      <c r="H10" s="33" t="s">
        <v>25</v>
      </c>
      <c r="I10" s="25">
        <f>'FA-4A'!G5</f>
        <v>130729.59512000019</v>
      </c>
      <c r="K10" s="32" t="s">
        <v>16</v>
      </c>
      <c r="L10" s="33" t="s">
        <v>25</v>
      </c>
      <c r="M10" s="25">
        <f>G10+I10</f>
        <v>1156772.5951200002</v>
      </c>
      <c r="O10" t="s">
        <v>125</v>
      </c>
    </row>
    <row r="11" spans="1:15" x14ac:dyDescent="0.25">
      <c r="D11" t="s">
        <v>24</v>
      </c>
      <c r="G11" s="26">
        <f>SUM(G10)</f>
        <v>1026043</v>
      </c>
      <c r="I11" s="26">
        <f>SUM(I10)</f>
        <v>130729.59512000019</v>
      </c>
      <c r="M11" s="26">
        <f>SUM(M10)</f>
        <v>1156772.5951200002</v>
      </c>
    </row>
    <row r="12" spans="1:15" x14ac:dyDescent="0.25">
      <c r="B12" t="s">
        <v>26</v>
      </c>
    </row>
    <row r="13" spans="1:15" x14ac:dyDescent="0.25">
      <c r="C13" t="s">
        <v>108</v>
      </c>
      <c r="G13" s="25">
        <f>26244+31012</f>
        <v>57256</v>
      </c>
      <c r="M13" s="25">
        <f>SUM(G13:L13)</f>
        <v>57256</v>
      </c>
    </row>
    <row r="14" spans="1:15" x14ac:dyDescent="0.25">
      <c r="C14" t="s">
        <v>109</v>
      </c>
      <c r="G14" s="25">
        <v>455</v>
      </c>
      <c r="M14" s="25">
        <f t="shared" ref="M14:M15" si="0">SUM(G14:L14)</f>
        <v>455</v>
      </c>
    </row>
    <row r="15" spans="1:15" x14ac:dyDescent="0.25">
      <c r="C15" t="s">
        <v>116</v>
      </c>
      <c r="G15" s="25">
        <v>316931</v>
      </c>
      <c r="M15" s="25">
        <f t="shared" si="0"/>
        <v>316931</v>
      </c>
    </row>
    <row r="16" spans="1:15" x14ac:dyDescent="0.25">
      <c r="C16" t="s">
        <v>61</v>
      </c>
      <c r="G16" s="25">
        <v>12827</v>
      </c>
      <c r="M16" s="25">
        <f t="shared" ref="M16" si="1">SUM(G16:L16)</f>
        <v>12827</v>
      </c>
    </row>
    <row r="17" spans="1:15" x14ac:dyDescent="0.25">
      <c r="D17" t="s">
        <v>27</v>
      </c>
      <c r="G17" s="26">
        <f>SUM(G13:G16)</f>
        <v>387469</v>
      </c>
      <c r="I17" s="26">
        <f>SUM(I13:I16)</f>
        <v>0</v>
      </c>
      <c r="M17" s="26">
        <f>SUM(M13:M16)</f>
        <v>387469</v>
      </c>
    </row>
    <row r="18" spans="1:15" x14ac:dyDescent="0.25">
      <c r="E18" t="s">
        <v>28</v>
      </c>
      <c r="G18" s="26">
        <f>G11+G17</f>
        <v>1413512</v>
      </c>
      <c r="I18" s="26">
        <f>I11+I17</f>
        <v>130729.59512000019</v>
      </c>
      <c r="M18" s="26">
        <f>M11+M17</f>
        <v>1544241.5951200002</v>
      </c>
    </row>
    <row r="20" spans="1:15" x14ac:dyDescent="0.25">
      <c r="A20" s="7" t="s">
        <v>29</v>
      </c>
    </row>
    <row r="21" spans="1:15" x14ac:dyDescent="0.25">
      <c r="B21" t="s">
        <v>62</v>
      </c>
    </row>
    <row r="22" spans="1:15" x14ac:dyDescent="0.25">
      <c r="C22" t="s">
        <v>30</v>
      </c>
      <c r="G22" s="25">
        <v>495457</v>
      </c>
      <c r="I22" s="25">
        <f>G22*0.05</f>
        <v>24772.850000000002</v>
      </c>
      <c r="K22" s="32" t="s">
        <v>74</v>
      </c>
      <c r="M22" s="25">
        <f>G22+I22</f>
        <v>520229.85</v>
      </c>
      <c r="O22" t="s">
        <v>126</v>
      </c>
    </row>
    <row r="23" spans="1:15" x14ac:dyDescent="0.25">
      <c r="C23" t="s">
        <v>110</v>
      </c>
      <c r="G23" s="25">
        <v>263276</v>
      </c>
      <c r="I23" s="25">
        <f>G23*0.05</f>
        <v>13163.800000000001</v>
      </c>
      <c r="K23" s="32" t="s">
        <v>74</v>
      </c>
      <c r="M23" s="25">
        <f>G23+I23</f>
        <v>276439.8</v>
      </c>
      <c r="O23" t="s">
        <v>127</v>
      </c>
    </row>
    <row r="24" spans="1:15" x14ac:dyDescent="0.25">
      <c r="C24" t="s">
        <v>31</v>
      </c>
      <c r="G24" s="25">
        <v>19248</v>
      </c>
      <c r="I24" s="25">
        <f>G24*0.05</f>
        <v>962.40000000000009</v>
      </c>
      <c r="K24" s="32" t="s">
        <v>74</v>
      </c>
      <c r="M24" s="25">
        <f>G24+I24</f>
        <v>20210.400000000001</v>
      </c>
    </row>
    <row r="25" spans="1:15" x14ac:dyDescent="0.25">
      <c r="C25" t="s">
        <v>111</v>
      </c>
      <c r="G25" s="25">
        <v>3826</v>
      </c>
      <c r="I25" s="25">
        <f>G25*0.05</f>
        <v>191.3</v>
      </c>
      <c r="K25" s="32" t="s">
        <v>74</v>
      </c>
      <c r="M25" s="25">
        <f>G25+I25</f>
        <v>4017.3</v>
      </c>
    </row>
    <row r="26" spans="1:15" x14ac:dyDescent="0.25">
      <c r="C26" t="s">
        <v>69</v>
      </c>
      <c r="G26" s="25">
        <v>19651</v>
      </c>
      <c r="I26" s="25">
        <f>G26*0.05</f>
        <v>982.55000000000007</v>
      </c>
      <c r="K26" s="32" t="s">
        <v>74</v>
      </c>
      <c r="M26" s="25">
        <f>G26+I26</f>
        <v>20633.55</v>
      </c>
    </row>
    <row r="27" spans="1:15" x14ac:dyDescent="0.25">
      <c r="C27" t="s">
        <v>63</v>
      </c>
      <c r="G27" s="25">
        <v>18600</v>
      </c>
      <c r="I27" s="25">
        <f t="shared" ref="I27:I36" si="2">G27*0.05</f>
        <v>930</v>
      </c>
      <c r="K27" s="32" t="s">
        <v>74</v>
      </c>
      <c r="M27" s="25">
        <f t="shared" ref="M27:M38" si="3">G27+I27</f>
        <v>19530</v>
      </c>
    </row>
    <row r="28" spans="1:15" x14ac:dyDescent="0.25">
      <c r="C28" t="s">
        <v>112</v>
      </c>
      <c r="G28" s="25">
        <v>1761</v>
      </c>
      <c r="I28" s="25">
        <f t="shared" si="2"/>
        <v>88.050000000000011</v>
      </c>
      <c r="K28" s="32" t="s">
        <v>74</v>
      </c>
      <c r="M28" s="25">
        <f t="shared" si="3"/>
        <v>1849.05</v>
      </c>
    </row>
    <row r="29" spans="1:15" x14ac:dyDescent="0.25">
      <c r="C29" t="s">
        <v>65</v>
      </c>
      <c r="G29" s="25">
        <v>5075</v>
      </c>
      <c r="I29" s="25">
        <f t="shared" si="2"/>
        <v>253.75</v>
      </c>
      <c r="K29" s="32" t="s">
        <v>74</v>
      </c>
      <c r="M29" s="25">
        <f t="shared" ref="M29:M37" si="4">G29+I29</f>
        <v>5328.75</v>
      </c>
    </row>
    <row r="30" spans="1:15" x14ac:dyDescent="0.25">
      <c r="C30" t="s">
        <v>113</v>
      </c>
      <c r="G30" s="25">
        <v>4106</v>
      </c>
      <c r="I30" s="25">
        <f t="shared" si="2"/>
        <v>205.3</v>
      </c>
      <c r="K30" s="32" t="s">
        <v>74</v>
      </c>
      <c r="M30" s="25">
        <f t="shared" si="4"/>
        <v>4311.3</v>
      </c>
    </row>
    <row r="31" spans="1:15" x14ac:dyDescent="0.25">
      <c r="C31" t="s">
        <v>64</v>
      </c>
      <c r="G31" s="25">
        <v>24792</v>
      </c>
      <c r="I31" s="25">
        <f t="shared" si="2"/>
        <v>1239.6000000000001</v>
      </c>
      <c r="K31" s="32" t="s">
        <v>74</v>
      </c>
      <c r="M31" s="25">
        <f t="shared" si="4"/>
        <v>26031.599999999999</v>
      </c>
    </row>
    <row r="32" spans="1:15" x14ac:dyDescent="0.25">
      <c r="C32" t="s">
        <v>67</v>
      </c>
      <c r="G32" s="25">
        <v>42418</v>
      </c>
      <c r="I32" s="25">
        <f t="shared" si="2"/>
        <v>2120.9</v>
      </c>
      <c r="K32" s="32" t="s">
        <v>74</v>
      </c>
      <c r="M32" s="25">
        <f t="shared" si="4"/>
        <v>44538.9</v>
      </c>
    </row>
    <row r="33" spans="1:15" x14ac:dyDescent="0.25">
      <c r="C33" t="s">
        <v>61</v>
      </c>
      <c r="G33" s="25">
        <v>23818</v>
      </c>
      <c r="I33" s="25">
        <f t="shared" si="2"/>
        <v>1190.9000000000001</v>
      </c>
      <c r="K33" s="32" t="s">
        <v>74</v>
      </c>
      <c r="M33" s="25">
        <f t="shared" si="4"/>
        <v>25008.9</v>
      </c>
    </row>
    <row r="34" spans="1:15" x14ac:dyDescent="0.25">
      <c r="C34" t="s">
        <v>68</v>
      </c>
      <c r="G34" s="25">
        <v>73865</v>
      </c>
      <c r="I34" s="25">
        <f t="shared" si="2"/>
        <v>3693.25</v>
      </c>
      <c r="K34" s="32" t="s">
        <v>74</v>
      </c>
      <c r="M34" s="25">
        <f t="shared" si="4"/>
        <v>77558.25</v>
      </c>
    </row>
    <row r="35" spans="1:15" x14ac:dyDescent="0.25">
      <c r="C35" t="s">
        <v>66</v>
      </c>
      <c r="G35" s="25">
        <v>18270</v>
      </c>
      <c r="I35" s="25">
        <f t="shared" si="2"/>
        <v>913.5</v>
      </c>
      <c r="K35" s="32" t="s">
        <v>74</v>
      </c>
      <c r="M35" s="25">
        <f t="shared" si="4"/>
        <v>19183.5</v>
      </c>
    </row>
    <row r="36" spans="1:15" x14ac:dyDescent="0.25">
      <c r="C36" t="s">
        <v>114</v>
      </c>
      <c r="G36" s="25">
        <v>1417</v>
      </c>
      <c r="I36" s="25">
        <f t="shared" si="2"/>
        <v>70.850000000000009</v>
      </c>
      <c r="K36" s="32" t="s">
        <v>74</v>
      </c>
      <c r="M36" s="25">
        <f t="shared" si="4"/>
        <v>1487.85</v>
      </c>
    </row>
    <row r="37" spans="1:15" x14ac:dyDescent="0.25">
      <c r="C37" t="s">
        <v>115</v>
      </c>
      <c r="G37" s="25">
        <v>30439</v>
      </c>
      <c r="M37" s="25">
        <f t="shared" si="4"/>
        <v>30439</v>
      </c>
      <c r="O37" t="s">
        <v>128</v>
      </c>
    </row>
    <row r="38" spans="1:15" x14ac:dyDescent="0.25">
      <c r="C38" s="24" t="s">
        <v>75</v>
      </c>
      <c r="D38" s="24"/>
      <c r="E38" s="24"/>
      <c r="F38" s="24"/>
      <c r="G38" s="25">
        <v>177802</v>
      </c>
      <c r="M38" s="25">
        <f t="shared" si="3"/>
        <v>177802</v>
      </c>
      <c r="O38" t="s">
        <v>129</v>
      </c>
    </row>
    <row r="39" spans="1:15" x14ac:dyDescent="0.25">
      <c r="D39" t="s">
        <v>76</v>
      </c>
      <c r="G39" s="26">
        <f>SUM(G22:G38)</f>
        <v>1223821</v>
      </c>
      <c r="I39" s="26">
        <f>SUM(I22:I38)</f>
        <v>50779.000000000015</v>
      </c>
      <c r="M39" s="26">
        <f>SUM(M22:M38)</f>
        <v>1274600.0000000002</v>
      </c>
    </row>
    <row r="40" spans="1:15" x14ac:dyDescent="0.25">
      <c r="G40" s="27"/>
      <c r="I40" s="27"/>
      <c r="M40" s="27"/>
    </row>
    <row r="41" spans="1:15" x14ac:dyDescent="0.25">
      <c r="B41" t="s">
        <v>78</v>
      </c>
    </row>
    <row r="42" spans="1:15" x14ac:dyDescent="0.25">
      <c r="B42" s="24" t="s">
        <v>32</v>
      </c>
      <c r="C42" s="24"/>
      <c r="D42" s="24"/>
      <c r="E42" s="24"/>
      <c r="F42" s="24"/>
      <c r="G42" s="25">
        <v>177802</v>
      </c>
      <c r="M42" s="25">
        <f t="shared" ref="M42" si="5">SUM(G42:L42)</f>
        <v>177802</v>
      </c>
      <c r="N42" s="16"/>
      <c r="O42" t="s">
        <v>130</v>
      </c>
    </row>
    <row r="43" spans="1:15" x14ac:dyDescent="0.25">
      <c r="G43" s="31"/>
      <c r="I43" s="31"/>
      <c r="J43" s="27"/>
      <c r="M43" s="31"/>
      <c r="N43" s="16"/>
    </row>
    <row r="44" spans="1:15" x14ac:dyDescent="0.25">
      <c r="A44" s="7" t="s">
        <v>33</v>
      </c>
      <c r="G44" s="28">
        <f>G39-G42</f>
        <v>1046019</v>
      </c>
      <c r="I44" s="28">
        <f>I39-I42</f>
        <v>50779.000000000015</v>
      </c>
      <c r="J44" s="27"/>
      <c r="M44" s="28">
        <f>M39-M42</f>
        <v>1096798.0000000002</v>
      </c>
      <c r="N44" s="16"/>
    </row>
    <row r="45" spans="1:15" x14ac:dyDescent="0.25">
      <c r="G45" s="27"/>
      <c r="I45" s="27"/>
      <c r="J45" s="27"/>
      <c r="M45" s="27"/>
      <c r="N45" s="16"/>
    </row>
    <row r="46" spans="1:15" x14ac:dyDescent="0.25">
      <c r="A46" s="7" t="s">
        <v>34</v>
      </c>
      <c r="G46" s="27">
        <f>G18-G44</f>
        <v>367493</v>
      </c>
      <c r="I46" s="27">
        <f>I18-I44</f>
        <v>79950.595120000173</v>
      </c>
      <c r="J46" s="27"/>
      <c r="M46" s="27">
        <f>M18-M44</f>
        <v>447443.59511999995</v>
      </c>
    </row>
    <row r="47" spans="1:15" x14ac:dyDescent="0.25">
      <c r="G47" s="27"/>
      <c r="I47" s="27"/>
      <c r="J47" s="27"/>
      <c r="M47" s="27"/>
    </row>
  </sheetData>
  <mergeCells count="3">
    <mergeCell ref="A1:M1"/>
    <mergeCell ref="A2:M2"/>
    <mergeCell ref="A3:M3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tabSelected="1" workbookViewId="0">
      <selection activeCell="B2" sqref="B2"/>
    </sheetView>
  </sheetViews>
  <sheetFormatPr defaultRowHeight="15" x14ac:dyDescent="0.25"/>
  <sheetData>
    <row r="1" spans="1:2" x14ac:dyDescent="0.25">
      <c r="A1" t="s">
        <v>142</v>
      </c>
      <c r="B1" t="s">
        <v>143</v>
      </c>
    </row>
    <row r="2" spans="1:2" x14ac:dyDescent="0.25">
      <c r="B2" t="s">
        <v>144</v>
      </c>
    </row>
    <row r="9" spans="1:2" x14ac:dyDescent="0.25">
      <c r="A9" t="s">
        <v>131</v>
      </c>
      <c r="B9" t="s">
        <v>132</v>
      </c>
    </row>
    <row r="10" spans="1:2" x14ac:dyDescent="0.25">
      <c r="B10" s="7" t="s">
        <v>136</v>
      </c>
    </row>
    <row r="11" spans="1:2" x14ac:dyDescent="0.25">
      <c r="B11" t="s">
        <v>133</v>
      </c>
    </row>
    <row r="12" spans="1:2" x14ac:dyDescent="0.25">
      <c r="B12" t="s">
        <v>134</v>
      </c>
    </row>
    <row r="13" spans="1:2" x14ac:dyDescent="0.25">
      <c r="B13" t="s">
        <v>135</v>
      </c>
    </row>
    <row r="14" spans="1:2" x14ac:dyDescent="0.25">
      <c r="B14" t="s">
        <v>137</v>
      </c>
    </row>
    <row r="15" spans="1:2" x14ac:dyDescent="0.25">
      <c r="B15" s="7" t="s">
        <v>138</v>
      </c>
    </row>
    <row r="16" spans="1:2" x14ac:dyDescent="0.25">
      <c r="B16" t="s">
        <v>139</v>
      </c>
    </row>
    <row r="17" spans="2:2" x14ac:dyDescent="0.25">
      <c r="B17" t="s">
        <v>140</v>
      </c>
    </row>
    <row r="18" spans="2:2" x14ac:dyDescent="0.25">
      <c r="B18" t="s">
        <v>141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workbookViewId="0">
      <selection activeCell="C29" sqref="C29"/>
    </sheetView>
  </sheetViews>
  <sheetFormatPr defaultRowHeight="15" x14ac:dyDescent="0.25"/>
  <cols>
    <col min="1" max="1" width="6.85546875" customWidth="1"/>
    <col min="2" max="2" width="50.5703125" customWidth="1"/>
    <col min="3" max="3" width="2.85546875" style="14" customWidth="1"/>
    <col min="4" max="4" width="19.140625" style="5" customWidth="1"/>
  </cols>
  <sheetData>
    <row r="1" spans="1:5" x14ac:dyDescent="0.25">
      <c r="A1" s="41" t="s">
        <v>37</v>
      </c>
      <c r="B1" s="41"/>
      <c r="C1" s="41"/>
      <c r="D1" s="41"/>
    </row>
    <row r="2" spans="1:5" x14ac:dyDescent="0.25">
      <c r="A2" s="42" t="s">
        <v>38</v>
      </c>
      <c r="B2" s="42"/>
      <c r="C2" s="42"/>
      <c r="D2" s="42"/>
    </row>
    <row r="3" spans="1:5" x14ac:dyDescent="0.25">
      <c r="A3" s="41" t="s">
        <v>39</v>
      </c>
      <c r="B3" s="41"/>
      <c r="C3" s="41"/>
      <c r="D3" s="41"/>
    </row>
    <row r="5" spans="1:5" x14ac:dyDescent="0.25">
      <c r="A5" t="s">
        <v>40</v>
      </c>
      <c r="C5" s="14" t="s">
        <v>25</v>
      </c>
      <c r="D5" s="5">
        <f>'FA-5'!M39</f>
        <v>1274600.0000000002</v>
      </c>
      <c r="E5" t="s">
        <v>122</v>
      </c>
    </row>
    <row r="6" spans="1:5" x14ac:dyDescent="0.25">
      <c r="A6" t="s">
        <v>41</v>
      </c>
      <c r="B6" t="s">
        <v>42</v>
      </c>
      <c r="D6" s="5">
        <f>D16</f>
        <v>53923</v>
      </c>
    </row>
    <row r="7" spans="1:5" x14ac:dyDescent="0.25">
      <c r="B7" t="s">
        <v>121</v>
      </c>
      <c r="D7" s="10">
        <f>D6*D21</f>
        <v>53238</v>
      </c>
    </row>
    <row r="8" spans="1:5" x14ac:dyDescent="0.25">
      <c r="A8" t="s">
        <v>44</v>
      </c>
      <c r="D8" s="15">
        <f>SUM(D5:D7)</f>
        <v>1381761.0000000002</v>
      </c>
      <c r="E8" t="s">
        <v>120</v>
      </c>
    </row>
    <row r="9" spans="1:5" x14ac:dyDescent="0.25">
      <c r="A9" t="s">
        <v>45</v>
      </c>
      <c r="B9" t="s">
        <v>26</v>
      </c>
      <c r="D9" s="5">
        <f>(-'FA-5'!G17)+'FA-5'!M15</f>
        <v>-70538</v>
      </c>
    </row>
    <row r="10" spans="1:5" x14ac:dyDescent="0.25">
      <c r="A10" t="s">
        <v>48</v>
      </c>
      <c r="D10" s="5">
        <f>SUM(D8:D9)</f>
        <v>1311223.0000000002</v>
      </c>
    </row>
    <row r="11" spans="1:5" x14ac:dyDescent="0.25">
      <c r="A11" t="s">
        <v>45</v>
      </c>
      <c r="B11" t="s">
        <v>49</v>
      </c>
      <c r="D11" s="5">
        <f>-'FA-5'!G11-'FA-5'!G15</f>
        <v>-1342974</v>
      </c>
      <c r="E11" t="s">
        <v>120</v>
      </c>
    </row>
    <row r="12" spans="1:5" ht="15.75" thickBot="1" x14ac:dyDescent="0.3">
      <c r="A12" t="s">
        <v>50</v>
      </c>
      <c r="C12" s="14" t="s">
        <v>25</v>
      </c>
      <c r="D12" s="6">
        <f>SUM(D10:D11)</f>
        <v>-31750.999999999767</v>
      </c>
    </row>
    <row r="13" spans="1:5" ht="15.75" thickTop="1" x14ac:dyDescent="0.25"/>
    <row r="14" spans="1:5" x14ac:dyDescent="0.25">
      <c r="A14" t="s">
        <v>51</v>
      </c>
    </row>
    <row r="15" spans="1:5" x14ac:dyDescent="0.25">
      <c r="B15" s="7" t="s">
        <v>42</v>
      </c>
    </row>
    <row r="16" spans="1:5" x14ac:dyDescent="0.25">
      <c r="B16" t="s">
        <v>77</v>
      </c>
      <c r="C16" s="14" t="s">
        <v>25</v>
      </c>
      <c r="D16" s="5">
        <v>53923</v>
      </c>
      <c r="E16" t="s">
        <v>118</v>
      </c>
    </row>
    <row r="17" spans="1:5" x14ac:dyDescent="0.25">
      <c r="B17" s="7" t="s">
        <v>43</v>
      </c>
      <c r="D17" s="10"/>
    </row>
    <row r="18" spans="1:5" x14ac:dyDescent="0.25">
      <c r="B18" t="s">
        <v>46</v>
      </c>
    </row>
    <row r="19" spans="1:5" x14ac:dyDescent="0.25">
      <c r="B19" t="s">
        <v>119</v>
      </c>
      <c r="C19" s="14" t="s">
        <v>25</v>
      </c>
      <c r="D19" s="5">
        <v>53238</v>
      </c>
      <c r="E19" t="s">
        <v>118</v>
      </c>
    </row>
    <row r="21" spans="1:5" x14ac:dyDescent="0.25">
      <c r="B21" t="s">
        <v>47</v>
      </c>
      <c r="D21" s="4">
        <f>D19/D16</f>
        <v>0.98729670085121379</v>
      </c>
    </row>
    <row r="23" spans="1:5" x14ac:dyDescent="0.25">
      <c r="A23" s="38" t="s">
        <v>118</v>
      </c>
      <c r="B23" s="7" t="s">
        <v>117</v>
      </c>
    </row>
    <row r="24" spans="1:5" x14ac:dyDescent="0.25">
      <c r="A24" s="38" t="s">
        <v>120</v>
      </c>
      <c r="B24" s="7" t="s">
        <v>123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6"/>
  <sheetViews>
    <sheetView workbookViewId="0">
      <selection activeCell="G12" sqref="G12"/>
    </sheetView>
  </sheetViews>
  <sheetFormatPr defaultRowHeight="15" x14ac:dyDescent="0.25"/>
  <cols>
    <col min="1" max="1" width="23.7109375" customWidth="1"/>
    <col min="2" max="2" width="1.85546875" customWidth="1"/>
    <col min="3" max="3" width="15.7109375" style="4" customWidth="1"/>
    <col min="4" max="4" width="1.85546875" customWidth="1"/>
    <col min="5" max="5" width="15.7109375" style="4" customWidth="1"/>
    <col min="6" max="6" width="1.85546875" customWidth="1"/>
    <col min="7" max="7" width="15.7109375" style="4" customWidth="1"/>
  </cols>
  <sheetData>
    <row r="2" spans="1:7" s="7" customFormat="1" ht="30" x14ac:dyDescent="0.25">
      <c r="C2" s="17" t="s">
        <v>70</v>
      </c>
      <c r="E2" s="17" t="s">
        <v>71</v>
      </c>
      <c r="G2" s="18" t="s">
        <v>72</v>
      </c>
    </row>
    <row r="3" spans="1:7" x14ac:dyDescent="0.25">
      <c r="A3" t="s">
        <v>56</v>
      </c>
      <c r="B3" t="s">
        <v>25</v>
      </c>
      <c r="C3" s="5">
        <f>'Residential Current Rates'!E26</f>
        <v>1256188.213</v>
      </c>
      <c r="D3" t="s">
        <v>25</v>
      </c>
      <c r="E3" s="5">
        <f>'Residential 10% Increase'!E26</f>
        <v>1381698.4982200002</v>
      </c>
      <c r="F3" t="s">
        <v>25</v>
      </c>
      <c r="G3" s="5">
        <f>E3-C3</f>
        <v>125510.28522000019</v>
      </c>
    </row>
    <row r="4" spans="1:7" x14ac:dyDescent="0.25">
      <c r="A4" t="s">
        <v>58</v>
      </c>
      <c r="C4" s="5">
        <f>' Commercial Current Rates'!E26</f>
        <v>52259.278980000003</v>
      </c>
      <c r="E4" s="5">
        <f>' Commercial 10% Increase'!E26</f>
        <v>57478.588880000003</v>
      </c>
      <c r="G4" s="5">
        <f t="shared" ref="G4" si="0">E4-C4</f>
        <v>5219.3099000000002</v>
      </c>
    </row>
    <row r="5" spans="1:7" ht="15.75" thickBot="1" x14ac:dyDescent="0.3">
      <c r="A5" t="s">
        <v>52</v>
      </c>
      <c r="B5" t="s">
        <v>25</v>
      </c>
      <c r="C5" s="6">
        <f>SUM(C3:C4)</f>
        <v>1308447.4919799999</v>
      </c>
      <c r="D5" t="s">
        <v>25</v>
      </c>
      <c r="E5" s="6">
        <f>SUM(E3:E4)</f>
        <v>1439177.0871000001</v>
      </c>
      <c r="F5" t="s">
        <v>25</v>
      </c>
      <c r="G5" s="6">
        <f>SUM(G3:G4)</f>
        <v>130729.59512000019</v>
      </c>
    </row>
    <row r="6" spans="1:7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7"/>
  <sheetViews>
    <sheetView workbookViewId="0">
      <selection activeCell="B32" sqref="B32"/>
    </sheetView>
  </sheetViews>
  <sheetFormatPr defaultRowHeight="15" x14ac:dyDescent="0.25"/>
  <cols>
    <col min="1" max="1" width="25.140625" customWidth="1"/>
    <col min="2" max="2" width="19" customWidth="1"/>
    <col min="3" max="3" width="16.28515625" customWidth="1"/>
    <col min="4" max="4" width="19.140625" customWidth="1"/>
    <col min="5" max="8" width="16.28515625" customWidth="1"/>
  </cols>
  <sheetData>
    <row r="1" spans="1:8" x14ac:dyDescent="0.25">
      <c r="H1" s="12" t="s">
        <v>16</v>
      </c>
    </row>
    <row r="2" spans="1:8" x14ac:dyDescent="0.25">
      <c r="A2" s="41" t="s">
        <v>99</v>
      </c>
      <c r="B2" s="41"/>
      <c r="C2" s="41"/>
      <c r="D2" s="41"/>
      <c r="E2" s="41"/>
      <c r="F2" s="41"/>
      <c r="G2" s="41"/>
      <c r="H2" s="41"/>
    </row>
    <row r="3" spans="1:8" x14ac:dyDescent="0.25">
      <c r="A3" s="41" t="s">
        <v>92</v>
      </c>
      <c r="B3" s="41"/>
      <c r="C3" s="41"/>
      <c r="D3" s="41"/>
      <c r="E3" s="41"/>
      <c r="F3" s="41"/>
      <c r="G3" s="41"/>
      <c r="H3" s="41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44"/>
      <c r="E6" s="44"/>
      <c r="F6" s="44"/>
      <c r="G6" s="44"/>
      <c r="H6" s="44"/>
    </row>
    <row r="8" spans="1:8" x14ac:dyDescent="0.25">
      <c r="A8" s="7" t="s">
        <v>2</v>
      </c>
      <c r="B8" s="1" t="s">
        <v>3</v>
      </c>
    </row>
    <row r="10" spans="1:8" s="2" customFormat="1" x14ac:dyDescent="0.25">
      <c r="A10" s="3" t="s">
        <v>82</v>
      </c>
      <c r="B10" s="3" t="s">
        <v>4</v>
      </c>
      <c r="C10" s="3" t="s">
        <v>91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5</v>
      </c>
    </row>
    <row r="11" spans="1:8" x14ac:dyDescent="0.25">
      <c r="A11" t="s">
        <v>83</v>
      </c>
      <c r="B11" s="20">
        <v>6492</v>
      </c>
      <c r="C11" s="20">
        <v>6220867</v>
      </c>
      <c r="D11" s="5">
        <v>6220867</v>
      </c>
      <c r="E11" s="5"/>
      <c r="F11" s="5"/>
      <c r="G11" s="5"/>
      <c r="H11" s="20">
        <v>6220867</v>
      </c>
    </row>
    <row r="12" spans="1:8" x14ac:dyDescent="0.25">
      <c r="A12" t="s">
        <v>97</v>
      </c>
      <c r="B12" s="20">
        <v>10484</v>
      </c>
      <c r="C12" s="20">
        <v>34938691</v>
      </c>
      <c r="D12" s="5">
        <v>20968000</v>
      </c>
      <c r="E12" s="5">
        <v>13970691</v>
      </c>
      <c r="F12" s="5"/>
      <c r="G12" s="5"/>
      <c r="H12" s="20">
        <v>34938691</v>
      </c>
    </row>
    <row r="13" spans="1:8" x14ac:dyDescent="0.25">
      <c r="A13" t="s">
        <v>98</v>
      </c>
      <c r="B13" s="20">
        <v>4226</v>
      </c>
      <c r="C13" s="20">
        <v>28206820</v>
      </c>
      <c r="D13" s="5">
        <v>8452000</v>
      </c>
      <c r="E13" s="5">
        <v>12678000</v>
      </c>
      <c r="F13" s="5">
        <v>7076820</v>
      </c>
      <c r="G13" s="5"/>
      <c r="H13" s="20">
        <v>28206820</v>
      </c>
    </row>
    <row r="14" spans="1:8" x14ac:dyDescent="0.25">
      <c r="A14" t="s">
        <v>84</v>
      </c>
      <c r="B14" s="20">
        <v>1250</v>
      </c>
      <c r="C14" s="20">
        <v>23915620</v>
      </c>
      <c r="D14" s="5">
        <v>2500000</v>
      </c>
      <c r="E14" s="5">
        <v>3750000</v>
      </c>
      <c r="F14" s="5">
        <v>6250000</v>
      </c>
      <c r="G14" s="5">
        <v>11415620</v>
      </c>
      <c r="H14" s="20">
        <v>23915620</v>
      </c>
    </row>
    <row r="15" spans="1:8" ht="15.75" thickBot="1" x14ac:dyDescent="0.3">
      <c r="A15" t="s">
        <v>11</v>
      </c>
      <c r="B15" s="6">
        <f t="shared" ref="B15:H15" si="0">SUM(B11:B14)</f>
        <v>22452</v>
      </c>
      <c r="C15" s="6">
        <f t="shared" si="0"/>
        <v>93281998</v>
      </c>
      <c r="D15" s="6">
        <f t="shared" si="0"/>
        <v>38140867</v>
      </c>
      <c r="E15" s="6">
        <f t="shared" si="0"/>
        <v>30398691</v>
      </c>
      <c r="F15" s="6">
        <f t="shared" si="0"/>
        <v>13326820</v>
      </c>
      <c r="G15" s="6">
        <f t="shared" si="0"/>
        <v>11415620</v>
      </c>
      <c r="H15" s="6">
        <f t="shared" si="0"/>
        <v>93281998</v>
      </c>
    </row>
    <row r="16" spans="1:8" ht="15.75" thickTop="1" x14ac:dyDescent="0.25"/>
    <row r="17" spans="1:5" x14ac:dyDescent="0.25">
      <c r="A17" s="43" t="s">
        <v>12</v>
      </c>
      <c r="B17" s="43"/>
      <c r="C17" s="43"/>
      <c r="D17" s="43"/>
      <c r="E17" s="43"/>
    </row>
    <row r="18" spans="1:5" x14ac:dyDescent="0.25">
      <c r="A18" s="44" t="s">
        <v>13</v>
      </c>
      <c r="B18" s="44"/>
      <c r="C18" s="44"/>
      <c r="D18" s="44"/>
      <c r="E18" s="44"/>
    </row>
    <row r="20" spans="1:5" x14ac:dyDescent="0.25">
      <c r="A20" s="3" t="s">
        <v>6</v>
      </c>
      <c r="B20" s="3" t="s">
        <v>4</v>
      </c>
      <c r="C20" s="3" t="s">
        <v>91</v>
      </c>
      <c r="D20" s="3" t="s">
        <v>90</v>
      </c>
      <c r="E20" s="3" t="s">
        <v>14</v>
      </c>
    </row>
    <row r="22" spans="1:5" x14ac:dyDescent="0.25">
      <c r="A22" t="s">
        <v>89</v>
      </c>
      <c r="B22" s="5">
        <f>B15</f>
        <v>22452</v>
      </c>
      <c r="C22" s="20">
        <v>6220867</v>
      </c>
      <c r="D22" s="8">
        <v>21.11</v>
      </c>
      <c r="E22" s="21">
        <f>B22*D22</f>
        <v>473961.72</v>
      </c>
    </row>
    <row r="23" spans="1:5" x14ac:dyDescent="0.25">
      <c r="A23" t="s">
        <v>97</v>
      </c>
      <c r="B23" s="5">
        <f>B12</f>
        <v>10484</v>
      </c>
      <c r="C23" s="20">
        <v>34938691</v>
      </c>
      <c r="D23" s="8">
        <v>10.199999999999999</v>
      </c>
      <c r="E23" s="22">
        <f>C23*0.0102</f>
        <v>356374.64820000005</v>
      </c>
    </row>
    <row r="24" spans="1:5" x14ac:dyDescent="0.25">
      <c r="A24" t="s">
        <v>98</v>
      </c>
      <c r="B24" s="5">
        <f>B13</f>
        <v>4226</v>
      </c>
      <c r="C24" s="20">
        <v>28206820</v>
      </c>
      <c r="D24" s="8">
        <v>8.73</v>
      </c>
      <c r="E24" s="22">
        <f>C24*0.00873</f>
        <v>246245.5386</v>
      </c>
    </row>
    <row r="25" spans="1:5" x14ac:dyDescent="0.25">
      <c r="A25" t="s">
        <v>84</v>
      </c>
      <c r="B25" s="5">
        <f>B14</f>
        <v>1250</v>
      </c>
      <c r="C25" s="20">
        <v>23915620</v>
      </c>
      <c r="D25" s="8">
        <v>7.51</v>
      </c>
      <c r="E25" s="22">
        <f>C25*0.00751</f>
        <v>179606.30619999999</v>
      </c>
    </row>
    <row r="26" spans="1:5" ht="15.75" thickBot="1" x14ac:dyDescent="0.3">
      <c r="A26" t="s">
        <v>11</v>
      </c>
      <c r="B26" s="10"/>
      <c r="C26" s="6">
        <f>SUM(C22:C25)</f>
        <v>93281998</v>
      </c>
      <c r="D26" s="9"/>
      <c r="E26" s="23">
        <f>SUM(E22:E25)</f>
        <v>1256188.213</v>
      </c>
    </row>
    <row r="27" spans="1:5" ht="15.75" thickTop="1" x14ac:dyDescent="0.25"/>
  </sheetData>
  <mergeCells count="6">
    <mergeCell ref="A5:H5"/>
    <mergeCell ref="A6:H6"/>
    <mergeCell ref="A17:E17"/>
    <mergeCell ref="A18:E18"/>
    <mergeCell ref="A2:H2"/>
    <mergeCell ref="A3:H3"/>
  </mergeCells>
  <pageMargins left="0.7" right="0.7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7"/>
  <sheetViews>
    <sheetView workbookViewId="0">
      <selection activeCell="E30" sqref="E30"/>
    </sheetView>
  </sheetViews>
  <sheetFormatPr defaultRowHeight="15" x14ac:dyDescent="0.25"/>
  <cols>
    <col min="1" max="1" width="25.140625" customWidth="1"/>
    <col min="2" max="2" width="19" customWidth="1"/>
    <col min="3" max="3" width="16.28515625" customWidth="1"/>
    <col min="4" max="4" width="19.140625" customWidth="1"/>
    <col min="5" max="8" width="16.28515625" customWidth="1"/>
  </cols>
  <sheetData>
    <row r="1" spans="1:8" x14ac:dyDescent="0.25">
      <c r="H1" s="12" t="s">
        <v>16</v>
      </c>
    </row>
    <row r="2" spans="1:8" x14ac:dyDescent="0.25">
      <c r="A2" s="41" t="s">
        <v>99</v>
      </c>
      <c r="B2" s="41"/>
      <c r="C2" s="41"/>
      <c r="D2" s="41"/>
      <c r="E2" s="41"/>
      <c r="F2" s="41"/>
      <c r="G2" s="41"/>
      <c r="H2" s="41"/>
    </row>
    <row r="3" spans="1:8" x14ac:dyDescent="0.25">
      <c r="A3" s="41" t="s">
        <v>92</v>
      </c>
      <c r="B3" s="41"/>
      <c r="C3" s="41"/>
      <c r="D3" s="41"/>
      <c r="E3" s="41"/>
      <c r="F3" s="41"/>
      <c r="G3" s="41"/>
      <c r="H3" s="41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1</v>
      </c>
      <c r="B6" s="44"/>
      <c r="C6" s="44"/>
      <c r="D6" s="44"/>
      <c r="E6" s="44"/>
      <c r="F6" s="44"/>
      <c r="G6" s="44"/>
      <c r="H6" s="44"/>
    </row>
    <row r="8" spans="1:8" x14ac:dyDescent="0.25">
      <c r="A8" s="7" t="s">
        <v>2</v>
      </c>
      <c r="B8" s="1" t="s">
        <v>3</v>
      </c>
    </row>
    <row r="10" spans="1:8" s="2" customFormat="1" x14ac:dyDescent="0.25">
      <c r="A10" s="3" t="s">
        <v>82</v>
      </c>
      <c r="B10" s="3" t="s">
        <v>4</v>
      </c>
      <c r="C10" s="3" t="s">
        <v>91</v>
      </c>
      <c r="D10" s="3" t="s">
        <v>85</v>
      </c>
      <c r="E10" s="3" t="s">
        <v>86</v>
      </c>
      <c r="F10" s="3" t="s">
        <v>87</v>
      </c>
      <c r="G10" s="3" t="s">
        <v>88</v>
      </c>
      <c r="H10" s="3" t="s">
        <v>5</v>
      </c>
    </row>
    <row r="11" spans="1:8" x14ac:dyDescent="0.25">
      <c r="A11" t="s">
        <v>83</v>
      </c>
      <c r="B11" s="20">
        <v>6492</v>
      </c>
      <c r="C11" s="20">
        <v>6220867</v>
      </c>
      <c r="D11" s="5">
        <v>6220867</v>
      </c>
      <c r="E11" s="5"/>
      <c r="F11" s="5"/>
      <c r="G11" s="5"/>
      <c r="H11" s="20">
        <v>6220867</v>
      </c>
    </row>
    <row r="12" spans="1:8" x14ac:dyDescent="0.25">
      <c r="A12" t="s">
        <v>97</v>
      </c>
      <c r="B12" s="20">
        <v>10484</v>
      </c>
      <c r="C12" s="20">
        <v>34938691</v>
      </c>
      <c r="D12" s="5">
        <v>20968000</v>
      </c>
      <c r="E12" s="5">
        <v>13970691</v>
      </c>
      <c r="F12" s="5"/>
      <c r="G12" s="5"/>
      <c r="H12" s="20">
        <v>34938691</v>
      </c>
    </row>
    <row r="13" spans="1:8" x14ac:dyDescent="0.25">
      <c r="A13" t="s">
        <v>98</v>
      </c>
      <c r="B13" s="20">
        <v>4226</v>
      </c>
      <c r="C13" s="20">
        <v>28206820</v>
      </c>
      <c r="D13" s="5">
        <v>8452000</v>
      </c>
      <c r="E13" s="5">
        <v>12678000</v>
      </c>
      <c r="F13" s="5">
        <v>7076820</v>
      </c>
      <c r="G13" s="5"/>
      <c r="H13" s="20">
        <v>28206820</v>
      </c>
    </row>
    <row r="14" spans="1:8" x14ac:dyDescent="0.25">
      <c r="A14" t="s">
        <v>84</v>
      </c>
      <c r="B14" s="20">
        <v>1250</v>
      </c>
      <c r="C14" s="20">
        <v>23915620</v>
      </c>
      <c r="D14" s="5">
        <v>2500000</v>
      </c>
      <c r="E14" s="5">
        <v>3750000</v>
      </c>
      <c r="F14" s="5">
        <v>6250000</v>
      </c>
      <c r="G14" s="5">
        <v>11415620</v>
      </c>
      <c r="H14" s="20">
        <v>23915620</v>
      </c>
    </row>
    <row r="15" spans="1:8" ht="15.75" thickBot="1" x14ac:dyDescent="0.3">
      <c r="A15" t="s">
        <v>11</v>
      </c>
      <c r="B15" s="6">
        <f t="shared" ref="B15:H15" si="0">SUM(B11:B14)</f>
        <v>22452</v>
      </c>
      <c r="C15" s="6">
        <f t="shared" si="0"/>
        <v>93281998</v>
      </c>
      <c r="D15" s="6">
        <f t="shared" si="0"/>
        <v>38140867</v>
      </c>
      <c r="E15" s="6">
        <f t="shared" si="0"/>
        <v>30398691</v>
      </c>
      <c r="F15" s="6">
        <f t="shared" si="0"/>
        <v>13326820</v>
      </c>
      <c r="G15" s="6">
        <f t="shared" si="0"/>
        <v>11415620</v>
      </c>
      <c r="H15" s="6">
        <f t="shared" si="0"/>
        <v>93281998</v>
      </c>
    </row>
    <row r="16" spans="1:8" ht="15.75" thickTop="1" x14ac:dyDescent="0.25"/>
    <row r="17" spans="1:5" x14ac:dyDescent="0.25">
      <c r="A17" s="43" t="s">
        <v>12</v>
      </c>
      <c r="B17" s="43"/>
      <c r="C17" s="43"/>
      <c r="D17" s="43"/>
      <c r="E17" s="43"/>
    </row>
    <row r="18" spans="1:5" x14ac:dyDescent="0.25">
      <c r="A18" s="44" t="s">
        <v>13</v>
      </c>
      <c r="B18" s="44"/>
      <c r="C18" s="44"/>
      <c r="D18" s="44"/>
      <c r="E18" s="44"/>
    </row>
    <row r="20" spans="1:5" x14ac:dyDescent="0.25">
      <c r="A20" s="3" t="s">
        <v>6</v>
      </c>
      <c r="B20" s="3" t="s">
        <v>4</v>
      </c>
      <c r="C20" s="3" t="s">
        <v>91</v>
      </c>
      <c r="D20" s="3" t="s">
        <v>90</v>
      </c>
      <c r="E20" s="3" t="s">
        <v>14</v>
      </c>
    </row>
    <row r="22" spans="1:5" x14ac:dyDescent="0.25">
      <c r="A22" t="s">
        <v>89</v>
      </c>
      <c r="B22" s="5">
        <f>B15</f>
        <v>22452</v>
      </c>
      <c r="C22" s="20">
        <v>6220867</v>
      </c>
      <c r="D22" s="8">
        <f>21.11*1.1</f>
        <v>23.221</v>
      </c>
      <c r="E22" s="21">
        <f>B22*D22</f>
        <v>521357.89199999999</v>
      </c>
    </row>
    <row r="23" spans="1:5" x14ac:dyDescent="0.25">
      <c r="A23" t="s">
        <v>97</v>
      </c>
      <c r="B23" s="5">
        <f>B12</f>
        <v>10484</v>
      </c>
      <c r="C23" s="20">
        <v>34938691</v>
      </c>
      <c r="D23" s="8">
        <f>10.2*1.1</f>
        <v>11.22</v>
      </c>
      <c r="E23" s="22">
        <f>C23*0.01122</f>
        <v>392012.11302000005</v>
      </c>
    </row>
    <row r="24" spans="1:5" x14ac:dyDescent="0.25">
      <c r="A24" t="s">
        <v>98</v>
      </c>
      <c r="B24" s="5">
        <f>B13</f>
        <v>4226</v>
      </c>
      <c r="C24" s="20">
        <v>28206820</v>
      </c>
      <c r="D24" s="8">
        <f>8.73*1.1</f>
        <v>9.6030000000000015</v>
      </c>
      <c r="E24" s="22">
        <f>C24*0.0096</f>
        <v>270785.47199999995</v>
      </c>
    </row>
    <row r="25" spans="1:5" x14ac:dyDescent="0.25">
      <c r="A25" t="s">
        <v>84</v>
      </c>
      <c r="B25" s="5">
        <f>B14</f>
        <v>1250</v>
      </c>
      <c r="C25" s="20">
        <v>23915620</v>
      </c>
      <c r="D25" s="8">
        <f>7.51*1.1</f>
        <v>8.261000000000001</v>
      </c>
      <c r="E25" s="22">
        <f>C25*0.00826</f>
        <v>197543.02119999999</v>
      </c>
    </row>
    <row r="26" spans="1:5" ht="15.75" thickBot="1" x14ac:dyDescent="0.3">
      <c r="A26" t="s">
        <v>11</v>
      </c>
      <c r="B26" s="10"/>
      <c r="C26" s="6">
        <f>SUM(C22:C25)</f>
        <v>93281998</v>
      </c>
      <c r="D26" s="9"/>
      <c r="E26" s="23">
        <f>SUM(E22:E25)</f>
        <v>1381698.4982200002</v>
      </c>
    </row>
    <row r="27" spans="1:5" ht="15.75" thickTop="1" x14ac:dyDescent="0.25"/>
  </sheetData>
  <mergeCells count="6">
    <mergeCell ref="A18:E18"/>
    <mergeCell ref="A2:H2"/>
    <mergeCell ref="A3:H3"/>
    <mergeCell ref="A5:H5"/>
    <mergeCell ref="A6:H6"/>
    <mergeCell ref="A17:E17"/>
  </mergeCells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7"/>
  <sheetViews>
    <sheetView workbookViewId="0">
      <selection activeCell="E26" sqref="E26"/>
    </sheetView>
  </sheetViews>
  <sheetFormatPr defaultRowHeight="15" x14ac:dyDescent="0.25"/>
  <cols>
    <col min="1" max="1" width="25.140625" customWidth="1"/>
    <col min="2" max="2" width="19" customWidth="1"/>
    <col min="3" max="3" width="16.28515625" customWidth="1"/>
    <col min="4" max="4" width="19.140625" customWidth="1"/>
    <col min="5" max="8" width="16.28515625" customWidth="1"/>
    <col min="12" max="13" width="13.7109375" bestFit="1" customWidth="1"/>
    <col min="14" max="14" width="11.140625" bestFit="1" customWidth="1"/>
    <col min="15" max="15" width="12.140625" bestFit="1" customWidth="1"/>
  </cols>
  <sheetData>
    <row r="1" spans="1:16" x14ac:dyDescent="0.25">
      <c r="A1" s="41" t="s">
        <v>99</v>
      </c>
      <c r="B1" s="41"/>
      <c r="C1" s="41"/>
      <c r="D1" s="41"/>
      <c r="E1" s="41"/>
      <c r="F1" s="41"/>
      <c r="G1" s="41"/>
      <c r="H1" s="41"/>
    </row>
    <row r="2" spans="1:16" x14ac:dyDescent="0.25">
      <c r="A2" s="41" t="s">
        <v>92</v>
      </c>
      <c r="B2" s="41"/>
      <c r="C2" s="41"/>
      <c r="D2" s="41"/>
      <c r="E2" s="41"/>
      <c r="F2" s="41"/>
      <c r="G2" s="41"/>
      <c r="H2" s="41"/>
    </row>
    <row r="4" spans="1:16" x14ac:dyDescent="0.25">
      <c r="A4" s="43" t="s">
        <v>0</v>
      </c>
      <c r="B4" s="43"/>
      <c r="C4" s="43"/>
      <c r="D4" s="43"/>
      <c r="E4" s="43"/>
      <c r="F4" s="43"/>
      <c r="G4" s="43"/>
      <c r="H4" s="43"/>
    </row>
    <row r="5" spans="1:16" x14ac:dyDescent="0.25">
      <c r="A5" s="44" t="s">
        <v>1</v>
      </c>
      <c r="B5" s="44"/>
      <c r="C5" s="44"/>
      <c r="D5" s="44"/>
      <c r="E5" s="44"/>
      <c r="F5" s="44"/>
      <c r="G5" s="44"/>
      <c r="H5" s="44"/>
    </row>
    <row r="7" spans="1:16" x14ac:dyDescent="0.25">
      <c r="A7" s="7" t="s">
        <v>2</v>
      </c>
      <c r="B7" s="1" t="s">
        <v>15</v>
      </c>
    </row>
    <row r="9" spans="1:16" s="2" customFormat="1" x14ac:dyDescent="0.25">
      <c r="A9" s="3" t="s">
        <v>93</v>
      </c>
      <c r="B9" s="3" t="s">
        <v>4</v>
      </c>
      <c r="C9" s="3" t="s">
        <v>91</v>
      </c>
      <c r="D9" s="3" t="s">
        <v>85</v>
      </c>
      <c r="E9" s="3" t="s">
        <v>86</v>
      </c>
      <c r="F9" s="3" t="s">
        <v>87</v>
      </c>
      <c r="G9" s="3" t="s">
        <v>94</v>
      </c>
      <c r="H9" s="3" t="s">
        <v>5</v>
      </c>
      <c r="L9" s="11"/>
      <c r="M9" s="11"/>
      <c r="N9" s="11"/>
      <c r="O9" s="11"/>
      <c r="P9" s="11"/>
    </row>
    <row r="11" spans="1:16" x14ac:dyDescent="0.25">
      <c r="A11" t="s">
        <v>79</v>
      </c>
      <c r="B11" s="20">
        <v>116</v>
      </c>
      <c r="C11" s="20">
        <v>327436</v>
      </c>
      <c r="D11" s="5">
        <v>327436</v>
      </c>
      <c r="E11" s="5"/>
      <c r="F11" s="5"/>
      <c r="G11" s="5"/>
      <c r="H11" s="5">
        <v>327436</v>
      </c>
    </row>
    <row r="12" spans="1:16" x14ac:dyDescent="0.25">
      <c r="A12" t="s">
        <v>95</v>
      </c>
      <c r="B12" s="20">
        <v>69</v>
      </c>
      <c r="C12" s="20">
        <v>931570</v>
      </c>
      <c r="D12" s="5">
        <v>138000</v>
      </c>
      <c r="E12" s="5">
        <v>793570</v>
      </c>
      <c r="F12" s="5"/>
      <c r="G12" s="5"/>
      <c r="H12" s="5">
        <v>931570</v>
      </c>
    </row>
    <row r="13" spans="1:16" x14ac:dyDescent="0.25">
      <c r="A13" t="s">
        <v>80</v>
      </c>
      <c r="B13" s="20">
        <v>56</v>
      </c>
      <c r="C13" s="20">
        <v>1037050</v>
      </c>
      <c r="D13" s="5">
        <v>112000</v>
      </c>
      <c r="E13" s="5">
        <v>168000</v>
      </c>
      <c r="F13" s="5">
        <v>757050</v>
      </c>
      <c r="G13" s="5"/>
      <c r="H13" s="5">
        <v>1037050</v>
      </c>
    </row>
    <row r="14" spans="1:16" x14ac:dyDescent="0.25">
      <c r="A14" t="s">
        <v>81</v>
      </c>
      <c r="B14" s="20">
        <v>108</v>
      </c>
      <c r="C14" s="20">
        <v>3506848</v>
      </c>
      <c r="D14" s="5">
        <v>216000</v>
      </c>
      <c r="E14" s="5">
        <v>324000</v>
      </c>
      <c r="F14" s="5">
        <v>216000</v>
      </c>
      <c r="G14" s="5">
        <v>2750848</v>
      </c>
      <c r="H14" s="5">
        <v>3506848</v>
      </c>
    </row>
    <row r="15" spans="1:16" ht="15.75" thickBot="1" x14ac:dyDescent="0.3">
      <c r="A15" t="s">
        <v>11</v>
      </c>
      <c r="B15" s="6">
        <f t="shared" ref="B15:H15" si="0">SUM(B11:B14)</f>
        <v>349</v>
      </c>
      <c r="C15" s="6">
        <f t="shared" si="0"/>
        <v>5802904</v>
      </c>
      <c r="D15" s="6">
        <f t="shared" si="0"/>
        <v>793436</v>
      </c>
      <c r="E15" s="6">
        <f t="shared" si="0"/>
        <v>1285570</v>
      </c>
      <c r="F15" s="6">
        <f t="shared" si="0"/>
        <v>973050</v>
      </c>
      <c r="G15" s="6">
        <f t="shared" si="0"/>
        <v>2750848</v>
      </c>
      <c r="H15" s="6">
        <f t="shared" si="0"/>
        <v>5802904</v>
      </c>
    </row>
    <row r="16" spans="1:16" ht="15.75" thickTop="1" x14ac:dyDescent="0.25"/>
    <row r="17" spans="1:5" x14ac:dyDescent="0.25">
      <c r="A17" s="43" t="s">
        <v>12</v>
      </c>
      <c r="B17" s="43"/>
      <c r="C17" s="43"/>
      <c r="D17" s="43"/>
      <c r="E17" s="43"/>
    </row>
    <row r="18" spans="1:5" x14ac:dyDescent="0.25">
      <c r="A18" s="44" t="s">
        <v>13</v>
      </c>
      <c r="B18" s="44"/>
      <c r="C18" s="44"/>
      <c r="D18" s="44"/>
      <c r="E18" s="44"/>
    </row>
    <row r="20" spans="1:5" x14ac:dyDescent="0.25">
      <c r="A20" s="3" t="s">
        <v>93</v>
      </c>
      <c r="B20" s="3" t="s">
        <v>4</v>
      </c>
      <c r="C20" s="3" t="s">
        <v>91</v>
      </c>
      <c r="D20" s="3" t="s">
        <v>90</v>
      </c>
      <c r="E20" s="3" t="s">
        <v>14</v>
      </c>
    </row>
    <row r="22" spans="1:5" x14ac:dyDescent="0.25">
      <c r="A22" t="s">
        <v>79</v>
      </c>
      <c r="B22" s="5">
        <v>349</v>
      </c>
      <c r="C22" s="5">
        <v>327436</v>
      </c>
      <c r="D22" s="8">
        <f>'Current and Proposed Rates'!C13</f>
        <v>21.11</v>
      </c>
      <c r="E22" s="21">
        <f>B22*D22</f>
        <v>7367.3899999999994</v>
      </c>
    </row>
    <row r="23" spans="1:5" x14ac:dyDescent="0.25">
      <c r="A23" t="s">
        <v>96</v>
      </c>
      <c r="B23" s="5">
        <f t="shared" ref="B23:B25" si="1">B12</f>
        <v>69</v>
      </c>
      <c r="C23" s="5">
        <v>931570</v>
      </c>
      <c r="D23" s="8">
        <f>'Current and Proposed Rates'!C14</f>
        <v>10.199999999999999</v>
      </c>
      <c r="E23" s="5">
        <f>C23*0.0102</f>
        <v>9502.014000000001</v>
      </c>
    </row>
    <row r="24" spans="1:5" x14ac:dyDescent="0.25">
      <c r="A24" t="s">
        <v>80</v>
      </c>
      <c r="B24" s="5">
        <f t="shared" si="1"/>
        <v>56</v>
      </c>
      <c r="C24" s="5">
        <v>1037050</v>
      </c>
      <c r="D24" s="8">
        <f>'Current and Proposed Rates'!C15</f>
        <v>8.73</v>
      </c>
      <c r="E24" s="5">
        <f>C24*0.00873</f>
        <v>9053.4465</v>
      </c>
    </row>
    <row r="25" spans="1:5" x14ac:dyDescent="0.25">
      <c r="A25" t="s">
        <v>81</v>
      </c>
      <c r="B25" s="5">
        <f t="shared" si="1"/>
        <v>108</v>
      </c>
      <c r="C25" s="5">
        <v>3506848</v>
      </c>
      <c r="D25" s="8">
        <f>'Current and Proposed Rates'!C16</f>
        <v>7.51</v>
      </c>
      <c r="E25" s="5">
        <f>C25*0.00751</f>
        <v>26336.428480000002</v>
      </c>
    </row>
    <row r="26" spans="1:5" ht="15.75" thickBot="1" x14ac:dyDescent="0.3">
      <c r="A26" t="s">
        <v>11</v>
      </c>
      <c r="B26" s="10"/>
      <c r="C26" s="6">
        <f>SUM(C22:C25)</f>
        <v>5802904</v>
      </c>
      <c r="D26" s="9"/>
      <c r="E26" s="23">
        <f>SUM(E22:E25)</f>
        <v>52259.278980000003</v>
      </c>
    </row>
    <row r="27" spans="1:5" ht="15.75" thickTop="1" x14ac:dyDescent="0.25"/>
  </sheetData>
  <mergeCells count="6">
    <mergeCell ref="A18:E18"/>
    <mergeCell ref="A1:H1"/>
    <mergeCell ref="A2:H2"/>
    <mergeCell ref="A4:H4"/>
    <mergeCell ref="A5:H5"/>
    <mergeCell ref="A17:E17"/>
  </mergeCells>
  <pageMargins left="0.7" right="0.7" top="0.75" bottom="0.75" header="0.3" footer="0.3"/>
  <pageSetup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7"/>
  <sheetViews>
    <sheetView workbookViewId="0">
      <selection activeCell="E30" sqref="E30"/>
    </sheetView>
  </sheetViews>
  <sheetFormatPr defaultRowHeight="15" x14ac:dyDescent="0.25"/>
  <cols>
    <col min="1" max="1" width="25.140625" customWidth="1"/>
    <col min="2" max="2" width="19" customWidth="1"/>
    <col min="3" max="3" width="16.28515625" customWidth="1"/>
    <col min="4" max="4" width="19.140625" customWidth="1"/>
    <col min="5" max="8" width="16.28515625" customWidth="1"/>
    <col min="12" max="13" width="13.7109375" bestFit="1" customWidth="1"/>
    <col min="14" max="14" width="11.140625" bestFit="1" customWidth="1"/>
    <col min="15" max="15" width="12.140625" bestFit="1" customWidth="1"/>
  </cols>
  <sheetData>
    <row r="1" spans="1:16" x14ac:dyDescent="0.25">
      <c r="A1" s="41" t="s">
        <v>99</v>
      </c>
      <c r="B1" s="41"/>
      <c r="C1" s="41"/>
      <c r="D1" s="41"/>
      <c r="E1" s="41"/>
      <c r="F1" s="41"/>
      <c r="G1" s="41"/>
      <c r="H1" s="41"/>
    </row>
    <row r="2" spans="1:16" x14ac:dyDescent="0.25">
      <c r="A2" s="41" t="s">
        <v>92</v>
      </c>
      <c r="B2" s="41"/>
      <c r="C2" s="41"/>
      <c r="D2" s="41"/>
      <c r="E2" s="41"/>
      <c r="F2" s="41"/>
      <c r="G2" s="41"/>
      <c r="H2" s="41"/>
    </row>
    <row r="4" spans="1:16" x14ac:dyDescent="0.25">
      <c r="A4" s="43" t="s">
        <v>0</v>
      </c>
      <c r="B4" s="43"/>
      <c r="C4" s="43"/>
      <c r="D4" s="43"/>
      <c r="E4" s="43"/>
      <c r="F4" s="43"/>
      <c r="G4" s="43"/>
      <c r="H4" s="43"/>
    </row>
    <row r="5" spans="1:16" x14ac:dyDescent="0.25">
      <c r="A5" s="44" t="s">
        <v>1</v>
      </c>
      <c r="B5" s="44"/>
      <c r="C5" s="44"/>
      <c r="D5" s="44"/>
      <c r="E5" s="44"/>
      <c r="F5" s="44"/>
      <c r="G5" s="44"/>
      <c r="H5" s="44"/>
    </row>
    <row r="7" spans="1:16" x14ac:dyDescent="0.25">
      <c r="A7" s="7" t="s">
        <v>2</v>
      </c>
      <c r="B7" s="1" t="s">
        <v>15</v>
      </c>
    </row>
    <row r="9" spans="1:16" s="2" customFormat="1" x14ac:dyDescent="0.25">
      <c r="A9" s="3" t="s">
        <v>93</v>
      </c>
      <c r="B9" s="3" t="s">
        <v>4</v>
      </c>
      <c r="C9" s="3" t="s">
        <v>91</v>
      </c>
      <c r="D9" s="3" t="s">
        <v>85</v>
      </c>
      <c r="E9" s="3" t="s">
        <v>86</v>
      </c>
      <c r="F9" s="3" t="s">
        <v>87</v>
      </c>
      <c r="G9" s="3" t="s">
        <v>94</v>
      </c>
      <c r="H9" s="3" t="s">
        <v>5</v>
      </c>
      <c r="L9" s="11"/>
      <c r="M9" s="11"/>
      <c r="N9" s="11"/>
      <c r="O9" s="11"/>
      <c r="P9" s="11"/>
    </row>
    <row r="11" spans="1:16" x14ac:dyDescent="0.25">
      <c r="A11" t="s">
        <v>79</v>
      </c>
      <c r="B11" s="20">
        <v>116</v>
      </c>
      <c r="C11" s="20">
        <v>327436</v>
      </c>
      <c r="D11" s="5">
        <v>327436</v>
      </c>
      <c r="E11" s="5"/>
      <c r="F11" s="5"/>
      <c r="G11" s="5"/>
      <c r="H11" s="5">
        <v>327436</v>
      </c>
    </row>
    <row r="12" spans="1:16" x14ac:dyDescent="0.25">
      <c r="A12" t="s">
        <v>95</v>
      </c>
      <c r="B12" s="20">
        <v>69</v>
      </c>
      <c r="C12" s="20">
        <v>931570</v>
      </c>
      <c r="D12" s="5">
        <v>138000</v>
      </c>
      <c r="E12" s="5">
        <v>793570</v>
      </c>
      <c r="F12" s="5"/>
      <c r="G12" s="5"/>
      <c r="H12" s="5">
        <v>931570</v>
      </c>
    </row>
    <row r="13" spans="1:16" x14ac:dyDescent="0.25">
      <c r="A13" t="s">
        <v>80</v>
      </c>
      <c r="B13" s="20">
        <v>56</v>
      </c>
      <c r="C13" s="20">
        <v>1037050</v>
      </c>
      <c r="D13" s="5">
        <v>112000</v>
      </c>
      <c r="E13" s="5">
        <v>168000</v>
      </c>
      <c r="F13" s="5">
        <v>757050</v>
      </c>
      <c r="G13" s="5"/>
      <c r="H13" s="5">
        <v>1037050</v>
      </c>
    </row>
    <row r="14" spans="1:16" x14ac:dyDescent="0.25">
      <c r="A14" t="s">
        <v>81</v>
      </c>
      <c r="B14" s="20">
        <v>108</v>
      </c>
      <c r="C14" s="20">
        <v>3506848</v>
      </c>
      <c r="D14" s="5">
        <v>216000</v>
      </c>
      <c r="E14" s="5">
        <v>324000</v>
      </c>
      <c r="F14" s="5">
        <v>216000</v>
      </c>
      <c r="G14" s="5">
        <v>2750848</v>
      </c>
      <c r="H14" s="5">
        <v>3506848</v>
      </c>
    </row>
    <row r="15" spans="1:16" ht="15.75" thickBot="1" x14ac:dyDescent="0.3">
      <c r="A15" t="s">
        <v>11</v>
      </c>
      <c r="B15" s="6">
        <f t="shared" ref="B15:H15" si="0">SUM(B11:B14)</f>
        <v>349</v>
      </c>
      <c r="C15" s="6">
        <f t="shared" si="0"/>
        <v>5802904</v>
      </c>
      <c r="D15" s="6">
        <f t="shared" si="0"/>
        <v>793436</v>
      </c>
      <c r="E15" s="6">
        <f t="shared" si="0"/>
        <v>1285570</v>
      </c>
      <c r="F15" s="6">
        <f t="shared" si="0"/>
        <v>973050</v>
      </c>
      <c r="G15" s="6">
        <f t="shared" si="0"/>
        <v>2750848</v>
      </c>
      <c r="H15" s="6">
        <f t="shared" si="0"/>
        <v>5802904</v>
      </c>
    </row>
    <row r="16" spans="1:16" ht="15.75" thickTop="1" x14ac:dyDescent="0.25"/>
    <row r="17" spans="1:5" x14ac:dyDescent="0.25">
      <c r="A17" s="43" t="s">
        <v>12</v>
      </c>
      <c r="B17" s="43"/>
      <c r="C17" s="43"/>
      <c r="D17" s="43"/>
      <c r="E17" s="43"/>
    </row>
    <row r="18" spans="1:5" x14ac:dyDescent="0.25">
      <c r="A18" s="44" t="s">
        <v>13</v>
      </c>
      <c r="B18" s="44"/>
      <c r="C18" s="44"/>
      <c r="D18" s="44"/>
      <c r="E18" s="44"/>
    </row>
    <row r="20" spans="1:5" x14ac:dyDescent="0.25">
      <c r="A20" s="3" t="s">
        <v>93</v>
      </c>
      <c r="B20" s="3" t="s">
        <v>4</v>
      </c>
      <c r="C20" s="3" t="s">
        <v>91</v>
      </c>
      <c r="D20" s="3" t="s">
        <v>90</v>
      </c>
      <c r="E20" s="3" t="s">
        <v>14</v>
      </c>
    </row>
    <row r="22" spans="1:5" x14ac:dyDescent="0.25">
      <c r="A22" t="s">
        <v>79</v>
      </c>
      <c r="B22" s="5">
        <v>349</v>
      </c>
      <c r="C22" s="5">
        <v>327436</v>
      </c>
      <c r="D22" s="8">
        <f>'Current and Proposed Rates'!C13*1.1</f>
        <v>23.221</v>
      </c>
      <c r="E22" s="21">
        <f>B22*D22</f>
        <v>8104.1289999999999</v>
      </c>
    </row>
    <row r="23" spans="1:5" x14ac:dyDescent="0.25">
      <c r="A23" t="s">
        <v>96</v>
      </c>
      <c r="B23" s="5">
        <f t="shared" ref="B23:B25" si="1">B12</f>
        <v>69</v>
      </c>
      <c r="C23" s="5">
        <v>931570</v>
      </c>
      <c r="D23" s="8">
        <f>'Current and Proposed Rates'!C14*1.1</f>
        <v>11.22</v>
      </c>
      <c r="E23" s="22">
        <f>C23*0.01122</f>
        <v>10452.215400000001</v>
      </c>
    </row>
    <row r="24" spans="1:5" x14ac:dyDescent="0.25">
      <c r="A24" t="s">
        <v>80</v>
      </c>
      <c r="B24" s="5">
        <f t="shared" si="1"/>
        <v>56</v>
      </c>
      <c r="C24" s="5">
        <v>1037050</v>
      </c>
      <c r="D24" s="8">
        <f>'Current and Proposed Rates'!C15*1.1</f>
        <v>9.6030000000000015</v>
      </c>
      <c r="E24" s="22">
        <f>C24*0.0096</f>
        <v>9955.6799999999985</v>
      </c>
    </row>
    <row r="25" spans="1:5" x14ac:dyDescent="0.25">
      <c r="A25" t="s">
        <v>81</v>
      </c>
      <c r="B25" s="5">
        <f t="shared" si="1"/>
        <v>108</v>
      </c>
      <c r="C25" s="5">
        <v>3506848</v>
      </c>
      <c r="D25" s="8">
        <f>'Current and Proposed Rates'!C16*1.1</f>
        <v>8.261000000000001</v>
      </c>
      <c r="E25" s="22">
        <f>C25*0.00826</f>
        <v>28966.564480000001</v>
      </c>
    </row>
    <row r="26" spans="1:5" ht="15.75" thickBot="1" x14ac:dyDescent="0.3">
      <c r="A26" t="s">
        <v>11</v>
      </c>
      <c r="B26" s="10"/>
      <c r="C26" s="6">
        <f>SUM(C22:C25)</f>
        <v>5802904</v>
      </c>
      <c r="D26" s="9"/>
      <c r="E26" s="23">
        <f>SUM(E22:E25)</f>
        <v>57478.588880000003</v>
      </c>
    </row>
    <row r="27" spans="1:5" ht="15.75" thickTop="1" x14ac:dyDescent="0.25"/>
  </sheetData>
  <mergeCells count="6">
    <mergeCell ref="A18:E18"/>
    <mergeCell ref="A1:H1"/>
    <mergeCell ref="A2:H2"/>
    <mergeCell ref="A4:H4"/>
    <mergeCell ref="A5:H5"/>
    <mergeCell ref="A17:E17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Current and Proposed Rates</vt:lpstr>
      <vt:lpstr>FA-5</vt:lpstr>
      <vt:lpstr>10 A&amp;B</vt:lpstr>
      <vt:lpstr>FA-6</vt:lpstr>
      <vt:lpstr>FA-4A</vt:lpstr>
      <vt:lpstr>Residential Current Rates</vt:lpstr>
      <vt:lpstr>Residential 10% Increase</vt:lpstr>
      <vt:lpstr> Commercial Current Rates</vt:lpstr>
      <vt:lpstr> Commercial 10% Increase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Artie White</dc:creator>
  <cp:lastModifiedBy>Ashley Owens</cp:lastModifiedBy>
  <cp:lastPrinted>2020-08-04T15:26:42Z</cp:lastPrinted>
  <dcterms:created xsi:type="dcterms:W3CDTF">2020-07-31T14:22:43Z</dcterms:created>
  <dcterms:modified xsi:type="dcterms:W3CDTF">2023-10-11T18:34:42Z</dcterms:modified>
</cp:coreProperties>
</file>