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0cf388960f744e43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Rate Analysis\2023\ARF Supplemental Requests\17 19_Billing_Analysis_and_Cost_of_Service\"/>
    </mc:Choice>
  </mc:AlternateContent>
  <xr:revisionPtr revIDLastSave="0" documentId="13_ncr:1_{AA4E4CC5-BBDE-460A-8535-0CDC4D81B62E}" xr6:coauthVersionLast="47" xr6:coauthVersionMax="47" xr10:uidLastSave="{00000000-0000-0000-0000-000000000000}"/>
  <bookViews>
    <workbookView xWindow="-108" yWindow="-108" windowWidth="23256" windowHeight="12576" tabRatio="655" xr2:uid="{81BC2775-36FB-4C36-9409-D1FA02229A9F}"/>
  </bookViews>
  <sheets>
    <sheet name="SAO" sheetId="6" r:id="rId1"/>
    <sheet name="Adj" sheetId="31" r:id="rId2"/>
    <sheet name="Adj_EE" sheetId="47" r:id="rId3"/>
    <sheet name="Adj_Ben" sheetId="55" r:id="rId4"/>
    <sheet name="Resale" sheetId="42" r:id="rId5"/>
    <sheet name="DeprAdj" sheetId="46" r:id="rId6"/>
    <sheet name="DSch" sheetId="45" r:id="rId7"/>
    <sheet name="Sys" sheetId="24" r:id="rId8"/>
    <sheet name="Fac" sheetId="25" r:id="rId9"/>
    <sheet name="Al_DepW" sheetId="33" r:id="rId10"/>
    <sheet name="mtrx" sheetId="43" r:id="rId11"/>
    <sheet name="Whol" sheetId="22" r:id="rId12"/>
    <sheet name="AlocOM_R" sheetId="26" r:id="rId13"/>
    <sheet name="AlocSum" sheetId="27" r:id="rId14"/>
    <sheet name="CalcRet" sheetId="28" r:id="rId15"/>
    <sheet name="ExBA" sheetId="10" r:id="rId16"/>
    <sheet name="PrBA" sheetId="35" r:id="rId17"/>
    <sheet name="BaData" sheetId="49" r:id="rId18"/>
    <sheet name="Rates" sheetId="2" r:id="rId19"/>
    <sheet name="Usage" sheetId="51" r:id="rId20"/>
    <sheet name="Use_Dtl" sheetId="52" r:id="rId21"/>
    <sheet name="avg bills" sheetId="44" r:id="rId22"/>
    <sheet name="Bills" sheetId="41" r:id="rId23"/>
    <sheet name="Ratios" sheetId="36" r:id="rId24"/>
    <sheet name="Top10" sheetId="48" r:id="rId25"/>
  </sheets>
  <definedNames>
    <definedName name="_xlnm.Print_Area" localSheetId="2">Adj_EE!$A$1:$K$50</definedName>
    <definedName name="_xlnm.Print_Area" localSheetId="9">Al_DepW!$B$1:$H$36</definedName>
    <definedName name="_xlnm.Print_Area" localSheetId="12">AlocOM_R!$A$2:$H$38</definedName>
    <definedName name="_xlnm.Print_Area" localSheetId="13">AlocSum!$B$2:$H$29</definedName>
    <definedName name="_xlnm.Print_Area" localSheetId="21">'avg bills'!$A$3:$I$12</definedName>
    <definedName name="_xlnm.Print_Area" localSheetId="17">#REF!</definedName>
    <definedName name="_xlnm.Print_Area" localSheetId="22">Bills!$B$2:$H$28</definedName>
    <definedName name="_xlnm.Print_Area" localSheetId="14">CalcRet!$B$1:$H$62</definedName>
    <definedName name="_xlnm.Print_Area" localSheetId="6">DSch!$B$1:$T$38</definedName>
    <definedName name="_xlnm.Print_Area" localSheetId="15">ExBA!$A$1:$G$66</definedName>
    <definedName name="_xlnm.Print_Area" localSheetId="8">Fac!$B$1:$J$44</definedName>
    <definedName name="_xlnm.Print_Area" localSheetId="10">mtrx!$B$1:$H$68</definedName>
    <definedName name="_xlnm.Print_Area" localSheetId="16">PrBA!$A$1:$G$58</definedName>
    <definedName name="_xlnm.Print_Area" localSheetId="18">Rates!$B$2:$J$61</definedName>
    <definedName name="_xlnm.Print_Area" localSheetId="0">SAO!$B$2:$J$59</definedName>
    <definedName name="_xlnm.Print_Area" localSheetId="7">Sys!$B$1:$I$44</definedName>
    <definedName name="_xlnm.Print_Area" localSheetId="24">'Top10'!$B$1:$H$21</definedName>
    <definedName name="_xlnm.Print_Area" localSheetId="19">Usage!$Q$3:$U$31</definedName>
    <definedName name="_xlnm.Print_Area" localSheetId="11">Whol!$B$2:$I$97</definedName>
    <definedName name="_xlnm.Print_Area">#REF!</definedName>
    <definedName name="_xlnm.Print_Titles" localSheetId="2">Adj_EE!#REF!</definedName>
    <definedName name="_xlnm.Print_Titles" localSheetId="11">Whol!$8:$9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31" l="1"/>
  <c r="E21" i="55"/>
  <c r="C21" i="55"/>
  <c r="B21" i="55"/>
  <c r="I18" i="55"/>
  <c r="I21" i="55" s="1"/>
  <c r="H18" i="55"/>
  <c r="H21" i="55" s="1"/>
  <c r="G18" i="55"/>
  <c r="G20" i="55" s="1"/>
  <c r="J20" i="55" s="1"/>
  <c r="F18" i="55"/>
  <c r="J18" i="55" s="1"/>
  <c r="E18" i="55"/>
  <c r="D18" i="55"/>
  <c r="D21" i="55" s="1"/>
  <c r="C18" i="55"/>
  <c r="B18" i="55"/>
  <c r="I16" i="55"/>
  <c r="G16" i="55"/>
  <c r="I11" i="55"/>
  <c r="G9" i="55"/>
  <c r="F21" i="55" l="1"/>
  <c r="J21" i="55" s="1"/>
  <c r="G21" i="55"/>
  <c r="R11" i="45" l="1"/>
  <c r="R14" i="45" s="1"/>
  <c r="R10" i="45"/>
  <c r="G7" i="47" l="1"/>
  <c r="E31" i="31" l="1"/>
  <c r="E30" i="31"/>
  <c r="G26" i="47" l="1"/>
  <c r="H9" i="47"/>
  <c r="K4" i="47"/>
  <c r="I5" i="47"/>
  <c r="I4" i="47"/>
  <c r="H7" i="47"/>
  <c r="H6" i="47"/>
  <c r="H5" i="47"/>
  <c r="H4" i="47"/>
  <c r="J8" i="47"/>
  <c r="J9" i="47"/>
  <c r="J14" i="47"/>
  <c r="F25" i="47"/>
  <c r="F24" i="47"/>
  <c r="F23" i="47"/>
  <c r="F21" i="47"/>
  <c r="F19" i="47"/>
  <c r="F18" i="47"/>
  <c r="F17" i="47"/>
  <c r="F16" i="47"/>
  <c r="F13" i="47"/>
  <c r="F12" i="47"/>
  <c r="F11" i="47"/>
  <c r="F10" i="47"/>
  <c r="F8" i="47"/>
  <c r="F7" i="47"/>
  <c r="F5" i="47"/>
  <c r="F4" i="47"/>
  <c r="H14" i="47"/>
  <c r="G5" i="47"/>
  <c r="G25" i="47"/>
  <c r="G11" i="47"/>
  <c r="G12" i="47"/>
  <c r="G8" i="47"/>
  <c r="G20" i="47"/>
  <c r="G18" i="47"/>
  <c r="G17" i="47"/>
  <c r="C39" i="10" l="1"/>
  <c r="C38" i="10"/>
  <c r="C37" i="10"/>
  <c r="C36" i="10"/>
  <c r="C35" i="10"/>
  <c r="N189" i="49"/>
  <c r="P2" i="49"/>
  <c r="E33" i="52"/>
  <c r="E23" i="52"/>
  <c r="E22" i="52"/>
  <c r="E26" i="52"/>
  <c r="J158" i="49"/>
  <c r="G158" i="49"/>
  <c r="F158" i="49"/>
  <c r="E158" i="49"/>
  <c r="D158" i="49"/>
  <c r="M103" i="49"/>
  <c r="L103" i="49"/>
  <c r="K103" i="49"/>
  <c r="J103" i="49"/>
  <c r="I103" i="49"/>
  <c r="H103" i="49"/>
  <c r="F103" i="49"/>
  <c r="E103" i="49"/>
  <c r="D103" i="49"/>
  <c r="C103" i="49"/>
  <c r="B103" i="49"/>
  <c r="K59" i="49"/>
  <c r="D48" i="49"/>
  <c r="M15" i="49"/>
  <c r="L15" i="49"/>
  <c r="K15" i="49"/>
  <c r="J15" i="49"/>
  <c r="I15" i="49"/>
  <c r="H15" i="49"/>
  <c r="G15" i="49"/>
  <c r="F15" i="49"/>
  <c r="E15" i="49"/>
  <c r="D15" i="49"/>
  <c r="C15" i="49"/>
  <c r="B15" i="49"/>
  <c r="M4" i="49"/>
  <c r="L4" i="49"/>
  <c r="K4" i="49"/>
  <c r="J4" i="49"/>
  <c r="I4" i="49"/>
  <c r="H4" i="49"/>
  <c r="G4" i="49"/>
  <c r="F4" i="49"/>
  <c r="E4" i="49"/>
  <c r="D4" i="49"/>
  <c r="C4" i="49"/>
  <c r="B4" i="49"/>
  <c r="G26" i="6" l="1"/>
  <c r="F19" i="48" l="1"/>
  <c r="E12" i="41"/>
  <c r="E11" i="41"/>
  <c r="E10" i="41"/>
  <c r="E13" i="41"/>
  <c r="C10" i="44"/>
  <c r="C9" i="44"/>
  <c r="C8" i="44"/>
  <c r="C7" i="44"/>
  <c r="C6" i="44"/>
  <c r="M34" i="51"/>
  <c r="K34" i="51"/>
  <c r="I34" i="51"/>
  <c r="G34" i="51"/>
  <c r="E34" i="51"/>
  <c r="D59" i="28" l="1"/>
  <c r="F59" i="28" s="1"/>
  <c r="D58" i="28"/>
  <c r="F58" i="28" s="1"/>
  <c r="D56" i="28"/>
  <c r="F11" i="48"/>
  <c r="F12" i="48"/>
  <c r="F13" i="48"/>
  <c r="F14" i="48"/>
  <c r="F15" i="48"/>
  <c r="F16" i="48"/>
  <c r="F17" i="48"/>
  <c r="F18" i="48"/>
  <c r="F10" i="48"/>
  <c r="AJ7" i="52" l="1"/>
  <c r="AJ8" i="52"/>
  <c r="AJ9" i="52"/>
  <c r="AJ10" i="52"/>
  <c r="AJ11" i="52"/>
  <c r="AJ12" i="52"/>
  <c r="AJ13" i="52"/>
  <c r="AJ14" i="52"/>
  <c r="AJ15" i="52"/>
  <c r="AJ16" i="52"/>
  <c r="AJ17" i="52"/>
  <c r="AJ18" i="52"/>
  <c r="AJ19" i="52"/>
  <c r="AJ20" i="52"/>
  <c r="AJ21" i="52"/>
  <c r="AJ22" i="52"/>
  <c r="AJ23" i="52"/>
  <c r="AJ24" i="52"/>
  <c r="AJ25" i="52"/>
  <c r="AJ26" i="52"/>
  <c r="AJ27" i="52"/>
  <c r="AJ28" i="52"/>
  <c r="AJ29" i="52"/>
  <c r="AJ30" i="52"/>
  <c r="AJ31" i="52"/>
  <c r="AJ32" i="52"/>
  <c r="AJ6" i="52"/>
  <c r="AK7" i="52"/>
  <c r="AK8" i="52"/>
  <c r="AK9" i="52"/>
  <c r="AK10" i="52"/>
  <c r="AK11" i="52"/>
  <c r="AK12" i="52"/>
  <c r="AK13" i="52"/>
  <c r="AK14" i="52"/>
  <c r="AK15" i="52"/>
  <c r="AK16" i="52"/>
  <c r="AK17" i="52"/>
  <c r="AK18" i="52"/>
  <c r="AK19" i="52"/>
  <c r="AK20" i="52"/>
  <c r="AK21" i="52"/>
  <c r="AK22" i="52"/>
  <c r="AK23" i="52"/>
  <c r="AK24" i="52"/>
  <c r="AK25" i="52"/>
  <c r="AK26" i="52"/>
  <c r="AK27" i="52"/>
  <c r="AK28" i="52"/>
  <c r="AK29" i="52"/>
  <c r="AK30" i="52"/>
  <c r="AK31" i="52"/>
  <c r="AK32" i="52"/>
  <c r="AK6" i="52"/>
  <c r="L21" i="51"/>
  <c r="M21" i="51"/>
  <c r="L22" i="51"/>
  <c r="M22" i="51"/>
  <c r="L23" i="51"/>
  <c r="M23" i="51"/>
  <c r="L24" i="51"/>
  <c r="M24" i="51"/>
  <c r="L25" i="51"/>
  <c r="M25" i="51"/>
  <c r="L26" i="51"/>
  <c r="M26" i="51"/>
  <c r="L27" i="51"/>
  <c r="M27" i="51"/>
  <c r="L28" i="51"/>
  <c r="M28" i="51"/>
  <c r="L29" i="51"/>
  <c r="M29" i="51"/>
  <c r="L30" i="51"/>
  <c r="M30" i="51"/>
  <c r="L31" i="51"/>
  <c r="M31" i="51"/>
  <c r="J21" i="51"/>
  <c r="K21" i="51"/>
  <c r="J22" i="51"/>
  <c r="K22" i="51"/>
  <c r="J23" i="51"/>
  <c r="K23" i="51"/>
  <c r="J24" i="51"/>
  <c r="K24" i="51"/>
  <c r="J25" i="51"/>
  <c r="K25" i="51"/>
  <c r="J26" i="51"/>
  <c r="K26" i="51"/>
  <c r="J27" i="51"/>
  <c r="K27" i="51"/>
  <c r="J28" i="51"/>
  <c r="K28" i="51"/>
  <c r="J29" i="51"/>
  <c r="K29" i="51"/>
  <c r="J30" i="51"/>
  <c r="K30" i="51"/>
  <c r="J31" i="51"/>
  <c r="K31" i="51"/>
  <c r="H21" i="51"/>
  <c r="I21" i="51"/>
  <c r="H22" i="51"/>
  <c r="I22" i="51"/>
  <c r="H23" i="51"/>
  <c r="I23" i="51"/>
  <c r="H24" i="51"/>
  <c r="I24" i="51"/>
  <c r="H25" i="51"/>
  <c r="I25" i="51"/>
  <c r="H26" i="51"/>
  <c r="I26" i="51"/>
  <c r="H27" i="51"/>
  <c r="I27" i="51"/>
  <c r="H28" i="51"/>
  <c r="I28" i="51"/>
  <c r="H29" i="51"/>
  <c r="I29" i="51"/>
  <c r="H30" i="51"/>
  <c r="I30" i="51"/>
  <c r="H31" i="51"/>
  <c r="I31" i="51"/>
  <c r="F21" i="51"/>
  <c r="G21" i="51"/>
  <c r="F22" i="51"/>
  <c r="G22" i="51"/>
  <c r="F23" i="51"/>
  <c r="G23" i="51"/>
  <c r="F24" i="51"/>
  <c r="G24" i="51"/>
  <c r="F25" i="51"/>
  <c r="G25" i="51"/>
  <c r="F26" i="51"/>
  <c r="G26" i="51"/>
  <c r="F27" i="51"/>
  <c r="G27" i="51"/>
  <c r="F28" i="51"/>
  <c r="G28" i="51"/>
  <c r="F29" i="51"/>
  <c r="G29" i="51"/>
  <c r="F30" i="51"/>
  <c r="G30" i="51"/>
  <c r="F31" i="51"/>
  <c r="G31" i="51"/>
  <c r="D21" i="51"/>
  <c r="E21" i="51"/>
  <c r="D22" i="51"/>
  <c r="E22" i="51"/>
  <c r="D23" i="51"/>
  <c r="E23" i="51"/>
  <c r="D24" i="51"/>
  <c r="E24" i="51"/>
  <c r="D25" i="51"/>
  <c r="E25" i="51"/>
  <c r="D26" i="51"/>
  <c r="E26" i="51"/>
  <c r="D27" i="51"/>
  <c r="E27" i="51"/>
  <c r="D28" i="51"/>
  <c r="E28" i="51"/>
  <c r="D29" i="51"/>
  <c r="E29" i="51"/>
  <c r="D30" i="51"/>
  <c r="E30" i="51"/>
  <c r="D31" i="51"/>
  <c r="E31" i="51"/>
  <c r="B21" i="51"/>
  <c r="N21" i="51" s="1"/>
  <c r="C21" i="51"/>
  <c r="O21" i="51" s="1"/>
  <c r="B22" i="51"/>
  <c r="N22" i="51" s="1"/>
  <c r="C22" i="51"/>
  <c r="O22" i="51" s="1"/>
  <c r="B23" i="51"/>
  <c r="N23" i="51" s="1"/>
  <c r="C23" i="51"/>
  <c r="O23" i="51" s="1"/>
  <c r="B24" i="51"/>
  <c r="N24" i="51" s="1"/>
  <c r="C24" i="51"/>
  <c r="O24" i="51" s="1"/>
  <c r="B25" i="51"/>
  <c r="N25" i="51" s="1"/>
  <c r="C25" i="51"/>
  <c r="O25" i="51" s="1"/>
  <c r="B26" i="51"/>
  <c r="N26" i="51" s="1"/>
  <c r="C26" i="51"/>
  <c r="O26" i="51" s="1"/>
  <c r="B27" i="51"/>
  <c r="N27" i="51" s="1"/>
  <c r="C27" i="51"/>
  <c r="O27" i="51" s="1"/>
  <c r="B28" i="51"/>
  <c r="N28" i="51" s="1"/>
  <c r="C28" i="51"/>
  <c r="O28" i="51" s="1"/>
  <c r="B29" i="51"/>
  <c r="N29" i="51" s="1"/>
  <c r="C29" i="51"/>
  <c r="O29" i="51" s="1"/>
  <c r="B30" i="51"/>
  <c r="N30" i="51" s="1"/>
  <c r="C30" i="51"/>
  <c r="O30" i="51" s="1"/>
  <c r="B31" i="51"/>
  <c r="N31" i="51" s="1"/>
  <c r="C31" i="51"/>
  <c r="O31" i="51" s="1"/>
  <c r="H23" i="52"/>
  <c r="I23" i="52"/>
  <c r="G22" i="52"/>
  <c r="F22" i="52"/>
  <c r="AI32" i="52"/>
  <c r="AH32" i="52"/>
  <c r="AG26" i="52"/>
  <c r="AF26" i="52"/>
  <c r="AE32" i="52"/>
  <c r="AD32" i="52"/>
  <c r="AE31" i="52"/>
  <c r="AD31" i="52"/>
  <c r="AE29" i="52"/>
  <c r="AD29" i="52"/>
  <c r="AE28" i="52"/>
  <c r="AD28" i="52"/>
  <c r="AE27" i="52"/>
  <c r="AD27" i="52"/>
  <c r="AE26" i="52"/>
  <c r="AD26" i="52"/>
  <c r="AE25" i="52"/>
  <c r="AD25" i="52"/>
  <c r="AE24" i="52"/>
  <c r="AD24" i="52"/>
  <c r="AE23" i="52"/>
  <c r="AD23" i="52"/>
  <c r="AE22" i="52"/>
  <c r="AD22" i="52"/>
  <c r="Z32" i="52"/>
  <c r="AA31" i="52"/>
  <c r="Z31" i="52"/>
  <c r="AA30" i="52"/>
  <c r="Z30" i="52"/>
  <c r="Z29" i="52"/>
  <c r="AA28" i="52"/>
  <c r="Z28" i="52"/>
  <c r="AA27" i="52"/>
  <c r="Z27" i="52"/>
  <c r="AA26" i="52"/>
  <c r="Z26" i="52"/>
  <c r="AA24" i="52"/>
  <c r="Z24" i="52"/>
  <c r="AA23" i="52"/>
  <c r="Z23" i="52"/>
  <c r="AA22" i="52"/>
  <c r="Z22" i="52"/>
  <c r="W24" i="52"/>
  <c r="V24" i="52"/>
  <c r="W23" i="52"/>
  <c r="V23" i="52"/>
  <c r="W22" i="52"/>
  <c r="V22" i="52"/>
  <c r="P28" i="52"/>
  <c r="Q27" i="52"/>
  <c r="P27" i="52"/>
  <c r="Q26" i="52"/>
  <c r="P26" i="52"/>
  <c r="Q25" i="52"/>
  <c r="P25" i="52"/>
  <c r="Q24" i="52"/>
  <c r="P24" i="52"/>
  <c r="Q23" i="52"/>
  <c r="P23" i="52"/>
  <c r="Q22" i="52"/>
  <c r="P22" i="52"/>
  <c r="N26" i="52"/>
  <c r="O24" i="52"/>
  <c r="N24" i="52"/>
  <c r="O23" i="52"/>
  <c r="N23" i="52"/>
  <c r="O22" i="52"/>
  <c r="N22" i="52"/>
  <c r="D26" i="52"/>
  <c r="E25" i="52"/>
  <c r="D25" i="52"/>
  <c r="E24" i="52"/>
  <c r="D24" i="52"/>
  <c r="D23" i="52"/>
  <c r="D22" i="52"/>
  <c r="C30" i="52"/>
  <c r="B30" i="52"/>
  <c r="C26" i="52"/>
  <c r="B26" i="52"/>
  <c r="C25" i="52"/>
  <c r="B25" i="52"/>
  <c r="C24" i="52"/>
  <c r="B24" i="52"/>
  <c r="C23" i="52"/>
  <c r="B23" i="52"/>
  <c r="C22" i="52"/>
  <c r="B22" i="52"/>
  <c r="AK33" i="52" l="1"/>
  <c r="G12" i="27"/>
  <c r="K84" i="22" l="1"/>
  <c r="D31" i="43"/>
  <c r="D26" i="43"/>
  <c r="I42" i="25"/>
  <c r="G43" i="24"/>
  <c r="G40" i="24"/>
  <c r="K42" i="24"/>
  <c r="F42" i="2"/>
  <c r="F41" i="2"/>
  <c r="F40" i="2"/>
  <c r="B38" i="45"/>
  <c r="M25" i="31" l="1"/>
  <c r="L23" i="31" l="1"/>
  <c r="L25" i="31" l="1"/>
  <c r="K23" i="31"/>
  <c r="K24" i="31"/>
  <c r="M24" i="31"/>
  <c r="K25" i="31" l="1"/>
  <c r="M23" i="31"/>
  <c r="J15" i="31"/>
  <c r="AN6" i="52" l="1"/>
  <c r="AN7" i="52" s="1"/>
  <c r="AP6" i="52"/>
  <c r="AS8" i="52"/>
  <c r="AS36" i="52" s="1"/>
  <c r="A8" i="52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S32" i="52"/>
  <c r="AR32" i="52" s="1"/>
  <c r="G33" i="52"/>
  <c r="H33" i="52"/>
  <c r="P33" i="52"/>
  <c r="W33" i="52"/>
  <c r="AA33" i="52"/>
  <c r="AD33" i="52"/>
  <c r="AE33" i="52"/>
  <c r="AG33" i="52"/>
  <c r="AT32" i="52"/>
  <c r="B33" i="52"/>
  <c r="C33" i="52"/>
  <c r="D33" i="52"/>
  <c r="I33" i="52"/>
  <c r="J33" i="52"/>
  <c r="K33" i="52"/>
  <c r="L33" i="52"/>
  <c r="M33" i="52"/>
  <c r="N33" i="52"/>
  <c r="O33" i="52"/>
  <c r="Q33" i="52"/>
  <c r="R33" i="52"/>
  <c r="S33" i="52"/>
  <c r="T33" i="52"/>
  <c r="U33" i="52"/>
  <c r="V33" i="52"/>
  <c r="X33" i="52"/>
  <c r="Y33" i="52"/>
  <c r="AB33" i="52"/>
  <c r="AC33" i="52"/>
  <c r="AF33" i="52"/>
  <c r="AH33" i="52"/>
  <c r="AI33" i="52"/>
  <c r="B5" i="51"/>
  <c r="C5" i="51"/>
  <c r="D5" i="51"/>
  <c r="E5" i="51"/>
  <c r="F5" i="51"/>
  <c r="G5" i="51"/>
  <c r="H5" i="51"/>
  <c r="I5" i="51"/>
  <c r="J5" i="51"/>
  <c r="K5" i="51"/>
  <c r="L5" i="51"/>
  <c r="M5" i="51"/>
  <c r="B6" i="51"/>
  <c r="C6" i="51"/>
  <c r="D6" i="51"/>
  <c r="E6" i="51"/>
  <c r="F6" i="51"/>
  <c r="G6" i="51"/>
  <c r="H6" i="51"/>
  <c r="I6" i="51"/>
  <c r="J6" i="51"/>
  <c r="K6" i="51"/>
  <c r="L6" i="51"/>
  <c r="M6" i="51"/>
  <c r="A7" i="51"/>
  <c r="A8" i="51" s="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B7" i="51"/>
  <c r="C7" i="51"/>
  <c r="D7" i="51"/>
  <c r="E7" i="51"/>
  <c r="F7" i="51"/>
  <c r="G7" i="51"/>
  <c r="H7" i="51"/>
  <c r="I7" i="51"/>
  <c r="J7" i="51"/>
  <c r="K7" i="51"/>
  <c r="L7" i="51"/>
  <c r="M7" i="51"/>
  <c r="B8" i="51"/>
  <c r="C8" i="51"/>
  <c r="D8" i="51"/>
  <c r="E8" i="51"/>
  <c r="F8" i="51"/>
  <c r="G8" i="51"/>
  <c r="H8" i="51"/>
  <c r="I8" i="51"/>
  <c r="J8" i="51"/>
  <c r="K8" i="51"/>
  <c r="L8" i="51"/>
  <c r="M8" i="51"/>
  <c r="B9" i="51"/>
  <c r="C9" i="51"/>
  <c r="D9" i="51"/>
  <c r="E9" i="51"/>
  <c r="F9" i="51"/>
  <c r="G9" i="51"/>
  <c r="H9" i="51"/>
  <c r="I9" i="51"/>
  <c r="J9" i="51"/>
  <c r="K9" i="51"/>
  <c r="L9" i="51"/>
  <c r="M9" i="51"/>
  <c r="B10" i="51"/>
  <c r="C10" i="51"/>
  <c r="D10" i="51"/>
  <c r="E10" i="51"/>
  <c r="F10" i="51"/>
  <c r="G10" i="51"/>
  <c r="H10" i="51"/>
  <c r="I10" i="51"/>
  <c r="J10" i="51"/>
  <c r="K10" i="51"/>
  <c r="L10" i="51"/>
  <c r="M10" i="51"/>
  <c r="B11" i="51"/>
  <c r="C11" i="51"/>
  <c r="D11" i="51"/>
  <c r="E11" i="51"/>
  <c r="F11" i="51"/>
  <c r="G11" i="51"/>
  <c r="H11" i="51"/>
  <c r="I11" i="51"/>
  <c r="J11" i="51"/>
  <c r="K11" i="51"/>
  <c r="L11" i="51"/>
  <c r="M11" i="51"/>
  <c r="B12" i="51"/>
  <c r="C12" i="51"/>
  <c r="D12" i="51"/>
  <c r="E12" i="51"/>
  <c r="F12" i="51"/>
  <c r="G12" i="51"/>
  <c r="H12" i="51"/>
  <c r="I12" i="51"/>
  <c r="J12" i="51"/>
  <c r="K12" i="51"/>
  <c r="L12" i="51"/>
  <c r="M12" i="51"/>
  <c r="B13" i="51"/>
  <c r="C13" i="51"/>
  <c r="D13" i="51"/>
  <c r="E13" i="51"/>
  <c r="F13" i="51"/>
  <c r="G13" i="51"/>
  <c r="H13" i="51"/>
  <c r="I13" i="51"/>
  <c r="J13" i="51"/>
  <c r="K13" i="51"/>
  <c r="L13" i="51"/>
  <c r="M13" i="51"/>
  <c r="B14" i="51"/>
  <c r="C14" i="51"/>
  <c r="D14" i="51"/>
  <c r="E14" i="51"/>
  <c r="F14" i="51"/>
  <c r="G14" i="51"/>
  <c r="H14" i="51"/>
  <c r="I14" i="51"/>
  <c r="J14" i="51"/>
  <c r="K14" i="51"/>
  <c r="L14" i="51"/>
  <c r="M14" i="51"/>
  <c r="B15" i="51"/>
  <c r="C15" i="51"/>
  <c r="D15" i="51"/>
  <c r="E15" i="51"/>
  <c r="F15" i="51"/>
  <c r="G15" i="51"/>
  <c r="H15" i="51"/>
  <c r="I15" i="51"/>
  <c r="J15" i="51"/>
  <c r="K15" i="51"/>
  <c r="L15" i="51"/>
  <c r="M15" i="51"/>
  <c r="B16" i="51"/>
  <c r="C16" i="51"/>
  <c r="D16" i="51"/>
  <c r="E16" i="51"/>
  <c r="F16" i="51"/>
  <c r="G16" i="51"/>
  <c r="H16" i="51"/>
  <c r="I16" i="51"/>
  <c r="J16" i="51"/>
  <c r="K16" i="51"/>
  <c r="L16" i="51"/>
  <c r="M16" i="51"/>
  <c r="B17" i="51"/>
  <c r="C17" i="51"/>
  <c r="D17" i="51"/>
  <c r="E17" i="51"/>
  <c r="F17" i="51"/>
  <c r="G17" i="51"/>
  <c r="H17" i="51"/>
  <c r="I17" i="51"/>
  <c r="J17" i="51"/>
  <c r="K17" i="51"/>
  <c r="L17" i="51"/>
  <c r="M17" i="51"/>
  <c r="B18" i="51"/>
  <c r="C18" i="51"/>
  <c r="D18" i="51"/>
  <c r="E18" i="51"/>
  <c r="F18" i="51"/>
  <c r="G18" i="51"/>
  <c r="H18" i="51"/>
  <c r="I18" i="51"/>
  <c r="J18" i="51"/>
  <c r="K18" i="51"/>
  <c r="L18" i="51"/>
  <c r="M18" i="51"/>
  <c r="B19" i="51"/>
  <c r="C19" i="51"/>
  <c r="D19" i="51"/>
  <c r="E19" i="51"/>
  <c r="F19" i="51"/>
  <c r="G19" i="51"/>
  <c r="H19" i="51"/>
  <c r="I19" i="51"/>
  <c r="J19" i="51"/>
  <c r="K19" i="51"/>
  <c r="L19" i="51"/>
  <c r="M19" i="51"/>
  <c r="B20" i="51"/>
  <c r="C20" i="51"/>
  <c r="D20" i="51"/>
  <c r="E20" i="51"/>
  <c r="F20" i="51"/>
  <c r="G20" i="51"/>
  <c r="H20" i="51"/>
  <c r="I20" i="51"/>
  <c r="J20" i="51"/>
  <c r="K20" i="51"/>
  <c r="L20" i="51"/>
  <c r="M20" i="51"/>
  <c r="N6" i="51" l="1"/>
  <c r="N10" i="51"/>
  <c r="O8" i="51"/>
  <c r="N9" i="51"/>
  <c r="O11" i="51"/>
  <c r="O7" i="51"/>
  <c r="O16" i="51"/>
  <c r="N17" i="51"/>
  <c r="N18" i="51"/>
  <c r="N11" i="51"/>
  <c r="N7" i="51"/>
  <c r="O6" i="51"/>
  <c r="X31" i="51" s="1"/>
  <c r="X35" i="51" s="1"/>
  <c r="Y35" i="51" s="1"/>
  <c r="O5" i="51"/>
  <c r="AJ33" i="52"/>
  <c r="AO6" i="52" s="1"/>
  <c r="M32" i="51"/>
  <c r="O17" i="51"/>
  <c r="AT21" i="52"/>
  <c r="K32" i="51"/>
  <c r="O19" i="51"/>
  <c r="H32" i="51"/>
  <c r="O10" i="51"/>
  <c r="L32" i="51"/>
  <c r="N20" i="51"/>
  <c r="O18" i="51"/>
  <c r="O13" i="51"/>
  <c r="G32" i="51"/>
  <c r="I32" i="51"/>
  <c r="N19" i="51"/>
  <c r="O20" i="51"/>
  <c r="N14" i="51"/>
  <c r="N13" i="51"/>
  <c r="O15" i="51"/>
  <c r="O14" i="51"/>
  <c r="N16" i="51"/>
  <c r="N15" i="51"/>
  <c r="O9" i="51"/>
  <c r="N8" i="51"/>
  <c r="AV32" i="52"/>
  <c r="B32" i="51"/>
  <c r="AU32" i="52"/>
  <c r="AT38" i="52"/>
  <c r="AN8" i="52"/>
  <c r="J32" i="51"/>
  <c r="D32" i="51"/>
  <c r="N5" i="51"/>
  <c r="F33" i="52"/>
  <c r="N12" i="51"/>
  <c r="AP7" i="52"/>
  <c r="AT8" i="52"/>
  <c r="Z33" i="52"/>
  <c r="AS21" i="52"/>
  <c r="O12" i="51"/>
  <c r="AS38" i="52"/>
  <c r="E32" i="51"/>
  <c r="W31" i="51" l="1"/>
  <c r="W35" i="51" s="1"/>
  <c r="V31" i="51"/>
  <c r="T5" i="51"/>
  <c r="AC5" i="51" s="1"/>
  <c r="AU21" i="52"/>
  <c r="AQ6" i="52"/>
  <c r="AO7" i="52"/>
  <c r="AV21" i="52"/>
  <c r="AT37" i="52"/>
  <c r="AR21" i="52"/>
  <c r="AS37" i="52"/>
  <c r="AU37" i="52" s="1"/>
  <c r="C32" i="51"/>
  <c r="C34" i="51" s="1"/>
  <c r="C5" i="44" s="1"/>
  <c r="D5" i="44" s="1"/>
  <c r="E5" i="44" s="1"/>
  <c r="AU38" i="52"/>
  <c r="AV38" i="52"/>
  <c r="AU8" i="52"/>
  <c r="AT36" i="52"/>
  <c r="AV8" i="52"/>
  <c r="T6" i="51"/>
  <c r="AC6" i="51" s="1"/>
  <c r="N32" i="51"/>
  <c r="R5" i="51"/>
  <c r="AP8" i="52"/>
  <c r="AQ7" i="52"/>
  <c r="F32" i="51"/>
  <c r="AO8" i="52"/>
  <c r="AN9" i="52"/>
  <c r="Y31" i="51" l="1"/>
  <c r="AW38" i="52"/>
  <c r="AW39" i="52" s="1"/>
  <c r="X37" i="51"/>
  <c r="AV37" i="52"/>
  <c r="AV39" i="52" s="1"/>
  <c r="O32" i="51"/>
  <c r="U6" i="51" s="1"/>
  <c r="AO9" i="52"/>
  <c r="AN10" i="52"/>
  <c r="T7" i="51"/>
  <c r="AC7" i="51" s="1"/>
  <c r="AU36" i="52"/>
  <c r="AU39" i="52" s="1"/>
  <c r="AT39" i="52"/>
  <c r="AP9" i="52"/>
  <c r="AQ8" i="52"/>
  <c r="R6" i="51"/>
  <c r="S5" i="51"/>
  <c r="Z31" i="51" l="1"/>
  <c r="Z37" i="51"/>
  <c r="U5" i="51"/>
  <c r="AN11" i="52"/>
  <c r="AO10" i="52"/>
  <c r="AQ9" i="52"/>
  <c r="AP10" i="52"/>
  <c r="T8" i="51"/>
  <c r="AC8" i="51" s="1"/>
  <c r="U7" i="51"/>
  <c r="R7" i="51"/>
  <c r="S6" i="51"/>
  <c r="Y37" i="51"/>
  <c r="U8" i="51" l="1"/>
  <c r="T9" i="51"/>
  <c r="AC9" i="51" s="1"/>
  <c r="R8" i="51"/>
  <c r="S7" i="51"/>
  <c r="AQ10" i="52"/>
  <c r="AP11" i="52"/>
  <c r="AO11" i="52"/>
  <c r="AN12" i="52"/>
  <c r="AO12" i="52" l="1"/>
  <c r="AN13" i="52"/>
  <c r="AP12" i="52"/>
  <c r="AQ11" i="52"/>
  <c r="S8" i="51"/>
  <c r="R9" i="51"/>
  <c r="T10" i="51"/>
  <c r="AC10" i="51" s="1"/>
  <c r="U9" i="51"/>
  <c r="T11" i="51" l="1"/>
  <c r="AC11" i="51" s="1"/>
  <c r="U10" i="51"/>
  <c r="R10" i="51"/>
  <c r="S9" i="51"/>
  <c r="AN14" i="52"/>
  <c r="AO13" i="52"/>
  <c r="AQ12" i="52"/>
  <c r="AP13" i="52"/>
  <c r="U11" i="51" l="1"/>
  <c r="T12" i="51"/>
  <c r="AC12" i="51" s="1"/>
  <c r="AQ13" i="52"/>
  <c r="AP14" i="52"/>
  <c r="AO14" i="52"/>
  <c r="AN15" i="52"/>
  <c r="S10" i="51"/>
  <c r="R11" i="51"/>
  <c r="AQ14" i="52" l="1"/>
  <c r="AP15" i="52"/>
  <c r="R12" i="51"/>
  <c r="S11" i="51"/>
  <c r="AN16" i="52"/>
  <c r="AO15" i="52"/>
  <c r="U12" i="51"/>
  <c r="T13" i="51"/>
  <c r="AC13" i="51" s="1"/>
  <c r="AO16" i="52" l="1"/>
  <c r="AN17" i="52"/>
  <c r="T14" i="51"/>
  <c r="AC14" i="51" s="1"/>
  <c r="U13" i="51"/>
  <c r="AP16" i="52"/>
  <c r="AQ15" i="52"/>
  <c r="R13" i="51"/>
  <c r="S12" i="51"/>
  <c r="S13" i="51" l="1"/>
  <c r="R14" i="51"/>
  <c r="AP17" i="52"/>
  <c r="AQ16" i="52"/>
  <c r="T15" i="51"/>
  <c r="AC15" i="51" s="1"/>
  <c r="U14" i="51"/>
  <c r="AN18" i="52"/>
  <c r="AO17" i="52"/>
  <c r="U15" i="51" l="1"/>
  <c r="T16" i="51"/>
  <c r="AC16" i="51" s="1"/>
  <c r="AN19" i="52"/>
  <c r="AO18" i="52"/>
  <c r="AQ17" i="52"/>
  <c r="AP18" i="52"/>
  <c r="S14" i="51"/>
  <c r="R15" i="51"/>
  <c r="R16" i="51" l="1"/>
  <c r="S15" i="51"/>
  <c r="U16" i="51"/>
  <c r="T17" i="51"/>
  <c r="AC17" i="51" s="1"/>
  <c r="AP19" i="52"/>
  <c r="AQ18" i="52"/>
  <c r="AO19" i="52"/>
  <c r="AN20" i="52"/>
  <c r="T18" i="51" l="1"/>
  <c r="AC18" i="51" s="1"/>
  <c r="U17" i="51"/>
  <c r="AN21" i="52"/>
  <c r="AO20" i="52"/>
  <c r="AQ19" i="52"/>
  <c r="AP20" i="52"/>
  <c r="R17" i="51"/>
  <c r="S16" i="51"/>
  <c r="S17" i="51" l="1"/>
  <c r="R18" i="51"/>
  <c r="AP21" i="52"/>
  <c r="AQ20" i="52"/>
  <c r="AO21" i="52"/>
  <c r="AN32" i="52"/>
  <c r="AO32" i="52" s="1"/>
  <c r="T19" i="51"/>
  <c r="AC19" i="51" s="1"/>
  <c r="U18" i="51"/>
  <c r="T20" i="51" l="1"/>
  <c r="U19" i="51"/>
  <c r="AP32" i="52"/>
  <c r="AQ32" i="52" s="1"/>
  <c r="AQ21" i="52"/>
  <c r="S18" i="51"/>
  <c r="R19" i="51"/>
  <c r="AC20" i="51" l="1"/>
  <c r="U20" i="51"/>
  <c r="T21" i="51"/>
  <c r="R20" i="51"/>
  <c r="S19" i="51"/>
  <c r="U21" i="51" l="1"/>
  <c r="AC21" i="51"/>
  <c r="T22" i="51"/>
  <c r="S20" i="51"/>
  <c r="R21" i="51"/>
  <c r="G15" i="47"/>
  <c r="H24" i="47"/>
  <c r="F7" i="36"/>
  <c r="F2" i="36"/>
  <c r="S21" i="51" l="1"/>
  <c r="R22" i="51"/>
  <c r="AC22" i="51"/>
  <c r="U22" i="51"/>
  <c r="T23" i="51"/>
  <c r="Q46" i="49"/>
  <c r="Q24" i="49"/>
  <c r="AC23" i="51" l="1"/>
  <c r="U23" i="51"/>
  <c r="T24" i="51"/>
  <c r="S22" i="51"/>
  <c r="R23" i="51"/>
  <c r="E25" i="41"/>
  <c r="E24" i="41"/>
  <c r="E23" i="41"/>
  <c r="E22" i="41"/>
  <c r="E21" i="41"/>
  <c r="E20" i="41"/>
  <c r="E19" i="41"/>
  <c r="E18" i="41"/>
  <c r="C23" i="10"/>
  <c r="M186" i="49"/>
  <c r="L186" i="49"/>
  <c r="K186" i="49"/>
  <c r="J186" i="49"/>
  <c r="I186" i="49"/>
  <c r="H186" i="49"/>
  <c r="G186" i="49"/>
  <c r="F186" i="49"/>
  <c r="E186" i="49"/>
  <c r="D186" i="49"/>
  <c r="C186" i="49"/>
  <c r="B186" i="49"/>
  <c r="N185" i="49"/>
  <c r="N184" i="49"/>
  <c r="N186" i="49" s="1"/>
  <c r="M182" i="49"/>
  <c r="L182" i="49"/>
  <c r="K182" i="49"/>
  <c r="J182" i="49"/>
  <c r="I182" i="49"/>
  <c r="H182" i="49"/>
  <c r="G182" i="49"/>
  <c r="F182" i="49"/>
  <c r="E182" i="49"/>
  <c r="D182" i="49"/>
  <c r="C182" i="49"/>
  <c r="B182" i="49"/>
  <c r="N181" i="49"/>
  <c r="N180" i="49"/>
  <c r="N182" i="49" s="1"/>
  <c r="M175" i="49"/>
  <c r="L175" i="49"/>
  <c r="K175" i="49"/>
  <c r="J175" i="49"/>
  <c r="I175" i="49"/>
  <c r="H175" i="49"/>
  <c r="G175" i="49"/>
  <c r="F175" i="49"/>
  <c r="E175" i="49"/>
  <c r="D175" i="49"/>
  <c r="C175" i="49"/>
  <c r="B175" i="49"/>
  <c r="N174" i="49"/>
  <c r="N173" i="49"/>
  <c r="N175" i="49" s="1"/>
  <c r="N171" i="49"/>
  <c r="M171" i="49"/>
  <c r="L171" i="49"/>
  <c r="K171" i="49"/>
  <c r="J171" i="49"/>
  <c r="I171" i="49"/>
  <c r="H171" i="49"/>
  <c r="G171" i="49"/>
  <c r="F171" i="49"/>
  <c r="E171" i="49"/>
  <c r="D171" i="49"/>
  <c r="C171" i="49"/>
  <c r="B171" i="49"/>
  <c r="N170" i="49"/>
  <c r="N169" i="49"/>
  <c r="M164" i="49"/>
  <c r="L164" i="49"/>
  <c r="K164" i="49"/>
  <c r="J164" i="49"/>
  <c r="I164" i="49"/>
  <c r="H164" i="49"/>
  <c r="G164" i="49"/>
  <c r="F164" i="49"/>
  <c r="E164" i="49"/>
  <c r="D164" i="49"/>
  <c r="C164" i="49"/>
  <c r="B164" i="49"/>
  <c r="N163" i="49"/>
  <c r="N162" i="49"/>
  <c r="N164" i="49" s="1"/>
  <c r="I160" i="49"/>
  <c r="H160" i="49"/>
  <c r="F160" i="49"/>
  <c r="E160" i="49"/>
  <c r="D160" i="49"/>
  <c r="N159" i="49"/>
  <c r="M158" i="49"/>
  <c r="M160" i="49" s="1"/>
  <c r="L158" i="49"/>
  <c r="L160" i="49" s="1"/>
  <c r="K158" i="49"/>
  <c r="K160" i="49" s="1"/>
  <c r="J160" i="49"/>
  <c r="I158" i="49"/>
  <c r="H158" i="49"/>
  <c r="G160" i="49"/>
  <c r="C158" i="49"/>
  <c r="C160" i="49" s="1"/>
  <c r="B158" i="49"/>
  <c r="B160" i="49" s="1"/>
  <c r="M153" i="49"/>
  <c r="L153" i="49"/>
  <c r="K153" i="49"/>
  <c r="J153" i="49"/>
  <c r="I153" i="49"/>
  <c r="H153" i="49"/>
  <c r="G153" i="49"/>
  <c r="F153" i="49"/>
  <c r="E153" i="49"/>
  <c r="D153" i="49"/>
  <c r="C153" i="49"/>
  <c r="B153" i="49"/>
  <c r="N152" i="49"/>
  <c r="N151" i="49"/>
  <c r="N153" i="49" s="1"/>
  <c r="M149" i="49"/>
  <c r="L149" i="49"/>
  <c r="K149" i="49"/>
  <c r="J149" i="49"/>
  <c r="I149" i="49"/>
  <c r="H149" i="49"/>
  <c r="G149" i="49"/>
  <c r="F149" i="49"/>
  <c r="E149" i="49"/>
  <c r="D149" i="49"/>
  <c r="C149" i="49"/>
  <c r="B149" i="49"/>
  <c r="N148" i="49"/>
  <c r="N147" i="49"/>
  <c r="N149" i="49" s="1"/>
  <c r="M142" i="49"/>
  <c r="L142" i="49"/>
  <c r="K142" i="49"/>
  <c r="J142" i="49"/>
  <c r="I142" i="49"/>
  <c r="H142" i="49"/>
  <c r="G142" i="49"/>
  <c r="F142" i="49"/>
  <c r="E142" i="49"/>
  <c r="D142" i="49"/>
  <c r="C142" i="49"/>
  <c r="B142" i="49"/>
  <c r="N141" i="49"/>
  <c r="D23" i="10" s="1"/>
  <c r="N140" i="49"/>
  <c r="M138" i="49"/>
  <c r="L138" i="49"/>
  <c r="K138" i="49"/>
  <c r="J138" i="49"/>
  <c r="I138" i="49"/>
  <c r="H138" i="49"/>
  <c r="G138" i="49"/>
  <c r="F138" i="49"/>
  <c r="E138" i="49"/>
  <c r="D138" i="49"/>
  <c r="C138" i="49"/>
  <c r="B138" i="49"/>
  <c r="N137" i="49"/>
  <c r="N136" i="49"/>
  <c r="N138" i="49" s="1"/>
  <c r="M131" i="49"/>
  <c r="L131" i="49"/>
  <c r="K131" i="49"/>
  <c r="J131" i="49"/>
  <c r="I131" i="49"/>
  <c r="H131" i="49"/>
  <c r="G131" i="49"/>
  <c r="F131" i="49"/>
  <c r="E131" i="49"/>
  <c r="D131" i="49"/>
  <c r="C131" i="49"/>
  <c r="B131" i="49"/>
  <c r="N130" i="49"/>
  <c r="N129" i="49"/>
  <c r="N131" i="49" s="1"/>
  <c r="L127" i="49"/>
  <c r="K127" i="49"/>
  <c r="F127" i="49"/>
  <c r="N126" i="49"/>
  <c r="M125" i="49"/>
  <c r="N125" i="49" s="1"/>
  <c r="N127" i="49" s="1"/>
  <c r="L125" i="49"/>
  <c r="K125" i="49"/>
  <c r="J125" i="49"/>
  <c r="J127" i="49" s="1"/>
  <c r="I125" i="49"/>
  <c r="I127" i="49" s="1"/>
  <c r="H125" i="49"/>
  <c r="H127" i="49" s="1"/>
  <c r="G125" i="49"/>
  <c r="G127" i="49" s="1"/>
  <c r="F125" i="49"/>
  <c r="E125" i="49"/>
  <c r="E127" i="49" s="1"/>
  <c r="D125" i="49"/>
  <c r="D127" i="49" s="1"/>
  <c r="C125" i="49"/>
  <c r="C127" i="49" s="1"/>
  <c r="B125" i="49"/>
  <c r="B127" i="49" s="1"/>
  <c r="N120" i="49"/>
  <c r="M120" i="49"/>
  <c r="L120" i="49"/>
  <c r="K120" i="49"/>
  <c r="J120" i="49"/>
  <c r="I120" i="49"/>
  <c r="H120" i="49"/>
  <c r="G120" i="49"/>
  <c r="F120" i="49"/>
  <c r="E120" i="49"/>
  <c r="D120" i="49"/>
  <c r="C120" i="49"/>
  <c r="B120" i="49"/>
  <c r="N119" i="49"/>
  <c r="N118" i="49"/>
  <c r="M116" i="49"/>
  <c r="L116" i="49"/>
  <c r="K116" i="49"/>
  <c r="J116" i="49"/>
  <c r="I116" i="49"/>
  <c r="H116" i="49"/>
  <c r="G116" i="49"/>
  <c r="F116" i="49"/>
  <c r="E116" i="49"/>
  <c r="D116" i="49"/>
  <c r="C116" i="49"/>
  <c r="B116" i="49"/>
  <c r="N115" i="49"/>
  <c r="N114" i="49"/>
  <c r="N116" i="49" s="1"/>
  <c r="M109" i="49"/>
  <c r="L109" i="49"/>
  <c r="K109" i="49"/>
  <c r="J109" i="49"/>
  <c r="I109" i="49"/>
  <c r="H109" i="49"/>
  <c r="G109" i="49"/>
  <c r="F109" i="49"/>
  <c r="E109" i="49"/>
  <c r="D109" i="49"/>
  <c r="C109" i="49"/>
  <c r="B109" i="49"/>
  <c r="N108" i="49"/>
  <c r="N107" i="49"/>
  <c r="N109" i="49" s="1"/>
  <c r="M105" i="49"/>
  <c r="H105" i="49"/>
  <c r="F105" i="49"/>
  <c r="B105" i="49"/>
  <c r="N104" i="49"/>
  <c r="L105" i="49"/>
  <c r="K105" i="49"/>
  <c r="J105" i="49"/>
  <c r="I105" i="49"/>
  <c r="G103" i="49"/>
  <c r="G105" i="49" s="1"/>
  <c r="E105" i="49"/>
  <c r="D105" i="49"/>
  <c r="C105" i="49"/>
  <c r="N103" i="49"/>
  <c r="N105" i="49" s="1"/>
  <c r="M98" i="49"/>
  <c r="L98" i="49"/>
  <c r="K98" i="49"/>
  <c r="J98" i="49"/>
  <c r="I98" i="49"/>
  <c r="H98" i="49"/>
  <c r="G98" i="49"/>
  <c r="F98" i="49"/>
  <c r="E98" i="49"/>
  <c r="D98" i="49"/>
  <c r="C98" i="49"/>
  <c r="B98" i="49"/>
  <c r="N97" i="49"/>
  <c r="N96" i="49"/>
  <c r="N98" i="49" s="1"/>
  <c r="N94" i="49"/>
  <c r="M94" i="49"/>
  <c r="L94" i="49"/>
  <c r="K94" i="49"/>
  <c r="J94" i="49"/>
  <c r="I94" i="49"/>
  <c r="H94" i="49"/>
  <c r="G94" i="49"/>
  <c r="F94" i="49"/>
  <c r="E94" i="49"/>
  <c r="D94" i="49"/>
  <c r="C94" i="49"/>
  <c r="B94" i="49"/>
  <c r="N93" i="49"/>
  <c r="N92" i="49"/>
  <c r="M87" i="49"/>
  <c r="L87" i="49"/>
  <c r="K87" i="49"/>
  <c r="J87" i="49"/>
  <c r="I87" i="49"/>
  <c r="H87" i="49"/>
  <c r="G87" i="49"/>
  <c r="F87" i="49"/>
  <c r="E87" i="49"/>
  <c r="D87" i="49"/>
  <c r="C87" i="49"/>
  <c r="B87" i="49"/>
  <c r="N86" i="49"/>
  <c r="N85" i="49"/>
  <c r="N87" i="49" s="1"/>
  <c r="L83" i="49"/>
  <c r="K83" i="49"/>
  <c r="J83" i="49"/>
  <c r="I83" i="49"/>
  <c r="H83" i="49"/>
  <c r="G83" i="49"/>
  <c r="F83" i="49"/>
  <c r="E83" i="49"/>
  <c r="D83" i="49"/>
  <c r="C83" i="49"/>
  <c r="B83" i="49"/>
  <c r="N82" i="49"/>
  <c r="M81" i="49"/>
  <c r="M83" i="49" s="1"/>
  <c r="C81" i="49"/>
  <c r="N81" i="49" s="1"/>
  <c r="N83" i="49" s="1"/>
  <c r="B81" i="49"/>
  <c r="N76" i="49"/>
  <c r="M76" i="49"/>
  <c r="L76" i="49"/>
  <c r="K76" i="49"/>
  <c r="J76" i="49"/>
  <c r="I76" i="49"/>
  <c r="H76" i="49"/>
  <c r="G76" i="49"/>
  <c r="F76" i="49"/>
  <c r="E76" i="49"/>
  <c r="D76" i="49"/>
  <c r="C76" i="49"/>
  <c r="B76" i="49"/>
  <c r="N75" i="49"/>
  <c r="N74" i="49"/>
  <c r="M72" i="49"/>
  <c r="L72" i="49"/>
  <c r="K72" i="49"/>
  <c r="J72" i="49"/>
  <c r="I72" i="49"/>
  <c r="H72" i="49"/>
  <c r="G72" i="49"/>
  <c r="F72" i="49"/>
  <c r="E72" i="49"/>
  <c r="D72" i="49"/>
  <c r="C72" i="49"/>
  <c r="B72" i="49"/>
  <c r="N71" i="49"/>
  <c r="N70" i="49"/>
  <c r="N72" i="49" s="1"/>
  <c r="P68" i="49" s="1"/>
  <c r="M65" i="49"/>
  <c r="L65" i="49"/>
  <c r="K65" i="49"/>
  <c r="J65" i="49"/>
  <c r="I65" i="49"/>
  <c r="H65" i="49"/>
  <c r="G65" i="49"/>
  <c r="F65" i="49"/>
  <c r="E65" i="49"/>
  <c r="D65" i="49"/>
  <c r="C65" i="49"/>
  <c r="B65" i="49"/>
  <c r="N64" i="49"/>
  <c r="N63" i="49"/>
  <c r="N65" i="49" s="1"/>
  <c r="M61" i="49"/>
  <c r="I61" i="49"/>
  <c r="H61" i="49"/>
  <c r="C61" i="49"/>
  <c r="N60" i="49"/>
  <c r="M59" i="49"/>
  <c r="L59" i="49"/>
  <c r="L61" i="49" s="1"/>
  <c r="K61" i="49"/>
  <c r="J59" i="49"/>
  <c r="J61" i="49" s="1"/>
  <c r="I59" i="49"/>
  <c r="H59" i="49"/>
  <c r="G59" i="49"/>
  <c r="G61" i="49" s="1"/>
  <c r="F59" i="49"/>
  <c r="F61" i="49" s="1"/>
  <c r="E59" i="49"/>
  <c r="E61" i="49" s="1"/>
  <c r="D59" i="49"/>
  <c r="D61" i="49" s="1"/>
  <c r="C59" i="49"/>
  <c r="B59" i="49"/>
  <c r="B61" i="49" s="1"/>
  <c r="M54" i="49"/>
  <c r="L54" i="49"/>
  <c r="K54" i="49"/>
  <c r="J54" i="49"/>
  <c r="I54" i="49"/>
  <c r="H54" i="49"/>
  <c r="G54" i="49"/>
  <c r="F54" i="49"/>
  <c r="E54" i="49"/>
  <c r="D54" i="49"/>
  <c r="C54" i="49"/>
  <c r="B54" i="49"/>
  <c r="N53" i="49"/>
  <c r="N52" i="49"/>
  <c r="N54" i="49" s="1"/>
  <c r="G50" i="49"/>
  <c r="C50" i="49"/>
  <c r="B50" i="49"/>
  <c r="N49" i="49"/>
  <c r="M48" i="49"/>
  <c r="M50" i="49" s="1"/>
  <c r="L48" i="49"/>
  <c r="L50" i="49" s="1"/>
  <c r="K48" i="49"/>
  <c r="K50" i="49" s="1"/>
  <c r="J48" i="49"/>
  <c r="J50" i="49" s="1"/>
  <c r="I48" i="49"/>
  <c r="I50" i="49" s="1"/>
  <c r="H48" i="49"/>
  <c r="H50" i="49" s="1"/>
  <c r="G48" i="49"/>
  <c r="F48" i="49"/>
  <c r="F50" i="49" s="1"/>
  <c r="E48" i="49"/>
  <c r="E50" i="49" s="1"/>
  <c r="D50" i="49"/>
  <c r="C48" i="49"/>
  <c r="B48" i="49"/>
  <c r="N48" i="49" s="1"/>
  <c r="N50" i="49" s="1"/>
  <c r="M43" i="49"/>
  <c r="L43" i="49"/>
  <c r="K43" i="49"/>
  <c r="J43" i="49"/>
  <c r="I43" i="49"/>
  <c r="H43" i="49"/>
  <c r="G43" i="49"/>
  <c r="F43" i="49"/>
  <c r="E43" i="49"/>
  <c r="D43" i="49"/>
  <c r="C43" i="49"/>
  <c r="B43" i="49"/>
  <c r="N42" i="49"/>
  <c r="N41" i="49"/>
  <c r="N43" i="49" s="1"/>
  <c r="M39" i="49"/>
  <c r="L39" i="49"/>
  <c r="K39" i="49"/>
  <c r="J39" i="49"/>
  <c r="I39" i="49"/>
  <c r="H39" i="49"/>
  <c r="G39" i="49"/>
  <c r="F39" i="49"/>
  <c r="E39" i="49"/>
  <c r="D39" i="49"/>
  <c r="C39" i="49"/>
  <c r="B39" i="49"/>
  <c r="N38" i="49"/>
  <c r="N37" i="49"/>
  <c r="N39" i="49" s="1"/>
  <c r="M32" i="49"/>
  <c r="L32" i="49"/>
  <c r="K32" i="49"/>
  <c r="J32" i="49"/>
  <c r="I32" i="49"/>
  <c r="H32" i="49"/>
  <c r="G32" i="49"/>
  <c r="F32" i="49"/>
  <c r="E32" i="49"/>
  <c r="D32" i="49"/>
  <c r="C32" i="49"/>
  <c r="B32" i="49"/>
  <c r="N31" i="49"/>
  <c r="N32" i="49" s="1"/>
  <c r="N30" i="49"/>
  <c r="M28" i="49"/>
  <c r="L28" i="49"/>
  <c r="K28" i="49"/>
  <c r="J28" i="49"/>
  <c r="I28" i="49"/>
  <c r="H28" i="49"/>
  <c r="G28" i="49"/>
  <c r="F28" i="49"/>
  <c r="E28" i="49"/>
  <c r="D28" i="49"/>
  <c r="C28" i="49"/>
  <c r="B28" i="49"/>
  <c r="N27" i="49"/>
  <c r="N26" i="49"/>
  <c r="N28" i="49" s="1"/>
  <c r="P24" i="49" s="1"/>
  <c r="M21" i="49"/>
  <c r="L21" i="49"/>
  <c r="K21" i="49"/>
  <c r="J21" i="49"/>
  <c r="I21" i="49"/>
  <c r="H21" i="49"/>
  <c r="G21" i="49"/>
  <c r="F21" i="49"/>
  <c r="E21" i="49"/>
  <c r="D21" i="49"/>
  <c r="C21" i="49"/>
  <c r="B21" i="49"/>
  <c r="N20" i="49"/>
  <c r="N19" i="49"/>
  <c r="N21" i="49" s="1"/>
  <c r="M17" i="49"/>
  <c r="L17" i="49"/>
  <c r="E17" i="49"/>
  <c r="N16" i="49"/>
  <c r="N15" i="49"/>
  <c r="K17" i="49"/>
  <c r="J17" i="49"/>
  <c r="I17" i="49"/>
  <c r="H17" i="49"/>
  <c r="G17" i="49"/>
  <c r="F17" i="49"/>
  <c r="D17" i="49"/>
  <c r="C17" i="49"/>
  <c r="B17" i="49"/>
  <c r="M10" i="49"/>
  <c r="L10" i="49"/>
  <c r="K10" i="49"/>
  <c r="J10" i="49"/>
  <c r="I10" i="49"/>
  <c r="H10" i="49"/>
  <c r="G10" i="49"/>
  <c r="F10" i="49"/>
  <c r="E10" i="49"/>
  <c r="D10" i="49"/>
  <c r="C10" i="49"/>
  <c r="B10" i="49"/>
  <c r="N9" i="49"/>
  <c r="N8" i="49"/>
  <c r="N10" i="49" s="1"/>
  <c r="K6" i="49"/>
  <c r="G6" i="49"/>
  <c r="F6" i="49"/>
  <c r="N5" i="49"/>
  <c r="M6" i="49"/>
  <c r="L6" i="49"/>
  <c r="J6" i="49"/>
  <c r="I6" i="49"/>
  <c r="H6" i="49"/>
  <c r="E6" i="49"/>
  <c r="D6" i="49"/>
  <c r="C6" i="49"/>
  <c r="B6" i="49"/>
  <c r="P90" i="49" l="1"/>
  <c r="N17" i="49"/>
  <c r="Q2" i="49"/>
  <c r="D22" i="10"/>
  <c r="N142" i="49"/>
  <c r="Q112" i="49" s="1"/>
  <c r="S23" i="51"/>
  <c r="R24" i="51"/>
  <c r="AC24" i="51"/>
  <c r="U24" i="51"/>
  <c r="T25" i="51"/>
  <c r="P112" i="49"/>
  <c r="Q90" i="49"/>
  <c r="Q68" i="49"/>
  <c r="N193" i="49"/>
  <c r="M127" i="49"/>
  <c r="N59" i="49"/>
  <c r="N61" i="49" s="1"/>
  <c r="P46" i="49" s="1"/>
  <c r="N158" i="49"/>
  <c r="N160" i="49" s="1"/>
  <c r="N4" i="49"/>
  <c r="N6" i="49" l="1"/>
  <c r="C22" i="10"/>
  <c r="S24" i="51"/>
  <c r="R25" i="51"/>
  <c r="AC25" i="51"/>
  <c r="U25" i="51"/>
  <c r="T26" i="51"/>
  <c r="AC26" i="51" l="1"/>
  <c r="U26" i="51"/>
  <c r="T27" i="51"/>
  <c r="R26" i="51"/>
  <c r="S25" i="51"/>
  <c r="G20" i="24"/>
  <c r="H20" i="24" s="1"/>
  <c r="R27" i="51" l="1"/>
  <c r="S26" i="51"/>
  <c r="AC27" i="51"/>
  <c r="U27" i="51"/>
  <c r="T28" i="51"/>
  <c r="M11" i="6"/>
  <c r="H22" i="47"/>
  <c r="H10" i="47"/>
  <c r="H17" i="47"/>
  <c r="H19" i="47"/>
  <c r="G14" i="47"/>
  <c r="E49" i="31"/>
  <c r="D56" i="31"/>
  <c r="E56" i="31" s="1"/>
  <c r="D48" i="31"/>
  <c r="E48" i="31" s="1"/>
  <c r="D40" i="31"/>
  <c r="E40" i="31" s="1"/>
  <c r="E80" i="22"/>
  <c r="I9" i="25"/>
  <c r="G27" i="25" s="1"/>
  <c r="F42" i="24"/>
  <c r="AC28" i="51" l="1"/>
  <c r="U28" i="51"/>
  <c r="T29" i="51"/>
  <c r="R28" i="51"/>
  <c r="S27" i="51"/>
  <c r="E50" i="31"/>
  <c r="G24" i="6" s="1"/>
  <c r="AC29" i="51" l="1"/>
  <c r="U29" i="51"/>
  <c r="T30" i="51"/>
  <c r="R29" i="51"/>
  <c r="S28" i="51"/>
  <c r="H4" i="43"/>
  <c r="E4" i="43"/>
  <c r="AC30" i="51" l="1"/>
  <c r="U30" i="51"/>
  <c r="T31" i="51"/>
  <c r="R30" i="51"/>
  <c r="S29" i="51"/>
  <c r="J39" i="31"/>
  <c r="J40" i="31"/>
  <c r="J35" i="31"/>
  <c r="R31" i="51" l="1"/>
  <c r="S31" i="51" s="1"/>
  <c r="S30" i="51"/>
  <c r="U31" i="51"/>
  <c r="AC31" i="51"/>
  <c r="J41" i="31"/>
  <c r="G32" i="6" s="1"/>
  <c r="C29" i="31" l="1"/>
  <c r="E29" i="31" s="1"/>
  <c r="C28" i="31"/>
  <c r="E28" i="31" s="1"/>
  <c r="C27" i="31"/>
  <c r="E27" i="31" s="1"/>
  <c r="C26" i="31"/>
  <c r="E26" i="31" s="1"/>
  <c r="K49" i="47"/>
  <c r="K43" i="47"/>
  <c r="K37" i="47"/>
  <c r="K35" i="47" l="1"/>
  <c r="K31" i="47"/>
  <c r="H21" i="47"/>
  <c r="H23" i="47"/>
  <c r="K15" i="47"/>
  <c r="K26" i="47"/>
  <c r="J4" i="47"/>
  <c r="G9" i="47"/>
  <c r="K14" i="47"/>
  <c r="I25" i="47"/>
  <c r="I11" i="47"/>
  <c r="I13" i="47"/>
  <c r="I12" i="47"/>
  <c r="I8" i="47"/>
  <c r="I16" i="47"/>
  <c r="I7" i="47"/>
  <c r="F6" i="47"/>
  <c r="I6" i="47" s="1"/>
  <c r="I21" i="47"/>
  <c r="K21" i="47" s="1"/>
  <c r="I23" i="47"/>
  <c r="F22" i="47"/>
  <c r="I22" i="47" s="1"/>
  <c r="I10" i="47"/>
  <c r="K10" i="47" s="1"/>
  <c r="I24" i="47"/>
  <c r="I17" i="47"/>
  <c r="I19" i="47"/>
  <c r="I20" i="47"/>
  <c r="H25" i="47"/>
  <c r="H11" i="47"/>
  <c r="H13" i="47"/>
  <c r="H12" i="47"/>
  <c r="H8" i="47"/>
  <c r="E20" i="47"/>
  <c r="H20" i="47" s="1"/>
  <c r="H16" i="47"/>
  <c r="K16" i="47" s="1"/>
  <c r="K9" i="47" l="1"/>
  <c r="H18" i="47"/>
  <c r="I18" i="47"/>
  <c r="K18" i="47" s="1"/>
  <c r="K23" i="47"/>
  <c r="K24" i="47"/>
  <c r="K22" i="47"/>
  <c r="K25" i="47"/>
  <c r="K6" i="47"/>
  <c r="K11" i="47"/>
  <c r="K13" i="47"/>
  <c r="K12" i="47"/>
  <c r="K8" i="47"/>
  <c r="K5" i="47"/>
  <c r="K20" i="47"/>
  <c r="K17" i="47"/>
  <c r="K7" i="47"/>
  <c r="K19" i="47"/>
  <c r="K27" i="47" s="1"/>
  <c r="K46" i="47" l="1"/>
  <c r="I4" i="43"/>
  <c r="I5" i="43"/>
  <c r="E27" i="43"/>
  <c r="F27" i="43"/>
  <c r="G27" i="43"/>
  <c r="H27" i="43"/>
  <c r="G28" i="43"/>
  <c r="H28" i="43"/>
  <c r="E30" i="43"/>
  <c r="F30" i="43"/>
  <c r="G30" i="43"/>
  <c r="H30" i="43"/>
  <c r="E31" i="43"/>
  <c r="F31" i="43"/>
  <c r="G31" i="43"/>
  <c r="H31" i="43"/>
  <c r="E32" i="43"/>
  <c r="F32" i="43"/>
  <c r="G32" i="43"/>
  <c r="H32" i="43"/>
  <c r="E33" i="43"/>
  <c r="F33" i="43"/>
  <c r="G33" i="43"/>
  <c r="H33" i="43"/>
  <c r="E35" i="43"/>
  <c r="F35" i="43"/>
  <c r="G35" i="43"/>
  <c r="H35" i="43"/>
  <c r="G36" i="43"/>
  <c r="H36" i="43"/>
  <c r="G37" i="43"/>
  <c r="H37" i="43"/>
  <c r="G38" i="43"/>
  <c r="H38" i="43"/>
  <c r="G39" i="43"/>
  <c r="H39" i="43"/>
  <c r="E40" i="43"/>
  <c r="F40" i="43"/>
  <c r="G40" i="43"/>
  <c r="H40" i="43"/>
  <c r="E41" i="43"/>
  <c r="F41" i="43"/>
  <c r="G41" i="43"/>
  <c r="H41" i="43"/>
  <c r="E42" i="43"/>
  <c r="F42" i="43"/>
  <c r="G42" i="43"/>
  <c r="H42" i="43"/>
  <c r="D42" i="43"/>
  <c r="D41" i="43"/>
  <c r="D35" i="43"/>
  <c r="D33" i="43"/>
  <c r="D32" i="43"/>
  <c r="I31" i="43"/>
  <c r="D30" i="43"/>
  <c r="D27" i="43"/>
  <c r="I27" i="43" s="1"/>
  <c r="H26" i="43"/>
  <c r="D33" i="33"/>
  <c r="H25" i="33"/>
  <c r="G25" i="33"/>
  <c r="F25" i="33"/>
  <c r="E25" i="33"/>
  <c r="D25" i="33"/>
  <c r="F23" i="33"/>
  <c r="E23" i="33"/>
  <c r="D23" i="33"/>
  <c r="G23" i="33"/>
  <c r="E22" i="33"/>
  <c r="E21" i="33"/>
  <c r="E16" i="33"/>
  <c r="D16" i="33"/>
  <c r="E15" i="33"/>
  <c r="D15" i="33"/>
  <c r="G12" i="33"/>
  <c r="H12" i="33" s="1"/>
  <c r="D10" i="33"/>
  <c r="H20" i="33"/>
  <c r="E19" i="33"/>
  <c r="F18" i="33"/>
  <c r="D17" i="33"/>
  <c r="D14" i="33"/>
  <c r="D13" i="33"/>
  <c r="D11" i="33"/>
  <c r="F15" i="6"/>
  <c r="F14" i="6"/>
  <c r="K30" i="47" l="1"/>
  <c r="K40" i="47" s="1"/>
  <c r="K42" i="47" s="1"/>
  <c r="K44" i="47" s="1"/>
  <c r="K32" i="47"/>
  <c r="G20" i="6" s="1"/>
  <c r="K48" i="47"/>
  <c r="K50" i="47" s="1"/>
  <c r="I41" i="43"/>
  <c r="I42" i="43"/>
  <c r="I32" i="43"/>
  <c r="I30" i="43"/>
  <c r="I33" i="43"/>
  <c r="I35" i="43"/>
  <c r="G94" i="22"/>
  <c r="K34" i="47" l="1"/>
  <c r="K36" i="47" s="1"/>
  <c r="K38" i="47" s="1"/>
  <c r="I8" i="43"/>
  <c r="I9" i="43"/>
  <c r="I10" i="43"/>
  <c r="I11" i="43"/>
  <c r="I13" i="43"/>
  <c r="I19" i="43"/>
  <c r="I20" i="43"/>
  <c r="H12" i="43"/>
  <c r="D12" i="43"/>
  <c r="C62" i="43"/>
  <c r="C60" i="43"/>
  <c r="C59" i="43"/>
  <c r="G59" i="43" l="1"/>
  <c r="E59" i="43"/>
  <c r="D59" i="43"/>
  <c r="E50" i="22" s="1"/>
  <c r="H59" i="43"/>
  <c r="E53" i="22" s="1"/>
  <c r="F59" i="43"/>
  <c r="E60" i="43"/>
  <c r="G60" i="43"/>
  <c r="H60" i="43"/>
  <c r="D60" i="43"/>
  <c r="F60" i="43"/>
  <c r="F62" i="43"/>
  <c r="E62" i="43"/>
  <c r="D62" i="43"/>
  <c r="G62" i="43"/>
  <c r="H62" i="43"/>
  <c r="E68" i="22"/>
  <c r="C57" i="43"/>
  <c r="I31" i="6"/>
  <c r="I30" i="6"/>
  <c r="I29" i="6"/>
  <c r="C61" i="43" s="1"/>
  <c r="I27" i="6"/>
  <c r="I24" i="6"/>
  <c r="C52" i="43" s="1"/>
  <c r="I23" i="6"/>
  <c r="C21" i="43"/>
  <c r="G4" i="43"/>
  <c r="G26" i="43" s="1"/>
  <c r="F4" i="43"/>
  <c r="F26" i="43" s="1"/>
  <c r="E26" i="43"/>
  <c r="D4" i="43"/>
  <c r="I48" i="6"/>
  <c r="G21" i="43"/>
  <c r="G43" i="43" s="1"/>
  <c r="D18" i="43"/>
  <c r="F17" i="43"/>
  <c r="F39" i="43" s="1"/>
  <c r="E17" i="43"/>
  <c r="E39" i="43" s="1"/>
  <c r="D17" i="43"/>
  <c r="F16" i="43"/>
  <c r="F38" i="43" s="1"/>
  <c r="E16" i="43"/>
  <c r="E38" i="43" s="1"/>
  <c r="D16" i="43"/>
  <c r="D38" i="43" s="1"/>
  <c r="I38" i="43" s="1"/>
  <c r="F15" i="43"/>
  <c r="F37" i="43" s="1"/>
  <c r="E15" i="43"/>
  <c r="E37" i="43" s="1"/>
  <c r="D15" i="43"/>
  <c r="D37" i="43" s="1"/>
  <c r="I37" i="43" s="1"/>
  <c r="F14" i="43"/>
  <c r="F36" i="43" s="1"/>
  <c r="E14" i="43"/>
  <c r="E36" i="43" s="1"/>
  <c r="D14" i="43"/>
  <c r="F12" i="43"/>
  <c r="C12" i="43"/>
  <c r="H34" i="43" s="1"/>
  <c r="H7" i="43"/>
  <c r="C7" i="43"/>
  <c r="F7" i="43"/>
  <c r="F6" i="43"/>
  <c r="F28" i="43" s="1"/>
  <c r="E6" i="43"/>
  <c r="E28" i="43" s="1"/>
  <c r="D6" i="43"/>
  <c r="D28" i="43" s="1"/>
  <c r="I28" i="43" s="1"/>
  <c r="E55" i="22" l="1"/>
  <c r="E61" i="43"/>
  <c r="G61" i="43"/>
  <c r="H61" i="43"/>
  <c r="F61" i="43"/>
  <c r="D61" i="43"/>
  <c r="E60" i="22" s="1"/>
  <c r="E57" i="43"/>
  <c r="D57" i="43"/>
  <c r="G57" i="43"/>
  <c r="H57" i="43"/>
  <c r="E43" i="22" s="1"/>
  <c r="F57" i="43"/>
  <c r="E42" i="22" s="1"/>
  <c r="E65" i="22"/>
  <c r="D34" i="43"/>
  <c r="G52" i="43"/>
  <c r="E29" i="22" s="1"/>
  <c r="H52" i="43"/>
  <c r="E30" i="22" s="1"/>
  <c r="E52" i="43"/>
  <c r="F52" i="43"/>
  <c r="E28" i="22" s="1"/>
  <c r="D52" i="43"/>
  <c r="F29" i="43"/>
  <c r="D43" i="43"/>
  <c r="F43" i="43"/>
  <c r="E43" i="43"/>
  <c r="I14" i="43"/>
  <c r="D36" i="43"/>
  <c r="H29" i="43"/>
  <c r="I17" i="43"/>
  <c r="D39" i="43"/>
  <c r="I18" i="43"/>
  <c r="D40" i="43"/>
  <c r="D29" i="43"/>
  <c r="G29" i="43"/>
  <c r="E29" i="43"/>
  <c r="C56" i="43"/>
  <c r="E34" i="43"/>
  <c r="G34" i="43"/>
  <c r="I12" i="43"/>
  <c r="F34" i="43"/>
  <c r="I15" i="43"/>
  <c r="I26" i="43"/>
  <c r="I6" i="43"/>
  <c r="I16" i="43"/>
  <c r="I7" i="43"/>
  <c r="H21" i="43"/>
  <c r="C22" i="43"/>
  <c r="C27" i="33"/>
  <c r="C28" i="33"/>
  <c r="C29" i="33"/>
  <c r="C30" i="33"/>
  <c r="C31" i="33"/>
  <c r="C26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10" i="33"/>
  <c r="F56" i="43" l="1"/>
  <c r="G56" i="43"/>
  <c r="H56" i="43"/>
  <c r="E40" i="22" s="1"/>
  <c r="E56" i="43"/>
  <c r="E27" i="22"/>
  <c r="E39" i="22"/>
  <c r="D56" i="43"/>
  <c r="E38" i="22" s="1"/>
  <c r="I34" i="43"/>
  <c r="I21" i="43"/>
  <c r="H43" i="43"/>
  <c r="I40" i="43"/>
  <c r="I39" i="43"/>
  <c r="I43" i="43"/>
  <c r="I36" i="43"/>
  <c r="I29" i="43"/>
  <c r="G29" i="22"/>
  <c r="H29" i="22" s="1"/>
  <c r="F14" i="26" s="1"/>
  <c r="G21" i="24"/>
  <c r="G22" i="24"/>
  <c r="H22" i="24" s="1"/>
  <c r="G23" i="24"/>
  <c r="H23" i="24" s="1"/>
  <c r="G12" i="24"/>
  <c r="H12" i="24" s="1"/>
  <c r="G13" i="24"/>
  <c r="H13" i="24" s="1"/>
  <c r="D27" i="24"/>
  <c r="E23" i="24"/>
  <c r="F23" i="24" s="1"/>
  <c r="E22" i="24"/>
  <c r="F22" i="24" s="1"/>
  <c r="E21" i="24"/>
  <c r="F21" i="24" s="1"/>
  <c r="H21" i="24" l="1"/>
  <c r="F36" i="24"/>
  <c r="F38" i="24" s="1"/>
  <c r="F43" i="24" s="1"/>
  <c r="G35" i="6"/>
  <c r="I35" i="6" s="1"/>
  <c r="F39" i="46"/>
  <c r="H39" i="46" s="1"/>
  <c r="H30" i="46"/>
  <c r="K28" i="46"/>
  <c r="J28" i="46"/>
  <c r="G28" i="46"/>
  <c r="K27" i="46"/>
  <c r="J27" i="46"/>
  <c r="G27" i="46"/>
  <c r="J26" i="46"/>
  <c r="K26" i="46" s="1"/>
  <c r="G26" i="46"/>
  <c r="K25" i="46"/>
  <c r="J25" i="46"/>
  <c r="G25" i="46"/>
  <c r="K24" i="46"/>
  <c r="J24" i="46"/>
  <c r="G24" i="46"/>
  <c r="K23" i="46"/>
  <c r="J23" i="46"/>
  <c r="G23" i="46"/>
  <c r="J22" i="46"/>
  <c r="K22" i="46" s="1"/>
  <c r="G22" i="46"/>
  <c r="K21" i="46"/>
  <c r="J21" i="46"/>
  <c r="G21" i="46"/>
  <c r="K20" i="46"/>
  <c r="J20" i="46"/>
  <c r="G20" i="46"/>
  <c r="K19" i="46"/>
  <c r="J19" i="46"/>
  <c r="G19" i="46"/>
  <c r="J18" i="46"/>
  <c r="K18" i="46" s="1"/>
  <c r="G18" i="46"/>
  <c r="F17" i="46"/>
  <c r="J17" i="46" s="1"/>
  <c r="K17" i="46" s="1"/>
  <c r="J16" i="46"/>
  <c r="K16" i="46" s="1"/>
  <c r="G16" i="46"/>
  <c r="J15" i="46"/>
  <c r="K15" i="46" s="1"/>
  <c r="G15" i="46"/>
  <c r="K14" i="46"/>
  <c r="J14" i="46"/>
  <c r="G14" i="46"/>
  <c r="J13" i="46"/>
  <c r="K13" i="46" s="1"/>
  <c r="G13" i="46"/>
  <c r="G12" i="46"/>
  <c r="F12" i="46"/>
  <c r="J12" i="46" s="1"/>
  <c r="K12" i="46" s="1"/>
  <c r="J11" i="46"/>
  <c r="K11" i="46" s="1"/>
  <c r="G11" i="46"/>
  <c r="J10" i="46"/>
  <c r="K10" i="46" s="1"/>
  <c r="F10" i="46"/>
  <c r="F38" i="46" s="1"/>
  <c r="K9" i="46"/>
  <c r="K30" i="46" s="1"/>
  <c r="J9" i="46"/>
  <c r="J30" i="46" s="1"/>
  <c r="G9" i="46"/>
  <c r="I49" i="6"/>
  <c r="I50" i="6"/>
  <c r="I51" i="6"/>
  <c r="I52" i="6"/>
  <c r="I53" i="6"/>
  <c r="I47" i="6"/>
  <c r="D20" i="27" s="1"/>
  <c r="I14" i="6"/>
  <c r="D18" i="27" s="1"/>
  <c r="G18" i="27" s="1"/>
  <c r="S30" i="45"/>
  <c r="S29" i="45"/>
  <c r="S31" i="45" s="1"/>
  <c r="Q14" i="45"/>
  <c r="O14" i="45"/>
  <c r="N14" i="45"/>
  <c r="L14" i="45"/>
  <c r="K14" i="45"/>
  <c r="I14" i="45"/>
  <c r="H14" i="45"/>
  <c r="E14" i="45"/>
  <c r="D14" i="45"/>
  <c r="C14" i="45"/>
  <c r="R12" i="45"/>
  <c r="S12" i="45" s="1"/>
  <c r="F11" i="45"/>
  <c r="S11" i="45" s="1"/>
  <c r="P10" i="45"/>
  <c r="P14" i="45" s="1"/>
  <c r="M10" i="45"/>
  <c r="M14" i="45" s="1"/>
  <c r="J10" i="45"/>
  <c r="J14" i="45" s="1"/>
  <c r="G10" i="45"/>
  <c r="G14" i="45" s="1"/>
  <c r="D10" i="45"/>
  <c r="N32" i="31"/>
  <c r="G15" i="6" s="1"/>
  <c r="D44" i="10"/>
  <c r="E44" i="10" s="1"/>
  <c r="D45" i="10"/>
  <c r="E45" i="10" s="1"/>
  <c r="C41" i="35"/>
  <c r="C40" i="35"/>
  <c r="F56" i="28"/>
  <c r="C58" i="35"/>
  <c r="C52" i="35"/>
  <c r="E52" i="35" s="1"/>
  <c r="C38" i="35"/>
  <c r="F14" i="45" l="1"/>
  <c r="G17" i="46"/>
  <c r="G10" i="46"/>
  <c r="S10" i="45"/>
  <c r="V11" i="45" s="1"/>
  <c r="R17" i="45"/>
  <c r="S17" i="45" s="1"/>
  <c r="D37" i="10"/>
  <c r="D38" i="10"/>
  <c r="D39" i="10"/>
  <c r="D40" i="10"/>
  <c r="D41" i="10"/>
  <c r="D42" i="10"/>
  <c r="D43" i="10"/>
  <c r="D36" i="10"/>
  <c r="D35" i="10"/>
  <c r="C41" i="10"/>
  <c r="C65" i="10"/>
  <c r="D55" i="28" l="1"/>
  <c r="F55" i="28" s="1"/>
  <c r="E65" i="10"/>
  <c r="C61" i="35"/>
  <c r="S14" i="45"/>
  <c r="E37" i="10"/>
  <c r="C37" i="35"/>
  <c r="C68" i="10"/>
  <c r="C67" i="10"/>
  <c r="C66" i="10"/>
  <c r="C62" i="35" s="1"/>
  <c r="E62" i="35" s="1"/>
  <c r="E22" i="10"/>
  <c r="G22" i="10" s="1"/>
  <c r="C43" i="10"/>
  <c r="D57" i="28" s="1"/>
  <c r="F57" i="28" s="1"/>
  <c r="E38" i="10"/>
  <c r="E36" i="10"/>
  <c r="E29" i="10"/>
  <c r="E28" i="10"/>
  <c r="D62" i="10"/>
  <c r="E62" i="10" s="1"/>
  <c r="C55" i="10"/>
  <c r="C51" i="35" s="1"/>
  <c r="E51" i="35" s="1"/>
  <c r="C54" i="10"/>
  <c r="C50" i="35" s="1"/>
  <c r="C53" i="10"/>
  <c r="C49" i="35" s="1"/>
  <c r="C52" i="10"/>
  <c r="C48" i="35" s="1"/>
  <c r="C51" i="10"/>
  <c r="C47" i="35" s="1"/>
  <c r="K9" i="10"/>
  <c r="E67" i="10" l="1"/>
  <c r="C63" i="35"/>
  <c r="E63" i="35" s="1"/>
  <c r="E68" i="10"/>
  <c r="C64" i="35"/>
  <c r="E64" i="35" s="1"/>
  <c r="E65" i="35" s="1"/>
  <c r="E61" i="35"/>
  <c r="C40" i="10"/>
  <c r="E37" i="45"/>
  <c r="E87" i="22" s="1"/>
  <c r="E36" i="45"/>
  <c r="E35" i="45"/>
  <c r="E38" i="45" s="1"/>
  <c r="S19" i="45"/>
  <c r="I44" i="6"/>
  <c r="R19" i="45"/>
  <c r="I43" i="6"/>
  <c r="C31" i="35"/>
  <c r="D49" i="28"/>
  <c r="F49" i="28" s="1"/>
  <c r="D52" i="28"/>
  <c r="F52" i="28" s="1"/>
  <c r="C34" i="35"/>
  <c r="C32" i="35"/>
  <c r="D50" i="28"/>
  <c r="F50" i="28" s="1"/>
  <c r="D53" i="28"/>
  <c r="F53" i="28" s="1"/>
  <c r="C35" i="35"/>
  <c r="C39" i="35"/>
  <c r="C69" i="10"/>
  <c r="C33" i="35"/>
  <c r="D51" i="28"/>
  <c r="F51" i="28" s="1"/>
  <c r="E39" i="10"/>
  <c r="E66" i="10"/>
  <c r="E69" i="10" s="1"/>
  <c r="F14" i="10" s="1"/>
  <c r="D54" i="28" l="1"/>
  <c r="F54" i="28" s="1"/>
  <c r="C46" i="10"/>
  <c r="C36" i="35"/>
  <c r="E40" i="10"/>
  <c r="C65" i="35"/>
  <c r="E86" i="22"/>
  <c r="K90" i="22" s="1"/>
  <c r="F60" i="28"/>
  <c r="D27" i="28" s="1"/>
  <c r="C42" i="35"/>
  <c r="D6" i="44"/>
  <c r="F32" i="6"/>
  <c r="I32" i="6" s="1"/>
  <c r="F28" i="6"/>
  <c r="I28" i="6" s="1"/>
  <c r="F26" i="6"/>
  <c r="F25" i="6"/>
  <c r="F16" i="6"/>
  <c r="E57" i="31" l="1"/>
  <c r="E58" i="31" s="1"/>
  <c r="G25" i="6" s="1"/>
  <c r="I25" i="6" s="1"/>
  <c r="E6" i="44"/>
  <c r="D10" i="44" l="1"/>
  <c r="D9" i="44"/>
  <c r="D8" i="44"/>
  <c r="D7" i="44"/>
  <c r="E7" i="44" s="1"/>
  <c r="E10" i="44" l="1"/>
  <c r="E9" i="44"/>
  <c r="E8" i="44"/>
  <c r="E17" i="41"/>
  <c r="E16" i="41"/>
  <c r="E15" i="41"/>
  <c r="E14" i="41"/>
  <c r="E9" i="41"/>
  <c r="F27" i="2"/>
  <c r="F26" i="2"/>
  <c r="F25" i="2"/>
  <c r="F24" i="2"/>
  <c r="F22" i="2"/>
  <c r="F20" i="2"/>
  <c r="F14" i="2"/>
  <c r="F13" i="2"/>
  <c r="C53" i="35" l="1"/>
  <c r="B26" i="35"/>
  <c r="F9" i="10" l="1"/>
  <c r="D60" i="28"/>
  <c r="H51" i="28" l="1"/>
  <c r="H52" i="28"/>
  <c r="H53" i="28"/>
  <c r="H49" i="28"/>
  <c r="H54" i="28"/>
  <c r="H60" i="28" l="1"/>
  <c r="I57" i="43" l="1"/>
  <c r="I56" i="43"/>
  <c r="I52" i="43"/>
  <c r="E63" i="22" l="1"/>
  <c r="E58" i="22"/>
  <c r="C54" i="43"/>
  <c r="J4" i="43"/>
  <c r="E54" i="43" l="1"/>
  <c r="F54" i="43"/>
  <c r="D54" i="43"/>
  <c r="H54" i="43"/>
  <c r="G54" i="43"/>
  <c r="I54" i="43" s="1"/>
  <c r="E57" i="22" l="1"/>
  <c r="G57" i="22" s="1"/>
  <c r="H57" i="22" s="1"/>
  <c r="F21" i="26" s="1"/>
  <c r="E52" i="22"/>
  <c r="G52" i="22" s="1"/>
  <c r="H52" i="22" s="1"/>
  <c r="F20" i="26" s="1"/>
  <c r="E67" i="22"/>
  <c r="G67" i="22" s="1"/>
  <c r="H67" i="22" s="1"/>
  <c r="F23" i="26" s="1"/>
  <c r="E62" i="22"/>
  <c r="E51" i="22"/>
  <c r="E61" i="22"/>
  <c r="I59" i="43" l="1"/>
  <c r="E56" i="22"/>
  <c r="I60" i="43"/>
  <c r="E66" i="22"/>
  <c r="I62" i="43"/>
  <c r="G19" i="24"/>
  <c r="H19" i="24" s="1"/>
  <c r="G18" i="24"/>
  <c r="H18" i="24" s="1"/>
  <c r="G17" i="24"/>
  <c r="H17" i="24" s="1"/>
  <c r="G16" i="24"/>
  <c r="H16" i="24" s="1"/>
  <c r="G15" i="24"/>
  <c r="H15" i="24" s="1"/>
  <c r="G7" i="42"/>
  <c r="E17" i="24"/>
  <c r="E16" i="24"/>
  <c r="E15" i="24"/>
  <c r="F15" i="24" s="1"/>
  <c r="E12" i="24"/>
  <c r="E25" i="24"/>
  <c r="F25" i="24" s="1"/>
  <c r="E24" i="24"/>
  <c r="F24" i="24" s="1"/>
  <c r="E20" i="24"/>
  <c r="F20" i="24" s="1"/>
  <c r="E14" i="24"/>
  <c r="F14" i="24" s="1"/>
  <c r="E13" i="24"/>
  <c r="F13" i="24" s="1"/>
  <c r="E19" i="24"/>
  <c r="E18" i="24"/>
  <c r="F12" i="24" l="1"/>
  <c r="E27" i="24"/>
  <c r="G14" i="24"/>
  <c r="H14" i="24" s="1"/>
  <c r="N24" i="24"/>
  <c r="E56" i="10"/>
  <c r="E51" i="10"/>
  <c r="G27" i="24" l="1"/>
  <c r="H27" i="24"/>
  <c r="E55" i="10"/>
  <c r="E54" i="10"/>
  <c r="E53" i="10"/>
  <c r="E52" i="10"/>
  <c r="E43" i="10"/>
  <c r="D6" i="10"/>
  <c r="C57" i="10" l="1"/>
  <c r="E57" i="10"/>
  <c r="F12" i="10" s="1"/>
  <c r="F24" i="33" l="1"/>
  <c r="C24" i="33"/>
  <c r="I10" i="6" l="1"/>
  <c r="G10" i="6" s="1"/>
  <c r="D59" i="2"/>
  <c r="G24" i="33"/>
  <c r="C32" i="33"/>
  <c r="D24" i="33"/>
  <c r="J17" i="31" l="1"/>
  <c r="E10" i="33"/>
  <c r="E24" i="33" s="1"/>
  <c r="H24" i="33"/>
  <c r="C55" i="43" l="1"/>
  <c r="E55" i="43" s="1"/>
  <c r="I26" i="6"/>
  <c r="J24" i="33"/>
  <c r="D55" i="43" l="1"/>
  <c r="H55" i="43"/>
  <c r="E36" i="22" s="1"/>
  <c r="F55" i="43"/>
  <c r="G55" i="43"/>
  <c r="D17" i="31"/>
  <c r="E17" i="31" s="1"/>
  <c r="E19" i="31" s="1"/>
  <c r="D13" i="31"/>
  <c r="I55" i="43" l="1"/>
  <c r="C18" i="31"/>
  <c r="E33" i="31"/>
  <c r="I22" i="6" l="1"/>
  <c r="C50" i="43" s="1"/>
  <c r="D50" i="43" s="1"/>
  <c r="G22" i="6"/>
  <c r="I20" i="6"/>
  <c r="C48" i="43" s="1"/>
  <c r="H50" i="43" l="1"/>
  <c r="F50" i="43"/>
  <c r="E50" i="43"/>
  <c r="G50" i="43"/>
  <c r="E16" i="22"/>
  <c r="E48" i="43"/>
  <c r="D48" i="43"/>
  <c r="H48" i="43"/>
  <c r="E14" i="22" s="1"/>
  <c r="G48" i="43"/>
  <c r="E13" i="22" s="1"/>
  <c r="F48" i="43"/>
  <c r="E12" i="22" s="1"/>
  <c r="E11" i="22" l="1"/>
  <c r="I48" i="43"/>
  <c r="E42" i="10" l="1"/>
  <c r="E41" i="10"/>
  <c r="E35" i="10"/>
  <c r="E46" i="10" s="1"/>
  <c r="B29" i="10"/>
  <c r="C28" i="10"/>
  <c r="B28" i="10"/>
  <c r="D24" i="10"/>
  <c r="C29" i="10"/>
  <c r="F21" i="10"/>
  <c r="E21" i="10"/>
  <c r="E23" i="10" s="1"/>
  <c r="E6" i="10" l="1"/>
  <c r="D22" i="35"/>
  <c r="D26" i="35" s="1"/>
  <c r="E6" i="35" s="1"/>
  <c r="F23" i="10"/>
  <c r="G23" i="10" s="1"/>
  <c r="G24" i="10" s="1"/>
  <c r="I11" i="6"/>
  <c r="G11" i="6" s="1"/>
  <c r="D60" i="2"/>
  <c r="C30" i="10"/>
  <c r="F7" i="10"/>
  <c r="C24" i="10"/>
  <c r="C22" i="35" s="1"/>
  <c r="C26" i="35" s="1"/>
  <c r="D6" i="35" s="1"/>
  <c r="E24" i="10"/>
  <c r="D28" i="10" s="1"/>
  <c r="F24" i="10" l="1"/>
  <c r="D29" i="10" s="1"/>
  <c r="F28" i="10" l="1"/>
  <c r="F29" i="10"/>
  <c r="C65" i="43"/>
  <c r="C64" i="43"/>
  <c r="C63" i="43"/>
  <c r="C58" i="43"/>
  <c r="C53" i="43"/>
  <c r="C51" i="43"/>
  <c r="I15" i="6"/>
  <c r="D19" i="27" s="1"/>
  <c r="F30" i="10" l="1"/>
  <c r="F6" i="10" s="1"/>
  <c r="H63" i="43"/>
  <c r="F63" i="43"/>
  <c r="G63" i="43"/>
  <c r="E63" i="43"/>
  <c r="D63" i="43"/>
  <c r="I63" i="43" s="1"/>
  <c r="F58" i="43"/>
  <c r="D58" i="43"/>
  <c r="E58" i="43"/>
  <c r="H58" i="43"/>
  <c r="E48" i="22" s="1"/>
  <c r="G58" i="43"/>
  <c r="E47" i="22" s="1"/>
  <c r="E64" i="43"/>
  <c r="G64" i="43"/>
  <c r="E70" i="22" s="1"/>
  <c r="H64" i="43"/>
  <c r="F64" i="43"/>
  <c r="D64" i="43"/>
  <c r="D65" i="43"/>
  <c r="G65" i="43"/>
  <c r="E74" i="22" s="1"/>
  <c r="F65" i="43"/>
  <c r="E73" i="22" s="1"/>
  <c r="E65" i="43"/>
  <c r="H65" i="43"/>
  <c r="E75" i="22" s="1"/>
  <c r="E53" i="43"/>
  <c r="F53" i="43"/>
  <c r="E33" i="22" s="1"/>
  <c r="G53" i="43"/>
  <c r="E34" i="22" s="1"/>
  <c r="H53" i="43"/>
  <c r="E35" i="22" s="1"/>
  <c r="D53" i="43"/>
  <c r="E69" i="22"/>
  <c r="H51" i="43"/>
  <c r="E25" i="22" s="1"/>
  <c r="D51" i="43"/>
  <c r="E51" i="43"/>
  <c r="F51" i="43"/>
  <c r="E23" i="22" s="1"/>
  <c r="G51" i="43"/>
  <c r="E24" i="22" s="1"/>
  <c r="G24" i="22" s="1"/>
  <c r="H24" i="22" s="1"/>
  <c r="F13" i="26" s="1"/>
  <c r="E46" i="22"/>
  <c r="D30" i="10"/>
  <c r="D10" i="28" s="1"/>
  <c r="D16" i="28" s="1"/>
  <c r="F8" i="10"/>
  <c r="E22" i="22" l="1"/>
  <c r="E45" i="22"/>
  <c r="E72" i="22"/>
  <c r="E32" i="22"/>
  <c r="I64" i="43"/>
  <c r="I53" i="43"/>
  <c r="I51" i="43"/>
  <c r="I58" i="43"/>
  <c r="I65" i="43"/>
  <c r="I13" i="6"/>
  <c r="I46" i="6" s="1"/>
  <c r="D17" i="27" l="1"/>
  <c r="D28" i="27" s="1"/>
  <c r="G17" i="27" l="1"/>
  <c r="G70" i="22"/>
  <c r="H70" i="22" s="1"/>
  <c r="F25" i="26" l="1"/>
  <c r="C25" i="26" s="1"/>
  <c r="J70" i="22"/>
  <c r="G74" i="22" l="1"/>
  <c r="G62" i="22"/>
  <c r="H74" i="22" l="1"/>
  <c r="H62" i="22"/>
  <c r="J38" i="33"/>
  <c r="I13" i="25" l="1"/>
  <c r="E37" i="25" l="1"/>
  <c r="G41" i="25"/>
  <c r="G33" i="25"/>
  <c r="I14" i="25" l="1"/>
  <c r="G43" i="25" l="1"/>
  <c r="E39" i="25"/>
  <c r="G35" i="25"/>
  <c r="F19" i="24"/>
  <c r="F18" i="24"/>
  <c r="F17" i="24"/>
  <c r="F16" i="24"/>
  <c r="F69" i="22" l="1"/>
  <c r="F20" i="22"/>
  <c r="F19" i="22"/>
  <c r="F89" i="22"/>
  <c r="F83" i="22"/>
  <c r="F68" i="22"/>
  <c r="F25" i="22"/>
  <c r="F63" i="22"/>
  <c r="F14" i="22"/>
  <c r="F35" i="22"/>
  <c r="F30" i="22"/>
  <c r="F58" i="22"/>
  <c r="F53" i="22"/>
  <c r="F48" i="22"/>
  <c r="F36" i="22"/>
  <c r="F75" i="22"/>
  <c r="F43" i="22"/>
  <c r="F40" i="22"/>
  <c r="F27" i="24"/>
  <c r="I12" i="25" s="1"/>
  <c r="I11" i="25"/>
  <c r="F88" i="22"/>
  <c r="F82" i="22"/>
  <c r="F33" i="6" l="1"/>
  <c r="F36" i="6" s="1"/>
  <c r="M36" i="6" s="1"/>
  <c r="E19" i="22" l="1"/>
  <c r="E18" i="22"/>
  <c r="E17" i="22"/>
  <c r="I50" i="43"/>
  <c r="I21" i="6"/>
  <c r="C49" i="43" s="1"/>
  <c r="E49" i="43" l="1"/>
  <c r="F49" i="43"/>
  <c r="F66" i="43" s="1"/>
  <c r="G49" i="43"/>
  <c r="G66" i="43" s="1"/>
  <c r="H49" i="43"/>
  <c r="D49" i="43"/>
  <c r="F70" i="43" s="1"/>
  <c r="E20" i="22"/>
  <c r="E77" i="22" s="1"/>
  <c r="C66" i="43"/>
  <c r="F38" i="6"/>
  <c r="I49" i="43" l="1"/>
  <c r="H66" i="43"/>
  <c r="G13" i="22" l="1"/>
  <c r="H13" i="22" s="1"/>
  <c r="F10" i="26" s="1"/>
  <c r="G20" i="25"/>
  <c r="G34" i="22"/>
  <c r="H34" i="22" s="1"/>
  <c r="F15" i="26" s="1"/>
  <c r="F22" i="26"/>
  <c r="F26" i="26"/>
  <c r="G18" i="22" l="1"/>
  <c r="H18" i="22" s="1"/>
  <c r="F11" i="26" s="1"/>
  <c r="I33" i="6" l="1"/>
  <c r="I8" i="25" l="1"/>
  <c r="I10" i="25" s="1"/>
  <c r="G22" i="25"/>
  <c r="I21" i="25" s="1"/>
  <c r="I17" i="25" l="1"/>
  <c r="G18" i="25"/>
  <c r="I36" i="6"/>
  <c r="I42" i="6" s="1"/>
  <c r="I45" i="6" s="1"/>
  <c r="I54" i="6" s="1"/>
  <c r="C67" i="43"/>
  <c r="C68" i="43" s="1"/>
  <c r="C35" i="33"/>
  <c r="E35" i="25"/>
  <c r="E24" i="25"/>
  <c r="G38" i="25"/>
  <c r="I38" i="25" s="1"/>
  <c r="F46" i="22" s="1"/>
  <c r="G24" i="25"/>
  <c r="F66" i="22" l="1"/>
  <c r="F56" i="22"/>
  <c r="F51" i="22"/>
  <c r="F42" i="22"/>
  <c r="F73" i="22"/>
  <c r="J15" i="35"/>
  <c r="G68" i="22"/>
  <c r="H68" i="22" s="1"/>
  <c r="G23" i="26" s="1"/>
  <c r="G53" i="22"/>
  <c r="H53" i="22" s="1"/>
  <c r="G20" i="26" s="1"/>
  <c r="G40" i="22"/>
  <c r="H40" i="22" s="1"/>
  <c r="G17" i="26" s="1"/>
  <c r="G30" i="22"/>
  <c r="H30" i="22" s="1"/>
  <c r="G14" i="26" s="1"/>
  <c r="F28" i="22"/>
  <c r="G28" i="22" s="1"/>
  <c r="H28" i="22" s="1"/>
  <c r="H33" i="33"/>
  <c r="H35" i="33" s="1"/>
  <c r="E84" i="22" s="1"/>
  <c r="G84" i="22" s="1"/>
  <c r="H84" i="22" s="1"/>
  <c r="F27" i="26" s="1"/>
  <c r="G33" i="33"/>
  <c r="G35" i="33" s="1"/>
  <c r="E83" i="22" s="1"/>
  <c r="E33" i="33"/>
  <c r="E35" i="33" s="1"/>
  <c r="E81" i="22" s="1"/>
  <c r="F33" i="33"/>
  <c r="F35" i="33" s="1"/>
  <c r="E82" i="22" s="1"/>
  <c r="G82" i="22" s="1"/>
  <c r="H82" i="22" s="1"/>
  <c r="D35" i="33"/>
  <c r="G58" i="22"/>
  <c r="H58" i="22" s="1"/>
  <c r="G21" i="26" s="1"/>
  <c r="G43" i="22"/>
  <c r="H43" i="22" s="1"/>
  <c r="I24" i="25"/>
  <c r="G25" i="22"/>
  <c r="H25" i="22" s="1"/>
  <c r="G13" i="26" s="1"/>
  <c r="G47" i="22"/>
  <c r="H47" i="22" s="1"/>
  <c r="F19" i="26" s="1"/>
  <c r="G75" i="22"/>
  <c r="H75" i="22" s="1"/>
  <c r="G26" i="26" s="1"/>
  <c r="F12" i="22"/>
  <c r="G12" i="22" s="1"/>
  <c r="H12" i="22" s="1"/>
  <c r="F33" i="22"/>
  <c r="G33" i="22" s="1"/>
  <c r="H33" i="22" s="1"/>
  <c r="G48" i="22"/>
  <c r="H48" i="22" s="1"/>
  <c r="G19" i="26" s="1"/>
  <c r="F87" i="22"/>
  <c r="G35" i="22"/>
  <c r="H35" i="22" s="1"/>
  <c r="G15" i="26" s="1"/>
  <c r="F17" i="22"/>
  <c r="G17" i="22" s="1"/>
  <c r="H17" i="22" s="1"/>
  <c r="F39" i="22"/>
  <c r="G39" i="22" s="1"/>
  <c r="H39" i="22" s="1"/>
  <c r="G63" i="22"/>
  <c r="H63" i="22" s="1"/>
  <c r="G22" i="26" s="1"/>
  <c r="F81" i="22"/>
  <c r="G69" i="22"/>
  <c r="H69" i="22" s="1"/>
  <c r="F23" i="22"/>
  <c r="G23" i="22" s="1"/>
  <c r="H23" i="22" s="1"/>
  <c r="F61" i="22"/>
  <c r="G61" i="22" s="1"/>
  <c r="H61" i="22" s="1"/>
  <c r="E27" i="25" l="1"/>
  <c r="I27" i="25" s="1"/>
  <c r="G31" i="25" s="1"/>
  <c r="I30" i="25" s="1"/>
  <c r="E33" i="25" s="1"/>
  <c r="I34" i="25" s="1"/>
  <c r="G83" i="22"/>
  <c r="H83" i="22" s="1"/>
  <c r="G27" i="26" s="1"/>
  <c r="J33" i="33"/>
  <c r="G81" i="22"/>
  <c r="H81" i="22" s="1"/>
  <c r="E27" i="26" s="1"/>
  <c r="J35" i="33"/>
  <c r="G87" i="22"/>
  <c r="H87" i="22" s="1"/>
  <c r="F12" i="27" s="1"/>
  <c r="G88" i="22"/>
  <c r="H88" i="22" s="1"/>
  <c r="G90" i="22"/>
  <c r="H90" i="22" s="1"/>
  <c r="G89" i="22"/>
  <c r="H89" i="22" s="1"/>
  <c r="G24" i="26"/>
  <c r="C24" i="26" s="1"/>
  <c r="J69" i="22"/>
  <c r="F29" i="26"/>
  <c r="F38" i="22" l="1"/>
  <c r="G38" i="22" s="1"/>
  <c r="H38" i="22" s="1"/>
  <c r="F45" i="22"/>
  <c r="G45" i="22" s="1"/>
  <c r="H45" i="22" s="1"/>
  <c r="G14" i="22"/>
  <c r="H14" i="22" s="1"/>
  <c r="G10" i="26" s="1"/>
  <c r="G66" i="22"/>
  <c r="H66" i="22" s="1"/>
  <c r="F72" i="22"/>
  <c r="G72" i="22" s="1"/>
  <c r="H72" i="22" s="1"/>
  <c r="D26" i="26" s="1"/>
  <c r="F65" i="22"/>
  <c r="G65" i="22" s="1"/>
  <c r="H65" i="22" s="1"/>
  <c r="F60" i="22"/>
  <c r="G60" i="22" s="1"/>
  <c r="H60" i="22" s="1"/>
  <c r="J63" i="22" s="1"/>
  <c r="G51" i="22"/>
  <c r="H51" i="22" s="1"/>
  <c r="F55" i="22"/>
  <c r="G55" i="22" s="1"/>
  <c r="H55" i="22" s="1"/>
  <c r="F27" i="22"/>
  <c r="G27" i="22" s="1"/>
  <c r="H27" i="22" s="1"/>
  <c r="J30" i="22" s="1"/>
  <c r="F50" i="22"/>
  <c r="G50" i="22" s="1"/>
  <c r="H50" i="22" s="1"/>
  <c r="E92" i="22"/>
  <c r="G46" i="22"/>
  <c r="H46" i="22" s="1"/>
  <c r="F32" i="22"/>
  <c r="G32" i="22" s="1"/>
  <c r="H32" i="22" s="1"/>
  <c r="F86" i="22"/>
  <c r="G86" i="22" s="1"/>
  <c r="F16" i="22"/>
  <c r="G16" i="22" s="1"/>
  <c r="H16" i="22" s="1"/>
  <c r="G73" i="22"/>
  <c r="H73" i="22" s="1"/>
  <c r="J75" i="22" s="1"/>
  <c r="G56" i="22"/>
  <c r="H56" i="22" s="1"/>
  <c r="G42" i="22"/>
  <c r="H42" i="22" s="1"/>
  <c r="E18" i="26" s="1"/>
  <c r="G36" i="22"/>
  <c r="H36" i="22" s="1"/>
  <c r="J36" i="22" s="1"/>
  <c r="F11" i="22"/>
  <c r="G11" i="22" s="1"/>
  <c r="F80" i="22"/>
  <c r="G80" i="22" s="1"/>
  <c r="H80" i="22" s="1"/>
  <c r="F22" i="22"/>
  <c r="G22" i="22" s="1"/>
  <c r="H22" i="22" s="1"/>
  <c r="G20" i="22"/>
  <c r="H20" i="22" s="1"/>
  <c r="J20" i="22" s="1"/>
  <c r="G19" i="22"/>
  <c r="H19" i="22" s="1"/>
  <c r="G11" i="26" s="1"/>
  <c r="J35" i="22" l="1"/>
  <c r="D15" i="26"/>
  <c r="J84" i="22"/>
  <c r="H99" i="22"/>
  <c r="J48" i="22"/>
  <c r="D19" i="26"/>
  <c r="E19" i="26" s="1"/>
  <c r="C19" i="26" s="1"/>
  <c r="D17" i="26"/>
  <c r="J39" i="22"/>
  <c r="H86" i="22"/>
  <c r="J68" i="22"/>
  <c r="J53" i="22"/>
  <c r="J58" i="22"/>
  <c r="E13" i="26"/>
  <c r="C13" i="26" s="1"/>
  <c r="J25" i="22"/>
  <c r="J19" i="22"/>
  <c r="D23" i="26"/>
  <c r="E23" i="26" s="1"/>
  <c r="C23" i="26" s="1"/>
  <c r="D14" i="26"/>
  <c r="E20" i="26"/>
  <c r="C20" i="26" s="1"/>
  <c r="D22" i="26"/>
  <c r="E22" i="26" s="1"/>
  <c r="C22" i="26" s="1"/>
  <c r="D27" i="26"/>
  <c r="C27" i="26" s="1"/>
  <c r="D11" i="26"/>
  <c r="E21" i="26"/>
  <c r="C21" i="26" s="1"/>
  <c r="E26" i="26"/>
  <c r="C26" i="26" s="1"/>
  <c r="G12" i="26"/>
  <c r="C12" i="26" s="1"/>
  <c r="E15" i="26"/>
  <c r="C15" i="26" s="1"/>
  <c r="G77" i="22"/>
  <c r="G92" i="22" s="1"/>
  <c r="G16" i="26"/>
  <c r="C16" i="26" s="1"/>
  <c r="J43" i="22"/>
  <c r="C18" i="26"/>
  <c r="H11" i="22"/>
  <c r="J14" i="22" s="1"/>
  <c r="E11" i="26" l="1"/>
  <c r="C11" i="26"/>
  <c r="E12" i="27"/>
  <c r="J90" i="22"/>
  <c r="E17" i="26"/>
  <c r="C17" i="26" s="1"/>
  <c r="G96" i="22"/>
  <c r="J77" i="22"/>
  <c r="E14" i="26"/>
  <c r="C14" i="26" s="1"/>
  <c r="H77" i="22"/>
  <c r="H100" i="22" s="1"/>
  <c r="D10" i="26"/>
  <c r="E10" i="26" s="1"/>
  <c r="G29" i="26"/>
  <c r="C30" i="26" s="1"/>
  <c r="D12" i="27" l="1"/>
  <c r="J12" i="27"/>
  <c r="J96" i="22"/>
  <c r="G100" i="22"/>
  <c r="J92" i="22"/>
  <c r="K87" i="22"/>
  <c r="E29" i="26"/>
  <c r="K77" i="22"/>
  <c r="H92" i="22"/>
  <c r="L92" i="22" s="1"/>
  <c r="E51" i="2"/>
  <c r="D29" i="26"/>
  <c r="C10" i="26"/>
  <c r="G51" i="2" l="1"/>
  <c r="J51" i="2" s="1"/>
  <c r="C29" i="26"/>
  <c r="C31" i="26" s="1"/>
  <c r="D58" i="35"/>
  <c r="E58" i="35" s="1"/>
  <c r="F14" i="35" s="1"/>
  <c r="E60" i="2" s="1"/>
  <c r="D27" i="27"/>
  <c r="J60" i="2" l="1"/>
  <c r="F33" i="26"/>
  <c r="F35" i="26" s="1"/>
  <c r="E33" i="26"/>
  <c r="E35" i="26" s="1"/>
  <c r="E37" i="26" s="1"/>
  <c r="F11" i="27" s="1"/>
  <c r="F13" i="27" s="1"/>
  <c r="D33" i="26"/>
  <c r="D35" i="26" s="1"/>
  <c r="D37" i="26" s="1"/>
  <c r="E11" i="27" s="1"/>
  <c r="E13" i="27" s="1"/>
  <c r="G60" i="2"/>
  <c r="C33" i="26" l="1"/>
  <c r="C35" i="26"/>
  <c r="C37" i="26" s="1"/>
  <c r="F37" i="26"/>
  <c r="G11" i="27" l="1"/>
  <c r="G13" i="27" s="1"/>
  <c r="I37" i="26"/>
  <c r="D11" i="27"/>
  <c r="E14" i="27" s="1"/>
  <c r="F22" i="43"/>
  <c r="H22" i="43"/>
  <c r="G22" i="43"/>
  <c r="E19" i="27" l="1"/>
  <c r="J11" i="27"/>
  <c r="E20" i="27"/>
  <c r="E22" i="27" s="1"/>
  <c r="D12" i="28" s="1"/>
  <c r="D13" i="27"/>
  <c r="D22" i="27" s="1"/>
  <c r="G14" i="27"/>
  <c r="F14" i="27"/>
  <c r="J13" i="27"/>
  <c r="I13" i="27"/>
  <c r="D22" i="43"/>
  <c r="E22" i="43"/>
  <c r="E66" i="43"/>
  <c r="F20" i="27" l="1"/>
  <c r="F19" i="27"/>
  <c r="G20" i="27"/>
  <c r="G19" i="27"/>
  <c r="I22" i="43"/>
  <c r="I61" i="43"/>
  <c r="I70" i="43" s="1"/>
  <c r="D66" i="43"/>
  <c r="E70" i="43" s="1"/>
  <c r="J19" i="27" l="1"/>
  <c r="J20" i="27"/>
  <c r="F22" i="27"/>
  <c r="D13" i="28" s="1"/>
  <c r="D14" i="28" s="1"/>
  <c r="D18" i="28" s="1"/>
  <c r="D20" i="28" s="1"/>
  <c r="J66" i="43"/>
  <c r="I66" i="43"/>
  <c r="F10" i="10" l="1"/>
  <c r="J14" i="10" l="1"/>
  <c r="F16" i="10"/>
  <c r="E36" i="2"/>
  <c r="E13" i="2"/>
  <c r="I9" i="6"/>
  <c r="D58" i="2"/>
  <c r="D61" i="2" s="1"/>
  <c r="G9" i="6" l="1"/>
  <c r="O9" i="6" s="1"/>
  <c r="I55" i="6"/>
  <c r="I56" i="6" s="1"/>
  <c r="I58" i="6" s="1"/>
  <c r="E14" i="2"/>
  <c r="G36" i="2"/>
  <c r="J36" i="2" s="1"/>
  <c r="E26" i="35"/>
  <c r="I16" i="6"/>
  <c r="I38" i="6" s="1"/>
  <c r="G14" i="2"/>
  <c r="J14" i="2" s="1"/>
  <c r="G13" i="2"/>
  <c r="J13" i="2" s="1"/>
  <c r="F26" i="35" l="1"/>
  <c r="F6" i="35" s="1"/>
  <c r="F9" i="35"/>
  <c r="E48" i="35"/>
  <c r="E49" i="35"/>
  <c r="E50" i="35"/>
  <c r="E47" i="35"/>
  <c r="E53" i="35" l="1"/>
  <c r="F12" i="35" s="1"/>
  <c r="E59" i="2" s="1"/>
  <c r="G22" i="27" l="1"/>
  <c r="D29" i="27"/>
  <c r="J59" i="2"/>
  <c r="G59" i="2"/>
  <c r="I22" i="27" l="1"/>
  <c r="D26" i="28"/>
  <c r="D28" i="28" s="1"/>
  <c r="D34" i="28" s="1"/>
  <c r="F34" i="28" s="1"/>
  <c r="D35" i="28" l="1"/>
  <c r="F35" i="28" s="1"/>
  <c r="E23" i="2" s="1"/>
  <c r="D33" i="28"/>
  <c r="F33" i="28" s="1"/>
  <c r="E21" i="2" s="1"/>
  <c r="D39" i="28"/>
  <c r="F39" i="28" s="1"/>
  <c r="J56" i="28" s="1"/>
  <c r="K56" i="28" s="1"/>
  <c r="D38" i="28"/>
  <c r="F38" i="28" s="1"/>
  <c r="E26" i="2" s="1"/>
  <c r="D40" i="28"/>
  <c r="F40" i="28" s="1"/>
  <c r="J57" i="28" s="1"/>
  <c r="K57" i="28" s="1"/>
  <c r="D36" i="28"/>
  <c r="F36" i="28" s="1"/>
  <c r="E24" i="2" s="1"/>
  <c r="D37" i="28"/>
  <c r="F37" i="28" s="1"/>
  <c r="J54" i="28" s="1"/>
  <c r="K54" i="28" s="1"/>
  <c r="D42" i="28"/>
  <c r="F42" i="28" s="1"/>
  <c r="E30" i="2" s="1"/>
  <c r="D41" i="28"/>
  <c r="F41" i="28" s="1"/>
  <c r="E29" i="2" s="1"/>
  <c r="D32" i="28"/>
  <c r="F32" i="28" s="1"/>
  <c r="E20" i="2" s="1"/>
  <c r="E27" i="2"/>
  <c r="E42" i="2"/>
  <c r="G42" i="2" s="1"/>
  <c r="J42" i="2" s="1"/>
  <c r="E40" i="2"/>
  <c r="G40" i="2" s="1"/>
  <c r="J40" i="2" s="1"/>
  <c r="E44" i="2"/>
  <c r="G44" i="2" s="1"/>
  <c r="J44" i="2" s="1"/>
  <c r="E41" i="2"/>
  <c r="G41" i="2" s="1"/>
  <c r="J41" i="2" s="1"/>
  <c r="E43" i="2"/>
  <c r="G43" i="2" s="1"/>
  <c r="J43" i="2" s="1"/>
  <c r="E45" i="2"/>
  <c r="G45" i="2" s="1"/>
  <c r="J45" i="2" s="1"/>
  <c r="J51" i="28"/>
  <c r="K51" i="28" s="1"/>
  <c r="E22" i="2"/>
  <c r="J52" i="28" l="1"/>
  <c r="K52" i="28" s="1"/>
  <c r="E25" i="2"/>
  <c r="J55" i="28"/>
  <c r="K55" i="28" s="1"/>
  <c r="E28" i="2"/>
  <c r="J59" i="28"/>
  <c r="K59" i="28" s="1"/>
  <c r="J50" i="28"/>
  <c r="K50" i="28" s="1"/>
  <c r="J53" i="28"/>
  <c r="K53" i="28" s="1"/>
  <c r="J49" i="28"/>
  <c r="K49" i="28" s="1"/>
  <c r="J58" i="28"/>
  <c r="K58" i="28" s="1"/>
  <c r="F13" i="41"/>
  <c r="G13" i="41" s="1"/>
  <c r="J13" i="41" s="1"/>
  <c r="F5" i="44"/>
  <c r="G5" i="44" s="1"/>
  <c r="H5" i="44" s="1"/>
  <c r="D40" i="35"/>
  <c r="E40" i="35" s="1"/>
  <c r="G29" i="2"/>
  <c r="J29" i="2" s="1"/>
  <c r="F7" i="44"/>
  <c r="G7" i="44" s="1"/>
  <c r="H7" i="44" s="1"/>
  <c r="F18" i="41"/>
  <c r="G18" i="41" s="1"/>
  <c r="J18" i="41" s="1"/>
  <c r="G22" i="2"/>
  <c r="J22" i="2" s="1"/>
  <c r="F19" i="41"/>
  <c r="G19" i="41" s="1"/>
  <c r="J19" i="41" s="1"/>
  <c r="D33" i="35"/>
  <c r="E33" i="35" s="1"/>
  <c r="F20" i="41"/>
  <c r="G20" i="41" s="1"/>
  <c r="J20" i="41" s="1"/>
  <c r="F21" i="41"/>
  <c r="G21" i="41" s="1"/>
  <c r="J21" i="41" s="1"/>
  <c r="G20" i="2"/>
  <c r="J20" i="2" s="1"/>
  <c r="F12" i="41"/>
  <c r="G12" i="41" s="1"/>
  <c r="J12" i="41" s="1"/>
  <c r="F15" i="41"/>
  <c r="G15" i="41" s="1"/>
  <c r="J15" i="41" s="1"/>
  <c r="F17" i="41"/>
  <c r="G17" i="41" s="1"/>
  <c r="J17" i="41" s="1"/>
  <c r="D31" i="35"/>
  <c r="E31" i="35" s="1"/>
  <c r="F10" i="41"/>
  <c r="G10" i="41" s="1"/>
  <c r="J10" i="41" s="1"/>
  <c r="F9" i="41"/>
  <c r="G9" i="41" s="1"/>
  <c r="J9" i="41" s="1"/>
  <c r="F11" i="41"/>
  <c r="G11" i="41" s="1"/>
  <c r="J11" i="41" s="1"/>
  <c r="F16" i="41"/>
  <c r="G16" i="41" s="1"/>
  <c r="J16" i="41" s="1"/>
  <c r="F14" i="41"/>
  <c r="G14" i="41" s="1"/>
  <c r="J14" i="41" s="1"/>
  <c r="F24" i="41"/>
  <c r="G24" i="41" s="1"/>
  <c r="J24" i="41" s="1"/>
  <c r="G24" i="2"/>
  <c r="J24" i="2" s="1"/>
  <c r="D35" i="35"/>
  <c r="E35" i="35" s="1"/>
  <c r="F23" i="41"/>
  <c r="G23" i="41" s="1"/>
  <c r="J23" i="41" s="1"/>
  <c r="F9" i="44"/>
  <c r="G9" i="44" s="1"/>
  <c r="H9" i="44" s="1"/>
  <c r="F25" i="41"/>
  <c r="G25" i="41" s="1"/>
  <c r="J25" i="41" s="1"/>
  <c r="F22" i="41"/>
  <c r="G22" i="41" s="1"/>
  <c r="J22" i="41" s="1"/>
  <c r="G28" i="2"/>
  <c r="J28" i="2" s="1"/>
  <c r="D39" i="35"/>
  <c r="E39" i="35" s="1"/>
  <c r="D36" i="35"/>
  <c r="E36" i="35" s="1"/>
  <c r="F10" i="44"/>
  <c r="G10" i="44" s="1"/>
  <c r="H10" i="44" s="1"/>
  <c r="G25" i="2"/>
  <c r="J25" i="2" s="1"/>
  <c r="D34" i="35"/>
  <c r="E34" i="35" s="1"/>
  <c r="G23" i="2"/>
  <c r="J23" i="2" s="1"/>
  <c r="F8" i="44"/>
  <c r="G8" i="44" s="1"/>
  <c r="H8" i="44" s="1"/>
  <c r="D37" i="35"/>
  <c r="E37" i="35" s="1"/>
  <c r="G26" i="2"/>
  <c r="J26" i="2" s="1"/>
  <c r="D38" i="35"/>
  <c r="E38" i="35" s="1"/>
  <c r="G27" i="2"/>
  <c r="J27" i="2" s="1"/>
  <c r="G30" i="2"/>
  <c r="J30" i="2" s="1"/>
  <c r="D41" i="35"/>
  <c r="E41" i="35" s="1"/>
  <c r="G21" i="2"/>
  <c r="J21" i="2" s="1"/>
  <c r="D32" i="35"/>
  <c r="E32" i="35" s="1"/>
  <c r="F6" i="44"/>
  <c r="G6" i="44" s="1"/>
  <c r="H6" i="44" s="1"/>
  <c r="K60" i="28" l="1"/>
  <c r="E42" i="35"/>
  <c r="F7" i="35" s="1"/>
  <c r="F8" i="35" s="1"/>
  <c r="F10" i="35" s="1"/>
  <c r="F16" i="35" s="1"/>
  <c r="E58" i="2" l="1"/>
  <c r="J14" i="35"/>
  <c r="J18" i="35" s="1"/>
  <c r="J19" i="35" s="1"/>
  <c r="H14" i="35"/>
  <c r="G58" i="2" l="1"/>
  <c r="J58" i="2"/>
  <c r="E61" i="2"/>
  <c r="G61" i="2" l="1"/>
  <c r="J6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Lacey Cunningham</author>
  </authors>
  <commentList>
    <comment ref="C25" authorId="0" shapeId="0" xr:uid="{B3D4A6A4-F06D-4EE1-BF13-1240DB353B1A}">
      <text>
        <r>
          <rPr>
            <b/>
            <sz val="9"/>
            <color indexed="81"/>
            <rFont val="Tahoma"/>
            <family val="2"/>
          </rPr>
          <t>Lacey Cunningham:</t>
        </r>
        <r>
          <rPr>
            <sz val="9"/>
            <color indexed="81"/>
            <rFont val="Tahoma"/>
            <family val="2"/>
          </rPr>
          <t xml:space="preserve">
Rates Effective 7/1/23</t>
        </r>
      </text>
    </comment>
    <comment ref="D32" authorId="0" shapeId="0" xr:uid="{A346BEB1-DA77-41D5-82E9-EFC82905E0A3}">
      <text>
        <r>
          <rPr>
            <sz val="9"/>
            <color indexed="81"/>
            <rFont val="Tahoma"/>
            <family val="2"/>
          </rPr>
          <t>KLC &amp; American Fidelity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Lacey Cunningham</author>
  </authors>
  <commentList>
    <comment ref="F3" authorId="0" shapeId="0" xr:uid="{47F9AD7E-476E-410A-8390-A0A8558295ED}">
      <text>
        <r>
          <rPr>
            <b/>
            <sz val="9"/>
            <color indexed="81"/>
            <rFont val="Tahoma"/>
            <family val="2"/>
          </rPr>
          <t>Lacey Cunningham:</t>
        </r>
        <r>
          <rPr>
            <sz val="9"/>
            <color indexed="81"/>
            <rFont val="Tahoma"/>
            <family val="2"/>
          </rPr>
          <t xml:space="preserve">
2023 actual OT hrs from 1/1/23-6/30/23 multiplied by 2</t>
        </r>
      </text>
    </comment>
    <comment ref="K41" authorId="0" shapeId="0" xr:uid="{573985AF-94FE-46B0-95B5-CC9300DF98F0}">
      <text>
        <r>
          <rPr>
            <sz val="9"/>
            <color indexed="81"/>
            <rFont val="Tahoma"/>
            <family val="2"/>
          </rPr>
          <t>Based on % effective 7/1/23</t>
        </r>
      </text>
    </comment>
    <comment ref="K47" authorId="0" shapeId="0" xr:uid="{42C86908-A04F-4680-B01F-131021A9DB62}">
      <text>
        <r>
          <rPr>
            <sz val="9"/>
            <color indexed="81"/>
            <rFont val="Tahoma"/>
            <family val="2"/>
          </rPr>
          <t>Based on potential % (only 2 not participating)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Lacey Cunningham</author>
  </authors>
  <commentList>
    <comment ref="I16" authorId="0" shapeId="0" xr:uid="{D4CDE893-D872-468E-9FBD-CBB9225DE759}">
      <text>
        <r>
          <rPr>
            <b/>
            <sz val="9"/>
            <color indexed="81"/>
            <rFont val="Tahoma"/>
            <family val="2"/>
          </rPr>
          <t>Lacey Cunningham:</t>
        </r>
        <r>
          <rPr>
            <sz val="9"/>
            <color indexed="81"/>
            <rFont val="Tahoma"/>
            <family val="2"/>
          </rPr>
          <t xml:space="preserve">
Adj due to monthly billing vs bi-weekly</t>
        </r>
      </text>
    </comment>
  </commentList>
</comments>
</file>

<file path=xl/sharedStrings.xml><?xml version="1.0" encoding="utf-8"?>
<sst xmlns="http://schemas.openxmlformats.org/spreadsheetml/2006/main" count="1482" uniqueCount="656">
  <si>
    <t>Total Operating Expenses</t>
  </si>
  <si>
    <t>Salaries and Wages - Employees</t>
  </si>
  <si>
    <t>Salaries and Wages - Officers</t>
  </si>
  <si>
    <t>Employee Pensions and Benefits</t>
  </si>
  <si>
    <t>Purchased Power</t>
  </si>
  <si>
    <t>Materials and Supplies</t>
  </si>
  <si>
    <t>Contractual Services</t>
  </si>
  <si>
    <t>Miscellaneous Expenses</t>
  </si>
  <si>
    <t>Transportation Expenses</t>
  </si>
  <si>
    <t>Meter Size</t>
  </si>
  <si>
    <t>Proposed</t>
  </si>
  <si>
    <t>Percent</t>
  </si>
  <si>
    <t>Interest Income</t>
  </si>
  <si>
    <t>Total</t>
  </si>
  <si>
    <t>Totals</t>
  </si>
  <si>
    <t>Gallons</t>
  </si>
  <si>
    <t>Operating Revenues</t>
  </si>
  <si>
    <t>Sales for Resale</t>
  </si>
  <si>
    <t>Other Water Revenues:</t>
  </si>
  <si>
    <t>Total Operating Revenues</t>
  </si>
  <si>
    <t>Operating Expenses</t>
  </si>
  <si>
    <t>Depreciation Expense</t>
  </si>
  <si>
    <t>Net Utility Operating Income</t>
  </si>
  <si>
    <t>Plus:</t>
  </si>
  <si>
    <t>Less:</t>
  </si>
  <si>
    <t>Other Operating Revenue</t>
  </si>
  <si>
    <t>Customer</t>
  </si>
  <si>
    <t>Values</t>
  </si>
  <si>
    <t>Commodity</t>
  </si>
  <si>
    <t>Demand</t>
  </si>
  <si>
    <t>Chemicals</t>
  </si>
  <si>
    <t>WHOLESALE RATE COMPUTATION</t>
  </si>
  <si>
    <t>Allocation</t>
  </si>
  <si>
    <t>Wholesale</t>
  </si>
  <si>
    <t>Factor</t>
  </si>
  <si>
    <t>Retail</t>
  </si>
  <si>
    <t>Salaries &amp; Wages</t>
  </si>
  <si>
    <t>Customer Accts.</t>
  </si>
  <si>
    <t>Trans./Distribution</t>
  </si>
  <si>
    <t>Admin &amp; General</t>
  </si>
  <si>
    <t>Employee Benefits + Taxes</t>
  </si>
  <si>
    <t>Materials &amp; Supplies</t>
  </si>
  <si>
    <t>Transportation Expense</t>
  </si>
  <si>
    <t>Misc. Expense</t>
  </si>
  <si>
    <t>Trans. / Distribution</t>
  </si>
  <si>
    <t>Wholesale Gallons Sold (x 1,000)</t>
  </si>
  <si>
    <t>Wholesale Rate per 1,000 Gallons</t>
  </si>
  <si>
    <t>Salaries - Officers (A &amp; G)</t>
  </si>
  <si>
    <t>Contr. Services - Acct. &amp; Legal</t>
  </si>
  <si>
    <t>Trans. &amp;</t>
  </si>
  <si>
    <t>General</t>
  </si>
  <si>
    <t>Distribution</t>
  </si>
  <si>
    <t>&amp; Admin.</t>
  </si>
  <si>
    <t>SYSTEM INFORMATION</t>
  </si>
  <si>
    <t>Schedule of All Mains and Jointly Used Mains</t>
  </si>
  <si>
    <t>Total System</t>
  </si>
  <si>
    <t>Joint Use</t>
  </si>
  <si>
    <t>Main</t>
  </si>
  <si>
    <t>Length</t>
  </si>
  <si>
    <t>Miles of</t>
  </si>
  <si>
    <t>Inch -</t>
  </si>
  <si>
    <t>Size</t>
  </si>
  <si>
    <t>(feet)</t>
  </si>
  <si>
    <t>Mains</t>
  </si>
  <si>
    <t>Miles</t>
  </si>
  <si>
    <t>Water Purchased, Sold and Used</t>
  </si>
  <si>
    <t>x 1,000</t>
  </si>
  <si>
    <t xml:space="preserve">   Retail Sales</t>
  </si>
  <si>
    <t xml:space="preserve">   Wholesale Sales</t>
  </si>
  <si>
    <t>Total Water Sold</t>
  </si>
  <si>
    <t>System Flushing</t>
  </si>
  <si>
    <t>Fire Dept. &amp; Other</t>
  </si>
  <si>
    <t>WHOLESALE ALLOCATION FACTORS</t>
  </si>
  <si>
    <t>FACTOR</t>
  </si>
  <si>
    <t>Line Loss Percentage</t>
  </si>
  <si>
    <t>Joint Use Inch-miles</t>
  </si>
  <si>
    <t>Total Inch-Miles</t>
  </si>
  <si>
    <t>Water Sold - Wholesale</t>
  </si>
  <si>
    <t>Water Sold - Total</t>
  </si>
  <si>
    <t xml:space="preserve">                 ---------------------</t>
  </si>
  <si>
    <t>=</t>
  </si>
  <si>
    <t>-</t>
  </si>
  <si>
    <t>Joint Use Pipeline Ratio</t>
  </si>
  <si>
    <t>x</t>
  </si>
  <si>
    <t>-----------------</t>
  </si>
  <si>
    <t>Use Factor</t>
  </si>
  <si>
    <t>Admin. &amp;</t>
  </si>
  <si>
    <t xml:space="preserve">     Less Admin. &amp; General</t>
  </si>
  <si>
    <t>Percentages w/o A &amp; G</t>
  </si>
  <si>
    <t>Total w/o A &amp; G</t>
  </si>
  <si>
    <t>Total O &amp; M Expense Allocations</t>
  </si>
  <si>
    <t>ALLOCATION OF OPERATION &amp; MAINTENANCE EXPENSE - RETAIL</t>
  </si>
  <si>
    <t>Operation &amp; Maintenance Expenses</t>
  </si>
  <si>
    <t xml:space="preserve">     Forfeited Discounts</t>
  </si>
  <si>
    <t>Revenue Required from Retail Rates</t>
  </si>
  <si>
    <t>Actual Commodity Sales</t>
  </si>
  <si>
    <t>Commodity Costs</t>
  </si>
  <si>
    <t>Demand Costs</t>
  </si>
  <si>
    <t>Existing</t>
  </si>
  <si>
    <t>Change</t>
  </si>
  <si>
    <t>1 inch</t>
  </si>
  <si>
    <t>2 inch</t>
  </si>
  <si>
    <t>CALCULATION OF WATER RATES - RETAIL</t>
  </si>
  <si>
    <t>Table A</t>
  </si>
  <si>
    <t>SUMMARY OF ALLOCATIONS - RETAIL</t>
  </si>
  <si>
    <t>Total Expenses - Retail</t>
  </si>
  <si>
    <t>Table G</t>
  </si>
  <si>
    <t>(adjusted per Billing Analysis to result in required revenue)</t>
  </si>
  <si>
    <t>Test Year</t>
  </si>
  <si>
    <t>Adjustments</t>
  </si>
  <si>
    <t>Ref.</t>
  </si>
  <si>
    <t>Proforma</t>
  </si>
  <si>
    <t>Operation and Maintenance</t>
  </si>
  <si>
    <t>Total Operation and Mnt. Expenses</t>
  </si>
  <si>
    <t>Pro Forma Operating Expenses</t>
  </si>
  <si>
    <t>TOTALS</t>
  </si>
  <si>
    <t>Water Loss Adjustment:</t>
  </si>
  <si>
    <t>Produced &amp; Purchased</t>
  </si>
  <si>
    <t>Sold</t>
  </si>
  <si>
    <t>Uses:</t>
  </si>
  <si>
    <t xml:space="preserve">  Flushing</t>
  </si>
  <si>
    <t xml:space="preserve">  WTP</t>
  </si>
  <si>
    <t xml:space="preserve">  Fire</t>
  </si>
  <si>
    <t xml:space="preserve">  Other</t>
  </si>
  <si>
    <t>Line Brks.</t>
  </si>
  <si>
    <t>Line Leaks</t>
  </si>
  <si>
    <t xml:space="preserve">  water loss percentage</t>
  </si>
  <si>
    <t>check</t>
  </si>
  <si>
    <t xml:space="preserve">  allowable in rates</t>
  </si>
  <si>
    <t>Capitalized Expense Adjustments:</t>
  </si>
  <si>
    <t>Adjustment</t>
  </si>
  <si>
    <t>Forfeited Discounts</t>
  </si>
  <si>
    <t>Total Metered Retail Sales</t>
  </si>
  <si>
    <t>DEPRECIATION EXPENSE ADJUSTMENTS</t>
  </si>
  <si>
    <t>Depreciation</t>
  </si>
  <si>
    <t>Assets</t>
  </si>
  <si>
    <t>Original</t>
  </si>
  <si>
    <t>Expense</t>
  </si>
  <si>
    <t>No.</t>
  </si>
  <si>
    <t>Description</t>
  </si>
  <si>
    <t>Service</t>
  </si>
  <si>
    <t>Life</t>
  </si>
  <si>
    <t>Depr. Exp.</t>
  </si>
  <si>
    <t>FIRST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</si>
  <si>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</si>
  <si>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</si>
  <si>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</si>
  <si>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</si>
  <si>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</si>
  <si>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</si>
  <si>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</si>
  <si>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</si>
  <si>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 xml:space="preserve"> = Total water used</t>
  </si>
  <si>
    <t>Joint Share of Line Loss</t>
  </si>
  <si>
    <t>Salaries - Officers</t>
  </si>
  <si>
    <t>Total Revenue Required</t>
  </si>
  <si>
    <t>Insurance - Worker's Comp.</t>
  </si>
  <si>
    <t>Miscellaneous Expense</t>
  </si>
  <si>
    <t>Storage</t>
  </si>
  <si>
    <t>Treatment</t>
  </si>
  <si>
    <t>Tanks</t>
  </si>
  <si>
    <t>ALLOCATION OF DEPRECIATION EXPENSE</t>
  </si>
  <si>
    <t xml:space="preserve">     TOTALS</t>
  </si>
  <si>
    <t>Tanks &amp; Reservoirs</t>
  </si>
  <si>
    <t>Revenue</t>
  </si>
  <si>
    <t>Insurance - Workers Comp</t>
  </si>
  <si>
    <t>Insurance - Gen. Liability</t>
  </si>
  <si>
    <t xml:space="preserve">     Total Costs</t>
  </si>
  <si>
    <t>4 inch</t>
  </si>
  <si>
    <t>Table C</t>
  </si>
  <si>
    <t>Table E</t>
  </si>
  <si>
    <t>Table H</t>
  </si>
  <si>
    <t>Expenses</t>
  </si>
  <si>
    <t>Table I</t>
  </si>
  <si>
    <t>Advertising</t>
  </si>
  <si>
    <t>Bad Debt</t>
  </si>
  <si>
    <t>---------------------</t>
  </si>
  <si>
    <t>Hydrants</t>
  </si>
  <si>
    <t xml:space="preserve">     SUBTOTALS</t>
  </si>
  <si>
    <t xml:space="preserve">     SUBTOTAL PERCENTAGES</t>
  </si>
  <si>
    <t xml:space="preserve">     SUBTOTAL</t>
  </si>
  <si>
    <t xml:space="preserve">     PERCENTAGE ALLOCATIONS</t>
  </si>
  <si>
    <t>ALL SALES</t>
  </si>
  <si>
    <t>A</t>
  </si>
  <si>
    <t xml:space="preserve"> depr.</t>
  </si>
  <si>
    <t>Bill</t>
  </si>
  <si>
    <t>* Highlighted usage represents the average residential bill.</t>
  </si>
  <si>
    <t>per Month*</t>
  </si>
  <si>
    <t>Fire Protection</t>
  </si>
  <si>
    <t>Other Water Revenues</t>
  </si>
  <si>
    <t>Total Revenue Requirement</t>
  </si>
  <si>
    <t>Revenue Required From Sales of Water</t>
  </si>
  <si>
    <t>Revenue from Sales with Present Rates</t>
  </si>
  <si>
    <t>Required Revenue Increase</t>
  </si>
  <si>
    <t>Percent Increase</t>
  </si>
  <si>
    <t>Component</t>
  </si>
  <si>
    <t>Usage</t>
  </si>
  <si>
    <t>Customer Ch.</t>
  </si>
  <si>
    <t>REVENUE FROM CUSTOMER CHARGES</t>
  </si>
  <si>
    <t>METER SIZE</t>
  </si>
  <si>
    <t>CHARGE</t>
  </si>
  <si>
    <t>1"</t>
  </si>
  <si>
    <t>1-1/2"</t>
  </si>
  <si>
    <t>2"</t>
  </si>
  <si>
    <t>3"</t>
  </si>
  <si>
    <t>4"</t>
  </si>
  <si>
    <t>6"</t>
  </si>
  <si>
    <t>REVENUE FROM WHOLESALE SALES</t>
  </si>
  <si>
    <t>K-GALS</t>
  </si>
  <si>
    <t>Pro Forma</t>
  </si>
  <si>
    <t>Confirmed that expenses for new</t>
  </si>
  <si>
    <t>meters are  deducted from</t>
  </si>
  <si>
    <t>operations at EOY</t>
  </si>
  <si>
    <t>Other</t>
  </si>
  <si>
    <t>Health Insurance Adjustment</t>
  </si>
  <si>
    <t>Less: Test Year Salaries &amp; Wages Exp</t>
  </si>
  <si>
    <t>Dist. Contrib</t>
  </si>
  <si>
    <t>Premium</t>
  </si>
  <si>
    <t xml:space="preserve"> </t>
  </si>
  <si>
    <t>Pro Forma Salaries and Wages Expense</t>
  </si>
  <si>
    <t>Health (emp)</t>
  </si>
  <si>
    <t>Health (fam)</t>
  </si>
  <si>
    <t>Pro Forma Payroll Taxes</t>
  </si>
  <si>
    <t>Less: Test Year Payroll Taxes</t>
  </si>
  <si>
    <t>Allowable monthly prem.</t>
  </si>
  <si>
    <t>Payroll Tax Adjustment</t>
  </si>
  <si>
    <t>Allowable annual prem.</t>
  </si>
  <si>
    <t>Less prem. pd. in test yr.</t>
  </si>
  <si>
    <t>Health Ins. Adjustment</t>
  </si>
  <si>
    <t>Times: Percent Pension Contribution</t>
  </si>
  <si>
    <t>Total Pro Forma Pension Contribution</t>
  </si>
  <si>
    <t>Less: Test Year Pension Contribution</t>
  </si>
  <si>
    <t>Pension &amp; Benefits Adjustment</t>
  </si>
  <si>
    <t>salary</t>
  </si>
  <si>
    <t>Health (e/sp)</t>
  </si>
  <si>
    <t>Legal</t>
  </si>
  <si>
    <t>Transmission Factor</t>
  </si>
  <si>
    <t>Office Equipment</t>
  </si>
  <si>
    <t>8"</t>
  </si>
  <si>
    <t>REVENUE FROM PRIVATE FIRE PROTECTION SERVICES</t>
  </si>
  <si>
    <t>10"</t>
  </si>
  <si>
    <t>12"</t>
  </si>
  <si>
    <t>Private Fire Protection</t>
  </si>
  <si>
    <t>Wholesale Sales</t>
  </si>
  <si>
    <t>Meters &amp; Installations</t>
  </si>
  <si>
    <t>B</t>
  </si>
  <si>
    <t>C</t>
  </si>
  <si>
    <t>D</t>
  </si>
  <si>
    <t>E</t>
  </si>
  <si>
    <t>F</t>
  </si>
  <si>
    <t>G</t>
  </si>
  <si>
    <t>I</t>
  </si>
  <si>
    <t>Table B</t>
  </si>
  <si>
    <t>feet</t>
  </si>
  <si>
    <t xml:space="preserve">                    -----------------------</t>
  </si>
  <si>
    <t>Supply</t>
  </si>
  <si>
    <t>Cost *</t>
  </si>
  <si>
    <t>AS REPORTED:</t>
  </si>
  <si>
    <t>Trans &amp; Dist</t>
  </si>
  <si>
    <t>Admin</t>
  </si>
  <si>
    <t>Sal &amp; Wages - Empl</t>
  </si>
  <si>
    <t>Sal &amp; Wages - Comm</t>
  </si>
  <si>
    <t>Empl. Pen &amp; Bene</t>
  </si>
  <si>
    <t>Purch Power</t>
  </si>
  <si>
    <t>Mat'ls &amp; Supplies</t>
  </si>
  <si>
    <t>Contr Serv - Acct.</t>
  </si>
  <si>
    <t>Contr Serv - Legal</t>
  </si>
  <si>
    <t>Contr Serv - Other</t>
  </si>
  <si>
    <t>Rentals - Equip</t>
  </si>
  <si>
    <t>Transportation</t>
  </si>
  <si>
    <t>Ins - Gen Liab</t>
  </si>
  <si>
    <t>Ins - Workers Comp</t>
  </si>
  <si>
    <t>Ins -  Other</t>
  </si>
  <si>
    <t>Miscellaneous</t>
  </si>
  <si>
    <t>PRO FORMA</t>
  </si>
  <si>
    <t>Empl. Pen &amp; Ben + Taxes</t>
  </si>
  <si>
    <t>depreciation</t>
  </si>
  <si>
    <t>Insurance - Gen Liab</t>
  </si>
  <si>
    <t>Rate Study/Application</t>
  </si>
  <si>
    <t>Contractual Services Adjustments</t>
  </si>
  <si>
    <t xml:space="preserve">     Miscellaneous Service Revenues</t>
  </si>
  <si>
    <t xml:space="preserve">   Other Water Revenues</t>
  </si>
  <si>
    <t>No. of Gallons Sold</t>
  </si>
  <si>
    <t>CALCULATED USAGE RATES</t>
  </si>
  <si>
    <t>PROPOSED USAGE RATES</t>
  </si>
  <si>
    <t>CALCULATION OF CUSTOMER CHARGES:</t>
  </si>
  <si>
    <t>Expenses to be Allocated</t>
  </si>
  <si>
    <t>Unit Cost of Service</t>
  </si>
  <si>
    <t>Charge</t>
  </si>
  <si>
    <t>Total Misc Revenue</t>
  </si>
  <si>
    <t>Total Retail Allocation</t>
  </si>
  <si>
    <t>Total Req'd from Retail Rates</t>
  </si>
  <si>
    <t>Number of Services and Equivalents:</t>
  </si>
  <si>
    <t>Meter</t>
  </si>
  <si>
    <t>No. of</t>
  </si>
  <si>
    <t>Equivalents</t>
  </si>
  <si>
    <t>Retail Bills</t>
  </si>
  <si>
    <t>SIZE</t>
  </si>
  <si>
    <t>Less Billing Adjustments</t>
  </si>
  <si>
    <t>REVENUE FROM USAGE - ALL RETAIL METERS</t>
  </si>
  <si>
    <t>CURRENT AND PROPOSED RATES</t>
  </si>
  <si>
    <t xml:space="preserve">  RETAIL RATES  </t>
  </si>
  <si>
    <t>Monthly Rates for Water Usage in Addition to Customer Charge</t>
  </si>
  <si>
    <t>No. of Gallons per Month</t>
  </si>
  <si>
    <t>Current</t>
  </si>
  <si>
    <t>Difference</t>
  </si>
  <si>
    <t>Customer Charge for Each Size Meter</t>
  </si>
  <si>
    <t>1-1/2 inch</t>
  </si>
  <si>
    <t>3 inch</t>
  </si>
  <si>
    <t>6 inch</t>
  </si>
  <si>
    <t>8 inch</t>
  </si>
  <si>
    <t>For all Water Purchased</t>
  </si>
  <si>
    <t xml:space="preserve">  WHOLESALE RATES  </t>
  </si>
  <si>
    <t xml:space="preserve">Retail </t>
  </si>
  <si>
    <t>SOURCES OF SALES REVENUE</t>
  </si>
  <si>
    <t>EXISTING AND PROPOSED RETAIL BILLS</t>
  </si>
  <si>
    <t>yr. amortization</t>
  </si>
  <si>
    <t>Total Sales Revenue</t>
  </si>
  <si>
    <t>Table D</t>
  </si>
  <si>
    <t>TABLE K</t>
  </si>
  <si>
    <t>No. of Equivalents</t>
  </si>
  <si>
    <t>Unit Cost</t>
  </si>
  <si>
    <t>of Service</t>
  </si>
  <si>
    <t>Required Sales Revenue</t>
  </si>
  <si>
    <t>Increase</t>
  </si>
  <si>
    <t>CALCULATION OF USAGE CHARGES:</t>
  </si>
  <si>
    <t>K</t>
  </si>
  <si>
    <t>Times: FICA Rate</t>
  </si>
  <si>
    <t>5/8</t>
  </si>
  <si>
    <t>1-1/2</t>
  </si>
  <si>
    <t>Insurance - Gen. Liability &amp; Other</t>
  </si>
  <si>
    <t>Oldham County Water District</t>
  </si>
  <si>
    <t>Over 40,000 Gallons</t>
  </si>
  <si>
    <t xml:space="preserve">5/8 inch </t>
  </si>
  <si>
    <t xml:space="preserve">3/4 inch </t>
  </si>
  <si>
    <t xml:space="preserve">  INDUSTRIAL RATES  </t>
  </si>
  <si>
    <t>per 1,000 gallons</t>
  </si>
  <si>
    <t>Date this Rate Went into Effect</t>
  </si>
  <si>
    <t>3/4</t>
  </si>
  <si>
    <t>Avg Gallons</t>
  </si>
  <si>
    <t>Avg 1,000 gal</t>
  </si>
  <si>
    <t>$ Diff</t>
  </si>
  <si>
    <t>% Diff</t>
  </si>
  <si>
    <t>BILLING ANALYSIS WITH 2022 USAGE &amp; PROPOSED RATES</t>
  </si>
  <si>
    <t>BILLING ANALYSIS WITH 2022 USAGE &amp; EXISTING RATES</t>
  </si>
  <si>
    <t>98A Customer Leak</t>
  </si>
  <si>
    <t>98 B OCWD Leak</t>
  </si>
  <si>
    <t>Inactive</t>
  </si>
  <si>
    <t xml:space="preserve">5/8" </t>
  </si>
  <si>
    <t>3/4"</t>
  </si>
  <si>
    <t>10 inch</t>
  </si>
  <si>
    <t>12 inch</t>
  </si>
  <si>
    <t>5/8"</t>
  </si>
  <si>
    <t xml:space="preserve"> Ex BA with 2022 rates</t>
  </si>
  <si>
    <t xml:space="preserve"> with 2022 rates</t>
  </si>
  <si>
    <t>Aug 3 -26 2022- Replaced customer water service/provided equipment after Flood:</t>
  </si>
  <si>
    <t>Inv#1488 Hindman Repairs for Flooding</t>
  </si>
  <si>
    <t>Inv#1489 Breathitt Repairs for Flooding</t>
  </si>
  <si>
    <t>Inv#1490 Hazard Repairs for Flooding</t>
  </si>
  <si>
    <t>Other Water Revenues Adjustments</t>
  </si>
  <si>
    <t xml:space="preserve"> Wage increases, remove OT from work performed in Eastern KY (Flooding); Add Engineering Mgr position</t>
  </si>
  <si>
    <t>Remove lodging &amp; per diem for work performed in Eastern KY (flooding)</t>
  </si>
  <si>
    <t>Additional Working Capital</t>
  </si>
  <si>
    <t>Oldham</t>
  </si>
  <si>
    <t>Lagrange Utilities</t>
  </si>
  <si>
    <t>0 - 40,0000</t>
  </si>
  <si>
    <t>over 40,000</t>
  </si>
  <si>
    <t>FY 2023 - 2027</t>
  </si>
  <si>
    <t>2023</t>
  </si>
  <si>
    <t>2024</t>
  </si>
  <si>
    <t>2025</t>
  </si>
  <si>
    <t>2026</t>
  </si>
  <si>
    <t>2027</t>
  </si>
  <si>
    <t>Average Annual</t>
  </si>
  <si>
    <t>Principal</t>
  </si>
  <si>
    <t>Interest</t>
  </si>
  <si>
    <t>Fees</t>
  </si>
  <si>
    <t>Coverage</t>
  </si>
  <si>
    <t>2010 Series A</t>
  </si>
  <si>
    <t>2010 Series B</t>
  </si>
  <si>
    <t>KIA C01-02</t>
  </si>
  <si>
    <t xml:space="preserve">  Proposed 2021 RD Bonds *</t>
  </si>
  <si>
    <t xml:space="preserve">  Totals with Proposed Loan</t>
  </si>
  <si>
    <t>* Based on $2.0 million loan at 3.0% for 38 years.</t>
  </si>
  <si>
    <t>* Assumed $2.0 Million Bond Issue:</t>
  </si>
  <si>
    <t>Paymt</t>
  </si>
  <si>
    <t>Rents from Water Property</t>
  </si>
  <si>
    <t>Grant Income</t>
  </si>
  <si>
    <t>Gains from Disposition of Property</t>
  </si>
  <si>
    <t>Other Income</t>
  </si>
  <si>
    <t>Net Amortization</t>
  </si>
  <si>
    <t>Head, Peyton Samuel Family Grant Not typical</t>
  </si>
  <si>
    <t>Not typical</t>
  </si>
  <si>
    <t xml:space="preserve">  adjustment not req'd. (WL &lt; 15%)</t>
  </si>
  <si>
    <t>Reported</t>
  </si>
  <si>
    <t>Structure &amp; Improvements</t>
  </si>
  <si>
    <t>Water Treatment Plant</t>
  </si>
  <si>
    <t>Structure &amp; Improvements - Office</t>
  </si>
  <si>
    <t>Wells &amp; Springs</t>
  </si>
  <si>
    <t>Supply Mains</t>
  </si>
  <si>
    <t>Power Generation Equipment</t>
  </si>
  <si>
    <t>Pumping Equipment</t>
  </si>
  <si>
    <t>Water Treatment Equipment</t>
  </si>
  <si>
    <t>Reservoirs &amp; Standpipes</t>
  </si>
  <si>
    <t>Distribution Mains</t>
  </si>
  <si>
    <t>Other Plant Misc. Equipment</t>
  </si>
  <si>
    <t>Transportation Equipment</t>
  </si>
  <si>
    <t>Westport Plant Equipment</t>
  </si>
  <si>
    <t>345.00</t>
  </si>
  <si>
    <t>Services</t>
  </si>
  <si>
    <t>Communication Equipment</t>
  </si>
  <si>
    <t>Miscellaneous Equipment</t>
  </si>
  <si>
    <t>Tools &amp; Shop &amp; Garage Equipment</t>
  </si>
  <si>
    <t>GRAND TOTALS</t>
  </si>
  <si>
    <t>*</t>
  </si>
  <si>
    <t>Original cost of assets still contributing to depreciation expense.</t>
  </si>
  <si>
    <t>**</t>
  </si>
  <si>
    <t>NARUC Schedule</t>
  </si>
  <si>
    <t>Total Value contributing to Depr. Exp</t>
  </si>
  <si>
    <t>Total WTP Value</t>
  </si>
  <si>
    <t>Ins - Vehicle</t>
  </si>
  <si>
    <t>Billing Services Fee</t>
  </si>
  <si>
    <t>Contr. Services - Water Testing/Other</t>
  </si>
  <si>
    <t>Rentals - Equip.</t>
  </si>
  <si>
    <t>Insurane - Vehicle</t>
  </si>
  <si>
    <t>Insurance - Other</t>
  </si>
  <si>
    <t>Insurance - Vehicle</t>
  </si>
  <si>
    <t>Miscellaneous Service Revenues</t>
  </si>
  <si>
    <t>AS REPORTED % ALLOCATIONS:</t>
  </si>
  <si>
    <r>
      <t xml:space="preserve">Hire Date </t>
    </r>
    <r>
      <rPr>
        <sz val="12"/>
        <rFont val="Arial"/>
        <family val="2"/>
      </rPr>
      <t xml:space="preserve">
(M/D/Y)</t>
    </r>
  </si>
  <si>
    <t>H</t>
  </si>
  <si>
    <r>
      <t>Pay Code</t>
    </r>
    <r>
      <rPr>
        <sz val="8"/>
        <color theme="1"/>
        <rFont val="Calibri"/>
        <family val="2"/>
        <scheme val="minor"/>
      </rPr>
      <t xml:space="preserve">
M = Month
A = Annual
H = Hour</t>
    </r>
  </si>
  <si>
    <t>Pro Forma Reg. Hrs</t>
  </si>
  <si>
    <t>Pro Forma O.T. Hrs</t>
  </si>
  <si>
    <t>Pro Forma Wage Rate</t>
  </si>
  <si>
    <r>
      <t xml:space="preserve">Anniversary Date </t>
    </r>
    <r>
      <rPr>
        <sz val="10"/>
        <rFont val="Arial"/>
        <family val="2"/>
      </rPr>
      <t>(M/D/Y)</t>
    </r>
  </si>
  <si>
    <t>Pro Forma Reg. Wages</t>
  </si>
  <si>
    <t>Pro Forma O.T. Wages</t>
  </si>
  <si>
    <t>Total Pro Forma Wages</t>
  </si>
  <si>
    <t>Pro Forma Leave Pay out</t>
  </si>
  <si>
    <t>Pro Forma Salaries &amp; Wages Exp w/ Mid 2023 Incr</t>
  </si>
  <si>
    <t>Times: Percent Retirement Match Contribution</t>
  </si>
  <si>
    <t>Health (e/ch)</t>
  </si>
  <si>
    <t>Empl. Count</t>
  </si>
  <si>
    <t>OT in 2022 for Eastern KY Flooding</t>
  </si>
  <si>
    <t>Lodging</t>
  </si>
  <si>
    <t>Per Diem</t>
  </si>
  <si>
    <t>Lodging and Per Diem 2022 for Eastern KY Flooding</t>
  </si>
  <si>
    <t>increases</t>
  </si>
  <si>
    <t>Materials &amp; Supplies Adjustment</t>
  </si>
  <si>
    <t>Chemicals Adjustment</t>
  </si>
  <si>
    <t>Purchased Power Adjustment</t>
  </si>
  <si>
    <t>Ratio*</t>
  </si>
  <si>
    <t>Plant Use Percentage</t>
  </si>
  <si>
    <t>Line Loss + Plant Use</t>
  </si>
  <si>
    <t>Water Produced</t>
  </si>
  <si>
    <t>Water Used at WTP</t>
  </si>
  <si>
    <t>Total Water Loss</t>
  </si>
  <si>
    <t>Production Multiplier</t>
  </si>
  <si>
    <t>Joint Share Line Loss + Plant Use</t>
  </si>
  <si>
    <t>+</t>
  </si>
  <si>
    <t>Wholesale Production Multiplier</t>
  </si>
  <si>
    <t>Production Allocation Factor</t>
  </si>
  <si>
    <t>Water Production</t>
  </si>
  <si>
    <t>Debt</t>
  </si>
  <si>
    <t>Customers (not wholesale)</t>
  </si>
  <si>
    <t>PSC 2022 report (Page 9 &amp; 23)</t>
  </si>
  <si>
    <t>PSC 2022 report (Page 27)</t>
  </si>
  <si>
    <t>PSC 2022 report (Page 29)</t>
  </si>
  <si>
    <t>TOP 10 CUSTOMERS</t>
  </si>
  <si>
    <t>Name</t>
  </si>
  <si>
    <t>$ Amt Revenue</t>
  </si>
  <si>
    <t>Jan-Apr</t>
  </si>
  <si>
    <t xml:space="preserve">  adjustment not req'd.</t>
  </si>
  <si>
    <t>Increase in costs</t>
  </si>
  <si>
    <t>Pd in test yr</t>
  </si>
  <si>
    <t>Chemical cost Adjustment</t>
  </si>
  <si>
    <t>Materials/Supplies cost Adjustment</t>
  </si>
  <si>
    <t>J</t>
  </si>
  <si>
    <t>L</t>
  </si>
  <si>
    <t>M</t>
  </si>
  <si>
    <t>Actual = already occurred</t>
  </si>
  <si>
    <t>Assume Performance Review</t>
  </si>
  <si>
    <t>per retail customer</t>
  </si>
  <si>
    <t>Gallons of Water Sold (Omit 000)</t>
  </si>
  <si>
    <t>* AWWA M1 Manual of Water Supply Practices - Principles of Water Rates, Fees, and Charges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</si>
  <si>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</si>
  <si>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</si>
  <si>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</si>
  <si>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</si>
  <si>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</si>
  <si>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</si>
  <si>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</si>
  <si>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</si>
  <si>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</si>
  <si>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</si>
  <si>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</si>
  <si>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</si>
  <si>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0 - 40,000</t>
  </si>
  <si>
    <t>KENTUCKY STATE REFORM.</t>
  </si>
  <si>
    <t>CARRIAGE HOUSE COMPANY</t>
  </si>
  <si>
    <t>OLDHAM CO BOARD OF EDUCATION</t>
  </si>
  <si>
    <t>OLDHAM CO HIGH SCHOOL</t>
  </si>
  <si>
    <t>HIGHPOINTE TRAINING</t>
  </si>
  <si>
    <t>RAWLINGS GROUP</t>
  </si>
  <si>
    <t>OLDHAM COUNTY DETENTION</t>
  </si>
  <si>
    <t>SMYRNA READY MIX</t>
  </si>
  <si>
    <t>SHILOH LANE FARM LLC</t>
  </si>
  <si>
    <t>Salaries &amp; Wages w/ mid 2023 Rates</t>
  </si>
  <si>
    <t>Table J</t>
  </si>
  <si>
    <t>TABLE L</t>
  </si>
  <si>
    <t>75 +</t>
  </si>
  <si>
    <t>10 - 75</t>
  </si>
  <si>
    <t>0 - 10</t>
  </si>
  <si>
    <t>Bills</t>
  </si>
  <si>
    <t>over 75,000</t>
  </si>
  <si>
    <t>Avg.</t>
  </si>
  <si>
    <t>Up to:</t>
  </si>
  <si>
    <t>BY BLOCKS</t>
  </si>
  <si>
    <t>CUMULATIVE BILLED USAGE</t>
  </si>
  <si>
    <t>3" Meters</t>
  </si>
  <si>
    <t>2' Meters</t>
  </si>
  <si>
    <t>1-1/2" Meters</t>
  </si>
  <si>
    <t>1" Meters</t>
  </si>
  <si>
    <t>3/4" Meters</t>
  </si>
  <si>
    <t>5/8" Meters</t>
  </si>
  <si>
    <t>2" Meters</t>
  </si>
  <si>
    <t>Industry No Tax</t>
  </si>
  <si>
    <t>Industry Taxed</t>
  </si>
  <si>
    <t>Commercial</t>
  </si>
  <si>
    <t>Residential</t>
  </si>
  <si>
    <t>Res Irrigation</t>
  </si>
  <si>
    <t>Comm Irrigation</t>
  </si>
  <si>
    <t>Rate 15</t>
  </si>
  <si>
    <t>Rate 14</t>
  </si>
  <si>
    <t>Rate 12</t>
  </si>
  <si>
    <t>Rate 11</t>
  </si>
  <si>
    <t>Rate 10</t>
  </si>
  <si>
    <t>Rate 09</t>
  </si>
  <si>
    <t>Rate 08</t>
  </si>
  <si>
    <t>Rate 07</t>
  </si>
  <si>
    <t>Rate 18</t>
  </si>
  <si>
    <t>Rate 06</t>
  </si>
  <si>
    <t>Rate 05</t>
  </si>
  <si>
    <t>Rate 04</t>
  </si>
  <si>
    <t>Rate 03</t>
  </si>
  <si>
    <t>Rate 27</t>
  </si>
  <si>
    <t>Rate 17</t>
  </si>
  <si>
    <t>Rate 02</t>
  </si>
  <si>
    <t>Rate 01</t>
  </si>
  <si>
    <t>PSC case, New Meter Reading system and Outsourced billing</t>
  </si>
  <si>
    <t>Outsourced Billing</t>
  </si>
  <si>
    <t>Postage</t>
  </si>
  <si>
    <t>Outsourced</t>
  </si>
  <si>
    <t>Inhouse</t>
  </si>
  <si>
    <t>Additional</t>
  </si>
  <si>
    <t>Materials/Printing</t>
  </si>
  <si>
    <t>Distribution Lines</t>
  </si>
  <si>
    <t>Wells</t>
  </si>
  <si>
    <t>Treatment Plant</t>
  </si>
  <si>
    <t>FIRE PROTECTION RATES</t>
  </si>
  <si>
    <t>Debt Service &amp; Coverage</t>
  </si>
  <si>
    <t>Allocation Percentages</t>
  </si>
  <si>
    <t>Removed Labor/Equipment for Eastern KY Flood Relief</t>
  </si>
  <si>
    <t xml:space="preserve">   Other Non-operating Income</t>
  </si>
  <si>
    <t>Debt Service &amp; Coverage*</t>
  </si>
  <si>
    <t>* Debt Service &amp; Coverage is from Table G with allocation of Debt on Table B.</t>
  </si>
  <si>
    <t>Allocation of A &amp; G</t>
  </si>
  <si>
    <t>&gt; 100 gpm</t>
  </si>
  <si>
    <t>Difference $</t>
  </si>
  <si>
    <t>Difference %</t>
  </si>
  <si>
    <t>over 1,000,000</t>
  </si>
  <si>
    <r>
      <rPr>
        <b/>
        <sz val="11"/>
        <rFont val="Calibri"/>
        <family val="2"/>
        <scheme val="minor"/>
      </rPr>
      <t xml:space="preserve">ALLOCATION OF DEBT SERVICE </t>
    </r>
    <r>
      <rPr>
        <sz val="11"/>
        <rFont val="Calibri"/>
        <family val="2"/>
        <scheme val="minor"/>
      </rPr>
      <t xml:space="preserve"> (From GRW engineers for the breakout of how the loans above were spent)</t>
    </r>
  </si>
  <si>
    <t>Average Mo. Usage</t>
  </si>
  <si>
    <t>ALL</t>
  </si>
  <si>
    <t>LINE SIZE</t>
  </si>
  <si>
    <t>(01)  5/8" Residential</t>
  </si>
  <si>
    <t>(02)  5/8" Commercial</t>
  </si>
  <si>
    <t>(03)  3/4" Residential</t>
  </si>
  <si>
    <t>(04)  3/4" Commercial</t>
  </si>
  <si>
    <t>(05)  1" Residential</t>
  </si>
  <si>
    <t>(06)  1" Commercial</t>
  </si>
  <si>
    <t>(07)  1.5" Residential</t>
  </si>
  <si>
    <t>(08)  1.5" Commercial</t>
  </si>
  <si>
    <t>(09)  2" Residential</t>
  </si>
  <si>
    <t>(10)  2" Commercial</t>
  </si>
  <si>
    <t>(11)  3" Residential</t>
  </si>
  <si>
    <t>(12)  3" Commercial</t>
  </si>
  <si>
    <t>(14)  Industry with Tax</t>
  </si>
  <si>
    <t>(15)  Industry w/ NO Tax</t>
  </si>
  <si>
    <t>(17)  5/8" Res. Irrigation</t>
  </si>
  <si>
    <t>(27)  5/8" Comm. Irrigation</t>
  </si>
  <si>
    <t>(18)  1" Res. Irrigation</t>
  </si>
  <si>
    <t>ABELL, BEN  (ROOT BOUND FARM)</t>
  </si>
  <si>
    <t>Gallons Used Annually</t>
  </si>
  <si>
    <t>Estimate Gallons Used Monthly</t>
  </si>
  <si>
    <t>* New customer during 2022. Had usage for 5.5 months during 2022</t>
  </si>
  <si>
    <t>0+</t>
  </si>
  <si>
    <t>Badger Beacon Meter Reading Software Annual Cost ($0 in 2022)</t>
  </si>
  <si>
    <t>STATEMENT OF ADJUSTED OPERATIONS</t>
  </si>
  <si>
    <t>REVENUE REQUIREMENT CALCULATION</t>
  </si>
  <si>
    <t>0001</t>
  </si>
  <si>
    <t>0049</t>
  </si>
  <si>
    <t>0046</t>
  </si>
  <si>
    <t>0057</t>
  </si>
  <si>
    <t>0002</t>
  </si>
  <si>
    <t>0024</t>
  </si>
  <si>
    <t>0055</t>
  </si>
  <si>
    <t>0047</t>
  </si>
  <si>
    <t>0056</t>
  </si>
  <si>
    <t>Employee#</t>
  </si>
  <si>
    <t>0053</t>
  </si>
  <si>
    <t>0005</t>
  </si>
  <si>
    <t>0039</t>
  </si>
  <si>
    <t>0034</t>
  </si>
  <si>
    <t>0008</t>
  </si>
  <si>
    <t>0042</t>
  </si>
  <si>
    <t>0050</t>
  </si>
  <si>
    <t>0012</t>
  </si>
  <si>
    <t>0032</t>
  </si>
  <si>
    <t>0033</t>
  </si>
  <si>
    <t>0016</t>
  </si>
  <si>
    <t>0059</t>
  </si>
  <si>
    <t>0026</t>
  </si>
  <si>
    <t>0058</t>
  </si>
  <si>
    <t>Avg. Principal and Interest Payments</t>
  </si>
  <si>
    <t>Salaries &amp; Wages Adjustment</t>
  </si>
  <si>
    <t>MONTH</t>
  </si>
  <si>
    <t>HEALTH</t>
  </si>
  <si>
    <t>KRS MEDICAL</t>
  </si>
  <si>
    <t>DENTAL</t>
  </si>
  <si>
    <t>VISION</t>
  </si>
  <si>
    <t>LIFE</t>
  </si>
  <si>
    <t>HRA</t>
  </si>
  <si>
    <t>H.S.A</t>
  </si>
  <si>
    <t>LTD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</si>
  <si>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</si>
  <si>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</si>
  <si>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</si>
  <si>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</si>
  <si>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</si>
  <si>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</si>
  <si>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</si>
  <si>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</si>
  <si>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</si>
  <si>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</si>
  <si>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</si>
  <si>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</si>
  <si>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Commissioners</t>
  </si>
  <si>
    <t>NOTE: AMOUNTS OBTAINED FROM REVIEW OF MONTHLY INVOICES.</t>
  </si>
  <si>
    <t>non-cash</t>
  </si>
  <si>
    <t>Payroll Tax, Pensions (reduction in ER Contr.) &amp; Retirement - wage increases &amp; remove Commissioner Benefits,  empl. health ins. - added employees</t>
  </si>
  <si>
    <t>DEBT SERVICE SCHEDULE</t>
  </si>
  <si>
    <t>Pro forma**</t>
  </si>
  <si>
    <t>Pro forma</t>
  </si>
  <si>
    <t>Prin. &amp; 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</si>
</sst>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  <numFmt numFmtId="167" formatCode="0.0%"/>
    <numFmt numFmtId="168" formatCode="#,##0.0000"/>
    <numFmt numFmtId="169" formatCode="[$$-409]#,##0.00"/>
    <numFmt numFmtId="170" formatCode="_(* #,##0.0_);_(* \(#,##0.0\);_(* &quot;-&quot;??_);_(@_)"/>
    <numFmt numFmtId="171" formatCode="#,##0.0"/>
    <numFmt numFmtId="172" formatCode="_(* #,##0.0000_);_(* \(#,##0.0000\);_(* &quot;-&quot;??_);_(@_)"/>
    <numFmt numFmtId="173" formatCode="0.0000"/>
    <numFmt numFmtId="174" formatCode="0.000%"/>
    <numFmt numFmtId="175" formatCode="_([$$-409]* #,##0_);_([$$-409]* \(#,##0\);_([$$-409]* &quot;-&quot;??_);_(@_)"/>
    <numFmt numFmtId="176" formatCode="[$-409]mmmm\ d\,\ yyyy;@"/>
    <numFmt numFmtId="177" formatCode="??,???,???"/>
    <numFmt numFmtId="178" formatCode="?,???,???"/>
    <numFmt numFmtId="179" formatCode="???,???"/>
    <numFmt numFmtId="180" formatCode="_(* #,##0.000_);_(* \(#,##0.000\);_(* &quot;-&quot;??_);_(@_)"/>
  </numFmts>
  <fonts count="59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b/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 val="singleAccounting"/>
      <sz val="12"/>
      <name val="Calibri"/>
      <family val="2"/>
      <scheme val="minor"/>
    </font>
    <font>
      <sz val="11"/>
      <name val="Cambria"/>
      <family val="1"/>
      <scheme val="major"/>
    </font>
    <font>
      <b/>
      <u/>
      <sz val="11"/>
      <name val="Cambria"/>
      <family val="1"/>
      <scheme val="major"/>
    </font>
    <font>
      <sz val="11"/>
      <color theme="4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 val="singleAccounting"/>
      <sz val="11"/>
      <name val="Calibri"/>
      <family val="2"/>
    </font>
    <font>
      <u val="singleAccounting"/>
      <sz val="11"/>
      <name val="Calibri"/>
      <family val="2"/>
    </font>
    <font>
      <b/>
      <u/>
      <sz val="16"/>
      <name val="Calibri"/>
      <family val="2"/>
      <scheme val="minor"/>
    </font>
    <font>
      <b/>
      <i/>
      <u val="singleAccounting"/>
      <sz val="14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1"/>
      <color rgb="FF00B050"/>
      <name val="Calibri"/>
      <family val="2"/>
      <scheme val="minor"/>
    </font>
    <font>
      <b/>
      <i/>
      <u val="singleAccounting"/>
      <sz val="11"/>
      <color theme="5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sz val="11"/>
      <color indexed="8"/>
      <name val="Arial"/>
      <family val="2"/>
    </font>
    <font>
      <b/>
      <u val="singleAccounting"/>
      <sz val="14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0" borderId="0"/>
    <xf numFmtId="0" fontId="5" fillId="0" borderId="0"/>
  </cellStyleXfs>
  <cellXfs count="647">
    <xf numFmtId="0" fontId="0" fillId="0" borderId="0" xfId="0"/>
    <xf numFmtId="0" fontId="6" fillId="0" borderId="0" xfId="0" applyFont="1"/>
    <xf numFmtId="165" fontId="6" fillId="0" borderId="0" xfId="0" applyNumberFormat="1" applyFont="1"/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7" fillId="0" borderId="8" xfId="1" applyNumberFormat="1" applyFont="1" applyBorder="1" applyAlignment="1">
      <alignment horizontal="center" vertical="center"/>
    </xf>
    <xf numFmtId="165" fontId="6" fillId="0" borderId="0" xfId="1" applyNumberFormat="1" applyFont="1" applyBorder="1" applyAlignment="1"/>
    <xf numFmtId="3" fontId="6" fillId="0" borderId="0" xfId="0" applyNumberFormat="1" applyFont="1"/>
    <xf numFmtId="165" fontId="10" fillId="0" borderId="0" xfId="1" applyNumberFormat="1" applyFont="1" applyAlignment="1">
      <alignment horizontal="center" vertical="center"/>
    </xf>
    <xf numFmtId="0" fontId="0" fillId="0" borderId="3" xfId="0" applyBorder="1"/>
    <xf numFmtId="0" fontId="0" fillId="0" borderId="2" xfId="0" applyBorder="1"/>
    <xf numFmtId="0" fontId="0" fillId="0" borderId="6" xfId="0" applyBorder="1"/>
    <xf numFmtId="171" fontId="5" fillId="0" borderId="0" xfId="0" applyNumberFormat="1" applyFont="1"/>
    <xf numFmtId="3" fontId="7" fillId="0" borderId="0" xfId="0" applyNumberFormat="1" applyFont="1" applyAlignment="1">
      <alignment horizontal="center"/>
    </xf>
    <xf numFmtId="165" fontId="6" fillId="0" borderId="1" xfId="1" applyNumberFormat="1" applyFont="1" applyBorder="1"/>
    <xf numFmtId="165" fontId="6" fillId="0" borderId="0" xfId="1" applyNumberFormat="1" applyFont="1" applyBorder="1"/>
    <xf numFmtId="165" fontId="7" fillId="0" borderId="0" xfId="1" applyNumberFormat="1" applyFont="1" applyBorder="1" applyAlignment="1">
      <alignment horizontal="center" vertical="center"/>
    </xf>
    <xf numFmtId="165" fontId="6" fillId="0" borderId="0" xfId="1" applyNumberFormat="1" applyFont="1"/>
    <xf numFmtId="165" fontId="9" fillId="0" borderId="0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6" fillId="0" borderId="3" xfId="1" applyNumberFormat="1" applyFont="1" applyBorder="1"/>
    <xf numFmtId="165" fontId="6" fillId="0" borderId="2" xfId="1" applyNumberFormat="1" applyFont="1" applyBorder="1"/>
    <xf numFmtId="165" fontId="6" fillId="0" borderId="4" xfId="1" applyNumberFormat="1" applyFont="1" applyBorder="1"/>
    <xf numFmtId="165" fontId="6" fillId="0" borderId="7" xfId="1" applyNumberFormat="1" applyFont="1" applyBorder="1"/>
    <xf numFmtId="165" fontId="6" fillId="0" borderId="8" xfId="1" applyNumberFormat="1" applyFont="1" applyBorder="1"/>
    <xf numFmtId="165" fontId="14" fillId="0" borderId="0" xfId="1" applyNumberFormat="1" applyFont="1" applyBorder="1"/>
    <xf numFmtId="10" fontId="6" fillId="0" borderId="0" xfId="3" applyNumberFormat="1" applyFont="1" applyBorder="1"/>
    <xf numFmtId="165" fontId="6" fillId="0" borderId="5" xfId="1" applyNumberFormat="1" applyFont="1" applyBorder="1"/>
    <xf numFmtId="165" fontId="6" fillId="0" borderId="6" xfId="1" applyNumberFormat="1" applyFont="1" applyBorder="1"/>
    <xf numFmtId="0" fontId="6" fillId="0" borderId="0" xfId="0" applyFont="1" applyAlignment="1">
      <alignment horizontal="left" vertical="top"/>
    </xf>
    <xf numFmtId="10" fontId="6" fillId="0" borderId="0" xfId="3" applyNumberFormat="1" applyFont="1"/>
    <xf numFmtId="43" fontId="6" fillId="0" borderId="0" xfId="1" applyFont="1"/>
    <xf numFmtId="9" fontId="6" fillId="0" borderId="0" xfId="3" applyFont="1"/>
    <xf numFmtId="0" fontId="8" fillId="0" borderId="8" xfId="0" applyFont="1" applyBorder="1" applyAlignment="1">
      <alignment horizontal="center"/>
    </xf>
    <xf numFmtId="165" fontId="9" fillId="0" borderId="8" xfId="1" applyNumberFormat="1" applyFont="1" applyBorder="1" applyAlignment="1">
      <alignment horizontal="center"/>
    </xf>
    <xf numFmtId="165" fontId="14" fillId="0" borderId="8" xfId="1" applyNumberFormat="1" applyFont="1" applyBorder="1"/>
    <xf numFmtId="165" fontId="10" fillId="0" borderId="0" xfId="1" applyNumberFormat="1" applyFont="1" applyBorder="1"/>
    <xf numFmtId="165" fontId="6" fillId="0" borderId="0" xfId="1" applyNumberFormat="1" applyFont="1" applyBorder="1" applyAlignment="1">
      <alignment horizontal="center"/>
    </xf>
    <xf numFmtId="165" fontId="6" fillId="0" borderId="8" xfId="1" applyNumberFormat="1" applyFont="1" applyBorder="1" applyAlignment="1">
      <alignment horizontal="center"/>
    </xf>
    <xf numFmtId="165" fontId="14" fillId="0" borderId="0" xfId="1" applyNumberFormat="1" applyFont="1" applyBorder="1" applyAlignment="1">
      <alignment horizontal="center"/>
    </xf>
    <xf numFmtId="165" fontId="14" fillId="0" borderId="0" xfId="1" quotePrefix="1" applyNumberFormat="1" applyFont="1" applyBorder="1" applyAlignment="1">
      <alignment horizontal="center"/>
    </xf>
    <xf numFmtId="165" fontId="14" fillId="0" borderId="8" xfId="1" quotePrefix="1" applyNumberFormat="1" applyFont="1" applyBorder="1" applyAlignment="1">
      <alignment horizontal="center"/>
    </xf>
    <xf numFmtId="10" fontId="6" fillId="0" borderId="8" xfId="3" applyNumberFormat="1" applyFont="1" applyBorder="1"/>
    <xf numFmtId="43" fontId="6" fillId="0" borderId="0" xfId="1" applyFont="1" applyBorder="1"/>
    <xf numFmtId="43" fontId="6" fillId="0" borderId="8" xfId="1" applyFont="1" applyBorder="1"/>
    <xf numFmtId="166" fontId="6" fillId="0" borderId="0" xfId="1" applyNumberFormat="1" applyFont="1" applyBorder="1"/>
    <xf numFmtId="166" fontId="6" fillId="0" borderId="8" xfId="1" applyNumberFormat="1" applyFont="1" applyBorder="1"/>
    <xf numFmtId="0" fontId="17" fillId="0" borderId="0" xfId="0" applyFont="1"/>
    <xf numFmtId="43" fontId="6" fillId="0" borderId="0" xfId="5" applyFont="1"/>
    <xf numFmtId="165" fontId="6" fillId="0" borderId="0" xfId="5" applyNumberFormat="1" applyFont="1"/>
    <xf numFmtId="44" fontId="6" fillId="0" borderId="0" xfId="6" applyFont="1"/>
    <xf numFmtId="174" fontId="6" fillId="0" borderId="0" xfId="7" applyNumberFormat="1" applyFont="1"/>
    <xf numFmtId="3" fontId="6" fillId="0" borderId="0" xfId="0" applyNumberFormat="1" applyFont="1" applyAlignment="1">
      <alignment horizontal="right"/>
    </xf>
    <xf numFmtId="165" fontId="6" fillId="0" borderId="0" xfId="5" applyNumberFormat="1" applyFont="1" applyAlignment="1">
      <alignment vertical="center"/>
    </xf>
    <xf numFmtId="0" fontId="9" fillId="0" borderId="0" xfId="0" applyFont="1" applyAlignment="1">
      <alignment horizontal="center"/>
    </xf>
    <xf numFmtId="3" fontId="6" fillId="0" borderId="1" xfId="0" applyNumberFormat="1" applyFont="1" applyBorder="1"/>
    <xf numFmtId="165" fontId="6" fillId="0" borderId="0" xfId="1" applyNumberFormat="1" applyFont="1" applyAlignment="1">
      <alignment horizontal="center"/>
    </xf>
    <xf numFmtId="44" fontId="6" fillId="0" borderId="0" xfId="2" applyFont="1"/>
    <xf numFmtId="3" fontId="1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7" fillId="0" borderId="0" xfId="0" applyNumberFormat="1" applyFont="1"/>
    <xf numFmtId="165" fontId="20" fillId="0" borderId="0" xfId="5" applyNumberFormat="1" applyFont="1" applyAlignment="1">
      <alignment vertical="center"/>
    </xf>
    <xf numFmtId="10" fontId="17" fillId="0" borderId="0" xfId="7" applyNumberFormat="1" applyFont="1"/>
    <xf numFmtId="165" fontId="6" fillId="0" borderId="3" xfId="5" applyNumberFormat="1" applyFont="1" applyBorder="1"/>
    <xf numFmtId="165" fontId="6" fillId="0" borderId="2" xfId="5" applyNumberFormat="1" applyFont="1" applyBorder="1"/>
    <xf numFmtId="165" fontId="6" fillId="0" borderId="4" xfId="5" applyNumberFormat="1" applyFont="1" applyBorder="1"/>
    <xf numFmtId="165" fontId="6" fillId="0" borderId="6" xfId="5" applyNumberFormat="1" applyFont="1" applyBorder="1"/>
    <xf numFmtId="165" fontId="6" fillId="0" borderId="7" xfId="5" applyNumberFormat="1" applyFont="1" applyBorder="1"/>
    <xf numFmtId="165" fontId="10" fillId="0" borderId="0" xfId="5" applyNumberFormat="1" applyFont="1"/>
    <xf numFmtId="164" fontId="6" fillId="0" borderId="0" xfId="6" applyNumberFormat="1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37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37" fontId="6" fillId="0" borderId="0" xfId="0" applyNumberFormat="1" applyFont="1"/>
    <xf numFmtId="37" fontId="6" fillId="0" borderId="1" xfId="0" applyNumberFormat="1" applyFont="1" applyBorder="1"/>
    <xf numFmtId="165" fontId="6" fillId="0" borderId="1" xfId="5" applyNumberFormat="1" applyFont="1" applyBorder="1"/>
    <xf numFmtId="0" fontId="10" fillId="0" borderId="0" xfId="0" applyFont="1" applyAlignment="1">
      <alignment horizontal="left"/>
    </xf>
    <xf numFmtId="0" fontId="6" fillId="0" borderId="1" xfId="0" applyFont="1" applyBorder="1"/>
    <xf numFmtId="43" fontId="6" fillId="0" borderId="1" xfId="5" applyFont="1" applyBorder="1"/>
    <xf numFmtId="165" fontId="6" fillId="0" borderId="0" xfId="5" applyNumberFormat="1" applyFont="1" applyBorder="1"/>
    <xf numFmtId="0" fontId="21" fillId="0" borderId="0" xfId="0" applyFont="1" applyAlignment="1">
      <alignment horizontal="centerContinuous"/>
    </xf>
    <xf numFmtId="165" fontId="14" fillId="0" borderId="0" xfId="1" applyNumberFormat="1" applyFont="1"/>
    <xf numFmtId="165" fontId="10" fillId="0" borderId="0" xfId="5" applyNumberFormat="1" applyFont="1" applyBorder="1" applyAlignment="1">
      <alignment horizontal="center"/>
    </xf>
    <xf numFmtId="170" fontId="6" fillId="0" borderId="0" xfId="5" applyNumberFormat="1" applyFont="1" applyBorder="1"/>
    <xf numFmtId="165" fontId="11" fillId="0" borderId="7" xfId="1" applyNumberFormat="1" applyFont="1" applyBorder="1" applyAlignment="1">
      <alignment vertical="top"/>
    </xf>
    <xf numFmtId="4" fontId="6" fillId="0" borderId="0" xfId="0" applyNumberFormat="1" applyFont="1"/>
    <xf numFmtId="0" fontId="8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165" fontId="10" fillId="0" borderId="7" xfId="1" applyNumberFormat="1" applyFont="1" applyBorder="1"/>
    <xf numFmtId="165" fontId="10" fillId="0" borderId="8" xfId="1" applyNumberFormat="1" applyFont="1" applyBorder="1"/>
    <xf numFmtId="3" fontId="13" fillId="0" borderId="0" xfId="0" applyNumberFormat="1" applyFont="1" applyAlignment="1">
      <alignment horizontal="center"/>
    </xf>
    <xf numFmtId="43" fontId="6" fillId="0" borderId="0" xfId="0" applyNumberFormat="1" applyFont="1"/>
    <xf numFmtId="165" fontId="14" fillId="0" borderId="0" xfId="1" applyNumberFormat="1" applyFont="1" applyAlignment="1">
      <alignment horizontal="center"/>
    </xf>
    <xf numFmtId="166" fontId="10" fillId="0" borderId="0" xfId="1" applyNumberFormat="1" applyFont="1" applyBorder="1"/>
    <xf numFmtId="43" fontId="6" fillId="0" borderId="0" xfId="1" applyFont="1" applyAlignment="1"/>
    <xf numFmtId="3" fontId="18" fillId="0" borderId="0" xfId="0" applyNumberFormat="1" applyFont="1" applyAlignment="1">
      <alignment horizontal="centerContinuous" vertical="center"/>
    </xf>
    <xf numFmtId="43" fontId="6" fillId="0" borderId="7" xfId="1" applyFont="1" applyBorder="1"/>
    <xf numFmtId="43" fontId="6" fillId="0" borderId="7" xfId="1" applyFont="1" applyBorder="1" applyAlignment="1"/>
    <xf numFmtId="165" fontId="17" fillId="0" borderId="0" xfId="0" applyNumberFormat="1" applyFont="1"/>
    <xf numFmtId="166" fontId="6" fillId="0" borderId="6" xfId="1" applyNumberFormat="1" applyFont="1" applyBorder="1"/>
    <xf numFmtId="0" fontId="6" fillId="0" borderId="3" xfId="0" applyFont="1" applyBorder="1"/>
    <xf numFmtId="0" fontId="6" fillId="0" borderId="2" xfId="0" applyFont="1" applyBorder="1"/>
    <xf numFmtId="0" fontId="6" fillId="0" borderId="4" xfId="0" applyFont="1" applyBorder="1"/>
    <xf numFmtId="0" fontId="6" fillId="0" borderId="7" xfId="0" applyFont="1" applyBorder="1"/>
    <xf numFmtId="3" fontId="6" fillId="0" borderId="0" xfId="0" applyNumberFormat="1" applyFont="1" applyAlignment="1">
      <alignment horizontal="center"/>
    </xf>
    <xf numFmtId="0" fontId="9" fillId="0" borderId="8" xfId="0" applyFont="1" applyBorder="1" applyAlignment="1">
      <alignment horizontal="center"/>
    </xf>
    <xf numFmtId="3" fontId="6" fillId="0" borderId="8" xfId="0" applyNumberFormat="1" applyFont="1" applyBorder="1"/>
    <xf numFmtId="168" fontId="6" fillId="0" borderId="0" xfId="0" applyNumberFormat="1" applyFont="1"/>
    <xf numFmtId="0" fontId="10" fillId="0" borderId="0" xfId="0" applyFont="1"/>
    <xf numFmtId="44" fontId="6" fillId="0" borderId="0" xfId="6" applyFont="1" applyBorder="1"/>
    <xf numFmtId="44" fontId="6" fillId="0" borderId="8" xfId="6" applyFont="1" applyBorder="1"/>
    <xf numFmtId="0" fontId="18" fillId="0" borderId="0" xfId="0" applyFont="1"/>
    <xf numFmtId="169" fontId="18" fillId="0" borderId="0" xfId="0" applyNumberFormat="1" applyFont="1"/>
    <xf numFmtId="4" fontId="6" fillId="0" borderId="8" xfId="0" applyNumberFormat="1" applyFont="1" applyBorder="1"/>
    <xf numFmtId="0" fontId="6" fillId="0" borderId="5" xfId="0" applyFont="1" applyBorder="1"/>
    <xf numFmtId="0" fontId="6" fillId="0" borderId="12" xfId="0" applyFont="1" applyBorder="1"/>
    <xf numFmtId="3" fontId="6" fillId="0" borderId="6" xfId="0" applyNumberFormat="1" applyFont="1" applyBorder="1"/>
    <xf numFmtId="167" fontId="6" fillId="0" borderId="0" xfId="3" applyNumberFormat="1" applyFont="1"/>
    <xf numFmtId="3" fontId="8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165" fontId="14" fillId="0" borderId="0" xfId="5" applyNumberFormat="1" applyFont="1"/>
    <xf numFmtId="174" fontId="9" fillId="0" borderId="0" xfId="7" applyNumberFormat="1" applyFont="1"/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6" fillId="0" borderId="9" xfId="0" applyFont="1" applyBorder="1"/>
    <xf numFmtId="0" fontId="6" fillId="0" borderId="10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5" fontId="6" fillId="0" borderId="0" xfId="5" applyNumberFormat="1" applyFont="1" applyBorder="1" applyAlignment="1"/>
    <xf numFmtId="43" fontId="6" fillId="0" borderId="0" xfId="5" applyFont="1" applyBorder="1" applyAlignment="1"/>
    <xf numFmtId="43" fontId="6" fillId="0" borderId="0" xfId="5" applyFont="1" applyBorder="1"/>
    <xf numFmtId="43" fontId="6" fillId="0" borderId="10" xfId="1" applyFont="1" applyBorder="1"/>
    <xf numFmtId="170" fontId="6" fillId="0" borderId="0" xfId="5" applyNumberFormat="1" applyFont="1" applyBorder="1" applyAlignment="1"/>
    <xf numFmtId="0" fontId="6" fillId="0" borderId="8" xfId="0" applyFont="1" applyBorder="1"/>
    <xf numFmtId="0" fontId="6" fillId="0" borderId="0" xfId="0" applyFont="1" applyAlignment="1">
      <alignment vertical="center"/>
    </xf>
    <xf numFmtId="10" fontId="6" fillId="0" borderId="0" xfId="0" applyNumberFormat="1" applyFont="1" applyAlignment="1">
      <alignment vertical="center"/>
    </xf>
    <xf numFmtId="171" fontId="6" fillId="0" borderId="1" xfId="0" applyNumberFormat="1" applyFont="1" applyBorder="1"/>
    <xf numFmtId="171" fontId="6" fillId="0" borderId="0" xfId="0" applyNumberFormat="1" applyFont="1"/>
    <xf numFmtId="0" fontId="6" fillId="0" borderId="0" xfId="0" quotePrefix="1" applyFont="1"/>
    <xf numFmtId="0" fontId="6" fillId="0" borderId="6" xfId="0" applyFont="1" applyBorder="1"/>
    <xf numFmtId="0" fontId="16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7" fillId="0" borderId="9" xfId="0" applyFont="1" applyBorder="1"/>
    <xf numFmtId="0" fontId="19" fillId="0" borderId="0" xfId="0" applyFont="1" applyAlignment="1">
      <alignment horizontal="centerContinuous"/>
    </xf>
    <xf numFmtId="0" fontId="17" fillId="0" borderId="1" xfId="0" applyFont="1" applyBorder="1"/>
    <xf numFmtId="3" fontId="25" fillId="0" borderId="4" xfId="0" applyNumberFormat="1" applyFont="1" applyBorder="1" applyAlignment="1">
      <alignment horizontal="center"/>
    </xf>
    <xf numFmtId="3" fontId="2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2" fontId="6" fillId="0" borderId="0" xfId="5" applyNumberFormat="1" applyFont="1" applyBorder="1" applyAlignment="1">
      <alignment vertical="center"/>
    </xf>
    <xf numFmtId="43" fontId="6" fillId="0" borderId="0" xfId="5" applyFont="1" applyBorder="1" applyAlignment="1">
      <alignment vertical="center"/>
    </xf>
    <xf numFmtId="165" fontId="6" fillId="0" borderId="0" xfId="5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73" fontId="6" fillId="0" borderId="0" xfId="0" applyNumberFormat="1" applyFont="1" applyAlignment="1">
      <alignment horizontal="left" vertical="center"/>
    </xf>
    <xf numFmtId="173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168" fontId="6" fillId="0" borderId="0" xfId="0" applyNumberFormat="1" applyFont="1" applyAlignment="1">
      <alignment horizontal="center" vertical="center"/>
    </xf>
    <xf numFmtId="168" fontId="6" fillId="0" borderId="0" xfId="0" applyNumberFormat="1" applyFont="1" applyAlignment="1">
      <alignment vertical="center"/>
    </xf>
    <xf numFmtId="168" fontId="6" fillId="0" borderId="0" xfId="0" applyNumberFormat="1" applyFont="1" applyAlignment="1">
      <alignment horizontal="left" vertical="center"/>
    </xf>
    <xf numFmtId="172" fontId="26" fillId="0" borderId="0" xfId="5" applyNumberFormat="1" applyFont="1" applyBorder="1" applyAlignment="1">
      <alignment vertical="center"/>
    </xf>
    <xf numFmtId="173" fontId="6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72" fontId="10" fillId="0" borderId="0" xfId="5" applyNumberFormat="1" applyFont="1" applyBorder="1" applyAlignment="1">
      <alignment vertical="center"/>
    </xf>
    <xf numFmtId="172" fontId="6" fillId="0" borderId="0" xfId="5" applyNumberFormat="1" applyFont="1" applyBorder="1" applyAlignment="1"/>
    <xf numFmtId="0" fontId="6" fillId="0" borderId="0" xfId="0" quotePrefix="1" applyFont="1" applyAlignment="1">
      <alignment horizontal="left" vertical="center"/>
    </xf>
    <xf numFmtId="165" fontId="12" fillId="0" borderId="0" xfId="5" applyNumberFormat="1" applyFont="1" applyBorder="1" applyAlignment="1">
      <alignment horizontal="center"/>
    </xf>
    <xf numFmtId="165" fontId="15" fillId="0" borderId="0" xfId="1" applyNumberFormat="1" applyFont="1" applyBorder="1" applyAlignment="1">
      <alignment horizontal="center"/>
    </xf>
    <xf numFmtId="165" fontId="6" fillId="0" borderId="7" xfId="1" applyNumberFormat="1" applyFont="1" applyBorder="1" applyAlignment="1">
      <alignment horizontal="left"/>
    </xf>
    <xf numFmtId="165" fontId="6" fillId="0" borderId="0" xfId="5" applyNumberFormat="1" applyFont="1" applyAlignment="1">
      <alignment horizontal="right"/>
    </xf>
    <xf numFmtId="172" fontId="6" fillId="0" borderId="0" xfId="1" applyNumberFormat="1" applyFont="1"/>
    <xf numFmtId="164" fontId="6" fillId="0" borderId="0" xfId="6" applyNumberFormat="1" applyFont="1" applyBorder="1"/>
    <xf numFmtId="0" fontId="17" fillId="0" borderId="3" xfId="0" applyFont="1" applyBorder="1"/>
    <xf numFmtId="0" fontId="17" fillId="0" borderId="2" xfId="0" applyFont="1" applyBorder="1"/>
    <xf numFmtId="0" fontId="17" fillId="0" borderId="4" xfId="0" applyFont="1" applyBorder="1"/>
    <xf numFmtId="0" fontId="17" fillId="0" borderId="7" xfId="0" applyFont="1" applyBorder="1"/>
    <xf numFmtId="0" fontId="17" fillId="0" borderId="5" xfId="0" applyFont="1" applyBorder="1"/>
    <xf numFmtId="165" fontId="14" fillId="0" borderId="8" xfId="5" applyNumberFormat="1" applyFont="1" applyBorder="1" applyAlignment="1">
      <alignment horizontal="center"/>
    </xf>
    <xf numFmtId="165" fontId="14" fillId="0" borderId="7" xfId="5" applyNumberFormat="1" applyFont="1" applyBorder="1" applyAlignment="1">
      <alignment horizontal="center"/>
    </xf>
    <xf numFmtId="165" fontId="6" fillId="2" borderId="0" xfId="5" applyNumberFormat="1" applyFont="1" applyFill="1" applyBorder="1"/>
    <xf numFmtId="43" fontId="6" fillId="2" borderId="0" xfId="5" applyFont="1" applyFill="1" applyBorder="1"/>
    <xf numFmtId="43" fontId="6" fillId="0" borderId="7" xfId="5" applyFont="1" applyBorder="1"/>
    <xf numFmtId="165" fontId="6" fillId="0" borderId="5" xfId="5" applyNumberFormat="1" applyFont="1" applyBorder="1"/>
    <xf numFmtId="43" fontId="6" fillId="0" borderId="5" xfId="5" applyFont="1" applyBorder="1"/>
    <xf numFmtId="165" fontId="18" fillId="0" borderId="0" xfId="1" applyNumberFormat="1" applyFont="1" applyAlignment="1">
      <alignment horizontal="center" vertical="center"/>
    </xf>
    <xf numFmtId="165" fontId="10" fillId="0" borderId="0" xfId="0" applyNumberFormat="1" applyFont="1"/>
    <xf numFmtId="165" fontId="6" fillId="0" borderId="0" xfId="5" quotePrefix="1" applyNumberFormat="1" applyFont="1"/>
    <xf numFmtId="165" fontId="14" fillId="0" borderId="0" xfId="5" applyNumberFormat="1" applyFont="1" applyBorder="1"/>
    <xf numFmtId="165" fontId="14" fillId="0" borderId="0" xfId="5" applyNumberFormat="1" applyFont="1" applyAlignment="1">
      <alignment vertical="center"/>
    </xf>
    <xf numFmtId="165" fontId="9" fillId="0" borderId="0" xfId="1" applyNumberFormat="1" applyFont="1" applyBorder="1"/>
    <xf numFmtId="165" fontId="6" fillId="0" borderId="0" xfId="0" applyNumberFormat="1" applyFont="1" applyAlignment="1">
      <alignment horizontal="right"/>
    </xf>
    <xf numFmtId="165" fontId="10" fillId="0" borderId="1" xfId="5" applyNumberFormat="1" applyFont="1" applyBorder="1" applyAlignment="1">
      <alignment vertical="center"/>
    </xf>
    <xf numFmtId="165" fontId="6" fillId="0" borderId="1" xfId="0" applyNumberFormat="1" applyFont="1" applyBorder="1"/>
    <xf numFmtId="0" fontId="6" fillId="0" borderId="0" xfId="0" quotePrefix="1" applyFont="1" applyAlignment="1">
      <alignment horizontal="center"/>
    </xf>
    <xf numFmtId="44" fontId="6" fillId="0" borderId="0" xfId="0" applyNumberFormat="1" applyFont="1"/>
    <xf numFmtId="164" fontId="6" fillId="0" borderId="0" xfId="0" applyNumberFormat="1" applyFont="1"/>
    <xf numFmtId="3" fontId="28" fillId="0" borderId="0" xfId="0" applyNumberFormat="1" applyFont="1"/>
    <xf numFmtId="43" fontId="6" fillId="0" borderId="0" xfId="5" quotePrefix="1" applyFont="1" applyAlignment="1">
      <alignment horizontal="left"/>
    </xf>
    <xf numFmtId="43" fontId="6" fillId="0" borderId="0" xfId="5" applyFont="1" applyAlignment="1">
      <alignment horizontal="left"/>
    </xf>
    <xf numFmtId="43" fontId="10" fillId="0" borderId="0" xfId="5" applyFont="1" applyAlignment="1">
      <alignment horizontal="right"/>
    </xf>
    <xf numFmtId="165" fontId="15" fillId="0" borderId="0" xfId="5" applyNumberFormat="1" applyFont="1"/>
    <xf numFmtId="43" fontId="10" fillId="0" borderId="0" xfId="5" applyFont="1"/>
    <xf numFmtId="175" fontId="6" fillId="0" borderId="0" xfId="0" applyNumberFormat="1" applyFont="1"/>
    <xf numFmtId="174" fontId="10" fillId="0" borderId="0" xfId="7" applyNumberFormat="1" applyFont="1"/>
    <xf numFmtId="3" fontId="10" fillId="0" borderId="0" xfId="0" applyNumberFormat="1" applyFont="1"/>
    <xf numFmtId="0" fontId="29" fillId="0" borderId="0" xfId="0" applyFont="1" applyAlignment="1">
      <alignment horizontal="center"/>
    </xf>
    <xf numFmtId="0" fontId="27" fillId="0" borderId="0" xfId="0" applyFont="1"/>
    <xf numFmtId="164" fontId="27" fillId="0" borderId="13" xfId="6" applyNumberFormat="1" applyFont="1" applyBorder="1"/>
    <xf numFmtId="43" fontId="14" fillId="0" borderId="0" xfId="5" applyFont="1" applyAlignment="1">
      <alignment horizontal="center"/>
    </xf>
    <xf numFmtId="10" fontId="6" fillId="0" borderId="1" xfId="0" applyNumberFormat="1" applyFont="1" applyBorder="1"/>
    <xf numFmtId="43" fontId="14" fillId="0" borderId="0" xfId="5" applyFont="1"/>
    <xf numFmtId="43" fontId="6" fillId="0" borderId="0" xfId="5" applyFont="1" applyAlignment="1">
      <alignment horizontal="right"/>
    </xf>
    <xf numFmtId="3" fontId="7" fillId="0" borderId="0" xfId="0" applyNumberFormat="1" applyFont="1" applyAlignment="1">
      <alignment horizontal="center" vertical="center"/>
    </xf>
    <xf numFmtId="165" fontId="15" fillId="0" borderId="0" xfId="5" applyNumberFormat="1" applyFont="1" applyBorder="1" applyAlignment="1">
      <alignment horizontal="center"/>
    </xf>
    <xf numFmtId="165" fontId="18" fillId="0" borderId="8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5" fontId="22" fillId="0" borderId="0" xfId="1" applyNumberFormat="1" applyFont="1"/>
    <xf numFmtId="43" fontId="22" fillId="0" borderId="0" xfId="1" applyFont="1"/>
    <xf numFmtId="170" fontId="6" fillId="0" borderId="0" xfId="1" applyNumberFormat="1" applyFont="1"/>
    <xf numFmtId="170" fontId="14" fillId="0" borderId="0" xfId="1" applyNumberFormat="1" applyFont="1"/>
    <xf numFmtId="164" fontId="10" fillId="0" borderId="13" xfId="6" applyNumberFormat="1" applyFont="1" applyBorder="1"/>
    <xf numFmtId="3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3" fontId="6" fillId="0" borderId="8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8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6" fillId="0" borderId="8" xfId="1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165" fontId="14" fillId="0" borderId="0" xfId="1" applyNumberFormat="1" applyFont="1" applyBorder="1" applyAlignment="1">
      <alignment vertical="center"/>
    </xf>
    <xf numFmtId="165" fontId="14" fillId="0" borderId="8" xfId="1" applyNumberFormat="1" applyFont="1" applyBorder="1" applyAlignment="1">
      <alignment vertical="center"/>
    </xf>
    <xf numFmtId="37" fontId="6" fillId="0" borderId="8" xfId="0" applyNumberFormat="1" applyFont="1" applyBorder="1" applyAlignment="1">
      <alignment vertical="center"/>
    </xf>
    <xf numFmtId="165" fontId="6" fillId="0" borderId="8" xfId="5" applyNumberFormat="1" applyFont="1" applyBorder="1" applyAlignment="1">
      <alignment vertical="center"/>
    </xf>
    <xf numFmtId="164" fontId="6" fillId="0" borderId="8" xfId="6" applyNumberFormat="1" applyFont="1" applyBorder="1"/>
    <xf numFmtId="165" fontId="9" fillId="0" borderId="8" xfId="1" applyNumberFormat="1" applyFont="1" applyBorder="1"/>
    <xf numFmtId="10" fontId="6" fillId="0" borderId="8" xfId="0" applyNumberFormat="1" applyFont="1" applyBorder="1" applyAlignment="1">
      <alignment vertical="center"/>
    </xf>
    <xf numFmtId="3" fontId="17" fillId="0" borderId="1" xfId="0" applyNumberFormat="1" applyFont="1" applyBorder="1"/>
    <xf numFmtId="3" fontId="33" fillId="0" borderId="1" xfId="0" applyNumberFormat="1" applyFont="1" applyBorder="1" applyAlignment="1">
      <alignment horizontal="center"/>
    </xf>
    <xf numFmtId="3" fontId="17" fillId="0" borderId="6" xfId="0" applyNumberFormat="1" applyFont="1" applyBorder="1"/>
    <xf numFmtId="165" fontId="24" fillId="0" borderId="0" xfId="1" applyNumberFormat="1" applyFont="1" applyBorder="1"/>
    <xf numFmtId="3" fontId="19" fillId="0" borderId="0" xfId="0" applyNumberFormat="1" applyFont="1" applyAlignment="1">
      <alignment horizontal="centerContinuous" vertical="center"/>
    </xf>
    <xf numFmtId="3" fontId="17" fillId="0" borderId="0" xfId="0" applyNumberFormat="1" applyFont="1" applyAlignment="1">
      <alignment horizontal="centerContinuous" vertical="center"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7" fillId="0" borderId="8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Continuous" vertical="center"/>
    </xf>
    <xf numFmtId="3" fontId="18" fillId="0" borderId="8" xfId="0" applyNumberFormat="1" applyFont="1" applyBorder="1" applyAlignment="1">
      <alignment horizontal="center" vertical="center"/>
    </xf>
    <xf numFmtId="165" fontId="18" fillId="0" borderId="1" xfId="1" applyNumberFormat="1" applyFont="1" applyBorder="1" applyAlignment="1">
      <alignment horizontal="center" vertical="center"/>
    </xf>
    <xf numFmtId="165" fontId="10" fillId="0" borderId="6" xfId="1" applyNumberFormat="1" applyFont="1" applyBorder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65" fontId="9" fillId="0" borderId="0" xfId="1" applyNumberFormat="1" applyFont="1"/>
    <xf numFmtId="165" fontId="14" fillId="0" borderId="0" xfId="5" applyNumberFormat="1" applyFont="1" applyAlignment="1">
      <alignment horizontal="center"/>
    </xf>
    <xf numFmtId="165" fontId="6" fillId="0" borderId="0" xfId="5" applyNumberFormat="1" applyFont="1" applyFill="1"/>
    <xf numFmtId="165" fontId="14" fillId="0" borderId="0" xfId="5" applyNumberFormat="1" applyFont="1" applyFill="1"/>
    <xf numFmtId="165" fontId="0" fillId="0" borderId="0" xfId="0" applyNumberFormat="1"/>
    <xf numFmtId="10" fontId="9" fillId="0" borderId="0" xfId="3" applyNumberFormat="1" applyFont="1"/>
    <xf numFmtId="165" fontId="6" fillId="0" borderId="0" xfId="1" applyNumberFormat="1" applyFont="1" applyAlignment="1">
      <alignment horizontal="right"/>
    </xf>
    <xf numFmtId="165" fontId="9" fillId="0" borderId="0" xfId="1" applyNumberFormat="1" applyFont="1" applyAlignment="1">
      <alignment horizontal="right"/>
    </xf>
    <xf numFmtId="165" fontId="13" fillId="0" borderId="0" xfId="1" applyNumberFormat="1" applyFont="1" applyAlignment="1">
      <alignment horizontal="right"/>
    </xf>
    <xf numFmtId="165" fontId="35" fillId="0" borderId="0" xfId="1" applyNumberFormat="1" applyFont="1" applyAlignment="1">
      <alignment horizontal="right"/>
    </xf>
    <xf numFmtId="3" fontId="21" fillId="0" borderId="0" xfId="0" applyNumberFormat="1" applyFont="1"/>
    <xf numFmtId="165" fontId="10" fillId="0" borderId="0" xfId="5" applyNumberFormat="1" applyFont="1" applyBorder="1"/>
    <xf numFmtId="166" fontId="10" fillId="0" borderId="0" xfId="5" applyNumberFormat="1" applyFont="1" applyBorder="1"/>
    <xf numFmtId="166" fontId="6" fillId="0" borderId="0" xfId="5" applyNumberFormat="1" applyFont="1" applyBorder="1"/>
    <xf numFmtId="166" fontId="6" fillId="0" borderId="0" xfId="6" applyNumberFormat="1" applyFont="1" applyBorder="1"/>
    <xf numFmtId="166" fontId="10" fillId="0" borderId="0" xfId="5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66" fontId="10" fillId="0" borderId="0" xfId="6" applyNumberFormat="1" applyFont="1" applyBorder="1" applyAlignment="1">
      <alignment horizontal="center"/>
    </xf>
    <xf numFmtId="166" fontId="12" fillId="0" borderId="0" xfId="6" applyNumberFormat="1" applyFont="1" applyBorder="1" applyAlignment="1">
      <alignment horizontal="right"/>
    </xf>
    <xf numFmtId="165" fontId="36" fillId="0" borderId="0" xfId="5" quotePrefix="1" applyNumberFormat="1" applyFont="1" applyAlignment="1">
      <alignment horizontal="right"/>
    </xf>
    <xf numFmtId="165" fontId="36" fillId="0" borderId="0" xfId="5" applyNumberFormat="1" applyFont="1" applyAlignment="1">
      <alignment horizontal="right"/>
    </xf>
    <xf numFmtId="2" fontId="6" fillId="0" borderId="0" xfId="5" applyNumberFormat="1" applyFont="1" applyBorder="1"/>
    <xf numFmtId="165" fontId="14" fillId="0" borderId="0" xfId="5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6" fontId="6" fillId="0" borderId="4" xfId="1" applyNumberFormat="1" applyFont="1" applyBorder="1"/>
    <xf numFmtId="165" fontId="37" fillId="0" borderId="0" xfId="5" applyNumberFormat="1" applyFont="1" applyBorder="1"/>
    <xf numFmtId="165" fontId="36" fillId="0" borderId="0" xfId="5" applyNumberFormat="1" applyFont="1" applyBorder="1"/>
    <xf numFmtId="165" fontId="36" fillId="0" borderId="8" xfId="5" applyNumberFormat="1" applyFont="1" applyBorder="1"/>
    <xf numFmtId="165" fontId="37" fillId="0" borderId="0" xfId="5" applyNumberFormat="1" applyFont="1" applyBorder="1" applyAlignment="1">
      <alignment horizontal="center"/>
    </xf>
    <xf numFmtId="165" fontId="38" fillId="0" borderId="0" xfId="5" applyNumberFormat="1" applyFont="1" applyBorder="1" applyAlignment="1">
      <alignment horizontal="center"/>
    </xf>
    <xf numFmtId="165" fontId="36" fillId="0" borderId="0" xfId="5" quotePrefix="1" applyNumberFormat="1" applyFont="1" applyBorder="1" applyAlignment="1">
      <alignment horizontal="right"/>
    </xf>
    <xf numFmtId="165" fontId="36" fillId="0" borderId="0" xfId="5" applyNumberFormat="1" applyFont="1" applyBorder="1" applyAlignment="1">
      <alignment horizontal="right"/>
    </xf>
    <xf numFmtId="165" fontId="39" fillId="0" borderId="0" xfId="5" applyNumberFormat="1" applyFont="1" applyBorder="1"/>
    <xf numFmtId="43" fontId="6" fillId="0" borderId="8" xfId="5" quotePrefix="1" applyFont="1" applyBorder="1" applyAlignment="1">
      <alignment horizontal="center"/>
    </xf>
    <xf numFmtId="43" fontId="6" fillId="2" borderId="8" xfId="5" quotePrefix="1" applyFont="1" applyFill="1" applyBorder="1" applyAlignment="1">
      <alignment horizontal="center"/>
    </xf>
    <xf numFmtId="43" fontId="6" fillId="0" borderId="8" xfId="5" applyFont="1" applyBorder="1"/>
    <xf numFmtId="43" fontId="6" fillId="0" borderId="6" xfId="5" applyFont="1" applyBorder="1"/>
    <xf numFmtId="43" fontId="6" fillId="0" borderId="3" xfId="5" applyFont="1" applyBorder="1" applyAlignment="1"/>
    <xf numFmtId="43" fontId="6" fillId="0" borderId="2" xfId="5" applyFont="1" applyBorder="1" applyAlignment="1"/>
    <xf numFmtId="43" fontId="6" fillId="0" borderId="4" xfId="5" applyFont="1" applyBorder="1" applyAlignment="1"/>
    <xf numFmtId="43" fontId="6" fillId="0" borderId="5" xfId="5" applyFont="1" applyBorder="1" applyAlignment="1"/>
    <xf numFmtId="43" fontId="6" fillId="0" borderId="1" xfId="5" applyFont="1" applyBorder="1" applyAlignment="1"/>
    <xf numFmtId="43" fontId="6" fillId="0" borderId="6" xfId="5" applyFont="1" applyBorder="1" applyAlignment="1"/>
    <xf numFmtId="43" fontId="6" fillId="0" borderId="8" xfId="5" applyFont="1" applyBorder="1" applyAlignment="1"/>
    <xf numFmtId="43" fontId="6" fillId="0" borderId="7" xfId="5" applyFont="1" applyBorder="1" applyAlignment="1"/>
    <xf numFmtId="43" fontId="9" fillId="0" borderId="0" xfId="5" applyFont="1" applyBorder="1" applyAlignment="1">
      <alignment horizontal="right"/>
    </xf>
    <xf numFmtId="43" fontId="14" fillId="0" borderId="0" xfId="5" applyFont="1" applyBorder="1" applyAlignment="1">
      <alignment horizontal="center"/>
    </xf>
    <xf numFmtId="43" fontId="14" fillId="0" borderId="8" xfId="5" applyFont="1" applyBorder="1" applyAlignment="1">
      <alignment horizontal="center"/>
    </xf>
    <xf numFmtId="43" fontId="6" fillId="0" borderId="0" xfId="5" applyFont="1" applyBorder="1" applyAlignment="1">
      <alignment horizontal="right"/>
    </xf>
    <xf numFmtId="44" fontId="6" fillId="0" borderId="0" xfId="6" applyFont="1" applyBorder="1" applyAlignment="1"/>
    <xf numFmtId="44" fontId="6" fillId="0" borderId="8" xfId="6" applyFont="1" applyBorder="1" applyAlignment="1"/>
    <xf numFmtId="43" fontId="9" fillId="0" borderId="0" xfId="5" applyFont="1" applyBorder="1" applyAlignment="1">
      <alignment horizontal="center"/>
    </xf>
    <xf numFmtId="43" fontId="9" fillId="0" borderId="0" xfId="5" applyFont="1" applyBorder="1" applyAlignment="1">
      <alignment horizontal="left"/>
    </xf>
    <xf numFmtId="43" fontId="6" fillId="0" borderId="7" xfId="5" applyFont="1" applyBorder="1" applyAlignment="1">
      <alignment horizontal="right"/>
    </xf>
    <xf numFmtId="44" fontId="41" fillId="0" borderId="7" xfId="6" applyFont="1" applyBorder="1" applyAlignment="1">
      <alignment horizontal="center"/>
    </xf>
    <xf numFmtId="44" fontId="41" fillId="0" borderId="0" xfId="6" applyFont="1" applyBorder="1" applyAlignment="1">
      <alignment horizontal="center"/>
    </xf>
    <xf numFmtId="43" fontId="6" fillId="0" borderId="0" xfId="5" applyFont="1" applyBorder="1" applyAlignment="1">
      <alignment horizontal="right" vertical="center"/>
    </xf>
    <xf numFmtId="44" fontId="6" fillId="0" borderId="0" xfId="6" applyFont="1" applyBorder="1" applyAlignment="1">
      <alignment vertical="center"/>
    </xf>
    <xf numFmtId="43" fontId="12" fillId="0" borderId="7" xfId="5" applyFont="1" applyBorder="1" applyAlignment="1">
      <alignment horizontal="center"/>
    </xf>
    <xf numFmtId="43" fontId="12" fillId="0" borderId="0" xfId="5" applyFont="1" applyBorder="1" applyAlignment="1">
      <alignment horizontal="center"/>
    </xf>
    <xf numFmtId="43" fontId="12" fillId="0" borderId="8" xfId="5" applyFont="1" applyBorder="1" applyAlignment="1">
      <alignment horizontal="center"/>
    </xf>
    <xf numFmtId="43" fontId="12" fillId="0" borderId="7" xfId="5" applyFont="1" applyBorder="1" applyAlignment="1">
      <alignment horizontal="left"/>
    </xf>
    <xf numFmtId="43" fontId="12" fillId="0" borderId="0" xfId="5" applyFont="1" applyBorder="1" applyAlignment="1">
      <alignment horizontal="left"/>
    </xf>
    <xf numFmtId="43" fontId="12" fillId="0" borderId="8" xfId="5" applyFont="1" applyBorder="1" applyAlignment="1">
      <alignment horizontal="left"/>
    </xf>
    <xf numFmtId="43" fontId="6" fillId="0" borderId="0" xfId="1" applyFont="1" applyBorder="1" applyAlignment="1"/>
    <xf numFmtId="44" fontId="6" fillId="0" borderId="8" xfId="6" applyFont="1" applyBorder="1" applyAlignment="1">
      <alignment vertical="center"/>
    </xf>
    <xf numFmtId="43" fontId="14" fillId="0" borderId="7" xfId="5" applyFont="1" applyBorder="1" applyAlignment="1">
      <alignment horizontal="center"/>
    </xf>
    <xf numFmtId="44" fontId="6" fillId="0" borderId="7" xfId="6" applyFont="1" applyBorder="1" applyAlignment="1"/>
    <xf numFmtId="44" fontId="6" fillId="0" borderId="7" xfId="6" applyFont="1" applyBorder="1" applyAlignment="1">
      <alignment vertical="center"/>
    </xf>
    <xf numFmtId="43" fontId="9" fillId="0" borderId="7" xfId="5" applyFont="1" applyBorder="1" applyAlignment="1">
      <alignment horizontal="center"/>
    </xf>
    <xf numFmtId="43" fontId="15" fillId="0" borderId="0" xfId="1" applyFont="1" applyAlignment="1">
      <alignment horizontal="center"/>
    </xf>
    <xf numFmtId="165" fontId="6" fillId="0" borderId="0" xfId="1" applyNumberFormat="1" applyFont="1" applyAlignment="1"/>
    <xf numFmtId="165" fontId="14" fillId="0" borderId="0" xfId="1" applyNumberFormat="1" applyFont="1" applyAlignment="1"/>
    <xf numFmtId="43" fontId="17" fillId="0" borderId="0" xfId="1" applyFont="1"/>
    <xf numFmtId="165" fontId="6" fillId="0" borderId="0" xfId="1" quotePrefix="1" applyNumberFormat="1" applyFont="1" applyAlignment="1">
      <alignment horizontal="center"/>
    </xf>
    <xf numFmtId="10" fontId="6" fillId="0" borderId="0" xfId="3" applyNumberFormat="1" applyFont="1" applyAlignment="1"/>
    <xf numFmtId="43" fontId="6" fillId="2" borderId="7" xfId="5" applyFont="1" applyFill="1" applyBorder="1"/>
    <xf numFmtId="165" fontId="6" fillId="0" borderId="0" xfId="1" applyNumberFormat="1" applyFont="1" applyFill="1"/>
    <xf numFmtId="167" fontId="6" fillId="0" borderId="0" xfId="3" applyNumberFormat="1" applyFont="1" applyAlignment="1">
      <alignment vertical="center"/>
    </xf>
    <xf numFmtId="165" fontId="7" fillId="0" borderId="8" xfId="5" applyNumberFormat="1" applyFont="1" applyBorder="1" applyAlignment="1"/>
    <xf numFmtId="2" fontId="6" fillId="0" borderId="0" xfId="1" applyNumberFormat="1" applyFont="1" applyBorder="1"/>
    <xf numFmtId="165" fontId="37" fillId="0" borderId="0" xfId="5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165" fontId="18" fillId="0" borderId="6" xfId="1" applyNumberFormat="1" applyFont="1" applyBorder="1" applyAlignment="1">
      <alignment horizontal="center" vertical="center"/>
    </xf>
    <xf numFmtId="43" fontId="6" fillId="0" borderId="2" xfId="1" applyFont="1" applyBorder="1"/>
    <xf numFmtId="43" fontId="6" fillId="0" borderId="4" xfId="1" applyFont="1" applyBorder="1"/>
    <xf numFmtId="165" fontId="10" fillId="2" borderId="0" xfId="5" applyNumberFormat="1" applyFont="1" applyFill="1" applyBorder="1"/>
    <xf numFmtId="166" fontId="10" fillId="2" borderId="0" xfId="5" applyNumberFormat="1" applyFont="1" applyFill="1" applyBorder="1" applyAlignment="1">
      <alignment horizontal="center"/>
    </xf>
    <xf numFmtId="165" fontId="15" fillId="2" borderId="0" xfId="5" applyNumberFormat="1" applyFont="1" applyFill="1" applyBorder="1" applyAlignment="1">
      <alignment horizontal="center"/>
    </xf>
    <xf numFmtId="166" fontId="6" fillId="2" borderId="0" xfId="5" applyNumberFormat="1" applyFont="1" applyFill="1" applyBorder="1"/>
    <xf numFmtId="2" fontId="6" fillId="2" borderId="0" xfId="1" applyNumberFormat="1" applyFont="1" applyFill="1" applyBorder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14" fontId="6" fillId="0" borderId="0" xfId="0" quotePrefix="1" applyNumberFormat="1" applyFont="1" applyAlignment="1">
      <alignment horizontal="left"/>
    </xf>
    <xf numFmtId="165" fontId="42" fillId="0" borderId="0" xfId="5" applyNumberFormat="1" applyFont="1" applyAlignment="1">
      <alignment vertical="center"/>
    </xf>
    <xf numFmtId="164" fontId="0" fillId="0" borderId="0" xfId="0" applyNumberFormat="1"/>
    <xf numFmtId="37" fontId="9" fillId="0" borderId="0" xfId="0" applyNumberFormat="1" applyFont="1" applyAlignment="1">
      <alignment vertical="center"/>
    </xf>
    <xf numFmtId="0" fontId="43" fillId="0" borderId="0" xfId="0" applyFont="1" applyAlignment="1">
      <alignment horizontal="center" vertical="center"/>
    </xf>
    <xf numFmtId="165" fontId="7" fillId="0" borderId="0" xfId="5" applyNumberFormat="1" applyFont="1" applyBorder="1" applyAlignment="1"/>
    <xf numFmtId="3" fontId="40" fillId="0" borderId="8" xfId="0" applyNumberFormat="1" applyFont="1" applyBorder="1"/>
    <xf numFmtId="3" fontId="7" fillId="0" borderId="8" xfId="0" applyNumberFormat="1" applyFont="1" applyBorder="1" applyAlignment="1">
      <alignment vertical="center"/>
    </xf>
    <xf numFmtId="43" fontId="6" fillId="0" borderId="1" xfId="5" applyFont="1" applyBorder="1" applyAlignment="1">
      <alignment horizontal="right"/>
    </xf>
    <xf numFmtId="16" fontId="6" fillId="0" borderId="0" xfId="0" quotePrefix="1" applyNumberFormat="1" applyFont="1" applyAlignment="1">
      <alignment horizontal="left"/>
    </xf>
    <xf numFmtId="0" fontId="8" fillId="0" borderId="8" xfId="0" applyFont="1" applyBorder="1"/>
    <xf numFmtId="3" fontId="18" fillId="0" borderId="8" xfId="0" applyNumberFormat="1" applyFont="1" applyBorder="1" applyAlignment="1">
      <alignment vertical="center"/>
    </xf>
    <xf numFmtId="165" fontId="32" fillId="0" borderId="0" xfId="5" applyNumberFormat="1" applyFont="1" applyBorder="1" applyAlignment="1">
      <alignment vertical="center"/>
    </xf>
    <xf numFmtId="43" fontId="22" fillId="0" borderId="1" xfId="1" applyFont="1" applyBorder="1"/>
    <xf numFmtId="0" fontId="7" fillId="0" borderId="1" xfId="0" applyFont="1" applyBorder="1"/>
    <xf numFmtId="43" fontId="6" fillId="0" borderId="0" xfId="5" applyFont="1" applyBorder="1" applyAlignment="1">
      <alignment horizontal="center"/>
    </xf>
    <xf numFmtId="170" fontId="6" fillId="0" borderId="0" xfId="5" applyNumberFormat="1" applyFont="1"/>
    <xf numFmtId="165" fontId="6" fillId="0" borderId="0" xfId="5" applyNumberFormat="1" applyFont="1" applyFill="1" applyBorder="1"/>
    <xf numFmtId="3" fontId="6" fillId="0" borderId="1" xfId="0" applyNumberFormat="1" applyFont="1" applyBorder="1" applyAlignment="1">
      <alignment horizontal="right"/>
    </xf>
    <xf numFmtId="164" fontId="6" fillId="0" borderId="1" xfId="6" applyNumberFormat="1" applyFont="1" applyBorder="1"/>
    <xf numFmtId="43" fontId="6" fillId="0" borderId="1" xfId="5" applyFont="1" applyBorder="1" applyAlignment="1">
      <alignment horizontal="center"/>
    </xf>
    <xf numFmtId="10" fontId="17" fillId="0" borderId="0" xfId="3" applyNumberFormat="1" applyFont="1"/>
    <xf numFmtId="14" fontId="6" fillId="0" borderId="0" xfId="0" applyNumberFormat="1" applyFont="1"/>
    <xf numFmtId="165" fontId="6" fillId="0" borderId="7" xfId="5" applyNumberFormat="1" applyFont="1" applyBorder="1" applyAlignment="1">
      <alignment horizontal="centerContinuous"/>
    </xf>
    <xf numFmtId="165" fontId="6" fillId="0" borderId="0" xfId="5" applyNumberFormat="1" applyFont="1" applyBorder="1" applyAlignment="1">
      <alignment horizontal="centerContinuous"/>
    </xf>
    <xf numFmtId="165" fontId="6" fillId="0" borderId="14" xfId="5" applyNumberFormat="1" applyFont="1" applyBorder="1" applyAlignment="1">
      <alignment horizontal="left"/>
    </xf>
    <xf numFmtId="165" fontId="6" fillId="0" borderId="3" xfId="5" applyNumberFormat="1" applyFont="1" applyBorder="1" applyAlignment="1">
      <alignment horizontal="left"/>
    </xf>
    <xf numFmtId="165" fontId="6" fillId="0" borderId="2" xfId="5" applyNumberFormat="1" applyFont="1" applyBorder="1" applyAlignment="1">
      <alignment horizontal="left"/>
    </xf>
    <xf numFmtId="165" fontId="6" fillId="0" borderId="4" xfId="5" applyNumberFormat="1" applyFont="1" applyBorder="1" applyAlignment="1">
      <alignment horizontal="left"/>
    </xf>
    <xf numFmtId="165" fontId="6" fillId="0" borderId="15" xfId="5" applyNumberFormat="1" applyFont="1" applyBorder="1"/>
    <xf numFmtId="165" fontId="12" fillId="0" borderId="0" xfId="5" quotePrefix="1" applyNumberFormat="1" applyFont="1" applyBorder="1" applyAlignment="1">
      <alignment horizontal="centerContinuous"/>
    </xf>
    <xf numFmtId="165" fontId="12" fillId="0" borderId="0" xfId="5" applyNumberFormat="1" applyFont="1" applyBorder="1" applyAlignment="1">
      <alignment horizontal="centerContinuous"/>
    </xf>
    <xf numFmtId="165" fontId="12" fillId="0" borderId="8" xfId="5" applyNumberFormat="1" applyFont="1" applyBorder="1" applyAlignment="1">
      <alignment horizontal="centerContinuous"/>
    </xf>
    <xf numFmtId="165" fontId="12" fillId="0" borderId="8" xfId="5" applyNumberFormat="1" applyFont="1" applyBorder="1" applyAlignment="1">
      <alignment horizontal="center"/>
    </xf>
    <xf numFmtId="165" fontId="15" fillId="0" borderId="0" xfId="5" applyNumberFormat="1" applyFont="1" applyBorder="1" applyAlignment="1">
      <alignment horizontal="center" vertical="center"/>
    </xf>
    <xf numFmtId="165" fontId="15" fillId="0" borderId="8" xfId="5" applyNumberFormat="1" applyFont="1" applyBorder="1" applyAlignment="1">
      <alignment horizontal="center" vertical="center"/>
    </xf>
    <xf numFmtId="165" fontId="44" fillId="0" borderId="15" xfId="5" quotePrefix="1" applyNumberFormat="1" applyFont="1" applyFill="1" applyBorder="1" applyAlignment="1">
      <alignment horizontal="center"/>
    </xf>
    <xf numFmtId="165" fontId="6" fillId="0" borderId="0" xfId="5" applyNumberFormat="1" applyFont="1" applyBorder="1" applyAlignment="1">
      <alignment horizontal="center"/>
    </xf>
    <xf numFmtId="165" fontId="6" fillId="0" borderId="8" xfId="5" applyNumberFormat="1" applyFont="1" applyBorder="1" applyAlignment="1">
      <alignment horizontal="center"/>
    </xf>
    <xf numFmtId="165" fontId="6" fillId="0" borderId="0" xfId="5" applyNumberFormat="1" applyFont="1" applyFill="1" applyBorder="1" applyAlignment="1">
      <alignment horizontal="center"/>
    </xf>
    <xf numFmtId="165" fontId="6" fillId="0" borderId="7" xfId="5" applyNumberFormat="1" applyFont="1" applyBorder="1" applyAlignment="1">
      <alignment horizontal="center"/>
    </xf>
    <xf numFmtId="165" fontId="6" fillId="0" borderId="7" xfId="5" applyNumberFormat="1" applyFont="1" applyFill="1" applyBorder="1" applyAlignment="1">
      <alignment horizontal="center"/>
    </xf>
    <xf numFmtId="165" fontId="11" fillId="0" borderId="15" xfId="5" applyNumberFormat="1" applyFont="1" applyFill="1" applyBorder="1" applyAlignment="1">
      <alignment horizontal="center"/>
    </xf>
    <xf numFmtId="165" fontId="6" fillId="0" borderId="0" xfId="5" quotePrefix="1" applyNumberFormat="1" applyFont="1" applyBorder="1" applyAlignment="1">
      <alignment horizontal="left"/>
    </xf>
    <xf numFmtId="165" fontId="6" fillId="0" borderId="8" xfId="5" quotePrefix="1" applyNumberFormat="1" applyFont="1" applyBorder="1" applyAlignment="1">
      <alignment horizontal="left"/>
    </xf>
    <xf numFmtId="165" fontId="6" fillId="0" borderId="7" xfId="5" quotePrefix="1" applyNumberFormat="1" applyFont="1" applyBorder="1" applyAlignment="1">
      <alignment horizontal="center"/>
    </xf>
    <xf numFmtId="165" fontId="6" fillId="0" borderId="7" xfId="5" quotePrefix="1" applyNumberFormat="1" applyFont="1" applyBorder="1" applyAlignment="1">
      <alignment horizontal="left"/>
    </xf>
    <xf numFmtId="165" fontId="10" fillId="0" borderId="7" xfId="5" applyNumberFormat="1" applyFont="1" applyBorder="1" applyAlignment="1">
      <alignment horizontal="center"/>
    </xf>
    <xf numFmtId="165" fontId="10" fillId="0" borderId="7" xfId="5" quotePrefix="1" applyNumberFormat="1" applyFont="1" applyBorder="1" applyAlignment="1">
      <alignment horizontal="left"/>
    </xf>
    <xf numFmtId="165" fontId="10" fillId="0" borderId="0" xfId="5" quotePrefix="1" applyNumberFormat="1" applyFont="1" applyBorder="1" applyAlignment="1">
      <alignment horizontal="left"/>
    </xf>
    <xf numFmtId="165" fontId="10" fillId="0" borderId="8" xfId="5" quotePrefix="1" applyNumberFormat="1" applyFont="1" applyBorder="1" applyAlignment="1">
      <alignment horizontal="left"/>
    </xf>
    <xf numFmtId="165" fontId="10" fillId="0" borderId="16" xfId="5" applyNumberFormat="1" applyFont="1" applyBorder="1" applyAlignment="1">
      <alignment horizontal="right"/>
    </xf>
    <xf numFmtId="165" fontId="10" fillId="0" borderId="5" xfId="5" applyNumberFormat="1" applyFont="1" applyBorder="1" applyAlignment="1">
      <alignment horizontal="right"/>
    </xf>
    <xf numFmtId="165" fontId="10" fillId="0" borderId="1" xfId="5" applyNumberFormat="1" applyFont="1" applyBorder="1" applyAlignment="1">
      <alignment horizontal="right"/>
    </xf>
    <xf numFmtId="165" fontId="10" fillId="0" borderId="6" xfId="5" applyNumberFormat="1" applyFont="1" applyBorder="1" applyAlignment="1">
      <alignment horizontal="right"/>
    </xf>
    <xf numFmtId="165" fontId="0" fillId="0" borderId="2" xfId="0" applyNumberFormat="1" applyBorder="1"/>
    <xf numFmtId="0" fontId="0" fillId="0" borderId="7" xfId="0" applyBorder="1"/>
    <xf numFmtId="164" fontId="10" fillId="0" borderId="0" xfId="6" quotePrefix="1" applyNumberFormat="1" applyFont="1" applyBorder="1" applyAlignment="1">
      <alignment horizontal="left"/>
    </xf>
    <xf numFmtId="165" fontId="6" fillId="0" borderId="8" xfId="5" applyNumberFormat="1" applyFont="1" applyBorder="1"/>
    <xf numFmtId="165" fontId="6" fillId="0" borderId="0" xfId="1" applyNumberFormat="1" applyFont="1" applyFill="1" applyBorder="1"/>
    <xf numFmtId="165" fontId="14" fillId="0" borderId="0" xfId="1" applyNumberFormat="1" applyFont="1" applyFill="1" applyBorder="1"/>
    <xf numFmtId="165" fontId="45" fillId="0" borderId="0" xfId="5" applyNumberFormat="1" applyFont="1" applyAlignment="1">
      <alignment vertical="center"/>
    </xf>
    <xf numFmtId="165" fontId="6" fillId="0" borderId="0" xfId="5" applyNumberFormat="1" applyFont="1" applyAlignment="1"/>
    <xf numFmtId="0" fontId="3" fillId="0" borderId="0" xfId="4"/>
    <xf numFmtId="165" fontId="6" fillId="0" borderId="8" xfId="5" applyNumberFormat="1" applyFont="1" applyBorder="1" applyAlignment="1"/>
    <xf numFmtId="165" fontId="12" fillId="0" borderId="0" xfId="5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/>
    <xf numFmtId="165" fontId="46" fillId="0" borderId="0" xfId="5" applyNumberFormat="1" applyFont="1" applyAlignment="1">
      <alignment horizontal="left"/>
    </xf>
    <xf numFmtId="0" fontId="6" fillId="0" borderId="0" xfId="4" quotePrefix="1" applyFont="1" applyAlignment="1">
      <alignment horizontal="center"/>
    </xf>
    <xf numFmtId="165" fontId="10" fillId="0" borderId="0" xfId="5" applyNumberFormat="1" applyFont="1" applyBorder="1" applyAlignment="1"/>
    <xf numFmtId="164" fontId="10" fillId="0" borderId="0" xfId="6" applyNumberFormat="1" applyFont="1" applyBorder="1" applyAlignment="1"/>
    <xf numFmtId="165" fontId="18" fillId="0" borderId="0" xfId="5" applyNumberFormat="1" applyFont="1" applyBorder="1" applyAlignment="1"/>
    <xf numFmtId="165" fontId="6" fillId="0" borderId="1" xfId="5" applyNumberFormat="1" applyFont="1" applyBorder="1" applyAlignment="1"/>
    <xf numFmtId="170" fontId="6" fillId="0" borderId="1" xfId="5" applyNumberFormat="1" applyFont="1" applyBorder="1" applyAlignment="1"/>
    <xf numFmtId="165" fontId="6" fillId="0" borderId="6" xfId="5" applyNumberFormat="1" applyFont="1" applyBorder="1" applyAlignment="1"/>
    <xf numFmtId="10" fontId="6" fillId="0" borderId="0" xfId="7" applyNumberFormat="1" applyFont="1" applyAlignment="1"/>
    <xf numFmtId="3" fontId="23" fillId="0" borderId="3" xfId="0" applyNumberFormat="1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7" xfId="4" applyFont="1" applyBorder="1" applyAlignment="1">
      <alignment horizontal="left" indent="1"/>
    </xf>
    <xf numFmtId="0" fontId="6" fillId="0" borderId="0" xfId="5" applyNumberFormat="1" applyFont="1" applyAlignment="1">
      <alignment horizontal="center"/>
    </xf>
    <xf numFmtId="165" fontId="6" fillId="3" borderId="0" xfId="5" applyNumberFormat="1" applyFont="1" applyFill="1"/>
    <xf numFmtId="165" fontId="32" fillId="0" borderId="0" xfId="5" applyNumberFormat="1" applyFont="1" applyBorder="1" applyAlignment="1">
      <alignment horizontal="left" vertical="center"/>
    </xf>
    <xf numFmtId="165" fontId="6" fillId="0" borderId="8" xfId="1" applyNumberFormat="1" applyFont="1" applyFill="1" applyBorder="1"/>
    <xf numFmtId="9" fontId="6" fillId="0" borderId="0" xfId="3" applyFont="1" applyFill="1"/>
    <xf numFmtId="10" fontId="6" fillId="0" borderId="0" xfId="3" applyNumberFormat="1" applyFont="1" applyFill="1"/>
    <xf numFmtId="0" fontId="47" fillId="0" borderId="0" xfId="8" applyFont="1" applyAlignment="1">
      <alignment horizontal="center" vertical="center" wrapText="1"/>
    </xf>
    <xf numFmtId="0" fontId="2" fillId="0" borderId="0" xfId="8"/>
    <xf numFmtId="14" fontId="50" fillId="0" borderId="0" xfId="8" applyNumberFormat="1" applyFont="1"/>
    <xf numFmtId="0" fontId="5" fillId="0" borderId="0" xfId="8" applyFont="1" applyAlignment="1">
      <alignment horizontal="center"/>
    </xf>
    <xf numFmtId="44" fontId="2" fillId="0" borderId="0" xfId="10" applyFont="1" applyFill="1"/>
    <xf numFmtId="164" fontId="2" fillId="0" borderId="0" xfId="8" applyNumberFormat="1"/>
    <xf numFmtId="164" fontId="2" fillId="0" borderId="0" xfId="10" applyNumberFormat="1" applyFont="1" applyFill="1"/>
    <xf numFmtId="0" fontId="2" fillId="0" borderId="0" xfId="10" applyNumberFormat="1" applyFont="1" applyAlignment="1">
      <alignment horizontal="right"/>
    </xf>
    <xf numFmtId="14" fontId="2" fillId="0" borderId="0" xfId="8" applyNumberFormat="1"/>
    <xf numFmtId="164" fontId="2" fillId="0" borderId="0" xfId="10" applyNumberFormat="1" applyFont="1"/>
    <xf numFmtId="0" fontId="2" fillId="0" borderId="0" xfId="10" applyNumberFormat="1" applyFont="1" applyFill="1"/>
    <xf numFmtId="167" fontId="2" fillId="0" borderId="0" xfId="3" applyNumberFormat="1" applyFont="1" applyFill="1"/>
    <xf numFmtId="14" fontId="51" fillId="0" borderId="0" xfId="8" applyNumberFormat="1" applyFont="1"/>
    <xf numFmtId="43" fontId="6" fillId="0" borderId="0" xfId="5" applyFont="1" applyAlignment="1">
      <alignment horizontal="center"/>
    </xf>
    <xf numFmtId="165" fontId="6" fillId="0" borderId="0" xfId="5" applyNumberFormat="1" applyFont="1" applyFill="1" applyBorder="1" applyAlignment="1">
      <alignment vertical="center"/>
    </xf>
    <xf numFmtId="165" fontId="6" fillId="0" borderId="0" xfId="5" applyNumberFormat="1" applyFont="1" applyFill="1" applyAlignment="1">
      <alignment vertical="center"/>
    </xf>
    <xf numFmtId="165" fontId="14" fillId="0" borderId="0" xfId="5" applyNumberFormat="1" applyFont="1" applyFill="1" applyAlignment="1">
      <alignment vertical="center"/>
    </xf>
    <xf numFmtId="0" fontId="9" fillId="0" borderId="0" xfId="5" applyNumberFormat="1" applyFont="1" applyFill="1" applyAlignment="1">
      <alignment horizontal="center"/>
    </xf>
    <xf numFmtId="43" fontId="6" fillId="0" borderId="0" xfId="1" applyFont="1" applyFill="1"/>
    <xf numFmtId="44" fontId="6" fillId="0" borderId="0" xfId="2" applyFont="1" applyFill="1"/>
    <xf numFmtId="170" fontId="6" fillId="0" borderId="0" xfId="5" applyNumberFormat="1" applyFont="1" applyFill="1" applyBorder="1"/>
    <xf numFmtId="165" fontId="6" fillId="0" borderId="1" xfId="1" applyNumberFormat="1" applyFont="1" applyFill="1" applyBorder="1"/>
    <xf numFmtId="165" fontId="6" fillId="0" borderId="2" xfId="1" applyNumberFormat="1" applyFont="1" applyFill="1" applyBorder="1"/>
    <xf numFmtId="165" fontId="36" fillId="0" borderId="0" xfId="5" applyNumberFormat="1" applyFont="1" applyFill="1" applyBorder="1"/>
    <xf numFmtId="165" fontId="37" fillId="0" borderId="0" xfId="5" applyNumberFormat="1" applyFont="1" applyFill="1" applyBorder="1" applyAlignment="1">
      <alignment horizontal="center"/>
    </xf>
    <xf numFmtId="165" fontId="38" fillId="0" borderId="0" xfId="5" applyNumberFormat="1" applyFont="1" applyFill="1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164" fontId="0" fillId="0" borderId="0" xfId="2" applyNumberFormat="1" applyFont="1"/>
    <xf numFmtId="44" fontId="0" fillId="0" borderId="0" xfId="2" applyFont="1"/>
    <xf numFmtId="0" fontId="32" fillId="0" borderId="0" xfId="5" applyNumberFormat="1" applyFont="1" applyBorder="1" applyAlignment="1">
      <alignment horizontal="left" vertical="center"/>
    </xf>
    <xf numFmtId="43" fontId="6" fillId="0" borderId="1" xfId="1" applyFont="1" applyBorder="1"/>
    <xf numFmtId="43" fontId="6" fillId="0" borderId="6" xfId="1" applyFont="1" applyBorder="1"/>
    <xf numFmtId="164" fontId="6" fillId="0" borderId="0" xfId="2" applyNumberFormat="1" applyFont="1"/>
    <xf numFmtId="167" fontId="6" fillId="0" borderId="0" xfId="3" applyNumberFormat="1" applyFont="1" applyAlignment="1">
      <alignment horizontal="center"/>
    </xf>
    <xf numFmtId="164" fontId="6" fillId="0" borderId="1" xfId="2" applyNumberFormat="1" applyFont="1" applyBorder="1"/>
    <xf numFmtId="164" fontId="10" fillId="0" borderId="0" xfId="0" applyNumberFormat="1" applyFont="1"/>
    <xf numFmtId="0" fontId="27" fillId="0" borderId="0" xfId="8" applyFont="1"/>
    <xf numFmtId="44" fontId="2" fillId="4" borderId="0" xfId="10" applyFont="1" applyFill="1"/>
    <xf numFmtId="14" fontId="50" fillId="5" borderId="0" xfId="8" applyNumberFormat="1" applyFont="1" applyFill="1"/>
    <xf numFmtId="14" fontId="1" fillId="0" borderId="0" xfId="3" applyNumberFormat="1" applyFont="1" applyFill="1"/>
    <xf numFmtId="3" fontId="52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/>
    </xf>
    <xf numFmtId="44" fontId="6" fillId="0" borderId="0" xfId="0" applyNumberFormat="1" applyFont="1" applyAlignment="1">
      <alignment horizontal="center"/>
    </xf>
    <xf numFmtId="165" fontId="6" fillId="0" borderId="0" xfId="5" applyNumberFormat="1" applyFont="1" applyAlignment="1">
      <alignment horizontal="center"/>
    </xf>
    <xf numFmtId="0" fontId="2" fillId="5" borderId="0" xfId="8" applyFill="1"/>
    <xf numFmtId="0" fontId="48" fillId="5" borderId="0" xfId="8" applyFont="1" applyFill="1"/>
    <xf numFmtId="0" fontId="48" fillId="4" borderId="0" xfId="8" applyFont="1" applyFill="1"/>
    <xf numFmtId="0" fontId="2" fillId="4" borderId="0" xfId="8" applyFill="1"/>
    <xf numFmtId="165" fontId="15" fillId="0" borderId="7" xfId="5" applyNumberFormat="1" applyFont="1" applyBorder="1" applyAlignment="1">
      <alignment horizontal="center"/>
    </xf>
    <xf numFmtId="165" fontId="6" fillId="0" borderId="1" xfId="5" applyNumberFormat="1" applyFont="1" applyFill="1" applyBorder="1"/>
    <xf numFmtId="165" fontId="22" fillId="0" borderId="0" xfId="5" applyNumberFormat="1" applyFont="1"/>
    <xf numFmtId="165" fontId="22" fillId="0" borderId="0" xfId="5" quotePrefix="1" applyNumberFormat="1" applyFont="1"/>
    <xf numFmtId="165" fontId="22" fillId="0" borderId="0" xfId="5" applyNumberFormat="1" applyFont="1" applyFill="1"/>
    <xf numFmtId="43" fontId="53" fillId="0" borderId="0" xfId="5" applyFont="1" applyBorder="1" applyAlignment="1">
      <alignment horizontal="center"/>
    </xf>
    <xf numFmtId="165" fontId="54" fillId="0" borderId="0" xfId="5" applyNumberFormat="1" applyFont="1" applyAlignment="1">
      <alignment horizontal="center"/>
    </xf>
    <xf numFmtId="165" fontId="54" fillId="0" borderId="0" xfId="5" applyNumberFormat="1" applyFont="1" applyFill="1" applyAlignment="1">
      <alignment horizontal="center"/>
    </xf>
    <xf numFmtId="165" fontId="43" fillId="0" borderId="0" xfId="5" quotePrefix="1" applyNumberFormat="1" applyFont="1"/>
    <xf numFmtId="165" fontId="55" fillId="0" borderId="0" xfId="5" applyNumberFormat="1" applyFont="1"/>
    <xf numFmtId="165" fontId="55" fillId="0" borderId="0" xfId="5" applyNumberFormat="1" applyFont="1" applyFill="1"/>
    <xf numFmtId="165" fontId="43" fillId="0" borderId="0" xfId="5" applyNumberFormat="1" applyFont="1"/>
    <xf numFmtId="165" fontId="22" fillId="0" borderId="0" xfId="5" quotePrefix="1" applyNumberFormat="1" applyFont="1" applyFill="1"/>
    <xf numFmtId="43" fontId="56" fillId="0" borderId="0" xfId="1" applyFont="1" applyFill="1" applyAlignment="1">
      <alignment horizontal="left" vertical="top"/>
    </xf>
    <xf numFmtId="177" fontId="56" fillId="0" borderId="0" xfId="1" applyNumberFormat="1" applyFont="1" applyFill="1" applyAlignment="1">
      <alignment horizontal="right" vertical="top"/>
    </xf>
    <xf numFmtId="164" fontId="56" fillId="0" borderId="0" xfId="2" applyNumberFormat="1" applyFont="1" applyFill="1" applyAlignment="1">
      <alignment horizontal="right" vertical="top"/>
    </xf>
    <xf numFmtId="178" fontId="56" fillId="0" borderId="0" xfId="1" applyNumberFormat="1" applyFont="1" applyFill="1" applyAlignment="1">
      <alignment horizontal="right" vertical="top"/>
    </xf>
    <xf numFmtId="179" fontId="56" fillId="0" borderId="0" xfId="1" applyNumberFormat="1" applyFont="1" applyFill="1" applyAlignment="1">
      <alignment horizontal="right" vertical="top"/>
    </xf>
    <xf numFmtId="165" fontId="6" fillId="0" borderId="2" xfId="5" applyNumberFormat="1" applyFont="1" applyFill="1" applyBorder="1"/>
    <xf numFmtId="43" fontId="6" fillId="0" borderId="8" xfId="5" quotePrefix="1" applyFont="1" applyFill="1" applyBorder="1" applyAlignment="1">
      <alignment horizontal="center"/>
    </xf>
    <xf numFmtId="43" fontId="6" fillId="0" borderId="7" xfId="5" applyFont="1" applyFill="1" applyBorder="1"/>
    <xf numFmtId="43" fontId="6" fillId="0" borderId="0" xfId="5" applyFont="1" applyFill="1" applyBorder="1"/>
    <xf numFmtId="43" fontId="6" fillId="0" borderId="8" xfId="5" applyFont="1" applyFill="1" applyBorder="1"/>
    <xf numFmtId="164" fontId="2" fillId="5" borderId="0" xfId="8" applyNumberFormat="1" applyFill="1"/>
    <xf numFmtId="164" fontId="2" fillId="4" borderId="0" xfId="8" applyNumberFormat="1" applyFill="1"/>
    <xf numFmtId="44" fontId="6" fillId="2" borderId="0" xfId="2" applyFont="1" applyFill="1"/>
    <xf numFmtId="43" fontId="6" fillId="2" borderId="0" xfId="5" applyFont="1" applyFill="1"/>
    <xf numFmtId="43" fontId="6" fillId="2" borderId="1" xfId="5" applyFont="1" applyFill="1" applyBorder="1"/>
    <xf numFmtId="10" fontId="6" fillId="0" borderId="0" xfId="7" applyNumberFormat="1" applyFont="1"/>
    <xf numFmtId="165" fontId="6" fillId="2" borderId="6" xfId="5" applyNumberFormat="1" applyFont="1" applyFill="1" applyBorder="1" applyAlignment="1">
      <alignment vertical="top"/>
    </xf>
    <xf numFmtId="165" fontId="6" fillId="2" borderId="1" xfId="5" applyNumberFormat="1" applyFont="1" applyFill="1" applyBorder="1" applyAlignment="1">
      <alignment vertical="top"/>
    </xf>
    <xf numFmtId="165" fontId="6" fillId="2" borderId="1" xfId="5" applyNumberFormat="1" applyFont="1" applyFill="1" applyBorder="1"/>
    <xf numFmtId="165" fontId="6" fillId="2" borderId="5" xfId="5" applyNumberFormat="1" applyFont="1" applyFill="1" applyBorder="1"/>
    <xf numFmtId="165" fontId="14" fillId="2" borderId="8" xfId="5" applyNumberFormat="1" applyFont="1" applyFill="1" applyBorder="1"/>
    <xf numFmtId="165" fontId="14" fillId="2" borderId="0" xfId="5" applyNumberFormat="1" applyFont="1" applyFill="1" applyBorder="1"/>
    <xf numFmtId="165" fontId="6" fillId="2" borderId="0" xfId="5" quotePrefix="1" applyNumberFormat="1" applyFont="1" applyFill="1" applyBorder="1" applyAlignment="1">
      <alignment horizontal="right"/>
    </xf>
    <xf numFmtId="165" fontId="6" fillId="2" borderId="7" xfId="5" applyNumberFormat="1" applyFont="1" applyFill="1" applyBorder="1"/>
    <xf numFmtId="165" fontId="6" fillId="2" borderId="8" xfId="5" applyNumberFormat="1" applyFont="1" applyFill="1" applyBorder="1"/>
    <xf numFmtId="165" fontId="15" fillId="2" borderId="4" xfId="5" quotePrefix="1" applyNumberFormat="1" applyFont="1" applyFill="1" applyBorder="1" applyAlignment="1">
      <alignment horizontal="center"/>
    </xf>
    <xf numFmtId="165" fontId="15" fillId="2" borderId="2" xfId="5" quotePrefix="1" applyNumberFormat="1" applyFont="1" applyFill="1" applyBorder="1" applyAlignment="1">
      <alignment horizontal="center"/>
    </xf>
    <xf numFmtId="165" fontId="15" fillId="2" borderId="2" xfId="5" applyNumberFormat="1" applyFont="1" applyFill="1" applyBorder="1" applyAlignment="1">
      <alignment horizontal="center"/>
    </xf>
    <xf numFmtId="165" fontId="6" fillId="2" borderId="2" xfId="5" applyNumberFormat="1" applyFont="1" applyFill="1" applyBorder="1"/>
    <xf numFmtId="165" fontId="6" fillId="2" borderId="3" xfId="5" applyNumberFormat="1" applyFont="1" applyFill="1" applyBorder="1"/>
    <xf numFmtId="167" fontId="6" fillId="0" borderId="0" xfId="7" applyNumberFormat="1" applyFont="1"/>
    <xf numFmtId="167" fontId="6" fillId="0" borderId="0" xfId="7" applyNumberFormat="1" applyFont="1" applyBorder="1"/>
    <xf numFmtId="165" fontId="14" fillId="0" borderId="7" xfId="5" applyNumberFormat="1" applyFont="1" applyBorder="1"/>
    <xf numFmtId="165" fontId="15" fillId="0" borderId="0" xfId="5" applyNumberFormat="1" applyFont="1" applyAlignment="1">
      <alignment horizontal="center"/>
    </xf>
    <xf numFmtId="165" fontId="15" fillId="0" borderId="0" xfId="5" quotePrefix="1" applyNumberFormat="1" applyFont="1" applyBorder="1" applyAlignment="1">
      <alignment horizontal="center"/>
    </xf>
    <xf numFmtId="165" fontId="14" fillId="0" borderId="8" xfId="5" applyNumberFormat="1" applyFont="1" applyBorder="1"/>
    <xf numFmtId="167" fontId="6" fillId="0" borderId="1" xfId="7" applyNumberFormat="1" applyFont="1" applyBorder="1"/>
    <xf numFmtId="165" fontId="10" fillId="0" borderId="0" xfId="5" applyNumberFormat="1" applyFont="1" applyFill="1" applyAlignment="1">
      <alignment horizontal="right"/>
    </xf>
    <xf numFmtId="165" fontId="14" fillId="0" borderId="0" xfId="1" applyNumberFormat="1" applyFont="1" applyFill="1"/>
    <xf numFmtId="165" fontId="10" fillId="0" borderId="0" xfId="5" applyNumberFormat="1" applyFont="1" applyFill="1"/>
    <xf numFmtId="166" fontId="0" fillId="0" borderId="0" xfId="0" applyNumberFormat="1"/>
    <xf numFmtId="165" fontId="6" fillId="0" borderId="0" xfId="1" applyNumberFormat="1" applyFont="1" applyFill="1" applyBorder="1" applyAlignment="1">
      <alignment horizontal="center"/>
    </xf>
    <xf numFmtId="165" fontId="6" fillId="0" borderId="0" xfId="5" applyNumberFormat="1" applyFont="1" applyFill="1" applyBorder="1" applyAlignment="1"/>
    <xf numFmtId="43" fontId="14" fillId="0" borderId="0" xfId="1" applyFont="1" applyFill="1"/>
    <xf numFmtId="43" fontId="14" fillId="0" borderId="0" xfId="0" applyNumberFormat="1" applyFont="1"/>
    <xf numFmtId="167" fontId="6" fillId="0" borderId="0" xfId="3" applyNumberFormat="1" applyFont="1" applyFill="1"/>
    <xf numFmtId="167" fontId="9" fillId="0" borderId="0" xfId="3" applyNumberFormat="1" applyFont="1" applyFill="1"/>
    <xf numFmtId="165" fontId="39" fillId="0" borderId="0" xfId="5" applyNumberFormat="1" applyFont="1" applyFill="1" applyBorder="1"/>
    <xf numFmtId="44" fontId="6" fillId="0" borderId="0" xfId="2" applyFont="1" applyAlignment="1">
      <alignment vertical="center"/>
    </xf>
    <xf numFmtId="9" fontId="6" fillId="0" borderId="0" xfId="3" applyFont="1" applyAlignment="1"/>
    <xf numFmtId="165" fontId="6" fillId="0" borderId="0" xfId="1" applyNumberFormat="1" applyFont="1" applyBorder="1" applyAlignment="1">
      <alignment horizontal="left" indent="1"/>
    </xf>
    <xf numFmtId="167" fontId="6" fillId="0" borderId="0" xfId="3" applyNumberFormat="1" applyFont="1" applyBorder="1"/>
    <xf numFmtId="165" fontId="15" fillId="0" borderId="0" xfId="5" quotePrefix="1" applyNumberFormat="1" applyFont="1" applyFill="1" applyBorder="1" applyAlignment="1">
      <alignment horizontal="center"/>
    </xf>
    <xf numFmtId="165" fontId="14" fillId="0" borderId="0" xfId="5" applyNumberFormat="1" applyFont="1" applyFill="1" applyBorder="1"/>
    <xf numFmtId="165" fontId="6" fillId="0" borderId="0" xfId="5" applyNumberFormat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center"/>
    </xf>
    <xf numFmtId="166" fontId="10" fillId="0" borderId="0" xfId="5" applyNumberFormat="1" applyFont="1" applyFill="1" applyBorder="1" applyAlignment="1">
      <alignment horizontal="center"/>
    </xf>
    <xf numFmtId="165" fontId="15" fillId="0" borderId="0" xfId="5" applyNumberFormat="1" applyFont="1" applyFill="1" applyBorder="1" applyAlignment="1">
      <alignment horizontal="center"/>
    </xf>
    <xf numFmtId="166" fontId="6" fillId="0" borderId="0" xfId="5" applyNumberFormat="1" applyFont="1" applyFill="1" applyBorder="1"/>
    <xf numFmtId="2" fontId="6" fillId="0" borderId="0" xfId="1" applyNumberFormat="1" applyFont="1" applyFill="1" applyBorder="1"/>
    <xf numFmtId="43" fontId="6" fillId="2" borderId="0" xfId="1" applyFont="1" applyFill="1"/>
    <xf numFmtId="43" fontId="6" fillId="2" borderId="1" xfId="1" applyFont="1" applyFill="1" applyBorder="1"/>
    <xf numFmtId="166" fontId="6" fillId="0" borderId="0" xfId="6" applyNumberFormat="1" applyFont="1" applyFill="1" applyBorder="1"/>
    <xf numFmtId="180" fontId="6" fillId="0" borderId="0" xfId="0" applyNumberFormat="1" applyFont="1"/>
    <xf numFmtId="37" fontId="6" fillId="0" borderId="0" xfId="0" applyNumberFormat="1" applyFont="1" applyAlignment="1">
      <alignment horizontal="center"/>
    </xf>
    <xf numFmtId="166" fontId="10" fillId="0" borderId="0" xfId="1" applyNumberFormat="1" applyFont="1" applyFill="1" applyBorder="1"/>
    <xf numFmtId="0" fontId="32" fillId="0" borderId="0" xfId="5" applyNumberFormat="1" applyFont="1" applyBorder="1" applyAlignment="1">
      <alignment horizontal="left"/>
    </xf>
    <xf numFmtId="0" fontId="32" fillId="0" borderId="0" xfId="5" applyNumberFormat="1" applyFont="1" applyBorder="1" applyAlignment="1">
      <alignment horizontal="left" wrapText="1"/>
    </xf>
    <xf numFmtId="165" fontId="13" fillId="0" borderId="0" xfId="5" applyNumberFormat="1" applyFont="1" applyBorder="1" applyAlignment="1">
      <alignment vertical="center"/>
    </xf>
    <xf numFmtId="165" fontId="7" fillId="0" borderId="8" xfId="5" applyNumberFormat="1" applyFont="1" applyBorder="1" applyAlignment="1">
      <alignment horizontal="center"/>
    </xf>
    <xf numFmtId="43" fontId="49" fillId="0" borderId="0" xfId="11" quotePrefix="1" applyFont="1" applyAlignment="1">
      <alignment horizontal="center" vertical="top"/>
    </xf>
    <xf numFmtId="43" fontId="10" fillId="0" borderId="17" xfId="5" applyFont="1" applyBorder="1" applyAlignment="1">
      <alignment horizontal="center"/>
    </xf>
    <xf numFmtId="43" fontId="10" fillId="0" borderId="17" xfId="5" applyFont="1" applyBorder="1" applyAlignment="1">
      <alignment horizontal="left"/>
    </xf>
    <xf numFmtId="43" fontId="6" fillId="0" borderId="0" xfId="5" applyFont="1" applyFill="1"/>
    <xf numFmtId="44" fontId="0" fillId="0" borderId="0" xfId="6" applyFont="1"/>
    <xf numFmtId="43" fontId="6" fillId="0" borderId="1" xfId="5" applyFont="1" applyFill="1" applyBorder="1"/>
    <xf numFmtId="43" fontId="6" fillId="0" borderId="13" xfId="5" applyFont="1" applyBorder="1"/>
    <xf numFmtId="43" fontId="6" fillId="0" borderId="13" xfId="5" applyFont="1" applyBorder="1" applyAlignment="1"/>
    <xf numFmtId="44" fontId="0" fillId="0" borderId="0" xfId="0" applyNumberFormat="1"/>
    <xf numFmtId="43" fontId="6" fillId="0" borderId="18" xfId="5" applyFont="1" applyBorder="1"/>
    <xf numFmtId="43" fontId="0" fillId="0" borderId="0" xfId="5" applyFont="1"/>
    <xf numFmtId="165" fontId="20" fillId="0" borderId="0" xfId="5" applyNumberFormat="1" applyFont="1" applyFill="1" applyAlignment="1">
      <alignment vertical="center"/>
    </xf>
    <xf numFmtId="166" fontId="10" fillId="2" borderId="0" xfId="1" applyNumberFormat="1" applyFont="1" applyFill="1" applyBorder="1"/>
    <xf numFmtId="43" fontId="49" fillId="0" borderId="0" xfId="11" quotePrefix="1" applyFont="1" applyFill="1" applyAlignment="1">
      <alignment horizontal="center" vertical="top"/>
    </xf>
    <xf numFmtId="0" fontId="10" fillId="0" borderId="0" xfId="13" applyFont="1" applyAlignment="1">
      <alignment horizontal="center"/>
    </xf>
    <xf numFmtId="0" fontId="10" fillId="0" borderId="17" xfId="13" applyFont="1" applyBorder="1" applyAlignment="1">
      <alignment horizontal="center"/>
    </xf>
    <xf numFmtId="0" fontId="6" fillId="0" borderId="0" xfId="13" applyFont="1"/>
    <xf numFmtId="43" fontId="57" fillId="0" borderId="0" xfId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43" fontId="14" fillId="0" borderId="0" xfId="1" applyFont="1" applyFill="1" applyAlignment="1">
      <alignment horizontal="center"/>
    </xf>
    <xf numFmtId="43" fontId="14" fillId="0" borderId="0" xfId="1" applyFont="1" applyFill="1" applyAlignment="1">
      <alignment horizontal="left"/>
    </xf>
    <xf numFmtId="165" fontId="7" fillId="0" borderId="0" xfId="5" applyNumberFormat="1" applyFont="1" applyBorder="1" applyAlignment="1">
      <alignment horizontal="center"/>
    </xf>
    <xf numFmtId="165" fontId="8" fillId="0" borderId="0" xfId="5" applyNumberFormat="1" applyFont="1" applyBorder="1" applyAlignment="1">
      <alignment horizontal="center"/>
    </xf>
    <xf numFmtId="165" fontId="18" fillId="0" borderId="0" xfId="5" applyNumberFormat="1" applyFont="1" applyBorder="1" applyAlignment="1">
      <alignment horizontal="center"/>
    </xf>
    <xf numFmtId="165" fontId="15" fillId="0" borderId="0" xfId="5" applyNumberFormat="1" applyFont="1" applyBorder="1" applyAlignment="1">
      <alignment horizontal="center"/>
    </xf>
    <xf numFmtId="165" fontId="8" fillId="0" borderId="7" xfId="5" applyNumberFormat="1" applyFont="1" applyBorder="1" applyAlignment="1">
      <alignment horizontal="center"/>
    </xf>
    <xf numFmtId="165" fontId="8" fillId="0" borderId="8" xfId="5" applyNumberFormat="1" applyFont="1" applyBorder="1" applyAlignment="1">
      <alignment horizontal="center"/>
    </xf>
    <xf numFmtId="165" fontId="7" fillId="0" borderId="7" xfId="5" applyNumberFormat="1" applyFont="1" applyBorder="1" applyAlignment="1">
      <alignment horizontal="center" vertical="center"/>
    </xf>
    <xf numFmtId="165" fontId="7" fillId="0" borderId="0" xfId="5" applyNumberFormat="1" applyFont="1" applyBorder="1" applyAlignment="1">
      <alignment horizontal="center" vertical="center"/>
    </xf>
    <xf numFmtId="165" fontId="7" fillId="0" borderId="8" xfId="5" applyNumberFormat="1" applyFont="1" applyBorder="1" applyAlignment="1">
      <alignment horizontal="center" vertical="center"/>
    </xf>
    <xf numFmtId="165" fontId="17" fillId="0" borderId="7" xfId="5" applyNumberFormat="1" applyFont="1" applyBorder="1" applyAlignment="1">
      <alignment horizontal="center"/>
    </xf>
    <xf numFmtId="165" fontId="17" fillId="0" borderId="0" xfId="5" applyNumberFormat="1" applyFont="1" applyBorder="1" applyAlignment="1">
      <alignment horizontal="center"/>
    </xf>
    <xf numFmtId="165" fontId="17" fillId="0" borderId="8" xfId="5" applyNumberFormat="1" applyFont="1" applyBorder="1" applyAlignment="1">
      <alignment horizontal="center"/>
    </xf>
    <xf numFmtId="165" fontId="15" fillId="0" borderId="7" xfId="5" applyNumberFormat="1" applyFont="1" applyBorder="1" applyAlignment="1">
      <alignment horizontal="center"/>
    </xf>
    <xf numFmtId="165" fontId="7" fillId="0" borderId="7" xfId="5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 vertical="center"/>
    </xf>
    <xf numFmtId="3" fontId="25" fillId="0" borderId="2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18" fillId="0" borderId="7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5" fontId="32" fillId="0" borderId="0" xfId="5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165" fontId="15" fillId="0" borderId="0" xfId="5" applyNumberFormat="1" applyFont="1" applyBorder="1" applyAlignment="1">
      <alignment horizontal="left" vertical="center"/>
    </xf>
    <xf numFmtId="165" fontId="15" fillId="0" borderId="0" xfId="5" applyNumberFormat="1" applyFont="1" applyBorder="1" applyAlignment="1">
      <alignment vertical="center"/>
    </xf>
    <xf numFmtId="43" fontId="53" fillId="0" borderId="0" xfId="5" applyFont="1" applyBorder="1" applyAlignment="1">
      <alignment horizontal="center"/>
    </xf>
    <xf numFmtId="43" fontId="53" fillId="0" borderId="0" xfId="5" applyFont="1" applyBorder="1" applyAlignment="1">
      <alignment horizontal="left"/>
    </xf>
    <xf numFmtId="43" fontId="15" fillId="0" borderId="0" xfId="1" applyFont="1" applyAlignment="1">
      <alignment horizontal="center"/>
    </xf>
    <xf numFmtId="44" fontId="41" fillId="0" borderId="7" xfId="6" applyFont="1" applyBorder="1" applyAlignment="1">
      <alignment horizontal="center"/>
    </xf>
    <xf numFmtId="44" fontId="41" fillId="0" borderId="0" xfId="6" applyFont="1" applyBorder="1" applyAlignment="1">
      <alignment horizontal="center"/>
    </xf>
    <xf numFmtId="3" fontId="40" fillId="0" borderId="7" xfId="0" applyNumberFormat="1" applyFont="1" applyBorder="1" applyAlignment="1">
      <alignment horizontal="center"/>
    </xf>
    <xf numFmtId="3" fontId="40" fillId="0" borderId="0" xfId="0" applyNumberFormat="1" applyFont="1" applyAlignment="1">
      <alignment horizontal="center"/>
    </xf>
    <xf numFmtId="3" fontId="7" fillId="0" borderId="7" xfId="0" applyNumberFormat="1" applyFont="1" applyBorder="1" applyAlignment="1">
      <alignment horizontal="center" vertical="center"/>
    </xf>
    <xf numFmtId="176" fontId="6" fillId="0" borderId="1" xfId="5" applyNumberFormat="1" applyFont="1" applyBorder="1" applyAlignment="1">
      <alignment horizontal="left"/>
    </xf>
    <xf numFmtId="43" fontId="12" fillId="0" borderId="0" xfId="5" applyFont="1" applyBorder="1" applyAlignment="1">
      <alignment horizontal="center"/>
    </xf>
    <xf numFmtId="165" fontId="15" fillId="0" borderId="7" xfId="5" quotePrefix="1" applyNumberFormat="1" applyFont="1" applyBorder="1" applyAlignment="1">
      <alignment horizontal="center"/>
    </xf>
    <xf numFmtId="165" fontId="15" fillId="0" borderId="0" xfId="5" quotePrefix="1" applyNumberFormat="1" applyFont="1" applyBorder="1" applyAlignment="1">
      <alignment horizontal="center"/>
    </xf>
    <xf numFmtId="165" fontId="14" fillId="0" borderId="0" xfId="5" applyNumberFormat="1" applyFont="1" applyAlignment="1">
      <alignment horizontal="center"/>
    </xf>
    <xf numFmtId="165" fontId="15" fillId="0" borderId="0" xfId="5" quotePrefix="1" applyNumberFormat="1" applyFont="1" applyAlignment="1">
      <alignment horizontal="center"/>
    </xf>
    <xf numFmtId="165" fontId="10" fillId="0" borderId="0" xfId="5" applyNumberFormat="1" applyFont="1" applyAlignment="1">
      <alignment horizontal="center"/>
    </xf>
  </cellXfs>
  <cellStyles count="14">
    <cellStyle name="Comma" xfId="1" builtinId="3"/>
    <cellStyle name="Comma 2" xfId="5" xr:uid="{00000000-0005-0000-0000-000001000000}"/>
    <cellStyle name="Comma 3" xfId="11" xr:uid="{9AF60498-4147-4126-B46C-961AF7F31364}"/>
    <cellStyle name="Currency" xfId="2" builtinId="4"/>
    <cellStyle name="Currency 2" xfId="6" xr:uid="{00000000-0005-0000-0000-000003000000}"/>
    <cellStyle name="Currency 3" xfId="10" xr:uid="{2A79DE7D-36BB-4581-9973-C52AC15FA9D5}"/>
    <cellStyle name="Normal" xfId="0" builtinId="0"/>
    <cellStyle name="Normal 2" xfId="4" xr:uid="{00000000-0005-0000-0000-000005000000}"/>
    <cellStyle name="Normal 2 2" xfId="12" xr:uid="{1E18C1AF-35AA-465F-BB12-0FE783535F8A}"/>
    <cellStyle name="Normal 2 2 2" xfId="13" xr:uid="{324EF2F6-C955-4B54-B25C-9B1AB54EA4E6}"/>
    <cellStyle name="Normal 3" xfId="8" xr:uid="{086DDF7C-BA57-4589-BD29-C7F1890A005F}"/>
    <cellStyle name="Percent" xfId="3" builtinId="5"/>
    <cellStyle name="Percent 2" xfId="7" xr:uid="{00000000-0005-0000-0000-000007000000}"/>
    <cellStyle name="Percent 3" xfId="9" xr:uid="{39040558-B6C5-4200-9A0D-69961CCE9074}"/>
  </cellStyles>
  <dxfs count="0"/>
  <tableStyles count="0" defaultTableStyle="TableStyleMedium9" defaultPivotStyle="PivotStyleLight16"/>
  <colors>
    <mruColors>
      <color rgb="FFFFFFCC"/>
      <color rgb="FFA0FE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Billed Usage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Usage!$AB$5:$AB$31</c:f>
              <c:strCache>
                <c:ptCount val="27"/>
                <c:pt idx="0">
                  <c:v> -   </c:v>
                </c:pt>
                <c:pt idx="1">
                  <c:v> 5,000 </c:v>
                </c:pt>
                <c:pt idx="2">
                  <c:v> 10,000 </c:v>
                </c:pt>
                <c:pt idx="3">
                  <c:v> 15,000 </c:v>
                </c:pt>
                <c:pt idx="4">
                  <c:v> 20,000 </c:v>
                </c:pt>
                <c:pt idx="5">
                  <c:v> 25,000 </c:v>
                </c:pt>
                <c:pt idx="6">
                  <c:v> 30,000 </c:v>
                </c:pt>
                <c:pt idx="7">
                  <c:v> 35,000 </c:v>
                </c:pt>
                <c:pt idx="8">
                  <c:v> 40,000 </c:v>
                </c:pt>
                <c:pt idx="9">
                  <c:v> 45,000 </c:v>
                </c:pt>
                <c:pt idx="10">
                  <c:v> 50,000 </c:v>
                </c:pt>
                <c:pt idx="11">
                  <c:v> 55,000 </c:v>
                </c:pt>
                <c:pt idx="12">
                  <c:v> 60,000 </c:v>
                </c:pt>
                <c:pt idx="13">
                  <c:v> 65,000 </c:v>
                </c:pt>
                <c:pt idx="14">
                  <c:v> 70,000 </c:v>
                </c:pt>
                <c:pt idx="15">
                  <c:v> 75,000 </c:v>
                </c:pt>
                <c:pt idx="16">
                  <c:v> 100,000 </c:v>
                </c:pt>
                <c:pt idx="17">
                  <c:v> 150,000 </c:v>
                </c:pt>
                <c:pt idx="18">
                  <c:v> 200,000 </c:v>
                </c:pt>
                <c:pt idx="19">
                  <c:v> 250,000 </c:v>
                </c:pt>
                <c:pt idx="20">
                  <c:v> 500,000 </c:v>
                </c:pt>
                <c:pt idx="21">
                  <c:v> 600,000 </c:v>
                </c:pt>
                <c:pt idx="22">
                  <c:v> 700,000 </c:v>
                </c:pt>
                <c:pt idx="23">
                  <c:v> 800,000 </c:v>
                </c:pt>
                <c:pt idx="24">
                  <c:v> 900,000 </c:v>
                </c:pt>
                <c:pt idx="25">
                  <c:v> 1,000,000 </c:v>
                </c:pt>
                <c:pt idx="26">
                  <c:v> over 1,000,000 </c:v>
                </c:pt>
              </c:strCache>
            </c:strRef>
          </c:cat>
          <c:val>
            <c:numRef>
              <c:f>Usage!$AC$5:$AC$31</c:f>
              <c:numCache>
                <c:formatCode>_(* #,##0_);_(* \(#,##0\);_(* "-"??_);_(@_)</c:formatCode>
                <c:ptCount val="27"/>
                <c:pt idx="0">
                  <c:v>0</c:v>
                </c:pt>
                <c:pt idx="1">
                  <c:v>189879200</c:v>
                </c:pt>
                <c:pt idx="2">
                  <c:v>381598700</c:v>
                </c:pt>
                <c:pt idx="3">
                  <c:v>441239800</c:v>
                </c:pt>
                <c:pt idx="4">
                  <c:v>471697300</c:v>
                </c:pt>
                <c:pt idx="5">
                  <c:v>492078800</c:v>
                </c:pt>
                <c:pt idx="6">
                  <c:v>509942700</c:v>
                </c:pt>
                <c:pt idx="7">
                  <c:v>523206500</c:v>
                </c:pt>
                <c:pt idx="8">
                  <c:v>532767800</c:v>
                </c:pt>
                <c:pt idx="9">
                  <c:v>541122300</c:v>
                </c:pt>
                <c:pt idx="10">
                  <c:v>548330100</c:v>
                </c:pt>
                <c:pt idx="11">
                  <c:v>553735300</c:v>
                </c:pt>
                <c:pt idx="12">
                  <c:v>558912600</c:v>
                </c:pt>
                <c:pt idx="13">
                  <c:v>562541700</c:v>
                </c:pt>
                <c:pt idx="14">
                  <c:v>567547100</c:v>
                </c:pt>
                <c:pt idx="15">
                  <c:v>571679300</c:v>
                </c:pt>
                <c:pt idx="16">
                  <c:v>585169000</c:v>
                </c:pt>
                <c:pt idx="17">
                  <c:v>605212000</c:v>
                </c:pt>
                <c:pt idx="18">
                  <c:v>620655800</c:v>
                </c:pt>
                <c:pt idx="19">
                  <c:v>630753600</c:v>
                </c:pt>
                <c:pt idx="20">
                  <c:v>654693000</c:v>
                </c:pt>
                <c:pt idx="21">
                  <c:v>660768900</c:v>
                </c:pt>
                <c:pt idx="22">
                  <c:v>665877000</c:v>
                </c:pt>
                <c:pt idx="23">
                  <c:v>670260300</c:v>
                </c:pt>
                <c:pt idx="24">
                  <c:v>676365700</c:v>
                </c:pt>
                <c:pt idx="25">
                  <c:v>682241100</c:v>
                </c:pt>
                <c:pt idx="26">
                  <c:v>922146600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E2-4715-A81F-7DEE225F3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1361664"/>
        <c:axId val="701355008"/>
      </c:lineChart>
      <c:catAx>
        <c:axId val="701361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355008"/>
        <c:crosses val="autoZero"/>
        <c:auto val="1"/>
        <c:lblAlgn val="ctr"/>
        <c:lblOffset val="100"/>
        <c:noMultiLvlLbl val="0"/>
      </c:catAx>
      <c:valAx>
        <c:axId val="70135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36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Billed Usage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Use_Dtl!$AY$6:$AY$32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Use_Dtl!$AX$6:$AX$32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08B-4D2A-9A09-F9E1963BB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361664"/>
        <c:axId val="701355008"/>
      </c:lineChart>
      <c:catAx>
        <c:axId val="701361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355008"/>
        <c:crosses val="autoZero"/>
        <c:auto val="1"/>
        <c:lblAlgn val="ctr"/>
        <c:lblOffset val="100"/>
        <c:noMultiLvlLbl val="0"/>
      </c:catAx>
      <c:valAx>
        <c:axId val="70135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36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381000</xdr:colOff>
      <xdr:row>6</xdr:row>
      <xdr:rowOff>147637</xdr:rowOff>
    </xdr:from>
    <xdr:to>
      <xdr:col>38</xdr:col>
      <xdr:colOff>441960</xdr:colOff>
      <xdr:row>31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DC4D957-2905-405A-8B61-8464A8C0B8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381000</xdr:colOff>
      <xdr:row>7</xdr:row>
      <xdr:rowOff>147637</xdr:rowOff>
    </xdr:from>
    <xdr:to>
      <xdr:col>57</xdr:col>
      <xdr:colOff>381000</xdr:colOff>
      <xdr:row>32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88BB57-BB50-44FF-AE1D-A3C5E964C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76"/>
  <sheetViews>
    <sheetView showGridLines="0" tabSelected="1" zoomScaleNormal="100" workbookViewId="0">
      <selection activeCell="H24" sqref="H24"/>
    </sheetView>
  </sheetViews>
  <sheetFormatPr defaultColWidth="8.81640625" defaultRowHeight="15.6" x14ac:dyDescent="0.3"/>
  <cols>
    <col min="1" max="1" width="8.81640625" style="47"/>
    <col min="2" max="2" width="1" style="47" customWidth="1"/>
    <col min="3" max="3" width="3.6328125" style="47" customWidth="1"/>
    <col min="4" max="4" width="1.36328125" style="47" customWidth="1"/>
    <col min="5" max="5" width="29.453125" style="47" customWidth="1"/>
    <col min="6" max="6" width="10.54296875" style="47" customWidth="1"/>
    <col min="7" max="7" width="10.453125" style="47" customWidth="1"/>
    <col min="8" max="8" width="4.81640625" style="228" customWidth="1"/>
    <col min="9" max="9" width="10.6328125" style="47" customWidth="1"/>
    <col min="10" max="10" width="0.90625" style="47" customWidth="1"/>
    <col min="11" max="11" width="9.6328125" style="47" customWidth="1"/>
    <col min="12" max="12" width="5.81640625" style="47" customWidth="1"/>
    <col min="13" max="14" width="11.36328125" style="47" customWidth="1"/>
    <col min="15" max="15" width="10.90625" style="47" customWidth="1"/>
    <col min="16" max="16384" width="8.81640625" style="47"/>
  </cols>
  <sheetData>
    <row r="2" spans="2:15" ht="9.9" customHeight="1" x14ac:dyDescent="0.3">
      <c r="B2" s="178"/>
      <c r="C2" s="179"/>
      <c r="D2" s="179"/>
      <c r="E2" s="179"/>
      <c r="F2" s="179"/>
      <c r="G2" s="179"/>
      <c r="H2" s="229"/>
      <c r="I2" s="179"/>
      <c r="J2" s="180"/>
    </row>
    <row r="3" spans="2:15" ht="18" x14ac:dyDescent="0.3">
      <c r="B3" s="181"/>
      <c r="C3" s="603" t="s">
        <v>599</v>
      </c>
      <c r="D3" s="603"/>
      <c r="E3" s="603"/>
      <c r="F3" s="603"/>
      <c r="G3" s="603"/>
      <c r="H3" s="603"/>
      <c r="I3" s="603"/>
      <c r="J3" s="257"/>
      <c r="K3" s="58"/>
      <c r="L3" s="58"/>
      <c r="M3" s="58"/>
      <c r="N3" s="58"/>
    </row>
    <row r="4" spans="2:15" ht="18" x14ac:dyDescent="0.3">
      <c r="B4" s="181"/>
      <c r="C4" s="603" t="s">
        <v>331</v>
      </c>
      <c r="D4" s="603"/>
      <c r="E4" s="603"/>
      <c r="F4" s="603"/>
      <c r="G4" s="603"/>
      <c r="H4" s="603"/>
      <c r="I4" s="603"/>
      <c r="J4" s="257"/>
      <c r="K4" s="58"/>
      <c r="L4" s="58"/>
      <c r="M4" s="58"/>
      <c r="N4" s="58"/>
    </row>
    <row r="5" spans="2:15" ht="9.9" customHeight="1" x14ac:dyDescent="0.3">
      <c r="B5" s="182"/>
      <c r="C5" s="230"/>
      <c r="D5" s="230"/>
      <c r="E5" s="230"/>
      <c r="F5" s="230"/>
      <c r="G5" s="230"/>
      <c r="H5" s="230"/>
      <c r="I5" s="230"/>
      <c r="J5" s="231"/>
      <c r="K5" s="58"/>
      <c r="L5" s="58"/>
      <c r="M5" s="58"/>
      <c r="N5" s="58"/>
    </row>
    <row r="6" spans="2:15" ht="14.4" customHeight="1" x14ac:dyDescent="0.35">
      <c r="B6" s="181"/>
      <c r="C6" s="252"/>
      <c r="D6" s="253"/>
      <c r="E6" s="254"/>
      <c r="F6" s="365">
        <v>2022</v>
      </c>
      <c r="G6" s="254"/>
      <c r="H6" s="235"/>
      <c r="I6" s="254"/>
      <c r="J6" s="258"/>
      <c r="K6" s="58"/>
      <c r="L6" s="58"/>
      <c r="M6" s="58"/>
      <c r="N6" s="58"/>
    </row>
    <row r="7" spans="2:15" x14ac:dyDescent="0.3">
      <c r="B7" s="181"/>
      <c r="C7" s="59"/>
      <c r="D7" s="59"/>
      <c r="E7" s="59"/>
      <c r="F7" s="232" t="s">
        <v>108</v>
      </c>
      <c r="G7" s="232" t="s">
        <v>109</v>
      </c>
      <c r="H7" s="232" t="s">
        <v>110</v>
      </c>
      <c r="I7" s="232" t="s">
        <v>654</v>
      </c>
      <c r="J7" s="234"/>
      <c r="K7" s="53"/>
      <c r="L7" s="53"/>
      <c r="M7" s="53"/>
      <c r="N7" s="53"/>
    </row>
    <row r="8" spans="2:15" x14ac:dyDescent="0.3">
      <c r="B8" s="181"/>
      <c r="C8" s="255" t="s">
        <v>16</v>
      </c>
      <c r="D8" s="59"/>
      <c r="E8" s="59"/>
      <c r="F8" s="59"/>
      <c r="G8" s="59"/>
      <c r="H8" s="235"/>
      <c r="I8" s="59"/>
      <c r="J8" s="236"/>
      <c r="K8" s="53"/>
      <c r="L8" s="53"/>
      <c r="M8" s="53"/>
      <c r="N8" s="53"/>
    </row>
    <row r="9" spans="2:15" x14ac:dyDescent="0.3">
      <c r="B9" s="181"/>
      <c r="C9" s="59"/>
      <c r="D9" s="59" t="s">
        <v>132</v>
      </c>
      <c r="E9" s="59"/>
      <c r="F9" s="237">
        <v>4302238.43</v>
      </c>
      <c r="G9" s="237">
        <f>I9-F9</f>
        <v>29044.344999999739</v>
      </c>
      <c r="H9" s="235" t="s">
        <v>183</v>
      </c>
      <c r="I9" s="237">
        <f>ExBA!F10</f>
        <v>4331282.7749999994</v>
      </c>
      <c r="J9" s="238"/>
      <c r="K9" s="61" t="s">
        <v>353</v>
      </c>
      <c r="L9" s="53"/>
      <c r="M9" s="53"/>
      <c r="N9" s="53"/>
      <c r="O9" s="382">
        <f>G9/F9</f>
        <v>6.750984510172706E-3</v>
      </c>
    </row>
    <row r="10" spans="2:15" hidden="1" x14ac:dyDescent="0.3">
      <c r="B10" s="181"/>
      <c r="C10" s="59"/>
      <c r="D10" s="59" t="s">
        <v>188</v>
      </c>
      <c r="E10" s="59"/>
      <c r="F10" s="239">
        <v>0</v>
      </c>
      <c r="G10" s="239">
        <f>I10-F10</f>
        <v>0</v>
      </c>
      <c r="H10" s="235"/>
      <c r="I10" s="239">
        <f>ExBA!F12</f>
        <v>0</v>
      </c>
      <c r="J10" s="240"/>
      <c r="K10" s="61"/>
      <c r="L10" s="53"/>
      <c r="M10" s="53"/>
      <c r="N10" s="53"/>
    </row>
    <row r="11" spans="2:15" x14ac:dyDescent="0.3">
      <c r="B11" s="181"/>
      <c r="C11" s="59"/>
      <c r="D11" s="59" t="s">
        <v>17</v>
      </c>
      <c r="E11" s="59"/>
      <c r="F11" s="239">
        <v>732372.6</v>
      </c>
      <c r="G11" s="241">
        <f>I11-F11</f>
        <v>-0.59999999997671694</v>
      </c>
      <c r="H11" s="235" t="s">
        <v>183</v>
      </c>
      <c r="I11" s="239">
        <f>ExBA!F14</f>
        <v>732372</v>
      </c>
      <c r="J11" s="240"/>
      <c r="K11" s="61" t="s">
        <v>354</v>
      </c>
      <c r="L11" s="53"/>
      <c r="M11" s="53">
        <f>SUM(F9:F11)</f>
        <v>5034611.0299999993</v>
      </c>
      <c r="N11" s="53"/>
      <c r="O11" s="336"/>
    </row>
    <row r="12" spans="2:15" x14ac:dyDescent="0.3">
      <c r="B12" s="181"/>
      <c r="C12" s="59"/>
      <c r="D12" s="59" t="s">
        <v>18</v>
      </c>
      <c r="E12" s="59"/>
      <c r="F12" s="239"/>
      <c r="G12" s="241"/>
      <c r="H12" s="235"/>
      <c r="I12" s="239"/>
      <c r="J12" s="240"/>
      <c r="K12" s="53"/>
      <c r="L12" s="53"/>
      <c r="M12" s="53"/>
      <c r="N12" s="53"/>
    </row>
    <row r="13" spans="2:15" x14ac:dyDescent="0.3">
      <c r="B13" s="181"/>
      <c r="C13" s="59"/>
      <c r="D13" s="59"/>
      <c r="E13" s="59" t="s">
        <v>131</v>
      </c>
      <c r="F13" s="239">
        <v>32152.38</v>
      </c>
      <c r="G13" s="241"/>
      <c r="H13" s="235"/>
      <c r="I13" s="239">
        <f t="shared" ref="I13:I15" si="0">F13+G13</f>
        <v>32152.38</v>
      </c>
      <c r="J13" s="240"/>
      <c r="K13" s="596"/>
      <c r="L13" s="53"/>
      <c r="M13" s="53"/>
      <c r="N13" s="53"/>
    </row>
    <row r="14" spans="2:15" x14ac:dyDescent="0.3">
      <c r="B14" s="181"/>
      <c r="C14" s="59"/>
      <c r="D14" s="59"/>
      <c r="E14" s="29" t="s">
        <v>427</v>
      </c>
      <c r="F14" s="239">
        <f>15650+1025+19600+750</f>
        <v>37025</v>
      </c>
      <c r="G14" s="241"/>
      <c r="H14" s="235"/>
      <c r="I14" s="239">
        <f t="shared" si="0"/>
        <v>37025</v>
      </c>
      <c r="J14" s="240"/>
      <c r="K14" s="61"/>
      <c r="L14" s="53"/>
      <c r="M14" s="53"/>
      <c r="N14" s="53"/>
    </row>
    <row r="15" spans="2:15" ht="16.2" x14ac:dyDescent="0.3">
      <c r="B15" s="181"/>
      <c r="C15" s="59"/>
      <c r="D15" s="59"/>
      <c r="E15" s="59" t="s">
        <v>189</v>
      </c>
      <c r="F15" s="194">
        <f>71876.43+24779.13</f>
        <v>96655.56</v>
      </c>
      <c r="G15" s="241">
        <f>-Adj!N32</f>
        <v>-51004.95</v>
      </c>
      <c r="H15" s="235" t="s">
        <v>245</v>
      </c>
      <c r="I15" s="242">
        <f t="shared" si="0"/>
        <v>45650.61</v>
      </c>
      <c r="J15" s="243"/>
      <c r="K15" s="61" t="s">
        <v>563</v>
      </c>
      <c r="L15" s="53"/>
      <c r="M15" s="53"/>
      <c r="N15" s="53"/>
    </row>
    <row r="16" spans="2:15" x14ac:dyDescent="0.3">
      <c r="B16" s="181"/>
      <c r="C16" s="256" t="s">
        <v>19</v>
      </c>
      <c r="D16" s="59"/>
      <c r="E16" s="59"/>
      <c r="F16" s="237">
        <f>SUM(F9:F15)</f>
        <v>5200443.9699999988</v>
      </c>
      <c r="G16" s="237"/>
      <c r="H16" s="235"/>
      <c r="I16" s="237">
        <f>SUM(I9:I15)</f>
        <v>5178482.7649999997</v>
      </c>
      <c r="J16" s="238"/>
      <c r="K16" s="53"/>
      <c r="M16" s="53"/>
      <c r="N16" s="53"/>
    </row>
    <row r="17" spans="2:14" x14ac:dyDescent="0.3">
      <c r="B17" s="181"/>
      <c r="C17" s="59"/>
      <c r="D17" s="59"/>
      <c r="E17" s="59"/>
      <c r="F17" s="241"/>
      <c r="G17" s="59"/>
      <c r="H17" s="235"/>
      <c r="I17" s="241"/>
      <c r="J17" s="244"/>
      <c r="K17" s="53"/>
      <c r="L17" s="53"/>
      <c r="M17" s="53"/>
      <c r="N17" s="53"/>
    </row>
    <row r="18" spans="2:14" x14ac:dyDescent="0.3">
      <c r="B18" s="181"/>
      <c r="C18" s="255" t="s">
        <v>20</v>
      </c>
      <c r="D18" s="59"/>
      <c r="E18" s="59"/>
      <c r="F18" s="241"/>
      <c r="G18" s="59"/>
      <c r="H18" s="235"/>
      <c r="I18" s="241"/>
      <c r="J18" s="244"/>
      <c r="K18" s="53"/>
      <c r="L18" s="53"/>
      <c r="M18" s="53"/>
      <c r="N18" s="53"/>
    </row>
    <row r="19" spans="2:14" x14ac:dyDescent="0.3">
      <c r="B19" s="181"/>
      <c r="C19" s="59"/>
      <c r="D19" s="59" t="s">
        <v>112</v>
      </c>
      <c r="E19" s="59"/>
      <c r="F19" s="239"/>
      <c r="G19" s="59"/>
      <c r="H19" s="235"/>
      <c r="I19" s="241"/>
      <c r="J19" s="244"/>
      <c r="K19" s="53"/>
      <c r="L19" s="53"/>
      <c r="M19" s="53"/>
      <c r="N19" s="53"/>
    </row>
    <row r="20" spans="2:14" x14ac:dyDescent="0.3">
      <c r="B20" s="181"/>
      <c r="C20" s="59"/>
      <c r="D20" s="59"/>
      <c r="E20" s="59" t="s">
        <v>1</v>
      </c>
      <c r="F20" s="239">
        <v>1504974.13</v>
      </c>
      <c r="G20" s="462">
        <f>Adj_EE!K32+Adj!J35</f>
        <v>311753.80893223669</v>
      </c>
      <c r="H20" s="227" t="s">
        <v>246</v>
      </c>
      <c r="I20" s="156">
        <f>F20+G20</f>
        <v>1816727.9389322365</v>
      </c>
      <c r="J20" s="245"/>
      <c r="K20" s="61" t="s">
        <v>360</v>
      </c>
      <c r="L20" s="53"/>
      <c r="M20" s="53"/>
      <c r="N20" s="53"/>
    </row>
    <row r="21" spans="2:14" x14ac:dyDescent="0.3">
      <c r="B21" s="181"/>
      <c r="C21" s="59"/>
      <c r="D21" s="59"/>
      <c r="E21" s="59" t="s">
        <v>2</v>
      </c>
      <c r="F21" s="239">
        <v>30200</v>
      </c>
      <c r="G21" s="156"/>
      <c r="H21" s="235"/>
      <c r="I21" s="156">
        <f t="shared" ref="I21:I22" si="1">F21+G21</f>
        <v>30200</v>
      </c>
      <c r="J21" s="245"/>
      <c r="K21" s="61"/>
      <c r="L21" s="60"/>
      <c r="M21" s="60"/>
      <c r="N21" s="60"/>
    </row>
    <row r="22" spans="2:14" x14ac:dyDescent="0.3">
      <c r="B22" s="181"/>
      <c r="C22" s="59"/>
      <c r="D22" s="59"/>
      <c r="E22" s="59" t="s">
        <v>3</v>
      </c>
      <c r="F22" s="239">
        <v>1106772.97</v>
      </c>
      <c r="G22" s="462">
        <f>Adj_EE!K38+Adj_EE!K44+Adj_EE!K50-Adj_Ben!J20+Adj!E33</f>
        <v>43948.157228886543</v>
      </c>
      <c r="H22" s="227" t="s">
        <v>247</v>
      </c>
      <c r="I22" s="156">
        <f t="shared" si="1"/>
        <v>1150721.1272288866</v>
      </c>
      <c r="J22" s="245"/>
      <c r="K22" s="61" t="s">
        <v>651</v>
      </c>
      <c r="L22" s="53"/>
      <c r="M22" s="53"/>
      <c r="N22" s="53"/>
    </row>
    <row r="23" spans="2:14" x14ac:dyDescent="0.3">
      <c r="B23" s="181"/>
      <c r="C23" s="59"/>
      <c r="D23" s="59"/>
      <c r="E23" s="59" t="s">
        <v>4</v>
      </c>
      <c r="F23" s="239">
        <v>526195.86</v>
      </c>
      <c r="G23" s="462"/>
      <c r="H23" s="235"/>
      <c r="I23" s="239">
        <f t="shared" ref="I23:I32" si="2">F23+G23</f>
        <v>526195.86</v>
      </c>
      <c r="J23" s="240"/>
      <c r="K23" s="61"/>
      <c r="L23" s="53"/>
      <c r="M23" s="53"/>
      <c r="N23" s="53"/>
    </row>
    <row r="24" spans="2:14" x14ac:dyDescent="0.3">
      <c r="B24" s="181"/>
      <c r="C24" s="59"/>
      <c r="D24" s="59"/>
      <c r="E24" s="59" t="s">
        <v>30</v>
      </c>
      <c r="F24" s="239">
        <v>184062.09</v>
      </c>
      <c r="G24" s="462">
        <f>Adj!E50</f>
        <v>197664.21835661522</v>
      </c>
      <c r="H24" s="235" t="s">
        <v>248</v>
      </c>
      <c r="I24" s="239">
        <f t="shared" si="2"/>
        <v>381726.30835661525</v>
      </c>
      <c r="J24" s="240"/>
      <c r="K24" s="61" t="s">
        <v>448</v>
      </c>
      <c r="L24" s="53"/>
      <c r="M24" s="53"/>
      <c r="N24" s="53"/>
    </row>
    <row r="25" spans="2:14" x14ac:dyDescent="0.3">
      <c r="B25" s="181"/>
      <c r="C25" s="59"/>
      <c r="D25" s="59"/>
      <c r="E25" s="59" t="s">
        <v>5</v>
      </c>
      <c r="F25" s="241">
        <f>248651.06+16506.42</f>
        <v>265157.48</v>
      </c>
      <c r="G25" s="462">
        <f>Adj!E58</f>
        <v>93910.579264357119</v>
      </c>
      <c r="H25" s="227" t="s">
        <v>249</v>
      </c>
      <c r="I25" s="239">
        <f t="shared" si="2"/>
        <v>359068.05926435709</v>
      </c>
      <c r="J25" s="240"/>
      <c r="K25" s="61" t="s">
        <v>448</v>
      </c>
      <c r="L25" s="53"/>
      <c r="M25" s="53"/>
      <c r="N25" s="53"/>
    </row>
    <row r="26" spans="2:14" x14ac:dyDescent="0.3">
      <c r="B26" s="181"/>
      <c r="C26" s="59"/>
      <c r="D26" s="59"/>
      <c r="E26" s="59" t="s">
        <v>6</v>
      </c>
      <c r="F26" s="241">
        <f>6535+16000+48217+91569.21+370</f>
        <v>162691.21000000002</v>
      </c>
      <c r="G26" s="462">
        <f>Adj!J17+Adj!M25+Adj!J19</f>
        <v>38869.800000000003</v>
      </c>
      <c r="H26" s="235" t="s">
        <v>250</v>
      </c>
      <c r="I26" s="239">
        <f t="shared" si="2"/>
        <v>201561.01</v>
      </c>
      <c r="J26" s="240"/>
      <c r="K26" s="61" t="s">
        <v>550</v>
      </c>
      <c r="L26" s="53"/>
      <c r="M26" s="362"/>
      <c r="N26" s="53"/>
    </row>
    <row r="27" spans="2:14" x14ac:dyDescent="0.3">
      <c r="B27" s="181"/>
      <c r="C27" s="59"/>
      <c r="D27" s="59"/>
      <c r="E27" s="59" t="s">
        <v>8</v>
      </c>
      <c r="F27" s="241">
        <v>104166.98</v>
      </c>
      <c r="G27" s="583"/>
      <c r="H27" s="235"/>
      <c r="I27" s="239">
        <f t="shared" si="2"/>
        <v>104166.98</v>
      </c>
      <c r="J27" s="240"/>
      <c r="K27" s="53"/>
      <c r="L27" s="53"/>
      <c r="M27" s="53"/>
      <c r="N27" s="53"/>
    </row>
    <row r="28" spans="2:14" x14ac:dyDescent="0.3">
      <c r="B28" s="181"/>
      <c r="C28" s="59"/>
      <c r="D28" s="59"/>
      <c r="E28" s="59" t="s">
        <v>330</v>
      </c>
      <c r="F28" s="241">
        <f>14969.66+17961.03+56382.73</f>
        <v>89313.420000000013</v>
      </c>
      <c r="G28" s="156"/>
      <c r="H28" s="235"/>
      <c r="I28" s="239">
        <f t="shared" si="2"/>
        <v>89313.420000000013</v>
      </c>
      <c r="J28" s="240"/>
      <c r="K28" s="53"/>
      <c r="L28" s="53"/>
      <c r="M28" s="53"/>
      <c r="N28" s="53"/>
    </row>
    <row r="29" spans="2:14" x14ac:dyDescent="0.3">
      <c r="B29" s="181"/>
      <c r="C29" s="59"/>
      <c r="D29" s="59"/>
      <c r="E29" s="59" t="s">
        <v>165</v>
      </c>
      <c r="F29" s="241">
        <v>22497.66</v>
      </c>
      <c r="G29" s="156"/>
      <c r="H29" s="235"/>
      <c r="I29" s="239">
        <f t="shared" si="2"/>
        <v>22497.66</v>
      </c>
      <c r="J29" s="240"/>
      <c r="K29" s="53"/>
      <c r="L29" s="53"/>
      <c r="M29" s="53"/>
      <c r="N29" s="53"/>
    </row>
    <row r="30" spans="2:14" x14ac:dyDescent="0.3">
      <c r="B30" s="181"/>
      <c r="C30" s="59"/>
      <c r="D30" s="59"/>
      <c r="E30" s="59" t="s">
        <v>174</v>
      </c>
      <c r="F30" s="239">
        <v>9496.34</v>
      </c>
      <c r="G30" s="156"/>
      <c r="H30" s="235"/>
      <c r="I30" s="239">
        <f t="shared" si="2"/>
        <v>9496.34</v>
      </c>
      <c r="J30" s="240"/>
      <c r="K30" s="53"/>
      <c r="L30" s="53"/>
      <c r="M30" s="53"/>
      <c r="N30" s="53"/>
    </row>
    <row r="31" spans="2:14" x14ac:dyDescent="0.3">
      <c r="B31" s="181"/>
      <c r="C31" s="59"/>
      <c r="D31" s="59"/>
      <c r="E31" s="59" t="s">
        <v>175</v>
      </c>
      <c r="F31" s="241">
        <v>10082.57</v>
      </c>
      <c r="G31" s="156"/>
      <c r="H31" s="235"/>
      <c r="I31" s="239">
        <f t="shared" si="2"/>
        <v>10082.57</v>
      </c>
      <c r="J31" s="240"/>
      <c r="K31" s="53"/>
      <c r="L31" s="53"/>
      <c r="M31" s="53"/>
      <c r="N31" s="53"/>
    </row>
    <row r="32" spans="2:14" ht="16.2" x14ac:dyDescent="0.3">
      <c r="B32" s="181"/>
      <c r="C32" s="59"/>
      <c r="D32" s="59"/>
      <c r="E32" s="59" t="s">
        <v>7</v>
      </c>
      <c r="F32" s="364">
        <f>146507.34-9496.34</f>
        <v>137011</v>
      </c>
      <c r="G32" s="463">
        <f>Adj!J41</f>
        <v>-2679.8</v>
      </c>
      <c r="H32" s="235" t="s">
        <v>430</v>
      </c>
      <c r="I32" s="242">
        <f t="shared" si="2"/>
        <v>134331.20000000001</v>
      </c>
      <c r="J32" s="243"/>
      <c r="K32" s="61" t="s">
        <v>361</v>
      </c>
      <c r="L32" s="53"/>
      <c r="M32" s="53"/>
      <c r="N32" s="53"/>
    </row>
    <row r="33" spans="2:15" x14ac:dyDescent="0.3">
      <c r="B33" s="181"/>
      <c r="C33" s="59"/>
      <c r="D33" s="59" t="s">
        <v>113</v>
      </c>
      <c r="E33" s="59"/>
      <c r="F33" s="239">
        <f>SUM(F20:F32)</f>
        <v>4152621.709999999</v>
      </c>
      <c r="G33" s="241"/>
      <c r="H33" s="235"/>
      <c r="I33" s="241">
        <f>SUM(I20:I32)</f>
        <v>4836088.4737820961</v>
      </c>
      <c r="J33" s="244"/>
      <c r="K33" s="53"/>
      <c r="L33" s="53"/>
      <c r="M33" s="53"/>
      <c r="N33" s="53"/>
    </row>
    <row r="34" spans="2:15" ht="3.9" customHeight="1" x14ac:dyDescent="0.3">
      <c r="B34" s="181"/>
      <c r="C34" s="59"/>
      <c r="D34" s="59"/>
      <c r="E34" s="59"/>
      <c r="F34" s="239"/>
      <c r="G34" s="156"/>
      <c r="H34" s="235"/>
      <c r="I34" s="241"/>
      <c r="J34" s="244"/>
      <c r="K34" s="53"/>
      <c r="L34" s="53"/>
      <c r="M34" s="53"/>
      <c r="N34" s="53"/>
    </row>
    <row r="35" spans="2:15" x14ac:dyDescent="0.3">
      <c r="B35" s="181"/>
      <c r="C35" s="59"/>
      <c r="D35" s="59" t="s">
        <v>21</v>
      </c>
      <c r="E35" s="59"/>
      <c r="F35" s="364">
        <v>1073909.7</v>
      </c>
      <c r="G35" s="156">
        <f>DeprAdj!K30</f>
        <v>-27266.946127128431</v>
      </c>
      <c r="H35" s="227" t="s">
        <v>251</v>
      </c>
      <c r="I35" s="364">
        <f>F35+G35</f>
        <v>1046642.7538728715</v>
      </c>
      <c r="J35" s="244"/>
      <c r="K35" s="61" t="s">
        <v>184</v>
      </c>
      <c r="L35" s="53"/>
      <c r="M35" s="362"/>
    </row>
    <row r="36" spans="2:15" x14ac:dyDescent="0.3">
      <c r="B36" s="181"/>
      <c r="C36" s="256" t="s">
        <v>0</v>
      </c>
      <c r="D36" s="59"/>
      <c r="E36" s="59"/>
      <c r="F36" s="237">
        <f>SUM(F33:F35)</f>
        <v>5226531.4099999992</v>
      </c>
      <c r="G36" s="237"/>
      <c r="H36" s="235"/>
      <c r="I36" s="237">
        <f>SUM(I33:I35)</f>
        <v>5882731.2276549675</v>
      </c>
      <c r="J36" s="238"/>
      <c r="K36" s="53"/>
      <c r="M36" s="53">
        <f>F36+G36</f>
        <v>5226531.4099999992</v>
      </c>
      <c r="N36" s="53"/>
    </row>
    <row r="37" spans="2:15" ht="3.9" customHeight="1" x14ac:dyDescent="0.3">
      <c r="B37" s="181"/>
      <c r="C37" s="256"/>
      <c r="D37" s="59"/>
      <c r="E37" s="59"/>
      <c r="F37" s="241"/>
      <c r="G37" s="59"/>
      <c r="H37" s="235"/>
      <c r="I37" s="241"/>
      <c r="J37" s="244"/>
      <c r="K37" s="53"/>
      <c r="L37" s="53"/>
      <c r="M37" s="53"/>
      <c r="N37" s="53"/>
    </row>
    <row r="38" spans="2:15" x14ac:dyDescent="0.3">
      <c r="B38" s="181"/>
      <c r="C38" s="256" t="s">
        <v>22</v>
      </c>
      <c r="D38" s="59"/>
      <c r="E38" s="59"/>
      <c r="F38" s="237">
        <f>F16-F36</f>
        <v>-26087.44000000041</v>
      </c>
      <c r="G38" s="237"/>
      <c r="H38" s="235"/>
      <c r="I38" s="237">
        <f>I16-I36</f>
        <v>-704248.46265496779</v>
      </c>
      <c r="J38" s="238"/>
      <c r="K38" s="53"/>
      <c r="L38" s="53"/>
      <c r="N38" s="53"/>
      <c r="O38" s="101"/>
    </row>
    <row r="39" spans="2:15" x14ac:dyDescent="0.3">
      <c r="B39" s="181"/>
      <c r="C39" s="59"/>
      <c r="D39" s="59"/>
      <c r="E39" s="59"/>
      <c r="F39" s="241"/>
      <c r="G39" s="59"/>
      <c r="H39" s="235"/>
      <c r="I39" s="241"/>
      <c r="J39" s="244"/>
      <c r="K39" s="53"/>
      <c r="L39" s="53"/>
      <c r="M39" s="53"/>
      <c r="N39" s="53"/>
    </row>
    <row r="40" spans="2:15" ht="21.6" x14ac:dyDescent="0.3">
      <c r="B40" s="181"/>
      <c r="C40" s="602" t="s">
        <v>600</v>
      </c>
      <c r="D40" s="602"/>
      <c r="E40" s="602"/>
      <c r="F40" s="602"/>
      <c r="G40" s="602"/>
      <c r="H40" s="602"/>
      <c r="I40" s="602"/>
      <c r="J40" s="259"/>
      <c r="K40" s="53"/>
      <c r="L40" s="53"/>
      <c r="M40" s="53"/>
      <c r="N40" s="53"/>
    </row>
    <row r="41" spans="2:15" ht="6.9" customHeight="1" x14ac:dyDescent="0.3">
      <c r="B41" s="181"/>
      <c r="C41" s="59"/>
      <c r="D41" s="59"/>
      <c r="E41" s="59"/>
      <c r="F41" s="241"/>
      <c r="G41" s="232"/>
      <c r="H41" s="233"/>
      <c r="I41" s="241"/>
      <c r="J41" s="244"/>
      <c r="K41" s="53"/>
      <c r="L41" s="53"/>
      <c r="M41" s="53"/>
      <c r="N41" s="53"/>
    </row>
    <row r="42" spans="2:15" x14ac:dyDescent="0.3">
      <c r="B42" s="181"/>
      <c r="C42" s="256" t="s">
        <v>114</v>
      </c>
      <c r="D42" s="59"/>
      <c r="E42" s="59"/>
      <c r="F42" s="7"/>
      <c r="G42" s="59"/>
      <c r="H42" s="227"/>
      <c r="I42" s="177">
        <f>I36</f>
        <v>5882731.2276549675</v>
      </c>
      <c r="J42" s="246"/>
      <c r="K42" s="60"/>
      <c r="L42" s="177"/>
    </row>
    <row r="43" spans="2:15" ht="17.399999999999999" x14ac:dyDescent="0.45">
      <c r="B43" s="181"/>
      <c r="C43" s="59" t="s">
        <v>23</v>
      </c>
      <c r="D43" s="59"/>
      <c r="E43" s="59" t="s">
        <v>625</v>
      </c>
      <c r="F43" s="7"/>
      <c r="G43" s="59"/>
      <c r="H43" s="228" t="s">
        <v>478</v>
      </c>
      <c r="I43" s="420">
        <f>DSch!R14</f>
        <v>549171.93525999994</v>
      </c>
      <c r="J43" s="35"/>
      <c r="K43" s="60"/>
      <c r="L43" s="25"/>
    </row>
    <row r="44" spans="2:15" ht="17.399999999999999" x14ac:dyDescent="0.45">
      <c r="B44" s="181"/>
      <c r="C44" s="59"/>
      <c r="D44" s="59"/>
      <c r="E44" s="59" t="s">
        <v>362</v>
      </c>
      <c r="F44" s="7"/>
      <c r="G44" s="59"/>
      <c r="H44" s="228" t="s">
        <v>326</v>
      </c>
      <c r="I44" s="421">
        <f>DSch!S14</f>
        <v>109834.38705200001</v>
      </c>
      <c r="J44" s="35"/>
      <c r="K44" s="60"/>
      <c r="L44" s="25"/>
    </row>
    <row r="45" spans="2:15" x14ac:dyDescent="0.3">
      <c r="B45" s="181"/>
      <c r="C45" s="256" t="s">
        <v>190</v>
      </c>
      <c r="D45" s="59"/>
      <c r="E45" s="59"/>
      <c r="F45" s="7"/>
      <c r="G45" s="59"/>
      <c r="H45" s="227"/>
      <c r="I45" s="15">
        <f>I42+I43+I44</f>
        <v>6541737.5499669667</v>
      </c>
      <c r="J45" s="24"/>
      <c r="K45" s="60"/>
      <c r="L45" s="15"/>
    </row>
    <row r="46" spans="2:15" x14ac:dyDescent="0.3">
      <c r="B46" s="181"/>
      <c r="C46" s="59" t="s">
        <v>24</v>
      </c>
      <c r="D46" s="59"/>
      <c r="E46" s="59" t="s">
        <v>25</v>
      </c>
      <c r="F46" s="7"/>
      <c r="G46" s="59"/>
      <c r="H46" s="227"/>
      <c r="I46" s="15">
        <f>SUM(I13:I15)</f>
        <v>114827.99</v>
      </c>
      <c r="J46" s="24"/>
      <c r="L46" s="15"/>
      <c r="N46" s="60"/>
    </row>
    <row r="47" spans="2:15" x14ac:dyDescent="0.3">
      <c r="B47" s="181"/>
      <c r="C47" s="59"/>
      <c r="D47" s="59"/>
      <c r="E47" s="59" t="s">
        <v>386</v>
      </c>
      <c r="F47" s="7">
        <v>132384</v>
      </c>
      <c r="G47" s="462"/>
      <c r="H47" s="227"/>
      <c r="I47" s="15">
        <f>F47+G47</f>
        <v>132384</v>
      </c>
      <c r="J47" s="24"/>
      <c r="L47" s="15"/>
      <c r="N47" s="60"/>
    </row>
    <row r="48" spans="2:15" x14ac:dyDescent="0.3">
      <c r="B48" s="181"/>
      <c r="C48" s="59"/>
      <c r="D48" s="59"/>
      <c r="E48" s="59" t="s">
        <v>421</v>
      </c>
      <c r="F48" s="7">
        <v>60262.21</v>
      </c>
      <c r="G48" s="462"/>
      <c r="H48" s="227"/>
      <c r="I48" s="15">
        <f>F48+G48</f>
        <v>60262.21</v>
      </c>
      <c r="J48" s="24"/>
      <c r="L48" s="15"/>
      <c r="N48" s="60"/>
    </row>
    <row r="49" spans="2:14" x14ac:dyDescent="0.3">
      <c r="B49" s="181"/>
      <c r="C49" s="59"/>
      <c r="D49" s="59"/>
      <c r="E49" s="59" t="s">
        <v>387</v>
      </c>
      <c r="F49" s="7">
        <v>35535</v>
      </c>
      <c r="G49" s="462">
        <v>-32500</v>
      </c>
      <c r="H49" s="227" t="s">
        <v>479</v>
      </c>
      <c r="I49" s="15">
        <f t="shared" ref="I49:I53" si="3">F49+G49</f>
        <v>3035</v>
      </c>
      <c r="J49" s="24"/>
      <c r="K49" s="422" t="s">
        <v>391</v>
      </c>
      <c r="L49" s="15"/>
      <c r="N49" s="60"/>
    </row>
    <row r="50" spans="2:14" x14ac:dyDescent="0.3">
      <c r="B50" s="181"/>
      <c r="C50" s="59"/>
      <c r="D50" s="59"/>
      <c r="E50" s="59" t="s">
        <v>388</v>
      </c>
      <c r="F50" s="7">
        <v>48115</v>
      </c>
      <c r="G50" s="462">
        <v>-48115</v>
      </c>
      <c r="H50" s="227" t="s">
        <v>480</v>
      </c>
      <c r="I50" s="15">
        <f t="shared" si="3"/>
        <v>0</v>
      </c>
      <c r="J50" s="24"/>
      <c r="K50" s="422" t="s">
        <v>392</v>
      </c>
      <c r="L50" s="15"/>
      <c r="N50" s="60"/>
    </row>
    <row r="51" spans="2:14" x14ac:dyDescent="0.3">
      <c r="B51" s="181"/>
      <c r="C51" s="59"/>
      <c r="D51" s="59"/>
      <c r="E51" s="59" t="s">
        <v>12</v>
      </c>
      <c r="F51" s="7">
        <v>176710</v>
      </c>
      <c r="G51" s="462"/>
      <c r="H51" s="227"/>
      <c r="I51" s="15">
        <f t="shared" si="3"/>
        <v>176710</v>
      </c>
      <c r="J51" s="24"/>
      <c r="L51" s="15"/>
      <c r="N51" s="60"/>
    </row>
    <row r="52" spans="2:14" x14ac:dyDescent="0.3">
      <c r="B52" s="181"/>
      <c r="C52" s="59"/>
      <c r="D52" s="59"/>
      <c r="E52" s="59" t="s">
        <v>389</v>
      </c>
      <c r="F52" s="7">
        <v>46692</v>
      </c>
      <c r="G52" s="462"/>
      <c r="H52" s="227"/>
      <c r="I52" s="15">
        <f t="shared" si="3"/>
        <v>46692</v>
      </c>
      <c r="J52" s="24"/>
      <c r="L52" s="15"/>
      <c r="N52" s="60"/>
    </row>
    <row r="53" spans="2:14" ht="17.399999999999999" x14ac:dyDescent="0.45">
      <c r="B53" s="181"/>
      <c r="C53" s="59"/>
      <c r="D53" s="59"/>
      <c r="E53" s="59" t="s">
        <v>390</v>
      </c>
      <c r="F53" s="557">
        <v>-2177</v>
      </c>
      <c r="G53" s="462">
        <v>2177</v>
      </c>
      <c r="H53" s="227" t="s">
        <v>480</v>
      </c>
      <c r="I53" s="25">
        <f t="shared" si="3"/>
        <v>0</v>
      </c>
      <c r="J53" s="35"/>
      <c r="K53" s="422" t="s">
        <v>650</v>
      </c>
      <c r="L53" s="25"/>
      <c r="M53" s="60"/>
      <c r="N53" s="60"/>
    </row>
    <row r="54" spans="2:14" x14ac:dyDescent="0.3">
      <c r="B54" s="181"/>
      <c r="C54" s="256" t="s">
        <v>191</v>
      </c>
      <c r="D54" s="59"/>
      <c r="E54" s="59"/>
      <c r="F54" s="7"/>
      <c r="G54" s="59"/>
      <c r="H54" s="227"/>
      <c r="I54" s="15">
        <f>I45-SUM(I46:I53)</f>
        <v>6007826.3499669665</v>
      </c>
      <c r="J54" s="24"/>
      <c r="K54" s="62"/>
      <c r="L54" s="15"/>
      <c r="M54" s="60"/>
      <c r="N54" s="60"/>
    </row>
    <row r="55" spans="2:14" x14ac:dyDescent="0.3">
      <c r="B55" s="181"/>
      <c r="C55" s="59" t="s">
        <v>24</v>
      </c>
      <c r="D55" s="59"/>
      <c r="E55" s="59" t="s">
        <v>192</v>
      </c>
      <c r="F55" s="7"/>
      <c r="G55" s="59"/>
      <c r="H55" s="227"/>
      <c r="I55" s="195">
        <f>SUM(I9:I11)</f>
        <v>5063654.7749999994</v>
      </c>
      <c r="J55" s="247"/>
      <c r="K55" s="62"/>
      <c r="L55" s="195"/>
      <c r="M55" s="60"/>
      <c r="N55" s="60"/>
    </row>
    <row r="56" spans="2:14" x14ac:dyDescent="0.3">
      <c r="B56" s="181"/>
      <c r="C56" s="256" t="s">
        <v>193</v>
      </c>
      <c r="D56" s="59"/>
      <c r="E56" s="59"/>
      <c r="F56" s="7"/>
      <c r="G56" s="59"/>
      <c r="H56" s="227"/>
      <c r="I56" s="177">
        <f>I54-I55</f>
        <v>944171.57496696711</v>
      </c>
      <c r="J56" s="246"/>
      <c r="K56" s="60"/>
      <c r="L56" s="177"/>
      <c r="M56" s="60"/>
      <c r="N56" s="60"/>
    </row>
    <row r="57" spans="2:14" ht="6" customHeight="1" x14ac:dyDescent="0.3">
      <c r="B57" s="181"/>
      <c r="C57" s="59"/>
      <c r="D57" s="59"/>
      <c r="E57" s="59"/>
      <c r="F57" s="7"/>
      <c r="G57" s="59"/>
      <c r="H57" s="227"/>
      <c r="I57" s="59"/>
      <c r="J57" s="236"/>
      <c r="K57" s="60"/>
      <c r="L57" s="59"/>
      <c r="M57" s="60"/>
      <c r="N57" s="60"/>
    </row>
    <row r="58" spans="2:14" x14ac:dyDescent="0.3">
      <c r="B58" s="181"/>
      <c r="C58" s="256" t="s">
        <v>194</v>
      </c>
      <c r="D58" s="59"/>
      <c r="E58" s="59"/>
      <c r="F58" s="7"/>
      <c r="G58" s="59"/>
      <c r="H58" s="227"/>
      <c r="I58" s="140">
        <f>ROUND(I56/I55,4)</f>
        <v>0.1865</v>
      </c>
      <c r="J58" s="248"/>
      <c r="K58" s="60"/>
      <c r="L58" s="140"/>
      <c r="M58" s="60"/>
      <c r="N58" s="60"/>
    </row>
    <row r="59" spans="2:14" ht="8.1" customHeight="1" x14ac:dyDescent="0.3">
      <c r="B59" s="182"/>
      <c r="C59" s="249"/>
      <c r="D59" s="249"/>
      <c r="E59" s="249"/>
      <c r="F59" s="249"/>
      <c r="G59" s="249"/>
      <c r="H59" s="250"/>
      <c r="I59" s="249"/>
      <c r="J59" s="251"/>
      <c r="K59" s="60"/>
      <c r="L59" s="60"/>
      <c r="M59" s="60"/>
      <c r="N59" s="60"/>
    </row>
    <row r="60" spans="2:14" x14ac:dyDescent="0.3">
      <c r="C60" s="60"/>
      <c r="D60" s="60"/>
      <c r="E60" s="60"/>
      <c r="F60" s="60"/>
      <c r="G60" s="60"/>
      <c r="H60" s="227"/>
      <c r="I60" s="60"/>
      <c r="J60" s="60"/>
      <c r="K60" s="60"/>
      <c r="L60" s="60"/>
      <c r="M60" s="60"/>
      <c r="N60" s="60"/>
    </row>
    <row r="61" spans="2:14" x14ac:dyDescent="0.3">
      <c r="C61" s="60"/>
      <c r="D61" s="60"/>
      <c r="E61" s="60"/>
      <c r="F61" s="60"/>
      <c r="G61" s="60"/>
      <c r="H61" s="227"/>
      <c r="I61" s="60"/>
      <c r="J61" s="60"/>
      <c r="K61" s="60"/>
      <c r="L61" s="60"/>
      <c r="M61" s="60"/>
      <c r="N61" s="60"/>
    </row>
    <row r="62" spans="2:14" x14ac:dyDescent="0.3">
      <c r="C62" s="60"/>
      <c r="D62" s="60"/>
      <c r="E62" s="60"/>
      <c r="F62" s="60"/>
      <c r="G62" s="60"/>
      <c r="H62" s="227"/>
      <c r="I62" s="60"/>
      <c r="J62" s="60"/>
      <c r="K62" s="60"/>
      <c r="L62" s="60"/>
      <c r="M62" s="60"/>
      <c r="N62" s="60"/>
    </row>
    <row r="63" spans="2:14" x14ac:dyDescent="0.3">
      <c r="C63" s="60"/>
      <c r="D63" s="60"/>
      <c r="E63" s="60"/>
      <c r="F63" s="60"/>
      <c r="G63" s="60"/>
      <c r="H63" s="227"/>
      <c r="I63" s="60"/>
      <c r="J63" s="60"/>
      <c r="K63" s="60"/>
      <c r="L63" s="60"/>
      <c r="M63" s="60"/>
      <c r="N63" s="60"/>
    </row>
    <row r="64" spans="2:14" x14ac:dyDescent="0.3">
      <c r="C64" s="60"/>
      <c r="D64" s="60"/>
      <c r="E64" s="60"/>
      <c r="F64" s="60"/>
      <c r="G64" s="60"/>
      <c r="H64" s="227"/>
      <c r="I64" s="60"/>
      <c r="J64" s="60"/>
      <c r="K64" s="60"/>
      <c r="L64" s="60"/>
      <c r="M64" s="60"/>
      <c r="N64" s="60"/>
    </row>
    <row r="65" spans="3:14" x14ac:dyDescent="0.3">
      <c r="C65" s="60"/>
      <c r="D65" s="60"/>
      <c r="E65" s="60"/>
      <c r="F65" s="60"/>
      <c r="G65" s="60"/>
      <c r="H65" s="227"/>
      <c r="I65" s="60"/>
      <c r="J65" s="60"/>
      <c r="K65" s="60"/>
      <c r="L65" s="60"/>
      <c r="M65" s="60"/>
      <c r="N65" s="60"/>
    </row>
    <row r="66" spans="3:14" x14ac:dyDescent="0.3">
      <c r="C66" s="60"/>
      <c r="D66" s="60"/>
      <c r="E66" s="60"/>
      <c r="F66" s="60"/>
      <c r="G66" s="60"/>
      <c r="H66" s="227"/>
      <c r="I66" s="60"/>
      <c r="J66" s="60"/>
      <c r="K66" s="60"/>
      <c r="L66" s="60"/>
      <c r="M66" s="60"/>
      <c r="N66" s="60"/>
    </row>
    <row r="67" spans="3:14" x14ac:dyDescent="0.3">
      <c r="C67" s="60"/>
      <c r="D67" s="60"/>
      <c r="E67" s="60"/>
      <c r="F67" s="60"/>
      <c r="G67" s="60"/>
      <c r="H67" s="227"/>
      <c r="I67" s="60"/>
      <c r="J67" s="60"/>
      <c r="K67" s="60"/>
      <c r="L67" s="60"/>
      <c r="M67" s="60"/>
      <c r="N67" s="60"/>
    </row>
    <row r="68" spans="3:14" x14ac:dyDescent="0.3">
      <c r="C68" s="60"/>
      <c r="D68" s="60"/>
      <c r="E68" s="60"/>
      <c r="F68" s="60"/>
      <c r="G68" s="60"/>
      <c r="H68" s="227"/>
      <c r="I68" s="60"/>
      <c r="J68" s="60"/>
      <c r="K68" s="60"/>
      <c r="L68" s="60"/>
      <c r="M68" s="60"/>
      <c r="N68" s="60"/>
    </row>
    <row r="69" spans="3:14" x14ac:dyDescent="0.3">
      <c r="C69" s="60"/>
      <c r="D69" s="60"/>
      <c r="E69" s="60"/>
      <c r="F69" s="60"/>
      <c r="G69" s="60"/>
      <c r="H69" s="227"/>
      <c r="I69" s="60"/>
      <c r="J69" s="60"/>
      <c r="K69" s="60"/>
      <c r="L69" s="60"/>
      <c r="M69" s="60"/>
      <c r="N69" s="60"/>
    </row>
    <row r="70" spans="3:14" x14ac:dyDescent="0.3">
      <c r="C70" s="60"/>
      <c r="D70" s="60"/>
      <c r="E70" s="60"/>
      <c r="F70" s="60"/>
      <c r="G70" s="60"/>
      <c r="H70" s="227"/>
      <c r="I70" s="60"/>
      <c r="J70" s="60"/>
      <c r="K70" s="60"/>
      <c r="L70" s="60"/>
      <c r="M70" s="60"/>
      <c r="N70" s="60"/>
    </row>
    <row r="71" spans="3:14" x14ac:dyDescent="0.3">
      <c r="C71" s="60"/>
      <c r="D71" s="60"/>
      <c r="E71" s="60"/>
      <c r="F71" s="60"/>
      <c r="G71" s="60"/>
      <c r="H71" s="227"/>
      <c r="I71" s="60"/>
      <c r="J71" s="60"/>
      <c r="K71" s="60"/>
      <c r="L71" s="60"/>
      <c r="M71" s="60"/>
      <c r="N71" s="60"/>
    </row>
    <row r="72" spans="3:14" x14ac:dyDescent="0.3">
      <c r="C72" s="60"/>
      <c r="D72" s="60"/>
      <c r="E72" s="60"/>
      <c r="F72" s="60"/>
      <c r="G72" s="60"/>
      <c r="H72" s="227"/>
      <c r="I72" s="60"/>
      <c r="J72" s="60"/>
      <c r="K72" s="60"/>
      <c r="L72" s="60"/>
      <c r="M72" s="60"/>
      <c r="N72" s="60"/>
    </row>
    <row r="73" spans="3:14" x14ac:dyDescent="0.3">
      <c r="C73" s="60"/>
      <c r="D73" s="60"/>
      <c r="E73" s="60"/>
      <c r="F73" s="60"/>
      <c r="G73" s="60"/>
      <c r="H73" s="227"/>
      <c r="I73" s="60"/>
      <c r="J73" s="60"/>
      <c r="K73" s="60"/>
      <c r="L73" s="60"/>
      <c r="M73" s="60"/>
      <c r="N73" s="60"/>
    </row>
    <row r="74" spans="3:14" x14ac:dyDescent="0.3">
      <c r="C74" s="60"/>
      <c r="D74" s="60"/>
      <c r="E74" s="60"/>
      <c r="F74" s="60"/>
      <c r="G74" s="60"/>
      <c r="H74" s="227"/>
      <c r="I74" s="60"/>
      <c r="J74" s="60"/>
      <c r="K74" s="60"/>
      <c r="L74" s="60"/>
      <c r="M74" s="60"/>
      <c r="N74" s="60"/>
    </row>
    <row r="75" spans="3:14" x14ac:dyDescent="0.3">
      <c r="C75" s="60"/>
      <c r="D75" s="60"/>
      <c r="E75" s="60"/>
      <c r="F75" s="60"/>
      <c r="G75" s="60"/>
      <c r="H75" s="227"/>
      <c r="I75" s="60"/>
      <c r="J75" s="60"/>
      <c r="K75" s="60"/>
      <c r="L75" s="60"/>
      <c r="M75" s="60"/>
      <c r="N75" s="60"/>
    </row>
    <row r="76" spans="3:14" x14ac:dyDescent="0.3">
      <c r="C76" s="60"/>
      <c r="D76" s="60"/>
      <c r="E76" s="60"/>
      <c r="F76" s="60"/>
      <c r="G76" s="60"/>
      <c r="H76" s="227"/>
      <c r="I76" s="60"/>
      <c r="J76" s="60"/>
      <c r="K76" s="60"/>
      <c r="L76" s="60"/>
      <c r="M76" s="60"/>
      <c r="N76" s="60"/>
    </row>
  </sheetData>
  <mergeCells count="3">
    <mergeCell ref="C40:I40"/>
    <mergeCell ref="C4:I4"/>
    <mergeCell ref="C3:I3"/>
  </mergeCells>
  <printOptions horizontalCentered="1" verticalCentered="1"/>
  <pageMargins left="0.45" right="0" top="0.5" bottom="0.5" header="0.3" footer="0.3"/>
  <pageSetup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J41"/>
  <sheetViews>
    <sheetView workbookViewId="0">
      <selection activeCell="B3" sqref="B3"/>
    </sheetView>
  </sheetViews>
  <sheetFormatPr defaultColWidth="8.81640625" defaultRowHeight="14.4" x14ac:dyDescent="0.3"/>
  <cols>
    <col min="1" max="1" width="4.54296875" style="17" customWidth="1"/>
    <col min="2" max="2" width="29.453125" style="17" customWidth="1"/>
    <col min="3" max="8" width="9.54296875" style="17" customWidth="1"/>
    <col min="9" max="16384" width="8.81640625" style="17"/>
  </cols>
  <sheetData>
    <row r="1" spans="2:8" x14ac:dyDescent="0.3">
      <c r="B1" s="20"/>
      <c r="C1" s="21"/>
      <c r="D1" s="21"/>
      <c r="E1" s="21"/>
      <c r="F1" s="21"/>
      <c r="G1" s="21"/>
      <c r="H1" s="22"/>
    </row>
    <row r="2" spans="2:8" ht="18" x14ac:dyDescent="0.35">
      <c r="B2" s="623" t="s">
        <v>170</v>
      </c>
      <c r="C2" s="620"/>
      <c r="D2" s="620"/>
      <c r="E2" s="620"/>
      <c r="F2" s="620"/>
      <c r="G2" s="620"/>
      <c r="H2" s="624"/>
    </row>
    <row r="3" spans="2:8" ht="18" x14ac:dyDescent="0.35">
      <c r="B3" s="87" t="s">
        <v>161</v>
      </c>
      <c r="C3" s="4"/>
      <c r="D3" s="4"/>
      <c r="E3" s="4"/>
      <c r="F3" s="4"/>
      <c r="G3" s="4"/>
      <c r="H3" s="88"/>
    </row>
    <row r="4" spans="2:8" ht="15.6" x14ac:dyDescent="0.3">
      <c r="B4" s="625" t="s">
        <v>331</v>
      </c>
      <c r="C4" s="621"/>
      <c r="D4" s="621"/>
      <c r="E4" s="621"/>
      <c r="F4" s="621"/>
      <c r="G4" s="621"/>
      <c r="H4" s="626"/>
    </row>
    <row r="5" spans="2:8" ht="15.6" x14ac:dyDescent="0.3">
      <c r="B5" s="348"/>
      <c r="C5" s="349"/>
      <c r="D5" s="349"/>
      <c r="E5" s="349"/>
      <c r="F5" s="349"/>
      <c r="G5" s="349"/>
      <c r="H5" s="350"/>
    </row>
    <row r="6" spans="2:8" ht="15.6" x14ac:dyDescent="0.3">
      <c r="B6" s="438"/>
      <c r="C6" s="439"/>
      <c r="D6" s="439"/>
      <c r="E6" s="439"/>
      <c r="F6" s="439"/>
      <c r="G6" s="439"/>
      <c r="H6" s="440"/>
    </row>
    <row r="7" spans="2:8" ht="16.2" x14ac:dyDescent="0.45">
      <c r="B7" s="23"/>
      <c r="C7" s="173" t="s">
        <v>111</v>
      </c>
      <c r="D7" s="15"/>
      <c r="E7" s="89" t="s">
        <v>49</v>
      </c>
      <c r="F7" s="89" t="s">
        <v>158</v>
      </c>
      <c r="G7" s="89" t="s">
        <v>50</v>
      </c>
      <c r="H7" s="90"/>
    </row>
    <row r="8" spans="2:8" x14ac:dyDescent="0.3">
      <c r="B8" s="23"/>
      <c r="C8" s="172" t="s">
        <v>142</v>
      </c>
      <c r="D8" s="89" t="s">
        <v>255</v>
      </c>
      <c r="E8" s="89" t="s">
        <v>51</v>
      </c>
      <c r="F8" s="89" t="s">
        <v>160</v>
      </c>
      <c r="G8" s="89" t="s">
        <v>52</v>
      </c>
      <c r="H8" s="90" t="s">
        <v>26</v>
      </c>
    </row>
    <row r="9" spans="2:8" x14ac:dyDescent="0.3">
      <c r="B9" s="23"/>
      <c r="C9" s="15"/>
      <c r="D9" s="15"/>
      <c r="E9" s="15"/>
      <c r="F9" s="15"/>
      <c r="G9" s="15"/>
      <c r="H9" s="24"/>
    </row>
    <row r="10" spans="2:8" x14ac:dyDescent="0.3">
      <c r="B10" s="441" t="s">
        <v>395</v>
      </c>
      <c r="C10" s="15">
        <f>DeprAdj!J9</f>
        <v>8038.88</v>
      </c>
      <c r="D10" s="420">
        <f>C10*0.98</f>
        <v>7878.1023999999998</v>
      </c>
      <c r="E10" s="420">
        <f>C10-D10</f>
        <v>160.77760000000035</v>
      </c>
      <c r="F10" s="420"/>
      <c r="G10" s="420"/>
      <c r="H10" s="445"/>
    </row>
    <row r="11" spans="2:8" x14ac:dyDescent="0.3">
      <c r="B11" s="441" t="s">
        <v>396</v>
      </c>
      <c r="C11" s="15">
        <f>DeprAdj!J10</f>
        <v>98291.192266666665</v>
      </c>
      <c r="D11" s="420">
        <f>C11</f>
        <v>98291.192266666665</v>
      </c>
      <c r="E11" s="420"/>
      <c r="F11" s="420"/>
      <c r="G11" s="420"/>
      <c r="H11" s="445"/>
    </row>
    <row r="12" spans="2:8" x14ac:dyDescent="0.3">
      <c r="B12" s="441" t="s">
        <v>397</v>
      </c>
      <c r="C12" s="15">
        <f>DeprAdj!J11</f>
        <v>40329.120000000003</v>
      </c>
      <c r="D12" s="420"/>
      <c r="E12" s="420"/>
      <c r="F12" s="420"/>
      <c r="G12" s="420">
        <f>C12*0.5</f>
        <v>20164.560000000001</v>
      </c>
      <c r="H12" s="445">
        <f>C12-G12</f>
        <v>20164.560000000001</v>
      </c>
    </row>
    <row r="13" spans="2:8" x14ac:dyDescent="0.3">
      <c r="B13" s="441" t="s">
        <v>398</v>
      </c>
      <c r="C13" s="15">
        <f>DeprAdj!J12</f>
        <v>43355.957000000002</v>
      </c>
      <c r="D13" s="420">
        <f>C13</f>
        <v>43355.957000000002</v>
      </c>
      <c r="E13" s="420"/>
      <c r="F13" s="420"/>
      <c r="G13" s="420"/>
      <c r="H13" s="445"/>
    </row>
    <row r="14" spans="2:8" x14ac:dyDescent="0.3">
      <c r="B14" s="441" t="s">
        <v>399</v>
      </c>
      <c r="C14" s="15">
        <f>DeprAdj!J13</f>
        <v>16904.2752</v>
      </c>
      <c r="D14" s="420">
        <f>C14</f>
        <v>16904.2752</v>
      </c>
      <c r="E14" s="420"/>
      <c r="F14" s="420"/>
      <c r="G14" s="420"/>
      <c r="H14" s="445"/>
    </row>
    <row r="15" spans="2:8" x14ac:dyDescent="0.3">
      <c r="B15" s="441" t="s">
        <v>400</v>
      </c>
      <c r="C15" s="15">
        <f>DeprAdj!J14</f>
        <v>20219.52</v>
      </c>
      <c r="D15" s="420">
        <f>C15*0.87</f>
        <v>17590.982400000001</v>
      </c>
      <c r="E15" s="420">
        <f>C15-D15</f>
        <v>2628.5375999999997</v>
      </c>
      <c r="F15" s="420"/>
      <c r="G15" s="420"/>
      <c r="H15" s="445"/>
    </row>
    <row r="16" spans="2:8" x14ac:dyDescent="0.3">
      <c r="B16" s="441" t="s">
        <v>401</v>
      </c>
      <c r="C16" s="15">
        <f>DeprAdj!J15</f>
        <v>10032.8305</v>
      </c>
      <c r="D16" s="420">
        <f>C16*0.34</f>
        <v>3411.1623700000005</v>
      </c>
      <c r="E16" s="420">
        <f>C16-D16</f>
        <v>6621.66813</v>
      </c>
      <c r="F16" s="420"/>
      <c r="G16" s="420"/>
      <c r="H16" s="445"/>
    </row>
    <row r="17" spans="2:10" x14ac:dyDescent="0.3">
      <c r="B17" s="441" t="s">
        <v>402</v>
      </c>
      <c r="C17" s="15">
        <f>DeprAdj!J16</f>
        <v>46590.36363636364</v>
      </c>
      <c r="D17" s="420">
        <f>C17</f>
        <v>46590.36363636364</v>
      </c>
      <c r="E17" s="420"/>
      <c r="F17" s="420"/>
      <c r="G17" s="420"/>
      <c r="H17" s="445"/>
    </row>
    <row r="18" spans="2:10" x14ac:dyDescent="0.3">
      <c r="B18" s="441" t="s">
        <v>403</v>
      </c>
      <c r="C18" s="15">
        <f>DeprAdj!J17</f>
        <v>150350.40488888888</v>
      </c>
      <c r="D18" s="420"/>
      <c r="E18" s="420"/>
      <c r="F18" s="420">
        <f>C18</f>
        <v>150350.40488888888</v>
      </c>
      <c r="G18" s="420"/>
      <c r="H18" s="445"/>
    </row>
    <row r="19" spans="2:10" x14ac:dyDescent="0.3">
      <c r="B19" s="441" t="s">
        <v>404</v>
      </c>
      <c r="C19" s="15">
        <f>DeprAdj!J18</f>
        <v>387177.93599999999</v>
      </c>
      <c r="D19" s="420"/>
      <c r="E19" s="420">
        <f>C19</f>
        <v>387177.93599999999</v>
      </c>
      <c r="F19" s="420"/>
      <c r="G19" s="420"/>
      <c r="H19" s="445"/>
    </row>
    <row r="20" spans="2:10" x14ac:dyDescent="0.3">
      <c r="B20" s="441" t="s">
        <v>244</v>
      </c>
      <c r="C20" s="15">
        <f>DeprAdj!J19</f>
        <v>100899.825</v>
      </c>
      <c r="D20" s="420"/>
      <c r="E20" s="420"/>
      <c r="F20" s="420"/>
      <c r="G20" s="420"/>
      <c r="H20" s="445">
        <f>C20</f>
        <v>100899.825</v>
      </c>
    </row>
    <row r="21" spans="2:10" x14ac:dyDescent="0.3">
      <c r="B21" s="441" t="s">
        <v>177</v>
      </c>
      <c r="C21" s="15">
        <f>DeprAdj!J20</f>
        <v>2734.06</v>
      </c>
      <c r="D21" s="420"/>
      <c r="E21" s="420">
        <f>C21</f>
        <v>2734.06</v>
      </c>
      <c r="F21" s="420"/>
      <c r="G21" s="420"/>
      <c r="H21" s="445"/>
    </row>
    <row r="22" spans="2:10" x14ac:dyDescent="0.3">
      <c r="B22" s="441" t="s">
        <v>405</v>
      </c>
      <c r="C22" s="15">
        <f>DeprAdj!J21</f>
        <v>3248.4666666666667</v>
      </c>
      <c r="D22" s="420"/>
      <c r="E22" s="420">
        <f>C22</f>
        <v>3248.4666666666667</v>
      </c>
      <c r="F22" s="420"/>
      <c r="G22" s="420"/>
      <c r="H22" s="445"/>
    </row>
    <row r="23" spans="2:10" x14ac:dyDescent="0.3">
      <c r="B23" s="441" t="s">
        <v>237</v>
      </c>
      <c r="C23" s="15">
        <f>DeprAdj!J22</f>
        <v>9954.4</v>
      </c>
      <c r="D23" s="420">
        <f>(C23-G23)/3</f>
        <v>132.72533333333317</v>
      </c>
      <c r="E23" s="420">
        <f>(C23-G23)/3</f>
        <v>132.72533333333317</v>
      </c>
      <c r="F23" s="420">
        <f>(C23-G23)/3</f>
        <v>132.72533333333317</v>
      </c>
      <c r="G23" s="420">
        <f>C23*0.96</f>
        <v>9556.2240000000002</v>
      </c>
      <c r="H23" s="445"/>
    </row>
    <row r="24" spans="2:10" x14ac:dyDescent="0.3">
      <c r="B24" s="174" t="s">
        <v>178</v>
      </c>
      <c r="C24" s="15">
        <f>SUM(C10:C23)</f>
        <v>938127.23115858587</v>
      </c>
      <c r="D24" s="15">
        <f>SUM(D10:D23)</f>
        <v>234154.76060636368</v>
      </c>
      <c r="E24" s="15">
        <f t="shared" ref="E24:H24" si="0">SUM(E10:E23)</f>
        <v>402704.17132999998</v>
      </c>
      <c r="F24" s="15">
        <f t="shared" si="0"/>
        <v>150483.13022222221</v>
      </c>
      <c r="G24" s="15">
        <f t="shared" si="0"/>
        <v>29720.784</v>
      </c>
      <c r="H24" s="24">
        <f t="shared" si="0"/>
        <v>121064.38499999999</v>
      </c>
      <c r="J24" s="17">
        <f>SUM(D24:H24)</f>
        <v>938127.23115858587</v>
      </c>
    </row>
    <row r="25" spans="2:10" x14ac:dyDescent="0.3">
      <c r="B25" s="174" t="s">
        <v>179</v>
      </c>
      <c r="C25" s="15"/>
      <c r="D25" s="26">
        <f>D24/$C$24</f>
        <v>0.24959808523752461</v>
      </c>
      <c r="E25" s="26">
        <f>E24/$C$24</f>
        <v>0.42926391853337514</v>
      </c>
      <c r="F25" s="26">
        <f>F24/$C$24</f>
        <v>0.16040801846928135</v>
      </c>
      <c r="G25" s="26">
        <f>G24/$C$24</f>
        <v>3.1680973553336544E-2</v>
      </c>
      <c r="H25" s="42">
        <f>H24/$C$24</f>
        <v>0.12904900420648235</v>
      </c>
    </row>
    <row r="26" spans="2:10" x14ac:dyDescent="0.3">
      <c r="B26" s="441" t="s">
        <v>406</v>
      </c>
      <c r="C26" s="15">
        <f>DeprAdj!J23</f>
        <v>53755.714285714283</v>
      </c>
      <c r="D26" s="15"/>
      <c r="E26" s="15"/>
      <c r="F26" s="15"/>
      <c r="G26" s="15"/>
      <c r="H26" s="24"/>
    </row>
    <row r="27" spans="2:10" hidden="1" x14ac:dyDescent="0.3">
      <c r="B27" s="441" t="s">
        <v>407</v>
      </c>
      <c r="C27" s="15">
        <f>DeprAdj!J24</f>
        <v>0</v>
      </c>
      <c r="D27" s="15"/>
      <c r="E27" s="15"/>
      <c r="F27" s="15"/>
      <c r="G27" s="15"/>
      <c r="H27" s="24"/>
    </row>
    <row r="28" spans="2:10" hidden="1" x14ac:dyDescent="0.3">
      <c r="B28" s="441" t="s">
        <v>409</v>
      </c>
      <c r="C28" s="15">
        <f>DeprAdj!J25</f>
        <v>0</v>
      </c>
      <c r="D28" s="15"/>
      <c r="E28" s="15"/>
      <c r="F28" s="15"/>
      <c r="G28" s="15"/>
      <c r="H28" s="24"/>
    </row>
    <row r="29" spans="2:10" x14ac:dyDescent="0.3">
      <c r="B29" s="441" t="s">
        <v>410</v>
      </c>
      <c r="C29" s="15">
        <f>DeprAdj!J26</f>
        <v>905.43700000000013</v>
      </c>
      <c r="D29" s="15"/>
      <c r="E29" s="15"/>
      <c r="F29" s="15"/>
      <c r="G29" s="15"/>
      <c r="H29" s="24"/>
    </row>
    <row r="30" spans="2:10" x14ac:dyDescent="0.3">
      <c r="B30" s="441" t="s">
        <v>411</v>
      </c>
      <c r="C30" s="15">
        <f>DeprAdj!J27</f>
        <v>3349</v>
      </c>
      <c r="D30" s="15"/>
      <c r="E30" s="15"/>
      <c r="F30" s="15"/>
      <c r="G30" s="15"/>
      <c r="H30" s="24"/>
    </row>
    <row r="31" spans="2:10" x14ac:dyDescent="0.3">
      <c r="B31" s="441" t="s">
        <v>412</v>
      </c>
      <c r="C31" s="15">
        <f>DeprAdj!J28</f>
        <v>50505.37142857143</v>
      </c>
      <c r="D31" s="15"/>
      <c r="E31" s="15"/>
      <c r="F31" s="15"/>
      <c r="G31" s="15"/>
      <c r="H31" s="24"/>
    </row>
    <row r="32" spans="2:10" x14ac:dyDescent="0.3">
      <c r="B32" s="174" t="s">
        <v>180</v>
      </c>
      <c r="C32" s="15">
        <f>SUM(C26:C31)</f>
        <v>108515.5227142857</v>
      </c>
      <c r="D32" s="15"/>
      <c r="E32" s="15"/>
      <c r="F32" s="15"/>
      <c r="G32" s="15"/>
      <c r="H32" s="24"/>
    </row>
    <row r="33" spans="2:10" x14ac:dyDescent="0.3">
      <c r="B33" s="85" t="s">
        <v>181</v>
      </c>
      <c r="C33" s="15"/>
      <c r="D33" s="15">
        <f>$C$32*D25</f>
        <v>27085.266688034822</v>
      </c>
      <c r="E33" s="15">
        <f>$C$32*E25</f>
        <v>46581.798502031757</v>
      </c>
      <c r="F33" s="15">
        <f>$C$32*F25</f>
        <v>17406.759971756859</v>
      </c>
      <c r="G33" s="15">
        <f>$C$32*G25</f>
        <v>3437.8774052377767</v>
      </c>
      <c r="H33" s="24">
        <f>$C$32*H25</f>
        <v>14003.820147224487</v>
      </c>
      <c r="J33" s="17">
        <f>SUM(D33:I33)</f>
        <v>108515.5227142857</v>
      </c>
    </row>
    <row r="34" spans="2:10" x14ac:dyDescent="0.3">
      <c r="B34" s="85"/>
      <c r="C34" s="15"/>
      <c r="D34" s="15"/>
      <c r="E34" s="15"/>
      <c r="F34" s="15"/>
      <c r="G34" s="15"/>
      <c r="H34" s="24"/>
    </row>
    <row r="35" spans="2:10" x14ac:dyDescent="0.3">
      <c r="B35" s="91" t="s">
        <v>162</v>
      </c>
      <c r="C35" s="36">
        <f>C24+C32</f>
        <v>1046642.7538728716</v>
      </c>
      <c r="D35" s="36">
        <f>D24+D33</f>
        <v>261240.02729439849</v>
      </c>
      <c r="E35" s="36">
        <f>E24+E33</f>
        <v>449285.96983203175</v>
      </c>
      <c r="F35" s="36">
        <f>F24+F33</f>
        <v>167889.89019397908</v>
      </c>
      <c r="G35" s="36">
        <f>G24+G33</f>
        <v>33158.661405237777</v>
      </c>
      <c r="H35" s="92">
        <f>H24+H33</f>
        <v>135068.20514722448</v>
      </c>
      <c r="J35" s="17">
        <f>SUM(D35:H35)</f>
        <v>1046642.7538728715</v>
      </c>
    </row>
    <row r="36" spans="2:10" x14ac:dyDescent="0.3">
      <c r="B36" s="27"/>
      <c r="C36" s="14"/>
      <c r="D36" s="14"/>
      <c r="E36" s="14"/>
      <c r="F36" s="14"/>
      <c r="G36" s="14"/>
      <c r="H36" s="28"/>
    </row>
    <row r="38" spans="2:10" x14ac:dyDescent="0.3">
      <c r="J38" s="17">
        <f>SUM(D38:H38)</f>
        <v>0</v>
      </c>
    </row>
    <row r="41" spans="2:10" x14ac:dyDescent="0.3">
      <c r="C41" s="32"/>
    </row>
  </sheetData>
  <mergeCells count="2">
    <mergeCell ref="B2:H2"/>
    <mergeCell ref="B4:H4"/>
  </mergeCells>
  <printOptions horizontalCentered="1"/>
  <pageMargins left="0.95" right="0.7" top="1.5" bottom="0.75" header="0.3" footer="0.3"/>
  <pageSetup scale="8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0C6A1-93E7-418A-AA18-207F180E1B93}">
  <sheetPr>
    <pageSetUpPr fitToPage="1"/>
  </sheetPr>
  <dimension ref="B2:J73"/>
  <sheetViews>
    <sheetView workbookViewId="0">
      <selection activeCell="C51" sqref="C51"/>
    </sheetView>
  </sheetViews>
  <sheetFormatPr defaultRowHeight="15" x14ac:dyDescent="0.25"/>
  <cols>
    <col min="2" max="2" width="18.54296875" customWidth="1"/>
    <col min="3" max="7" width="9.81640625" customWidth="1"/>
    <col min="8" max="8" width="10.90625" customWidth="1"/>
    <col min="9" max="9" width="9.81640625" customWidth="1"/>
  </cols>
  <sheetData>
    <row r="2" spans="2:10" ht="17.399999999999999" x14ac:dyDescent="0.45">
      <c r="B2" s="206" t="s">
        <v>257</v>
      </c>
      <c r="C2" s="442">
        <v>2022</v>
      </c>
      <c r="D2" s="49"/>
      <c r="E2" s="49"/>
      <c r="F2" s="49"/>
      <c r="G2" s="49"/>
      <c r="H2" s="49"/>
      <c r="I2" s="49"/>
      <c r="J2" s="49"/>
    </row>
    <row r="3" spans="2:10" ht="17.399999999999999" x14ac:dyDescent="0.45">
      <c r="B3" s="49"/>
      <c r="C3" s="264" t="s">
        <v>13</v>
      </c>
      <c r="D3" s="264" t="s">
        <v>255</v>
      </c>
      <c r="E3" s="264" t="s">
        <v>159</v>
      </c>
      <c r="F3" s="264" t="s">
        <v>258</v>
      </c>
      <c r="G3" s="264" t="s">
        <v>26</v>
      </c>
      <c r="H3" s="264" t="s">
        <v>259</v>
      </c>
      <c r="I3" s="264"/>
      <c r="J3" s="49"/>
    </row>
    <row r="4" spans="2:10" ht="15.6" x14ac:dyDescent="0.3">
      <c r="B4" s="49" t="s">
        <v>260</v>
      </c>
      <c r="C4" s="265">
        <v>1504974.13</v>
      </c>
      <c r="D4" s="265">
        <f>29727.52+54252.74</f>
        <v>83980.26</v>
      </c>
      <c r="E4" s="265">
        <f>117423.73+83980.27</f>
        <v>201404</v>
      </c>
      <c r="F4" s="265">
        <f>140462.56+371594.07</f>
        <v>512056.63</v>
      </c>
      <c r="G4" s="265">
        <f>457060.72</f>
        <v>457060.72</v>
      </c>
      <c r="H4" s="265">
        <f>250472.52</f>
        <v>250472.52</v>
      </c>
      <c r="I4" s="265">
        <f t="shared" ref="I4:I5" si="0">SUM(D4:H4)</f>
        <v>1504974.13</v>
      </c>
      <c r="J4" s="49">
        <f>SUM(D4:H4)</f>
        <v>1504974.13</v>
      </c>
    </row>
    <row r="5" spans="2:10" ht="15.6" x14ac:dyDescent="0.3">
      <c r="B5" s="49" t="s">
        <v>261</v>
      </c>
      <c r="C5" s="265">
        <v>30200.04</v>
      </c>
      <c r="D5" s="265"/>
      <c r="E5" s="265"/>
      <c r="F5" s="265"/>
      <c r="G5" s="265"/>
      <c r="H5" s="265">
        <v>30200.04</v>
      </c>
      <c r="I5" s="265">
        <f t="shared" si="0"/>
        <v>30200.04</v>
      </c>
      <c r="J5" s="49"/>
    </row>
    <row r="6" spans="2:10" ht="15.6" x14ac:dyDescent="0.3">
      <c r="B6" s="49" t="s">
        <v>262</v>
      </c>
      <c r="C6" s="265">
        <v>1106772.97</v>
      </c>
      <c r="D6" s="265">
        <f>21862.18+39898.48</f>
        <v>61760.66</v>
      </c>
      <c r="E6" s="265">
        <f>86355.62+61760.66</f>
        <v>148116.28</v>
      </c>
      <c r="F6" s="265">
        <f>103298.81+273277.28</f>
        <v>376576.09</v>
      </c>
      <c r="G6" s="265">
        <v>336131.05</v>
      </c>
      <c r="H6" s="265">
        <v>184188.89</v>
      </c>
      <c r="I6" s="265">
        <f>SUM(D6:H6)</f>
        <v>1106772.9700000002</v>
      </c>
      <c r="J6" s="49"/>
    </row>
    <row r="7" spans="2:10" ht="15.6" x14ac:dyDescent="0.3">
      <c r="B7" s="49" t="s">
        <v>263</v>
      </c>
      <c r="C7" s="265">
        <f>526195.86+16506.42</f>
        <v>542702.28</v>
      </c>
      <c r="D7" s="265">
        <v>99168.22</v>
      </c>
      <c r="E7" s="265">
        <v>250578.57</v>
      </c>
      <c r="F7" s="265">
        <f>5375.34+151378.14</f>
        <v>156753.48000000001</v>
      </c>
      <c r="G7" s="265">
        <v>0</v>
      </c>
      <c r="H7" s="265">
        <f>19695.59+16506.42</f>
        <v>36202.009999999995</v>
      </c>
      <c r="I7" s="265">
        <f t="shared" ref="I7:I21" si="1">SUM(D7:H7)</f>
        <v>542702.28</v>
      </c>
      <c r="J7" s="49"/>
    </row>
    <row r="8" spans="2:10" ht="15.6" x14ac:dyDescent="0.3">
      <c r="B8" s="49" t="s">
        <v>30</v>
      </c>
      <c r="C8" s="265">
        <v>184062.09</v>
      </c>
      <c r="D8" s="265"/>
      <c r="E8" s="265">
        <v>184062.09</v>
      </c>
      <c r="F8" s="265"/>
      <c r="G8" s="265"/>
      <c r="H8" s="265"/>
      <c r="I8" s="265">
        <f t="shared" si="1"/>
        <v>184062.09</v>
      </c>
      <c r="J8" s="49"/>
    </row>
    <row r="9" spans="2:10" ht="15.6" x14ac:dyDescent="0.3">
      <c r="B9" s="49" t="s">
        <v>264</v>
      </c>
      <c r="C9" s="265">
        <v>248651.06</v>
      </c>
      <c r="D9" s="265"/>
      <c r="E9" s="265">
        <v>1171.47</v>
      </c>
      <c r="F9" s="265">
        <v>201763.31</v>
      </c>
      <c r="G9" s="265">
        <v>797.54</v>
      </c>
      <c r="H9" s="265">
        <v>44918.74</v>
      </c>
      <c r="I9" s="265">
        <f t="shared" si="1"/>
        <v>248651.06</v>
      </c>
      <c r="J9" s="49"/>
    </row>
    <row r="10" spans="2:10" ht="15.6" x14ac:dyDescent="0.3">
      <c r="B10" s="49" t="s">
        <v>265</v>
      </c>
      <c r="C10" s="265">
        <v>16000</v>
      </c>
      <c r="D10" s="265"/>
      <c r="E10" s="265"/>
      <c r="F10" s="265"/>
      <c r="G10" s="265"/>
      <c r="H10" s="265">
        <v>16000</v>
      </c>
      <c r="I10" s="265">
        <f t="shared" si="1"/>
        <v>16000</v>
      </c>
      <c r="J10" s="49"/>
    </row>
    <row r="11" spans="2:10" ht="15.6" x14ac:dyDescent="0.3">
      <c r="B11" s="49" t="s">
        <v>266</v>
      </c>
      <c r="C11" s="265">
        <v>48217</v>
      </c>
      <c r="D11" s="265"/>
      <c r="E11" s="265"/>
      <c r="F11" s="265"/>
      <c r="G11" s="265"/>
      <c r="H11" s="265">
        <v>48217</v>
      </c>
      <c r="I11" s="265">
        <f t="shared" si="1"/>
        <v>48217</v>
      </c>
      <c r="J11" s="49"/>
    </row>
    <row r="12" spans="2:10" ht="15.6" x14ac:dyDescent="0.3">
      <c r="B12" s="49" t="s">
        <v>267</v>
      </c>
      <c r="C12" s="265">
        <f>6535+91569.21</f>
        <v>98104.21</v>
      </c>
      <c r="D12" s="265">
        <f>400+34393</f>
        <v>34793</v>
      </c>
      <c r="E12" s="265">
        <v>5100</v>
      </c>
      <c r="F12" s="265">
        <f>6535+1100</f>
        <v>7635</v>
      </c>
      <c r="G12" s="265"/>
      <c r="H12" s="265">
        <f>46471.58+4104.63</f>
        <v>50576.21</v>
      </c>
      <c r="I12" s="265">
        <f t="shared" si="1"/>
        <v>98104.209999999992</v>
      </c>
      <c r="J12" s="49"/>
    </row>
    <row r="13" spans="2:10" ht="15.6" x14ac:dyDescent="0.3">
      <c r="B13" s="49" t="s">
        <v>268</v>
      </c>
      <c r="C13" s="265">
        <v>370</v>
      </c>
      <c r="D13" s="265"/>
      <c r="E13" s="265"/>
      <c r="F13" s="265">
        <v>370</v>
      </c>
      <c r="G13" s="265"/>
      <c r="H13" s="265"/>
      <c r="I13" s="265">
        <f t="shared" si="1"/>
        <v>370</v>
      </c>
      <c r="J13" s="49"/>
    </row>
    <row r="14" spans="2:10" ht="15.6" x14ac:dyDescent="0.3">
      <c r="B14" s="49" t="s">
        <v>269</v>
      </c>
      <c r="C14" s="265">
        <v>104166.98</v>
      </c>
      <c r="D14" s="265">
        <f>2057.62+3755.16</f>
        <v>5812.78</v>
      </c>
      <c r="E14" s="265">
        <f>8127.6+5812.77</f>
        <v>13940.37</v>
      </c>
      <c r="F14" s="265">
        <f>9722.25+25720.24</f>
        <v>35442.490000000005</v>
      </c>
      <c r="G14" s="265">
        <v>31635.9</v>
      </c>
      <c r="H14" s="265">
        <v>17335.439999999999</v>
      </c>
      <c r="I14" s="265">
        <f t="shared" si="1"/>
        <v>104166.98000000001</v>
      </c>
      <c r="J14" s="49"/>
    </row>
    <row r="15" spans="2:10" ht="15.6" x14ac:dyDescent="0.3">
      <c r="B15" s="49" t="s">
        <v>420</v>
      </c>
      <c r="C15" s="265">
        <v>14969.66</v>
      </c>
      <c r="D15" s="265">
        <f>295.7+539.65</f>
        <v>835.34999999999991</v>
      </c>
      <c r="E15" s="265">
        <f>1168+835.34</f>
        <v>2003.3400000000001</v>
      </c>
      <c r="F15" s="265">
        <f>1397.17+3696.21</f>
        <v>5093.38</v>
      </c>
      <c r="G15" s="265">
        <v>4546.34</v>
      </c>
      <c r="H15" s="265">
        <v>2491.25</v>
      </c>
      <c r="I15" s="265">
        <f t="shared" si="1"/>
        <v>14969.66</v>
      </c>
      <c r="J15" s="49"/>
    </row>
    <row r="16" spans="2:10" ht="15.6" x14ac:dyDescent="0.3">
      <c r="B16" s="49" t="s">
        <v>270</v>
      </c>
      <c r="C16" s="265">
        <v>17961.03</v>
      </c>
      <c r="D16" s="265">
        <f>354.79+647.48</f>
        <v>1002.27</v>
      </c>
      <c r="E16" s="265">
        <f>1401.4+1002.27</f>
        <v>2403.67</v>
      </c>
      <c r="F16" s="265">
        <f>1676.36+4434.82</f>
        <v>6111.1799999999994</v>
      </c>
      <c r="G16" s="265">
        <v>5454.83</v>
      </c>
      <c r="H16" s="265">
        <v>2989.08</v>
      </c>
      <c r="I16" s="265">
        <f t="shared" si="1"/>
        <v>17961.03</v>
      </c>
      <c r="J16" s="49"/>
    </row>
    <row r="17" spans="2:10" ht="15.6" x14ac:dyDescent="0.3">
      <c r="B17" s="49" t="s">
        <v>271</v>
      </c>
      <c r="C17" s="265">
        <v>22497.66</v>
      </c>
      <c r="D17" s="265">
        <f>444.4+811.03</f>
        <v>1255.4299999999998</v>
      </c>
      <c r="E17" s="265">
        <f>1755.37+1255.42</f>
        <v>3010.79</v>
      </c>
      <c r="F17" s="265">
        <f>2099.78+5554.98</f>
        <v>7654.76</v>
      </c>
      <c r="G17" s="265">
        <v>6832.62</v>
      </c>
      <c r="H17" s="265">
        <v>3744.06</v>
      </c>
      <c r="I17" s="265">
        <f t="shared" si="1"/>
        <v>22497.66</v>
      </c>
      <c r="J17" s="49"/>
    </row>
    <row r="18" spans="2:10" ht="15.6" x14ac:dyDescent="0.3">
      <c r="B18" s="49" t="s">
        <v>272</v>
      </c>
      <c r="C18" s="265">
        <v>56382.73</v>
      </c>
      <c r="D18" s="265">
        <f>17620.32</f>
        <v>17620.32</v>
      </c>
      <c r="E18" s="265">
        <v>5340.18</v>
      </c>
      <c r="F18" s="265">
        <v>13577.06</v>
      </c>
      <c r="G18" s="265">
        <v>0</v>
      </c>
      <c r="H18" s="265">
        <v>19845.169999999998</v>
      </c>
      <c r="I18" s="265">
        <f t="shared" si="1"/>
        <v>56382.729999999996</v>
      </c>
      <c r="J18" s="49"/>
    </row>
    <row r="19" spans="2:10" ht="15.6" x14ac:dyDescent="0.3">
      <c r="B19" s="49" t="s">
        <v>174</v>
      </c>
      <c r="C19" s="265">
        <v>9496.34</v>
      </c>
      <c r="D19" s="265"/>
      <c r="E19" s="265"/>
      <c r="F19" s="265"/>
      <c r="G19" s="265"/>
      <c r="H19" s="265">
        <v>9496.34</v>
      </c>
      <c r="I19" s="265">
        <f t="shared" si="1"/>
        <v>9496.34</v>
      </c>
      <c r="J19" s="49"/>
    </row>
    <row r="20" spans="2:10" ht="15.6" x14ac:dyDescent="0.3">
      <c r="B20" s="49" t="s">
        <v>175</v>
      </c>
      <c r="C20" s="265">
        <v>10082.57</v>
      </c>
      <c r="D20" s="265"/>
      <c r="E20" s="265"/>
      <c r="F20" s="265"/>
      <c r="G20" s="265">
        <v>10082.57</v>
      </c>
      <c r="H20" s="265"/>
      <c r="I20" s="265">
        <f t="shared" si="1"/>
        <v>10082.57</v>
      </c>
      <c r="J20" s="49"/>
    </row>
    <row r="21" spans="2:10" ht="17.399999999999999" x14ac:dyDescent="0.45">
      <c r="B21" s="49" t="s">
        <v>273</v>
      </c>
      <c r="C21" s="266">
        <f>146507.34-9496.34</f>
        <v>137011</v>
      </c>
      <c r="D21" s="266">
        <v>0</v>
      </c>
      <c r="E21" s="266">
        <v>0</v>
      </c>
      <c r="F21" s="266">
        <v>605.4</v>
      </c>
      <c r="G21" s="266">
        <f>2012.05+8829.88</f>
        <v>10841.929999999998</v>
      </c>
      <c r="H21" s="266">
        <f>C21-F21-G21</f>
        <v>125563.67000000001</v>
      </c>
      <c r="I21" s="266">
        <f t="shared" si="1"/>
        <v>137011</v>
      </c>
      <c r="J21" s="49"/>
    </row>
    <row r="22" spans="2:10" ht="15.6" x14ac:dyDescent="0.3">
      <c r="B22" s="49" t="s">
        <v>148</v>
      </c>
      <c r="C22" s="265">
        <f t="shared" ref="C22:H22" si="2">SUM(C4:C21)</f>
        <v>4152621.7499999995</v>
      </c>
      <c r="D22" s="265">
        <f t="shared" si="2"/>
        <v>306228.29000000004</v>
      </c>
      <c r="E22" s="265">
        <f t="shared" si="2"/>
        <v>817130.76000000013</v>
      </c>
      <c r="F22" s="265">
        <f t="shared" si="2"/>
        <v>1323638.7799999998</v>
      </c>
      <c r="G22" s="265">
        <f t="shared" si="2"/>
        <v>863383.5</v>
      </c>
      <c r="H22" s="265">
        <f t="shared" si="2"/>
        <v>842240.42</v>
      </c>
      <c r="I22" s="265">
        <f>SUM(D22:H22)</f>
        <v>4152621.75</v>
      </c>
      <c r="J22" s="49"/>
    </row>
    <row r="23" spans="2:10" ht="15.6" x14ac:dyDescent="0.3">
      <c r="B23" s="49"/>
      <c r="C23" s="49"/>
      <c r="D23" s="49"/>
      <c r="E23" s="49"/>
      <c r="F23" s="49"/>
      <c r="G23" s="49"/>
      <c r="H23" s="49"/>
      <c r="I23" s="49"/>
      <c r="J23" s="49"/>
    </row>
    <row r="24" spans="2:10" ht="17.399999999999999" x14ac:dyDescent="0.45">
      <c r="B24" s="206" t="s">
        <v>428</v>
      </c>
      <c r="C24" s="442"/>
      <c r="D24" s="49"/>
      <c r="E24" s="49"/>
      <c r="F24" s="49"/>
      <c r="G24" s="49"/>
      <c r="H24" s="49"/>
      <c r="I24" s="49"/>
      <c r="J24" s="49"/>
    </row>
    <row r="25" spans="2:10" ht="17.399999999999999" x14ac:dyDescent="0.45">
      <c r="B25" s="49"/>
      <c r="C25" s="264"/>
      <c r="D25" s="264" t="s">
        <v>255</v>
      </c>
      <c r="E25" s="264" t="s">
        <v>159</v>
      </c>
      <c r="F25" s="264" t="s">
        <v>258</v>
      </c>
      <c r="G25" s="264" t="s">
        <v>26</v>
      </c>
      <c r="H25" s="264" t="s">
        <v>259</v>
      </c>
      <c r="I25" s="264"/>
      <c r="J25" s="49"/>
    </row>
    <row r="26" spans="2:10" ht="15.6" x14ac:dyDescent="0.3">
      <c r="B26" s="49" t="s">
        <v>260</v>
      </c>
      <c r="C26" s="265"/>
      <c r="D26" s="447">
        <f>D4/$C$4</f>
        <v>5.5801796406958835E-2</v>
      </c>
      <c r="E26" s="447">
        <f>E4/$C$4</f>
        <v>0.13382555619078981</v>
      </c>
      <c r="F26" s="447">
        <f>F4/$C$4</f>
        <v>0.34024281201431683</v>
      </c>
      <c r="G26" s="447">
        <f>G4/$C$4</f>
        <v>0.30370005097695602</v>
      </c>
      <c r="H26" s="447">
        <f>H4/$C$4</f>
        <v>0.16642978441097855</v>
      </c>
      <c r="I26" s="446">
        <f>SUM(D26:H26)</f>
        <v>1</v>
      </c>
      <c r="J26" s="49"/>
    </row>
    <row r="27" spans="2:10" ht="15.6" x14ac:dyDescent="0.3">
      <c r="B27" s="49" t="s">
        <v>261</v>
      </c>
      <c r="C27" s="265"/>
      <c r="D27" s="447">
        <f>D5/$C$5</f>
        <v>0</v>
      </c>
      <c r="E27" s="447">
        <f t="shared" ref="E27:H27" si="3">E5/$C$5</f>
        <v>0</v>
      </c>
      <c r="F27" s="447">
        <f t="shared" si="3"/>
        <v>0</v>
      </c>
      <c r="G27" s="447">
        <f t="shared" si="3"/>
        <v>0</v>
      </c>
      <c r="H27" s="447">
        <f t="shared" si="3"/>
        <v>1</v>
      </c>
      <c r="I27" s="446">
        <f>SUM(D27:H27)</f>
        <v>1</v>
      </c>
      <c r="J27" s="49"/>
    </row>
    <row r="28" spans="2:10" ht="15.6" x14ac:dyDescent="0.3">
      <c r="B28" s="49" t="s">
        <v>262</v>
      </c>
      <c r="C28" s="265"/>
      <c r="D28" s="447">
        <f>D6/$C$6</f>
        <v>5.5802465071043438E-2</v>
      </c>
      <c r="E28" s="447">
        <f t="shared" ref="E28:H28" si="4">E6/$C$6</f>
        <v>0.13382715698233938</v>
      </c>
      <c r="F28" s="447">
        <f t="shared" si="4"/>
        <v>0.34024691622167103</v>
      </c>
      <c r="G28" s="447">
        <f t="shared" si="4"/>
        <v>0.30370370356984777</v>
      </c>
      <c r="H28" s="447">
        <f t="shared" si="4"/>
        <v>0.16641975815509844</v>
      </c>
      <c r="I28" s="446">
        <f>SUM(D28:H28)</f>
        <v>1</v>
      </c>
      <c r="J28" s="49"/>
    </row>
    <row r="29" spans="2:10" ht="15.6" x14ac:dyDescent="0.3">
      <c r="B29" s="49" t="s">
        <v>263</v>
      </c>
      <c r="C29" s="265"/>
      <c r="D29" s="447">
        <f>D7/$C$7</f>
        <v>0.18273042818246496</v>
      </c>
      <c r="E29" s="447">
        <f t="shared" ref="E29:H29" si="5">E7/$C$7</f>
        <v>0.46172382028687992</v>
      </c>
      <c r="F29" s="447">
        <f t="shared" si="5"/>
        <v>0.28883880863739875</v>
      </c>
      <c r="G29" s="447">
        <f t="shared" si="5"/>
        <v>0</v>
      </c>
      <c r="H29" s="447">
        <f t="shared" si="5"/>
        <v>6.6706942893256307E-2</v>
      </c>
      <c r="I29" s="446">
        <f t="shared" ref="I29:I43" si="6">SUM(D29:H29)</f>
        <v>0.99999999999999989</v>
      </c>
      <c r="J29" s="49"/>
    </row>
    <row r="30" spans="2:10" ht="15.6" x14ac:dyDescent="0.3">
      <c r="B30" s="49" t="s">
        <v>30</v>
      </c>
      <c r="C30" s="265"/>
      <c r="D30" s="447">
        <f>D8/$C$8</f>
        <v>0</v>
      </c>
      <c r="E30" s="447">
        <f t="shared" ref="E30:H30" si="7">E8/$C$8</f>
        <v>1</v>
      </c>
      <c r="F30" s="447">
        <f t="shared" si="7"/>
        <v>0</v>
      </c>
      <c r="G30" s="447">
        <f t="shared" si="7"/>
        <v>0</v>
      </c>
      <c r="H30" s="447">
        <f t="shared" si="7"/>
        <v>0</v>
      </c>
      <c r="I30" s="446">
        <f t="shared" si="6"/>
        <v>1</v>
      </c>
      <c r="J30" s="49"/>
    </row>
    <row r="31" spans="2:10" ht="15.6" x14ac:dyDescent="0.3">
      <c r="B31" s="49" t="s">
        <v>264</v>
      </c>
      <c r="C31" s="265"/>
      <c r="D31" s="447">
        <f>D9/$C$9</f>
        <v>0</v>
      </c>
      <c r="E31" s="447">
        <f t="shared" ref="E31:H31" si="8">E9/$C$9</f>
        <v>4.7113010497522112E-3</v>
      </c>
      <c r="F31" s="447">
        <f t="shared" si="8"/>
        <v>0.81143152979118605</v>
      </c>
      <c r="G31" s="447">
        <f t="shared" si="8"/>
        <v>3.2074667206325202E-3</v>
      </c>
      <c r="H31" s="447">
        <f t="shared" si="8"/>
        <v>0.18064970243842918</v>
      </c>
      <c r="I31" s="446">
        <f t="shared" si="6"/>
        <v>1</v>
      </c>
      <c r="J31" s="49"/>
    </row>
    <row r="32" spans="2:10" ht="15.6" x14ac:dyDescent="0.3">
      <c r="B32" s="49" t="s">
        <v>265</v>
      </c>
      <c r="C32" s="265"/>
      <c r="D32" s="447">
        <f>D10/$C$10</f>
        <v>0</v>
      </c>
      <c r="E32" s="447">
        <f t="shared" ref="E32:H32" si="9">E10/$C$10</f>
        <v>0</v>
      </c>
      <c r="F32" s="447">
        <f t="shared" si="9"/>
        <v>0</v>
      </c>
      <c r="G32" s="447">
        <f t="shared" si="9"/>
        <v>0</v>
      </c>
      <c r="H32" s="447">
        <f t="shared" si="9"/>
        <v>1</v>
      </c>
      <c r="I32" s="446">
        <f t="shared" si="6"/>
        <v>1</v>
      </c>
      <c r="J32" s="49"/>
    </row>
    <row r="33" spans="2:10" ht="15.6" x14ac:dyDescent="0.3">
      <c r="B33" s="49" t="s">
        <v>266</v>
      </c>
      <c r="C33" s="265"/>
      <c r="D33" s="447">
        <f>D11/$C$11</f>
        <v>0</v>
      </c>
      <c r="E33" s="447">
        <f t="shared" ref="E33:H33" si="10">E11/$C$11</f>
        <v>0</v>
      </c>
      <c r="F33" s="447">
        <f t="shared" si="10"/>
        <v>0</v>
      </c>
      <c r="G33" s="447">
        <f t="shared" si="10"/>
        <v>0</v>
      </c>
      <c r="H33" s="447">
        <f t="shared" si="10"/>
        <v>1</v>
      </c>
      <c r="I33" s="446">
        <f t="shared" si="6"/>
        <v>1</v>
      </c>
      <c r="J33" s="49"/>
    </row>
    <row r="34" spans="2:10" ht="15.6" x14ac:dyDescent="0.3">
      <c r="B34" s="49" t="s">
        <v>267</v>
      </c>
      <c r="C34" s="265"/>
      <c r="D34" s="447">
        <f>D12/$C$12</f>
        <v>0.35465348530914215</v>
      </c>
      <c r="E34" s="447">
        <f t="shared" ref="E34:H34" si="11">E12/$C$12</f>
        <v>5.198553660439241E-2</v>
      </c>
      <c r="F34" s="447">
        <f t="shared" si="11"/>
        <v>7.7825406269516867E-2</v>
      </c>
      <c r="G34" s="447">
        <f t="shared" si="11"/>
        <v>0</v>
      </c>
      <c r="H34" s="447">
        <f t="shared" si="11"/>
        <v>0.51553557181694853</v>
      </c>
      <c r="I34" s="446">
        <f t="shared" si="6"/>
        <v>1</v>
      </c>
      <c r="J34" s="49"/>
    </row>
    <row r="35" spans="2:10" ht="15.6" x14ac:dyDescent="0.3">
      <c r="B35" s="49" t="s">
        <v>268</v>
      </c>
      <c r="C35" s="265"/>
      <c r="D35" s="447">
        <f>D13/$C$13</f>
        <v>0</v>
      </c>
      <c r="E35" s="447">
        <f t="shared" ref="E35:H35" si="12">E13/$C$13</f>
        <v>0</v>
      </c>
      <c r="F35" s="447">
        <f t="shared" si="12"/>
        <v>1</v>
      </c>
      <c r="G35" s="447">
        <f t="shared" si="12"/>
        <v>0</v>
      </c>
      <c r="H35" s="447">
        <f t="shared" si="12"/>
        <v>0</v>
      </c>
      <c r="I35" s="446">
        <f t="shared" si="6"/>
        <v>1</v>
      </c>
      <c r="J35" s="49"/>
    </row>
    <row r="36" spans="2:10" ht="15.6" x14ac:dyDescent="0.3">
      <c r="B36" s="49" t="s">
        <v>269</v>
      </c>
      <c r="C36" s="265"/>
      <c r="D36" s="447">
        <f>D14/$C$14</f>
        <v>5.5802520146019399E-2</v>
      </c>
      <c r="E36" s="447">
        <f t="shared" ref="E36:H36" si="13">E14/$C$14</f>
        <v>0.13382714944793447</v>
      </c>
      <c r="F36" s="447">
        <f t="shared" si="13"/>
        <v>0.34024688053738339</v>
      </c>
      <c r="G36" s="447">
        <f t="shared" si="13"/>
        <v>0.30370372645919086</v>
      </c>
      <c r="H36" s="447">
        <f t="shared" si="13"/>
        <v>0.16641972340947198</v>
      </c>
      <c r="I36" s="446">
        <f t="shared" si="6"/>
        <v>1</v>
      </c>
      <c r="J36" s="49"/>
    </row>
    <row r="37" spans="2:10" ht="15.6" x14ac:dyDescent="0.3">
      <c r="B37" s="49" t="s">
        <v>420</v>
      </c>
      <c r="C37" s="265"/>
      <c r="D37" s="447">
        <f>D15/$C$15</f>
        <v>5.5802870606279628E-2</v>
      </c>
      <c r="E37" s="447">
        <f t="shared" ref="E37:H37" si="14">E15/$C$15</f>
        <v>0.13382668677845724</v>
      </c>
      <c r="F37" s="447">
        <f t="shared" si="14"/>
        <v>0.34024687267446291</v>
      </c>
      <c r="G37" s="447">
        <f t="shared" si="14"/>
        <v>0.30370362453121846</v>
      </c>
      <c r="H37" s="447">
        <f t="shared" si="14"/>
        <v>0.16641994540958177</v>
      </c>
      <c r="I37" s="446">
        <f t="shared" si="6"/>
        <v>1</v>
      </c>
      <c r="J37" s="49"/>
    </row>
    <row r="38" spans="2:10" ht="15.6" x14ac:dyDescent="0.3">
      <c r="B38" s="49" t="s">
        <v>270</v>
      </c>
      <c r="C38" s="265"/>
      <c r="D38" s="447">
        <f>D16/$C$16</f>
        <v>5.5802479033774791E-2</v>
      </c>
      <c r="E38" s="447">
        <f t="shared" ref="E38:H38" si="15">E16/$C$16</f>
        <v>0.13382695758539462</v>
      </c>
      <c r="F38" s="447">
        <f t="shared" si="15"/>
        <v>0.34024663396252885</v>
      </c>
      <c r="G38" s="447">
        <f t="shared" si="15"/>
        <v>0.30370362946891133</v>
      </c>
      <c r="H38" s="447">
        <f t="shared" si="15"/>
        <v>0.16642029994939045</v>
      </c>
      <c r="I38" s="446">
        <f t="shared" si="6"/>
        <v>1</v>
      </c>
      <c r="J38" s="49"/>
    </row>
    <row r="39" spans="2:10" ht="15.6" x14ac:dyDescent="0.3">
      <c r="B39" s="49" t="s">
        <v>271</v>
      </c>
      <c r="C39" s="265"/>
      <c r="D39" s="447">
        <f>D17/$C$17</f>
        <v>5.5802692368895249E-2</v>
      </c>
      <c r="E39" s="447">
        <f t="shared" ref="E39:H39" si="16">E17/$C$17</f>
        <v>0.13382680687680407</v>
      </c>
      <c r="F39" s="447">
        <f t="shared" si="16"/>
        <v>0.34024694123744426</v>
      </c>
      <c r="G39" s="447">
        <f t="shared" si="16"/>
        <v>0.30370358517285795</v>
      </c>
      <c r="H39" s="447">
        <f t="shared" si="16"/>
        <v>0.16641997434399844</v>
      </c>
      <c r="I39" s="446">
        <f t="shared" si="6"/>
        <v>1</v>
      </c>
      <c r="J39" s="49"/>
    </row>
    <row r="40" spans="2:10" ht="15.6" x14ac:dyDescent="0.3">
      <c r="B40" s="49" t="s">
        <v>272</v>
      </c>
      <c r="C40" s="265"/>
      <c r="D40" s="447">
        <f>D18/$C$18</f>
        <v>0.31251271444287992</v>
      </c>
      <c r="E40" s="447">
        <f t="shared" ref="E40:H40" si="17">E18/$C$18</f>
        <v>9.4713044224712065E-2</v>
      </c>
      <c r="F40" s="447">
        <f t="shared" si="17"/>
        <v>0.24080174904620616</v>
      </c>
      <c r="G40" s="447">
        <f t="shared" si="17"/>
        <v>0</v>
      </c>
      <c r="H40" s="447">
        <f t="shared" si="17"/>
        <v>0.35197249228620175</v>
      </c>
      <c r="I40" s="446">
        <f t="shared" si="6"/>
        <v>0.99999999999999989</v>
      </c>
      <c r="J40" s="49"/>
    </row>
    <row r="41" spans="2:10" ht="15.6" x14ac:dyDescent="0.3">
      <c r="B41" s="49" t="s">
        <v>174</v>
      </c>
      <c r="C41" s="265"/>
      <c r="D41" s="447">
        <f>D19/$C$19</f>
        <v>0</v>
      </c>
      <c r="E41" s="447">
        <f t="shared" ref="E41:H41" si="18">E19/$C$19</f>
        <v>0</v>
      </c>
      <c r="F41" s="447">
        <f t="shared" si="18"/>
        <v>0</v>
      </c>
      <c r="G41" s="447">
        <f t="shared" si="18"/>
        <v>0</v>
      </c>
      <c r="H41" s="447">
        <f t="shared" si="18"/>
        <v>1</v>
      </c>
      <c r="I41" s="446">
        <f t="shared" si="6"/>
        <v>1</v>
      </c>
      <c r="J41" s="49"/>
    </row>
    <row r="42" spans="2:10" ht="15.6" x14ac:dyDescent="0.3">
      <c r="B42" s="49" t="s">
        <v>175</v>
      </c>
      <c r="C42" s="265"/>
      <c r="D42" s="447">
        <f>D20/$C$20</f>
        <v>0</v>
      </c>
      <c r="E42" s="447">
        <f t="shared" ref="E42:H42" si="19">E20/$C$20</f>
        <v>0</v>
      </c>
      <c r="F42" s="447">
        <f t="shared" si="19"/>
        <v>0</v>
      </c>
      <c r="G42" s="447">
        <f t="shared" si="19"/>
        <v>1</v>
      </c>
      <c r="H42" s="447">
        <f t="shared" si="19"/>
        <v>0</v>
      </c>
      <c r="I42" s="446">
        <f t="shared" si="6"/>
        <v>1</v>
      </c>
      <c r="J42" s="49"/>
    </row>
    <row r="43" spans="2:10" ht="17.399999999999999" x14ac:dyDescent="0.45">
      <c r="B43" s="49" t="s">
        <v>273</v>
      </c>
      <c r="C43" s="266"/>
      <c r="D43" s="447">
        <f>D21/$C$21</f>
        <v>0</v>
      </c>
      <c r="E43" s="447">
        <f t="shared" ref="E43:H43" si="20">E21/$C$21</f>
        <v>0</v>
      </c>
      <c r="F43" s="447">
        <f t="shared" si="20"/>
        <v>4.4186233222150047E-3</v>
      </c>
      <c r="G43" s="447">
        <f t="shared" si="20"/>
        <v>7.9131821532577667E-2</v>
      </c>
      <c r="H43" s="447">
        <f t="shared" si="20"/>
        <v>0.91644955514520743</v>
      </c>
      <c r="I43" s="446">
        <f t="shared" si="6"/>
        <v>1</v>
      </c>
      <c r="J43" s="49"/>
    </row>
    <row r="44" spans="2:10" ht="15.6" x14ac:dyDescent="0.3">
      <c r="B44" s="49"/>
      <c r="C44" s="265"/>
      <c r="D44" s="446"/>
      <c r="E44" s="446"/>
      <c r="F44" s="446"/>
      <c r="G44" s="446"/>
      <c r="H44" s="446"/>
      <c r="I44" s="446"/>
      <c r="J44" s="49"/>
    </row>
    <row r="45" spans="2:10" ht="15.6" x14ac:dyDescent="0.3">
      <c r="B45" s="49"/>
      <c r="C45" s="49"/>
      <c r="D45" s="49"/>
      <c r="E45" s="49"/>
      <c r="F45" s="49"/>
      <c r="G45" s="49"/>
      <c r="H45" s="49"/>
      <c r="I45" s="49"/>
      <c r="J45" s="49"/>
    </row>
    <row r="46" spans="2:10" ht="17.399999999999999" x14ac:dyDescent="0.45">
      <c r="B46" s="206" t="s">
        <v>274</v>
      </c>
      <c r="C46" s="49"/>
      <c r="D46" s="49"/>
      <c r="E46" s="49"/>
      <c r="F46" s="49"/>
      <c r="G46" s="49"/>
      <c r="H46" s="49"/>
      <c r="I46" s="49"/>
      <c r="J46" s="49"/>
    </row>
    <row r="47" spans="2:10" ht="17.399999999999999" x14ac:dyDescent="0.45">
      <c r="B47" s="49"/>
      <c r="C47" s="264" t="s">
        <v>13</v>
      </c>
      <c r="D47" s="264" t="s">
        <v>255</v>
      </c>
      <c r="E47" s="264" t="s">
        <v>159</v>
      </c>
      <c r="F47" s="264" t="s">
        <v>258</v>
      </c>
      <c r="G47" s="264" t="s">
        <v>26</v>
      </c>
      <c r="H47" s="264" t="s">
        <v>259</v>
      </c>
      <c r="I47" s="264"/>
      <c r="J47" s="49"/>
    </row>
    <row r="48" spans="2:10" ht="15.6" x14ac:dyDescent="0.3">
      <c r="B48" s="49" t="s">
        <v>260</v>
      </c>
      <c r="C48" s="49">
        <f>SAO!I20</f>
        <v>1816727.9389322365</v>
      </c>
      <c r="D48" s="265">
        <f>$C48*D26</f>
        <v>101376.6825751306</v>
      </c>
      <c r="E48" s="265">
        <f t="shared" ref="E48:H48" si="21">$C48*E26</f>
        <v>243124.62687495377</v>
      </c>
      <c r="F48" s="265">
        <f t="shared" si="21"/>
        <v>618128.62260727817</v>
      </c>
      <c r="G48" s="265">
        <f t="shared" si="21"/>
        <v>551740.36766498047</v>
      </c>
      <c r="H48" s="265">
        <f t="shared" si="21"/>
        <v>302357.63920989353</v>
      </c>
      <c r="I48" s="49">
        <f>SUM(D48:H48)</f>
        <v>1816727.9389322365</v>
      </c>
      <c r="J48" s="49"/>
    </row>
    <row r="49" spans="2:10" ht="15.6" x14ac:dyDescent="0.3">
      <c r="B49" s="49" t="s">
        <v>261</v>
      </c>
      <c r="C49" s="49">
        <f>SAO!I21</f>
        <v>30200</v>
      </c>
      <c r="D49" s="265">
        <f>$C49*D27</f>
        <v>0</v>
      </c>
      <c r="E49" s="265">
        <f t="shared" ref="E49:H49" si="22">$C49*E27</f>
        <v>0</v>
      </c>
      <c r="F49" s="265">
        <f t="shared" si="22"/>
        <v>0</v>
      </c>
      <c r="G49" s="265">
        <f t="shared" si="22"/>
        <v>0</v>
      </c>
      <c r="H49" s="265">
        <f t="shared" si="22"/>
        <v>30200</v>
      </c>
      <c r="I49" s="49">
        <f>SUM(D49:H49)</f>
        <v>30200</v>
      </c>
      <c r="J49" s="49"/>
    </row>
    <row r="50" spans="2:10" ht="15.6" x14ac:dyDescent="0.3">
      <c r="B50" s="49" t="s">
        <v>275</v>
      </c>
      <c r="C50" s="49">
        <f>SAO!I22</f>
        <v>1150721.1272288866</v>
      </c>
      <c r="D50" s="265">
        <f>$C50*D28</f>
        <v>64213.075508701673</v>
      </c>
      <c r="E50" s="265">
        <f t="shared" ref="E50:H50" si="23">$C50*E28</f>
        <v>153997.73693655472</v>
      </c>
      <c r="F50" s="265">
        <f t="shared" si="23"/>
        <v>391529.3149707538</v>
      </c>
      <c r="G50" s="265">
        <f t="shared" si="23"/>
        <v>349478.26811548288</v>
      </c>
      <c r="H50" s="265">
        <f t="shared" si="23"/>
        <v>191502.73169739355</v>
      </c>
      <c r="I50" s="49">
        <f>SUM(D50:H50)</f>
        <v>1150721.1272288866</v>
      </c>
      <c r="J50" s="49"/>
    </row>
    <row r="51" spans="2:10" ht="15.6" x14ac:dyDescent="0.3">
      <c r="B51" s="49" t="s">
        <v>263</v>
      </c>
      <c r="C51" s="265">
        <f>SAO!I23</f>
        <v>526195.86</v>
      </c>
      <c r="D51" s="265">
        <f t="shared" ref="D51:H51" si="24">$C51*D29</f>
        <v>96151.994805640381</v>
      </c>
      <c r="E51" s="265">
        <f t="shared" si="24"/>
        <v>242957.16269834022</v>
      </c>
      <c r="F51" s="265">
        <f t="shared" si="24"/>
        <v>151985.78531233146</v>
      </c>
      <c r="G51" s="265">
        <f t="shared" si="24"/>
        <v>0</v>
      </c>
      <c r="H51" s="265">
        <f t="shared" si="24"/>
        <v>35100.917183687889</v>
      </c>
      <c r="I51" s="49">
        <f t="shared" ref="I51:I65" si="25">SUM(D51:H51)</f>
        <v>526195.86</v>
      </c>
      <c r="J51" s="49"/>
    </row>
    <row r="52" spans="2:10" ht="15.6" x14ac:dyDescent="0.3">
      <c r="B52" s="49" t="s">
        <v>30</v>
      </c>
      <c r="C52" s="49">
        <f>SAO!I24</f>
        <v>381726.30835661525</v>
      </c>
      <c r="D52" s="265">
        <f t="shared" ref="D52:H52" si="26">$C52*D30</f>
        <v>0</v>
      </c>
      <c r="E52" s="265">
        <f>$C52*E30</f>
        <v>381726.30835661525</v>
      </c>
      <c r="F52" s="265">
        <f t="shared" si="26"/>
        <v>0</v>
      </c>
      <c r="G52" s="265">
        <f t="shared" si="26"/>
        <v>0</v>
      </c>
      <c r="H52" s="265">
        <f t="shared" si="26"/>
        <v>0</v>
      </c>
      <c r="I52" s="49">
        <f t="shared" si="25"/>
        <v>381726.30835661525</v>
      </c>
      <c r="J52" s="49"/>
    </row>
    <row r="53" spans="2:10" ht="15.6" x14ac:dyDescent="0.3">
      <c r="B53" s="49" t="s">
        <v>264</v>
      </c>
      <c r="C53" s="49">
        <f>SAO!I25</f>
        <v>359068.05926435709</v>
      </c>
      <c r="D53" s="265">
        <f t="shared" ref="D53:H53" si="27">$C53*D31</f>
        <v>0</v>
      </c>
      <c r="E53" s="265">
        <f t="shared" si="27"/>
        <v>1691.6777245446547</v>
      </c>
      <c r="F53" s="265">
        <f t="shared" si="27"/>
        <v>291359.14462802955</v>
      </c>
      <c r="G53" s="265">
        <f t="shared" si="27"/>
        <v>1151.6988505325307</v>
      </c>
      <c r="H53" s="265">
        <f t="shared" si="27"/>
        <v>64865.538061250358</v>
      </c>
      <c r="I53" s="49">
        <f t="shared" si="25"/>
        <v>359068.05926435709</v>
      </c>
      <c r="J53" s="49"/>
    </row>
    <row r="54" spans="2:10" ht="15.6" x14ac:dyDescent="0.3">
      <c r="B54" s="49" t="s">
        <v>265</v>
      </c>
      <c r="C54" s="49">
        <f>C10</f>
        <v>16000</v>
      </c>
      <c r="D54" s="265">
        <f t="shared" ref="D54:H54" si="28">$C54*D32</f>
        <v>0</v>
      </c>
      <c r="E54" s="265">
        <f t="shared" si="28"/>
        <v>0</v>
      </c>
      <c r="F54" s="265">
        <f t="shared" si="28"/>
        <v>0</v>
      </c>
      <c r="G54" s="265">
        <f t="shared" si="28"/>
        <v>0</v>
      </c>
      <c r="H54" s="265">
        <f t="shared" si="28"/>
        <v>16000</v>
      </c>
      <c r="I54" s="49">
        <f t="shared" si="25"/>
        <v>16000</v>
      </c>
      <c r="J54" s="49"/>
    </row>
    <row r="55" spans="2:10" ht="15.6" x14ac:dyDescent="0.3">
      <c r="B55" s="49" t="s">
        <v>266</v>
      </c>
      <c r="C55" s="49">
        <f>C11+SAO!G26</f>
        <v>87086.8</v>
      </c>
      <c r="D55" s="265">
        <f t="shared" ref="D55:H55" si="29">$C55*D33</f>
        <v>0</v>
      </c>
      <c r="E55" s="265">
        <f t="shared" si="29"/>
        <v>0</v>
      </c>
      <c r="F55" s="265">
        <f t="shared" si="29"/>
        <v>0</v>
      </c>
      <c r="G55" s="265">
        <f t="shared" si="29"/>
        <v>0</v>
      </c>
      <c r="H55" s="265">
        <f t="shared" si="29"/>
        <v>87086.8</v>
      </c>
      <c r="I55" s="49">
        <f t="shared" si="25"/>
        <v>87086.8</v>
      </c>
      <c r="J55" s="49"/>
    </row>
    <row r="56" spans="2:10" ht="15.6" x14ac:dyDescent="0.3">
      <c r="B56" s="49" t="s">
        <v>267</v>
      </c>
      <c r="C56" s="49">
        <f>C12</f>
        <v>98104.21</v>
      </c>
      <c r="D56" s="265">
        <f t="shared" ref="D56" si="30">$C56*D34</f>
        <v>34793</v>
      </c>
      <c r="E56" s="265">
        <f t="shared" ref="E56:H56" si="31">$C56*E34</f>
        <v>5100</v>
      </c>
      <c r="F56" s="265">
        <f t="shared" si="31"/>
        <v>7635</v>
      </c>
      <c r="G56" s="265">
        <f t="shared" si="31"/>
        <v>0</v>
      </c>
      <c r="H56" s="265">
        <f t="shared" si="31"/>
        <v>50576.210000000006</v>
      </c>
      <c r="I56" s="49">
        <f t="shared" si="25"/>
        <v>98104.21</v>
      </c>
      <c r="J56" s="49"/>
    </row>
    <row r="57" spans="2:10" ht="15.6" x14ac:dyDescent="0.3">
      <c r="B57" s="49" t="s">
        <v>268</v>
      </c>
      <c r="C57" s="49">
        <f>C13</f>
        <v>370</v>
      </c>
      <c r="D57" s="265">
        <f t="shared" ref="D57:H57" si="32">$C57*D35</f>
        <v>0</v>
      </c>
      <c r="E57" s="265">
        <f t="shared" si="32"/>
        <v>0</v>
      </c>
      <c r="F57" s="265">
        <f t="shared" ref="F57:F65" si="33">$C57*F35</f>
        <v>370</v>
      </c>
      <c r="G57" s="265">
        <f t="shared" si="32"/>
        <v>0</v>
      </c>
      <c r="H57" s="265">
        <f t="shared" si="32"/>
        <v>0</v>
      </c>
      <c r="I57" s="49">
        <f t="shared" si="25"/>
        <v>370</v>
      </c>
      <c r="J57" s="49"/>
    </row>
    <row r="58" spans="2:10" ht="15.6" x14ac:dyDescent="0.3">
      <c r="B58" s="49" t="s">
        <v>269</v>
      </c>
      <c r="C58" s="49">
        <f>SAO!I27</f>
        <v>104166.98</v>
      </c>
      <c r="D58" s="265">
        <f t="shared" ref="D58:H58" si="34">$C58*D36</f>
        <v>5812.78</v>
      </c>
      <c r="E58" s="265">
        <f t="shared" si="34"/>
        <v>13940.37</v>
      </c>
      <c r="F58" s="265">
        <f t="shared" si="33"/>
        <v>35442.490000000005</v>
      </c>
      <c r="G58" s="265">
        <f t="shared" si="34"/>
        <v>31635.900000000005</v>
      </c>
      <c r="H58" s="265">
        <f t="shared" si="34"/>
        <v>17335.439999999999</v>
      </c>
      <c r="I58" s="49">
        <f t="shared" si="25"/>
        <v>104166.98000000001</v>
      </c>
      <c r="J58" s="49"/>
    </row>
    <row r="59" spans="2:10" ht="15.6" x14ac:dyDescent="0.3">
      <c r="B59" s="49" t="s">
        <v>420</v>
      </c>
      <c r="C59" s="49">
        <f>C15</f>
        <v>14969.66</v>
      </c>
      <c r="D59" s="265">
        <f t="shared" ref="D59:H59" si="35">$C59*D37</f>
        <v>835.34999999999991</v>
      </c>
      <c r="E59" s="265">
        <f t="shared" si="35"/>
        <v>2003.3400000000001</v>
      </c>
      <c r="F59" s="265">
        <f t="shared" si="33"/>
        <v>5093.38</v>
      </c>
      <c r="G59" s="265">
        <f t="shared" si="35"/>
        <v>4546.34</v>
      </c>
      <c r="H59" s="265">
        <f t="shared" si="35"/>
        <v>2491.25</v>
      </c>
      <c r="I59" s="49">
        <f t="shared" si="25"/>
        <v>14969.66</v>
      </c>
      <c r="J59" s="49"/>
    </row>
    <row r="60" spans="2:10" ht="15.6" x14ac:dyDescent="0.3">
      <c r="B60" s="49" t="s">
        <v>270</v>
      </c>
      <c r="C60" s="49">
        <f>C16</f>
        <v>17961.03</v>
      </c>
      <c r="D60" s="265">
        <f t="shared" ref="D60:H60" si="36">$C60*D38</f>
        <v>1002.27</v>
      </c>
      <c r="E60" s="265">
        <f t="shared" si="36"/>
        <v>2403.67</v>
      </c>
      <c r="F60" s="265">
        <f t="shared" si="33"/>
        <v>6111.1799999999994</v>
      </c>
      <c r="G60" s="265">
        <f t="shared" si="36"/>
        <v>5454.83</v>
      </c>
      <c r="H60" s="265">
        <f t="shared" si="36"/>
        <v>2989.08</v>
      </c>
      <c r="I60" s="49">
        <f t="shared" si="25"/>
        <v>17961.03</v>
      </c>
      <c r="J60" s="49"/>
    </row>
    <row r="61" spans="2:10" ht="15.6" x14ac:dyDescent="0.3">
      <c r="B61" s="49" t="s">
        <v>271</v>
      </c>
      <c r="C61" s="49">
        <f>SAO!I29</f>
        <v>22497.66</v>
      </c>
      <c r="D61" s="265">
        <f t="shared" ref="D61:H61" si="37">$C61*D39</f>
        <v>1255.4299999999998</v>
      </c>
      <c r="E61" s="265">
        <f t="shared" si="37"/>
        <v>3010.79</v>
      </c>
      <c r="F61" s="265">
        <f t="shared" si="33"/>
        <v>7654.76</v>
      </c>
      <c r="G61" s="265">
        <f t="shared" si="37"/>
        <v>6832.619999999999</v>
      </c>
      <c r="H61" s="265">
        <f t="shared" si="37"/>
        <v>3744.06</v>
      </c>
      <c r="I61" s="49">
        <f t="shared" si="25"/>
        <v>22497.66</v>
      </c>
      <c r="J61" s="49"/>
    </row>
    <row r="62" spans="2:10" ht="15.6" x14ac:dyDescent="0.3">
      <c r="B62" s="49" t="s">
        <v>272</v>
      </c>
      <c r="C62" s="49">
        <f>C18</f>
        <v>56382.73</v>
      </c>
      <c r="D62" s="265">
        <f t="shared" ref="D62:H62" si="38">$C62*D40</f>
        <v>17620.32</v>
      </c>
      <c r="E62" s="265">
        <f t="shared" si="38"/>
        <v>5340.18</v>
      </c>
      <c r="F62" s="265">
        <f t="shared" si="33"/>
        <v>13577.06</v>
      </c>
      <c r="G62" s="265">
        <f t="shared" si="38"/>
        <v>0</v>
      </c>
      <c r="H62" s="265">
        <f t="shared" si="38"/>
        <v>19845.169999999998</v>
      </c>
      <c r="I62" s="49">
        <f t="shared" si="25"/>
        <v>56382.729999999996</v>
      </c>
      <c r="J62" s="49"/>
    </row>
    <row r="63" spans="2:10" ht="15.6" x14ac:dyDescent="0.3">
      <c r="B63" s="49" t="s">
        <v>174</v>
      </c>
      <c r="C63" s="49">
        <f>SAO!I30</f>
        <v>9496.34</v>
      </c>
      <c r="D63" s="265">
        <f t="shared" ref="D63:H63" si="39">$C63*D41</f>
        <v>0</v>
      </c>
      <c r="E63" s="265">
        <f t="shared" si="39"/>
        <v>0</v>
      </c>
      <c r="F63" s="265">
        <f t="shared" si="33"/>
        <v>0</v>
      </c>
      <c r="G63" s="265">
        <f t="shared" si="39"/>
        <v>0</v>
      </c>
      <c r="H63" s="265">
        <f t="shared" si="39"/>
        <v>9496.34</v>
      </c>
      <c r="I63" s="49">
        <f t="shared" si="25"/>
        <v>9496.34</v>
      </c>
      <c r="J63" s="49"/>
    </row>
    <row r="64" spans="2:10" ht="15.6" x14ac:dyDescent="0.3">
      <c r="B64" s="49" t="s">
        <v>175</v>
      </c>
      <c r="C64" s="49">
        <f>SAO!I31</f>
        <v>10082.57</v>
      </c>
      <c r="D64" s="265">
        <f t="shared" ref="D64:H64" si="40">$C64*D42</f>
        <v>0</v>
      </c>
      <c r="E64" s="265">
        <f t="shared" si="40"/>
        <v>0</v>
      </c>
      <c r="F64" s="265">
        <f t="shared" si="33"/>
        <v>0</v>
      </c>
      <c r="G64" s="265">
        <f t="shared" si="40"/>
        <v>10082.57</v>
      </c>
      <c r="H64" s="265">
        <f t="shared" si="40"/>
        <v>0</v>
      </c>
      <c r="I64" s="49">
        <f t="shared" si="25"/>
        <v>10082.57</v>
      </c>
      <c r="J64" s="49"/>
    </row>
    <row r="65" spans="2:10" ht="17.399999999999999" x14ac:dyDescent="0.45">
      <c r="B65" s="49" t="s">
        <v>273</v>
      </c>
      <c r="C65" s="124">
        <f>SAO!I32</f>
        <v>134331.20000000001</v>
      </c>
      <c r="D65" s="266">
        <f t="shared" ref="D65:H65" si="41">$C65*D43</f>
        <v>0</v>
      </c>
      <c r="E65" s="266">
        <f t="shared" si="41"/>
        <v>0</v>
      </c>
      <c r="F65" s="266">
        <f t="shared" si="33"/>
        <v>593.55897322112833</v>
      </c>
      <c r="G65" s="266">
        <f>$C65*G43</f>
        <v>10629.872544656999</v>
      </c>
      <c r="H65" s="266">
        <f t="shared" si="41"/>
        <v>123107.7684821219</v>
      </c>
      <c r="I65" s="124">
        <f t="shared" si="25"/>
        <v>134331.20000000004</v>
      </c>
      <c r="J65" s="49"/>
    </row>
    <row r="66" spans="2:10" ht="15.6" x14ac:dyDescent="0.3">
      <c r="B66" s="49" t="s">
        <v>148</v>
      </c>
      <c r="C66" s="49">
        <f t="shared" ref="C66:I66" si="42">SUM(C48:C65)</f>
        <v>4836088.473782097</v>
      </c>
      <c r="D66" s="49">
        <f t="shared" si="42"/>
        <v>323060.90288947267</v>
      </c>
      <c r="E66" s="49">
        <f t="shared" si="42"/>
        <v>1055295.8625910087</v>
      </c>
      <c r="F66" s="49">
        <f t="shared" si="42"/>
        <v>1529480.2964916141</v>
      </c>
      <c r="G66" s="49">
        <f t="shared" si="42"/>
        <v>971552.46717565274</v>
      </c>
      <c r="H66" s="49">
        <f t="shared" si="42"/>
        <v>956698.94463434722</v>
      </c>
      <c r="I66" s="49">
        <f t="shared" si="42"/>
        <v>4836088.473782097</v>
      </c>
      <c r="J66" s="49">
        <f>SUM(D66:H66)</f>
        <v>4836088.4737820961</v>
      </c>
    </row>
    <row r="67" spans="2:10" ht="17.399999999999999" x14ac:dyDescent="0.45">
      <c r="B67" s="175" t="s">
        <v>276</v>
      </c>
      <c r="C67" s="124">
        <f>SAO!I35</f>
        <v>1046642.7538728715</v>
      </c>
      <c r="D67" s="49"/>
      <c r="E67" s="49"/>
      <c r="F67" s="49"/>
      <c r="G67" s="49"/>
      <c r="H67" s="49"/>
      <c r="I67" s="49"/>
      <c r="J67" s="49"/>
    </row>
    <row r="68" spans="2:10" ht="15.6" x14ac:dyDescent="0.3">
      <c r="B68" s="49"/>
      <c r="C68" s="49">
        <f>C66+C67</f>
        <v>5882731.2276549684</v>
      </c>
      <c r="D68" s="49"/>
      <c r="G68" s="49"/>
      <c r="H68" s="49"/>
      <c r="I68" s="49"/>
      <c r="J68" s="49"/>
    </row>
    <row r="69" spans="2:10" ht="15.6" x14ac:dyDescent="0.3">
      <c r="B69" s="49"/>
      <c r="C69" s="49"/>
      <c r="D69" s="49"/>
      <c r="E69" s="49"/>
      <c r="F69" s="49"/>
      <c r="G69" s="49"/>
      <c r="H69" s="49"/>
      <c r="J69" s="49"/>
    </row>
    <row r="70" spans="2:10" ht="15.6" x14ac:dyDescent="0.3">
      <c r="B70" s="49"/>
      <c r="C70" s="49"/>
      <c r="D70" s="49"/>
      <c r="E70" s="49">
        <f>D66+E66</f>
        <v>1378356.7654804813</v>
      </c>
      <c r="F70" s="49">
        <f>SUM(D48:E65)</f>
        <v>1378356.7654804816</v>
      </c>
      <c r="G70" s="49"/>
      <c r="H70" s="49"/>
      <c r="I70" s="49">
        <f>SUM(I59:I62)</f>
        <v>111811.08</v>
      </c>
      <c r="J70" s="49"/>
    </row>
    <row r="71" spans="2:10" ht="15.6" x14ac:dyDescent="0.3">
      <c r="B71" s="49"/>
      <c r="C71" s="49"/>
      <c r="D71" s="49"/>
      <c r="E71" s="49"/>
      <c r="F71" s="49"/>
      <c r="G71" s="49"/>
      <c r="H71" s="49"/>
      <c r="I71" s="49"/>
      <c r="J71" s="49"/>
    </row>
    <row r="72" spans="2:10" ht="15.6" x14ac:dyDescent="0.3">
      <c r="B72" s="49"/>
      <c r="C72" s="49"/>
      <c r="D72" s="49"/>
      <c r="E72" s="49"/>
      <c r="F72" s="49"/>
      <c r="G72" s="49"/>
      <c r="H72" s="49"/>
      <c r="I72" s="49"/>
      <c r="J72" s="49"/>
    </row>
    <row r="73" spans="2:10" ht="15.6" x14ac:dyDescent="0.3">
      <c r="B73" s="49"/>
      <c r="C73" s="49"/>
      <c r="D73" s="49"/>
      <c r="E73" s="49"/>
      <c r="F73" s="49"/>
      <c r="G73" s="49"/>
      <c r="H73" s="49"/>
      <c r="I73" s="49"/>
      <c r="J73" s="49"/>
    </row>
  </sheetData>
  <printOptions horizontalCentered="1"/>
  <pageMargins left="0.45" right="0.45" top="0.5" bottom="0.5" header="0.3" footer="0.3"/>
  <pageSetup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L111"/>
  <sheetViews>
    <sheetView zoomScaleNormal="100" workbookViewId="0">
      <selection activeCell="E16" sqref="E16"/>
    </sheetView>
  </sheetViews>
  <sheetFormatPr defaultColWidth="8.90625" defaultRowHeight="14.4" x14ac:dyDescent="0.3"/>
  <cols>
    <col min="1" max="1" width="8.90625" style="1"/>
    <col min="2" max="2" width="1.81640625" style="1" customWidth="1"/>
    <col min="3" max="3" width="3.08984375" style="1" customWidth="1"/>
    <col min="4" max="4" width="20" style="1" customWidth="1"/>
    <col min="5" max="8" width="10.81640625" style="1" customWidth="1"/>
    <col min="9" max="9" width="1.81640625" style="1" customWidth="1"/>
    <col min="10" max="10" width="10.6328125" style="269" customWidth="1"/>
    <col min="11" max="11" width="10.6328125" style="1" customWidth="1"/>
    <col min="12" max="16384" width="8.90625" style="1"/>
  </cols>
  <sheetData>
    <row r="2" spans="2:11" ht="8.1" customHeight="1" x14ac:dyDescent="0.3">
      <c r="B2" s="103"/>
      <c r="C2" s="104"/>
      <c r="D2" s="104"/>
      <c r="E2" s="104"/>
      <c r="F2" s="104"/>
      <c r="G2" s="104"/>
      <c r="H2" s="104"/>
      <c r="I2" s="105"/>
    </row>
    <row r="3" spans="2:11" ht="20.25" customHeight="1" x14ac:dyDescent="0.35">
      <c r="B3" s="106"/>
      <c r="C3" s="620" t="s">
        <v>106</v>
      </c>
      <c r="D3" s="620"/>
      <c r="E3" s="620"/>
      <c r="F3" s="620"/>
      <c r="G3" s="620"/>
      <c r="H3" s="620"/>
      <c r="I3" s="345"/>
    </row>
    <row r="4" spans="2:11" ht="18" x14ac:dyDescent="0.35">
      <c r="B4" s="106"/>
      <c r="C4" s="3" t="s">
        <v>31</v>
      </c>
      <c r="D4" s="4"/>
      <c r="E4" s="4"/>
      <c r="F4" s="4"/>
      <c r="G4" s="4"/>
      <c r="H4" s="4"/>
      <c r="I4" s="88"/>
      <c r="K4" s="7"/>
    </row>
    <row r="5" spans="2:11" ht="15.6" x14ac:dyDescent="0.3">
      <c r="B5" s="106"/>
      <c r="C5" s="621" t="s">
        <v>331</v>
      </c>
      <c r="D5" s="621"/>
      <c r="E5" s="621"/>
      <c r="F5" s="621"/>
      <c r="G5" s="621"/>
      <c r="H5" s="621"/>
      <c r="I5" s="220"/>
      <c r="K5" s="7"/>
    </row>
    <row r="6" spans="2:11" ht="15.6" x14ac:dyDescent="0.3">
      <c r="B6" s="117"/>
      <c r="C6" s="349"/>
      <c r="D6" s="349"/>
      <c r="E6" s="349"/>
      <c r="F6" s="349"/>
      <c r="G6" s="349"/>
      <c r="H6" s="349"/>
      <c r="I6" s="351"/>
      <c r="K6" s="7"/>
    </row>
    <row r="7" spans="2:11" ht="15.6" x14ac:dyDescent="0.3">
      <c r="B7" s="106"/>
      <c r="C7" s="98"/>
      <c r="D7" s="4"/>
      <c r="E7" s="4"/>
      <c r="F7" s="4"/>
      <c r="G7" s="4"/>
      <c r="H7" s="4"/>
      <c r="I7" s="88"/>
      <c r="K7" s="7"/>
    </row>
    <row r="8" spans="2:11" ht="15" customHeight="1" x14ac:dyDescent="0.3">
      <c r="B8" s="106"/>
      <c r="D8" s="7"/>
      <c r="E8" s="54" t="s">
        <v>111</v>
      </c>
      <c r="F8" s="54" t="s">
        <v>32</v>
      </c>
      <c r="G8" s="54" t="s">
        <v>33</v>
      </c>
      <c r="H8" s="54" t="s">
        <v>35</v>
      </c>
      <c r="I8" s="108"/>
      <c r="J8" s="270"/>
      <c r="K8" s="54"/>
    </row>
    <row r="9" spans="2:11" x14ac:dyDescent="0.3">
      <c r="B9" s="106"/>
      <c r="D9" s="7"/>
      <c r="E9" s="54" t="s">
        <v>172</v>
      </c>
      <c r="F9" s="54" t="s">
        <v>34</v>
      </c>
      <c r="G9" s="54" t="s">
        <v>32</v>
      </c>
      <c r="H9" s="54" t="s">
        <v>32</v>
      </c>
      <c r="I9" s="108"/>
      <c r="J9" s="270"/>
      <c r="K9" s="54"/>
    </row>
    <row r="10" spans="2:11" x14ac:dyDescent="0.3">
      <c r="B10" s="106"/>
      <c r="C10" s="1" t="s">
        <v>36</v>
      </c>
      <c r="D10" s="7"/>
      <c r="E10" s="7"/>
      <c r="F10" s="7"/>
      <c r="G10" s="7"/>
      <c r="H10" s="7"/>
      <c r="I10" s="109"/>
      <c r="K10" s="7"/>
    </row>
    <row r="11" spans="2:11" x14ac:dyDescent="0.3">
      <c r="B11" s="106"/>
      <c r="D11" s="7" t="s">
        <v>463</v>
      </c>
      <c r="E11" s="420">
        <f>mtrx!D48+mtrx!E48</f>
        <v>344501.30945008434</v>
      </c>
      <c r="F11" s="110">
        <f>Fac!$I$34</f>
        <v>0.26184397943831389</v>
      </c>
      <c r="G11" s="15">
        <f>E11*F11</f>
        <v>90205.593788120095</v>
      </c>
      <c r="H11" s="15">
        <f>E11-G11</f>
        <v>254295.71566196426</v>
      </c>
      <c r="I11" s="109"/>
      <c r="J11" s="271"/>
      <c r="K11" s="7"/>
    </row>
    <row r="12" spans="2:11" x14ac:dyDescent="0.3">
      <c r="B12" s="106"/>
      <c r="D12" s="7" t="s">
        <v>38</v>
      </c>
      <c r="E12" s="420">
        <f>mtrx!F48</f>
        <v>618128.62260727817</v>
      </c>
      <c r="F12" s="110">
        <f>Fac!$I$38</f>
        <v>9.0950906738775442E-2</v>
      </c>
      <c r="G12" s="15">
        <f>E12*F12</f>
        <v>56219.358707322281</v>
      </c>
      <c r="H12" s="15">
        <f>E12-G12</f>
        <v>561909.2638999559</v>
      </c>
      <c r="I12" s="109"/>
      <c r="J12" s="271"/>
      <c r="K12" s="7"/>
    </row>
    <row r="13" spans="2:11" x14ac:dyDescent="0.3">
      <c r="B13" s="106"/>
      <c r="D13" s="7" t="s">
        <v>37</v>
      </c>
      <c r="E13" s="420">
        <f>mtrx!G48</f>
        <v>551740.36766498047</v>
      </c>
      <c r="F13" s="7"/>
      <c r="G13" s="15">
        <f>E13*F13</f>
        <v>0</v>
      </c>
      <c r="H13" s="15">
        <f>E13-G13</f>
        <v>551740.36766498047</v>
      </c>
      <c r="I13" s="109"/>
      <c r="J13" s="271"/>
      <c r="K13" s="7"/>
    </row>
    <row r="14" spans="2:11" x14ac:dyDescent="0.3">
      <c r="B14" s="106"/>
      <c r="D14" s="7" t="s">
        <v>39</v>
      </c>
      <c r="E14" s="420">
        <f>mtrx!H48</f>
        <v>302357.63920989353</v>
      </c>
      <c r="F14" s="110">
        <f>Fac!$I$42</f>
        <v>0.28312766747077378</v>
      </c>
      <c r="G14" s="15">
        <f>E14*F14</f>
        <v>85605.81313146693</v>
      </c>
      <c r="H14" s="15">
        <f>E14-G14</f>
        <v>216751.82607842662</v>
      </c>
      <c r="I14" s="109"/>
      <c r="J14" s="271">
        <f>SUM(H11:H14)</f>
        <v>1584697.1733053271</v>
      </c>
      <c r="K14" s="7"/>
    </row>
    <row r="15" spans="2:11" x14ac:dyDescent="0.3">
      <c r="B15" s="106"/>
      <c r="C15" s="1" t="s">
        <v>40</v>
      </c>
      <c r="D15" s="7"/>
      <c r="E15" s="420"/>
      <c r="F15" s="7"/>
      <c r="G15" s="15"/>
      <c r="H15" s="15"/>
      <c r="I15" s="109"/>
      <c r="J15" s="271"/>
      <c r="K15" s="7"/>
    </row>
    <row r="16" spans="2:11" x14ac:dyDescent="0.3">
      <c r="B16" s="106"/>
      <c r="D16" s="7" t="s">
        <v>463</v>
      </c>
      <c r="E16" s="420">
        <f>mtrx!D50+mtrx!E50</f>
        <v>218210.81244525639</v>
      </c>
      <c r="F16" s="110">
        <f>Fac!$I$34</f>
        <v>0.26184397943831389</v>
      </c>
      <c r="G16" s="15">
        <f t="shared" ref="G16:G20" si="0">E16*F16</f>
        <v>57137.18748713348</v>
      </c>
      <c r="H16" s="15">
        <f>E16-G16</f>
        <v>161073.62495812291</v>
      </c>
      <c r="I16" s="109"/>
      <c r="J16" s="271"/>
      <c r="K16" s="7"/>
    </row>
    <row r="17" spans="2:11" x14ac:dyDescent="0.3">
      <c r="B17" s="106"/>
      <c r="D17" s="7" t="s">
        <v>38</v>
      </c>
      <c r="E17" s="420">
        <f>mtrx!F50</f>
        <v>391529.3149707538</v>
      </c>
      <c r="F17" s="110">
        <f>Fac!$I$38</f>
        <v>9.0950906738775442E-2</v>
      </c>
      <c r="G17" s="15">
        <f t="shared" si="0"/>
        <v>35609.946211401664</v>
      </c>
      <c r="H17" s="15">
        <f t="shared" ref="H17:H20" si="1">E17-G17</f>
        <v>355919.36875935213</v>
      </c>
      <c r="I17" s="109"/>
      <c r="J17" s="271"/>
      <c r="K17" s="7"/>
    </row>
    <row r="18" spans="2:11" x14ac:dyDescent="0.3">
      <c r="B18" s="106"/>
      <c r="D18" s="7" t="s">
        <v>37</v>
      </c>
      <c r="E18" s="420">
        <f>mtrx!G50</f>
        <v>349478.26811548288</v>
      </c>
      <c r="F18" s="7"/>
      <c r="G18" s="15">
        <f>E18*F18</f>
        <v>0</v>
      </c>
      <c r="H18" s="15">
        <f>E18-G18</f>
        <v>349478.26811548288</v>
      </c>
      <c r="I18" s="109"/>
      <c r="J18" s="271"/>
      <c r="K18" s="7"/>
    </row>
    <row r="19" spans="2:11" x14ac:dyDescent="0.3">
      <c r="B19" s="106"/>
      <c r="D19" s="7" t="s">
        <v>39</v>
      </c>
      <c r="E19" s="420">
        <f>mtrx!H50</f>
        <v>191502.73169739355</v>
      </c>
      <c r="F19" s="110">
        <f>Fac!$I$42</f>
        <v>0.28312766747077378</v>
      </c>
      <c r="G19" s="15">
        <f t="shared" si="0"/>
        <v>54219.721739764449</v>
      </c>
      <c r="H19" s="15">
        <f t="shared" si="1"/>
        <v>137283.00995762911</v>
      </c>
      <c r="I19" s="109"/>
      <c r="J19" s="271">
        <f>SUM(H16:H19)</f>
        <v>1003754.271790587</v>
      </c>
      <c r="K19" s="7"/>
    </row>
    <row r="20" spans="2:11" x14ac:dyDescent="0.3">
      <c r="B20" s="106"/>
      <c r="C20" s="1" t="s">
        <v>154</v>
      </c>
      <c r="D20" s="7"/>
      <c r="E20" s="420">
        <f>mtrx!C49</f>
        <v>30200</v>
      </c>
      <c r="F20" s="110">
        <f>Fac!$I$42</f>
        <v>0.28312766747077378</v>
      </c>
      <c r="G20" s="15">
        <f t="shared" si="0"/>
        <v>8550.455557617368</v>
      </c>
      <c r="H20" s="15">
        <f t="shared" si="1"/>
        <v>21649.544442382634</v>
      </c>
      <c r="I20" s="109"/>
      <c r="J20" s="272">
        <f>H20</f>
        <v>21649.544442382634</v>
      </c>
      <c r="K20" s="7"/>
    </row>
    <row r="21" spans="2:11" x14ac:dyDescent="0.3">
      <c r="B21" s="106"/>
      <c r="C21" s="1" t="s">
        <v>4</v>
      </c>
      <c r="D21" s="7"/>
      <c r="E21" s="420"/>
      <c r="F21" s="7"/>
      <c r="G21" s="15"/>
      <c r="H21" s="15"/>
      <c r="I21" s="109"/>
      <c r="J21" s="271"/>
      <c r="K21" s="7"/>
    </row>
    <row r="22" spans="2:11" x14ac:dyDescent="0.3">
      <c r="B22" s="106"/>
      <c r="D22" s="7" t="s">
        <v>463</v>
      </c>
      <c r="E22" s="420">
        <f>mtrx!D51+mtrx!E51</f>
        <v>339109.15750398062</v>
      </c>
      <c r="F22" s="110">
        <f>Fac!$I$34</f>
        <v>0.26184397943831389</v>
      </c>
      <c r="G22" s="15">
        <f>E22*F22</f>
        <v>88793.691264816254</v>
      </c>
      <c r="H22" s="15">
        <f>E22-G22</f>
        <v>250315.46623916435</v>
      </c>
      <c r="I22" s="109"/>
      <c r="J22" s="271"/>
      <c r="K22" s="7"/>
    </row>
    <row r="23" spans="2:11" x14ac:dyDescent="0.3">
      <c r="B23" s="106"/>
      <c r="D23" s="7" t="s">
        <v>38</v>
      </c>
      <c r="E23" s="420">
        <f>mtrx!F51</f>
        <v>151985.78531233146</v>
      </c>
      <c r="F23" s="110">
        <f>Fac!$I$38</f>
        <v>9.0950906738775442E-2</v>
      </c>
      <c r="G23" s="15">
        <f>E23*F23</f>
        <v>13823.244985561405</v>
      </c>
      <c r="H23" s="15">
        <f>E23-G23</f>
        <v>138162.54032677005</v>
      </c>
      <c r="I23" s="109"/>
      <c r="J23" s="271"/>
      <c r="K23" s="7"/>
    </row>
    <row r="24" spans="2:11" x14ac:dyDescent="0.3">
      <c r="B24" s="106"/>
      <c r="D24" s="7" t="s">
        <v>37</v>
      </c>
      <c r="E24" s="420">
        <f>mtrx!G51</f>
        <v>0</v>
      </c>
      <c r="F24" s="7"/>
      <c r="G24" s="15">
        <f>E24*F24</f>
        <v>0</v>
      </c>
      <c r="H24" s="15">
        <f>E24-G24</f>
        <v>0</v>
      </c>
      <c r="I24" s="109"/>
      <c r="J24" s="271"/>
      <c r="K24" s="7"/>
    </row>
    <row r="25" spans="2:11" x14ac:dyDescent="0.3">
      <c r="B25" s="106"/>
      <c r="D25" s="7" t="s">
        <v>39</v>
      </c>
      <c r="E25" s="420">
        <f>mtrx!H51</f>
        <v>35100.917183687889</v>
      </c>
      <c r="F25" s="110">
        <f>Fac!I42</f>
        <v>0.28312766747077378</v>
      </c>
      <c r="G25" s="15">
        <f>E25*F25</f>
        <v>9938.040808302354</v>
      </c>
      <c r="H25" s="15">
        <f>E25-G25</f>
        <v>25162.876375385535</v>
      </c>
      <c r="I25" s="109"/>
      <c r="J25" s="271">
        <f>SUM(H22:H25)</f>
        <v>413640.88294131996</v>
      </c>
      <c r="K25" s="7"/>
    </row>
    <row r="26" spans="2:11" x14ac:dyDescent="0.3">
      <c r="B26" s="106"/>
      <c r="C26" s="1" t="s">
        <v>30</v>
      </c>
      <c r="D26" s="7"/>
      <c r="E26" s="420"/>
      <c r="F26" s="7"/>
      <c r="G26" s="15"/>
      <c r="H26" s="15"/>
      <c r="I26" s="109"/>
      <c r="J26" s="271"/>
      <c r="K26" s="7"/>
    </row>
    <row r="27" spans="2:11" x14ac:dyDescent="0.3">
      <c r="B27" s="106"/>
      <c r="D27" s="7" t="s">
        <v>463</v>
      </c>
      <c r="E27" s="420">
        <f>mtrx!D52+mtrx!E52</f>
        <v>381726.30835661525</v>
      </c>
      <c r="F27" s="110">
        <f>Fac!$I$34</f>
        <v>0.26184397943831389</v>
      </c>
      <c r="G27" s="15">
        <f>E27*F27</f>
        <v>99952.73563639303</v>
      </c>
      <c r="H27" s="15">
        <f t="shared" ref="H27:H30" si="2">E27-G27</f>
        <v>281773.57272022223</v>
      </c>
      <c r="I27" s="109"/>
      <c r="J27" s="271"/>
      <c r="K27" s="7"/>
    </row>
    <row r="28" spans="2:11" x14ac:dyDescent="0.3">
      <c r="B28" s="106"/>
      <c r="D28" s="7" t="s">
        <v>38</v>
      </c>
      <c r="E28" s="420">
        <f>mtrx!F52</f>
        <v>0</v>
      </c>
      <c r="F28" s="110">
        <f>Fac!$I$38</f>
        <v>9.0950906738775442E-2</v>
      </c>
      <c r="G28" s="15">
        <f>E28*F28</f>
        <v>0</v>
      </c>
      <c r="H28" s="15">
        <f t="shared" si="2"/>
        <v>0</v>
      </c>
      <c r="I28" s="109"/>
      <c r="J28" s="271"/>
      <c r="K28" s="7"/>
    </row>
    <row r="29" spans="2:11" x14ac:dyDescent="0.3">
      <c r="B29" s="106"/>
      <c r="D29" s="7" t="s">
        <v>37</v>
      </c>
      <c r="E29" s="420">
        <f>mtrx!G52</f>
        <v>0</v>
      </c>
      <c r="F29" s="7"/>
      <c r="G29" s="15">
        <f>E29*F29</f>
        <v>0</v>
      </c>
      <c r="H29" s="15">
        <f t="shared" si="2"/>
        <v>0</v>
      </c>
      <c r="I29" s="109"/>
      <c r="J29" s="271"/>
      <c r="K29" s="7"/>
    </row>
    <row r="30" spans="2:11" x14ac:dyDescent="0.3">
      <c r="B30" s="106"/>
      <c r="D30" s="7" t="s">
        <v>39</v>
      </c>
      <c r="E30" s="420">
        <f>mtrx!H52</f>
        <v>0</v>
      </c>
      <c r="F30" s="110">
        <f>Fac!$I$42</f>
        <v>0.28312766747077378</v>
      </c>
      <c r="G30" s="15">
        <f>E30*F30</f>
        <v>0</v>
      </c>
      <c r="H30" s="15">
        <f t="shared" si="2"/>
        <v>0</v>
      </c>
      <c r="I30" s="109"/>
      <c r="J30" s="271">
        <f>SUM(H27:H30)</f>
        <v>281773.57272022223</v>
      </c>
      <c r="K30" s="7"/>
    </row>
    <row r="31" spans="2:11" x14ac:dyDescent="0.3">
      <c r="B31" s="106"/>
      <c r="C31" s="1" t="s">
        <v>41</v>
      </c>
      <c r="D31" s="7"/>
      <c r="E31" s="420"/>
      <c r="F31" s="7"/>
      <c r="G31" s="15"/>
      <c r="H31" s="15"/>
      <c r="I31" s="109"/>
      <c r="J31" s="271"/>
      <c r="K31" s="7"/>
    </row>
    <row r="32" spans="2:11" x14ac:dyDescent="0.3">
      <c r="B32" s="106"/>
      <c r="D32" s="7" t="s">
        <v>463</v>
      </c>
      <c r="E32" s="420">
        <f>mtrx!D53+mtrx!E53</f>
        <v>1691.6777245446547</v>
      </c>
      <c r="F32" s="110">
        <f>Fac!$I$34</f>
        <v>0.26184397943831389</v>
      </c>
      <c r="G32" s="15">
        <f t="shared" ref="G32:G39" si="3">E32*F32</f>
        <v>442.95562732192417</v>
      </c>
      <c r="H32" s="15">
        <f t="shared" ref="H32:H39" si="4">E32-G32</f>
        <v>1248.7220972227306</v>
      </c>
      <c r="I32" s="109"/>
      <c r="J32" s="271"/>
      <c r="K32" s="7"/>
    </row>
    <row r="33" spans="2:11" x14ac:dyDescent="0.3">
      <c r="B33" s="106"/>
      <c r="D33" s="7" t="s">
        <v>38</v>
      </c>
      <c r="E33" s="420">
        <f>mtrx!F53</f>
        <v>291359.14462802955</v>
      </c>
      <c r="F33" s="110">
        <f>Fac!$I$38</f>
        <v>9.0950906738775442E-2</v>
      </c>
      <c r="G33" s="15">
        <f t="shared" si="3"/>
        <v>26499.378390553302</v>
      </c>
      <c r="H33" s="15">
        <f t="shared" si="4"/>
        <v>264859.76623747626</v>
      </c>
      <c r="I33" s="109"/>
      <c r="J33" s="271"/>
      <c r="K33" s="7"/>
    </row>
    <row r="34" spans="2:11" x14ac:dyDescent="0.3">
      <c r="B34" s="106"/>
      <c r="D34" s="7" t="s">
        <v>37</v>
      </c>
      <c r="E34" s="420">
        <f>mtrx!G53</f>
        <v>1151.6988505325307</v>
      </c>
      <c r="F34" s="7"/>
      <c r="G34" s="15">
        <f t="shared" si="3"/>
        <v>0</v>
      </c>
      <c r="H34" s="15">
        <f t="shared" si="4"/>
        <v>1151.6988505325307</v>
      </c>
      <c r="I34" s="109"/>
      <c r="J34" s="271"/>
      <c r="K34" s="7"/>
    </row>
    <row r="35" spans="2:11" x14ac:dyDescent="0.3">
      <c r="B35" s="106"/>
      <c r="D35" s="7" t="s">
        <v>39</v>
      </c>
      <c r="E35" s="420">
        <f>mtrx!H53</f>
        <v>64865.538061250358</v>
      </c>
      <c r="F35" s="110">
        <f>Fac!$I$42</f>
        <v>0.28312766747077378</v>
      </c>
      <c r="G35" s="15">
        <f t="shared" si="3"/>
        <v>18365.228490518512</v>
      </c>
      <c r="H35" s="15">
        <f t="shared" si="4"/>
        <v>46500.309570731843</v>
      </c>
      <c r="I35" s="109"/>
      <c r="J35" s="271">
        <f>SUM(H32:H35)</f>
        <v>313760.49675596337</v>
      </c>
      <c r="K35" s="7"/>
    </row>
    <row r="36" spans="2:11" x14ac:dyDescent="0.3">
      <c r="B36" s="106"/>
      <c r="C36" s="1" t="s">
        <v>48</v>
      </c>
      <c r="D36" s="7"/>
      <c r="E36" s="420">
        <f>mtrx!H54+mtrx!H55</f>
        <v>103086.8</v>
      </c>
      <c r="F36" s="110">
        <f>Fac!$I$42</f>
        <v>0.28312766747077378</v>
      </c>
      <c r="G36" s="15">
        <f t="shared" si="3"/>
        <v>29186.725231026165</v>
      </c>
      <c r="H36" s="15">
        <f t="shared" si="4"/>
        <v>73900.074768973835</v>
      </c>
      <c r="I36" s="109"/>
      <c r="J36" s="272">
        <f>H36</f>
        <v>73900.074768973835</v>
      </c>
      <c r="K36" s="7"/>
    </row>
    <row r="37" spans="2:11" x14ac:dyDescent="0.3">
      <c r="B37" s="106"/>
      <c r="C37" s="1" t="s">
        <v>422</v>
      </c>
      <c r="D37" s="7"/>
      <c r="E37" s="420"/>
      <c r="F37" s="110"/>
      <c r="G37" s="15"/>
      <c r="H37" s="15"/>
      <c r="I37" s="109"/>
      <c r="J37" s="271"/>
      <c r="K37" s="7"/>
    </row>
    <row r="38" spans="2:11" x14ac:dyDescent="0.3">
      <c r="B38" s="106"/>
      <c r="D38" s="7" t="s">
        <v>463</v>
      </c>
      <c r="E38" s="420">
        <f>mtrx!D56+mtrx!E56</f>
        <v>39893</v>
      </c>
      <c r="F38" s="110">
        <f>Fac!$I$34</f>
        <v>0.26184397943831389</v>
      </c>
      <c r="G38" s="15">
        <f t="shared" ref="G38" si="5">E38*F38</f>
        <v>10445.741871732656</v>
      </c>
      <c r="H38" s="15">
        <f t="shared" ref="H38" si="6">E38-G38</f>
        <v>29447.258128267342</v>
      </c>
      <c r="I38" s="109"/>
      <c r="J38" s="271"/>
      <c r="K38" s="7"/>
    </row>
    <row r="39" spans="2:11" x14ac:dyDescent="0.3">
      <c r="B39" s="106"/>
      <c r="D39" s="7" t="s">
        <v>38</v>
      </c>
      <c r="E39" s="420">
        <f>mtrx!F56</f>
        <v>7635</v>
      </c>
      <c r="F39" s="110">
        <f>Fac!I38</f>
        <v>9.0950906738775442E-2</v>
      </c>
      <c r="G39" s="15">
        <f t="shared" si="3"/>
        <v>694.41017295055053</v>
      </c>
      <c r="H39" s="15">
        <f t="shared" si="4"/>
        <v>6940.589827049449</v>
      </c>
      <c r="I39" s="109"/>
      <c r="J39" s="272">
        <f>H38+H39+H40</f>
        <v>72644.533588504768</v>
      </c>
      <c r="K39" s="7"/>
    </row>
    <row r="40" spans="2:11" x14ac:dyDescent="0.3">
      <c r="B40" s="106"/>
      <c r="D40" s="7" t="s">
        <v>39</v>
      </c>
      <c r="E40" s="420">
        <f>mtrx!H56</f>
        <v>50576.210000000006</v>
      </c>
      <c r="F40" s="110">
        <f>Fac!$I$42</f>
        <v>0.28312766747077378</v>
      </c>
      <c r="G40" s="15">
        <f t="shared" ref="G40" si="7">E40*F40</f>
        <v>14319.524366812026</v>
      </c>
      <c r="H40" s="15">
        <f t="shared" ref="H40" si="8">E40-G40</f>
        <v>36256.685633187983</v>
      </c>
      <c r="I40" s="109"/>
      <c r="J40" s="271"/>
      <c r="K40" s="7"/>
    </row>
    <row r="41" spans="2:11" x14ac:dyDescent="0.3">
      <c r="B41" s="106"/>
      <c r="C41" s="1" t="s">
        <v>268</v>
      </c>
      <c r="D41" s="7"/>
      <c r="E41" s="420"/>
      <c r="F41" s="110"/>
      <c r="G41" s="15"/>
      <c r="H41" s="15"/>
      <c r="I41" s="109"/>
      <c r="J41" s="271"/>
      <c r="K41" s="7"/>
    </row>
    <row r="42" spans="2:11" x14ac:dyDescent="0.3">
      <c r="B42" s="106"/>
      <c r="D42" s="7" t="s">
        <v>38</v>
      </c>
      <c r="E42" s="420">
        <f>mtrx!F57</f>
        <v>370</v>
      </c>
      <c r="F42" s="110">
        <f>Fac!$I$38</f>
        <v>9.0950906738775442E-2</v>
      </c>
      <c r="G42" s="15">
        <f t="shared" ref="G42:G43" si="9">E42*F42</f>
        <v>33.651835493346915</v>
      </c>
      <c r="H42" s="15">
        <f t="shared" ref="H42:H43" si="10">E42-G42</f>
        <v>336.34816450665306</v>
      </c>
      <c r="I42" s="109"/>
      <c r="J42" s="271"/>
      <c r="K42" s="7"/>
    </row>
    <row r="43" spans="2:11" x14ac:dyDescent="0.3">
      <c r="B43" s="106"/>
      <c r="D43" s="7" t="s">
        <v>39</v>
      </c>
      <c r="E43" s="420">
        <f>mtrx!H57</f>
        <v>0</v>
      </c>
      <c r="F43" s="110">
        <f>Fac!$I$42</f>
        <v>0.28312766747077378</v>
      </c>
      <c r="G43" s="15">
        <f t="shared" si="9"/>
        <v>0</v>
      </c>
      <c r="H43" s="15">
        <f t="shared" si="10"/>
        <v>0</v>
      </c>
      <c r="I43" s="109"/>
      <c r="J43" s="271">
        <f>SUM(H42:H43)</f>
        <v>336.34816450665306</v>
      </c>
      <c r="K43" s="7"/>
    </row>
    <row r="44" spans="2:11" x14ac:dyDescent="0.3">
      <c r="B44" s="106"/>
      <c r="C44" s="1" t="s">
        <v>42</v>
      </c>
      <c r="D44" s="7"/>
      <c r="E44" s="420"/>
      <c r="F44" s="110"/>
      <c r="G44" s="15"/>
      <c r="H44" s="15"/>
      <c r="I44" s="109"/>
      <c r="J44" s="271"/>
      <c r="K44" s="7"/>
    </row>
    <row r="45" spans="2:11" x14ac:dyDescent="0.3">
      <c r="B45" s="106"/>
      <c r="D45" s="7" t="s">
        <v>463</v>
      </c>
      <c r="E45" s="420">
        <f>mtrx!D58+mtrx!E58</f>
        <v>19753.150000000001</v>
      </c>
      <c r="F45" s="110">
        <f>Fac!$I$34</f>
        <v>0.26184397943831389</v>
      </c>
      <c r="G45" s="15">
        <f t="shared" ref="G45" si="11">E45*F45</f>
        <v>5172.2434024419308</v>
      </c>
      <c r="H45" s="15">
        <f t="shared" ref="H45" si="12">E45-G45</f>
        <v>14580.906597558071</v>
      </c>
      <c r="I45" s="109"/>
      <c r="J45" s="271"/>
      <c r="K45" s="7"/>
    </row>
    <row r="46" spans="2:11" x14ac:dyDescent="0.3">
      <c r="B46" s="106"/>
      <c r="D46" s="7" t="s">
        <v>38</v>
      </c>
      <c r="E46" s="420">
        <f>mtrx!F58</f>
        <v>35442.490000000005</v>
      </c>
      <c r="F46" s="110">
        <f>Fac!$I$38</f>
        <v>9.0950906738775442E-2</v>
      </c>
      <c r="G46" s="15">
        <f t="shared" ref="G46:G48" si="13">E46*F46</f>
        <v>3223.5266025799815</v>
      </c>
      <c r="H46" s="15">
        <f t="shared" ref="H46:H48" si="14">E46-G46</f>
        <v>32218.963397420022</v>
      </c>
      <c r="I46" s="109"/>
      <c r="J46" s="271"/>
      <c r="K46" s="7"/>
    </row>
    <row r="47" spans="2:11" x14ac:dyDescent="0.3">
      <c r="B47" s="106"/>
      <c r="D47" s="7" t="s">
        <v>37</v>
      </c>
      <c r="E47" s="420">
        <f>mtrx!G58</f>
        <v>31635.900000000005</v>
      </c>
      <c r="F47" s="110"/>
      <c r="G47" s="15">
        <f t="shared" si="13"/>
        <v>0</v>
      </c>
      <c r="H47" s="15">
        <f t="shared" si="14"/>
        <v>31635.900000000005</v>
      </c>
      <c r="I47" s="109"/>
      <c r="J47" s="271"/>
      <c r="K47" s="7"/>
    </row>
    <row r="48" spans="2:11" x14ac:dyDescent="0.3">
      <c r="B48" s="106"/>
      <c r="D48" s="7" t="s">
        <v>39</v>
      </c>
      <c r="E48" s="420">
        <f>mtrx!H58</f>
        <v>17335.439999999999</v>
      </c>
      <c r="F48" s="110">
        <f>Fac!$I$42</f>
        <v>0.28312766747077378</v>
      </c>
      <c r="G48" s="15">
        <f t="shared" si="13"/>
        <v>4908.1426917795507</v>
      </c>
      <c r="H48" s="15">
        <f t="shared" si="14"/>
        <v>12427.297308220448</v>
      </c>
      <c r="I48" s="109"/>
      <c r="J48" s="271">
        <f>SUM(H45:H48)</f>
        <v>90863.067303198535</v>
      </c>
      <c r="K48" s="7"/>
    </row>
    <row r="49" spans="2:11" x14ac:dyDescent="0.3">
      <c r="B49" s="106"/>
      <c r="C49" s="1" t="s">
        <v>426</v>
      </c>
      <c r="D49" s="7"/>
      <c r="E49" s="420"/>
      <c r="F49" s="110"/>
      <c r="G49" s="15"/>
      <c r="H49" s="15"/>
      <c r="I49" s="109"/>
      <c r="J49" s="271"/>
      <c r="K49" s="7"/>
    </row>
    <row r="50" spans="2:11" x14ac:dyDescent="0.3">
      <c r="B50" s="106"/>
      <c r="D50" s="7" t="s">
        <v>463</v>
      </c>
      <c r="E50" s="420">
        <f>mtrx!D59+mtrx!E59</f>
        <v>2838.69</v>
      </c>
      <c r="F50" s="110">
        <f>Fac!$I$34</f>
        <v>0.26184397943831389</v>
      </c>
      <c r="G50" s="15">
        <f>E50*F50</f>
        <v>743.29388599174729</v>
      </c>
      <c r="H50" s="15">
        <f t="shared" ref="H50" si="15">E50-G50</f>
        <v>2095.3961140082529</v>
      </c>
      <c r="I50" s="109"/>
      <c r="J50" s="271"/>
      <c r="K50" s="7"/>
    </row>
    <row r="51" spans="2:11" x14ac:dyDescent="0.3">
      <c r="B51" s="106"/>
      <c r="D51" s="7" t="s">
        <v>38</v>
      </c>
      <c r="E51" s="420">
        <f>mtrx!F59</f>
        <v>5093.38</v>
      </c>
      <c r="F51" s="110">
        <f>Fac!$I$38</f>
        <v>9.0950906738775442E-2</v>
      </c>
      <c r="G51" s="15">
        <f t="shared" ref="G51:G53" si="16">E51*F51</f>
        <v>463.24752936514409</v>
      </c>
      <c r="H51" s="15">
        <f t="shared" ref="H51:H53" si="17">E51-G51</f>
        <v>4630.132470634856</v>
      </c>
      <c r="I51" s="109"/>
      <c r="J51" s="271"/>
      <c r="K51" s="7"/>
    </row>
    <row r="52" spans="2:11" x14ac:dyDescent="0.3">
      <c r="B52" s="106"/>
      <c r="D52" s="7" t="s">
        <v>37</v>
      </c>
      <c r="E52" s="420">
        <f>mtrx!G59</f>
        <v>4546.34</v>
      </c>
      <c r="F52" s="7"/>
      <c r="G52" s="15">
        <f t="shared" si="16"/>
        <v>0</v>
      </c>
      <c r="H52" s="15">
        <f t="shared" si="17"/>
        <v>4546.34</v>
      </c>
      <c r="I52" s="109"/>
      <c r="J52" s="271"/>
      <c r="K52" s="7"/>
    </row>
    <row r="53" spans="2:11" x14ac:dyDescent="0.3">
      <c r="B53" s="106"/>
      <c r="D53" s="7" t="s">
        <v>39</v>
      </c>
      <c r="E53" s="420">
        <f>mtrx!H59</f>
        <v>2491.25</v>
      </c>
      <c r="F53" s="110">
        <f>Fac!$I$42</f>
        <v>0.28312766747077378</v>
      </c>
      <c r="G53" s="15">
        <f t="shared" si="16"/>
        <v>705.34180158656523</v>
      </c>
      <c r="H53" s="15">
        <f t="shared" si="17"/>
        <v>1785.9081984134348</v>
      </c>
      <c r="I53" s="109"/>
      <c r="J53" s="271">
        <f>SUM(H50:H53)</f>
        <v>13057.776783056544</v>
      </c>
      <c r="K53" s="7"/>
    </row>
    <row r="54" spans="2:11" x14ac:dyDescent="0.3">
      <c r="B54" s="106"/>
      <c r="C54" s="1" t="s">
        <v>277</v>
      </c>
      <c r="D54" s="7"/>
      <c r="E54" s="420"/>
      <c r="F54" s="110"/>
      <c r="G54" s="15"/>
      <c r="H54" s="15"/>
      <c r="I54" s="109"/>
      <c r="J54" s="271"/>
      <c r="K54" s="7"/>
    </row>
    <row r="55" spans="2:11" x14ac:dyDescent="0.3">
      <c r="B55" s="106"/>
      <c r="D55" s="7" t="s">
        <v>463</v>
      </c>
      <c r="E55" s="420">
        <f>mtrx!D60+mtrx!E60</f>
        <v>3405.94</v>
      </c>
      <c r="F55" s="110">
        <f>Fac!$I$34</f>
        <v>0.26184397943831389</v>
      </c>
      <c r="G55" s="15">
        <f>E55*F55</f>
        <v>891.8248833281308</v>
      </c>
      <c r="H55" s="15">
        <f t="shared" ref="H55" si="18">E55-G55</f>
        <v>2514.1151166718691</v>
      </c>
      <c r="I55" s="109"/>
      <c r="J55" s="271"/>
      <c r="K55" s="7"/>
    </row>
    <row r="56" spans="2:11" x14ac:dyDescent="0.3">
      <c r="B56" s="106"/>
      <c r="D56" s="7" t="s">
        <v>38</v>
      </c>
      <c r="E56" s="420">
        <f>mtrx!F60</f>
        <v>6111.1799999999994</v>
      </c>
      <c r="F56" s="110">
        <f>Fac!$I$38</f>
        <v>9.0950906738775442E-2</v>
      </c>
      <c r="G56" s="15">
        <f t="shared" ref="G56:G57" si="19">E56*F56</f>
        <v>555.81736224386964</v>
      </c>
      <c r="H56" s="15">
        <f t="shared" ref="H56:H57" si="20">E56-G56</f>
        <v>5555.3626377561295</v>
      </c>
      <c r="I56" s="109"/>
      <c r="J56" s="271"/>
      <c r="K56" s="7"/>
    </row>
    <row r="57" spans="2:11" x14ac:dyDescent="0.3">
      <c r="B57" s="106"/>
      <c r="D57" s="7" t="s">
        <v>37</v>
      </c>
      <c r="E57" s="420">
        <f>mtrx!G60</f>
        <v>5454.83</v>
      </c>
      <c r="F57" s="7"/>
      <c r="G57" s="15">
        <f t="shared" si="19"/>
        <v>0</v>
      </c>
      <c r="H57" s="15">
        <f t="shared" si="20"/>
        <v>5454.83</v>
      </c>
      <c r="I57" s="109"/>
      <c r="J57" s="271"/>
      <c r="K57" s="7"/>
    </row>
    <row r="58" spans="2:11" x14ac:dyDescent="0.3">
      <c r="B58" s="106"/>
      <c r="D58" s="7" t="s">
        <v>39</v>
      </c>
      <c r="E58" s="420">
        <f>mtrx!H60</f>
        <v>2989.08</v>
      </c>
      <c r="F58" s="110">
        <f>Fac!$I$42</f>
        <v>0.28312766747077378</v>
      </c>
      <c r="G58" s="15">
        <f t="shared" ref="G58" si="21">E58*F58</f>
        <v>846.29124828354043</v>
      </c>
      <c r="H58" s="15">
        <f t="shared" ref="H58" si="22">E58-G58</f>
        <v>2142.7887517164595</v>
      </c>
      <c r="I58" s="109"/>
      <c r="J58" s="271">
        <f>SUM(H55:H58)</f>
        <v>15667.096506144459</v>
      </c>
      <c r="K58" s="7"/>
    </row>
    <row r="59" spans="2:11" x14ac:dyDescent="0.3">
      <c r="B59" s="106"/>
      <c r="C59" s="1" t="s">
        <v>156</v>
      </c>
      <c r="D59" s="7"/>
      <c r="E59" s="420"/>
      <c r="F59" s="7"/>
      <c r="G59" s="15"/>
      <c r="H59" s="15"/>
      <c r="I59" s="109"/>
      <c r="J59" s="271"/>
      <c r="K59" s="7"/>
    </row>
    <row r="60" spans="2:11" x14ac:dyDescent="0.3">
      <c r="B60" s="106"/>
      <c r="D60" s="7" t="s">
        <v>463</v>
      </c>
      <c r="E60" s="420">
        <f>mtrx!D61+mtrx!E61</f>
        <v>4266.2199999999993</v>
      </c>
      <c r="F60" s="110">
        <f>Fac!$I$34</f>
        <v>0.26184397943831389</v>
      </c>
      <c r="G60" s="15">
        <f>E60*F60</f>
        <v>1117.0840219593233</v>
      </c>
      <c r="H60" s="15">
        <f t="shared" ref="H60" si="23">E60-G60</f>
        <v>3149.135978040676</v>
      </c>
      <c r="I60" s="109"/>
      <c r="J60" s="271"/>
      <c r="K60" s="7"/>
    </row>
    <row r="61" spans="2:11" x14ac:dyDescent="0.3">
      <c r="B61" s="106"/>
      <c r="D61" s="7" t="s">
        <v>38</v>
      </c>
      <c r="E61" s="420">
        <f>mtrx!F61</f>
        <v>7654.76</v>
      </c>
      <c r="F61" s="110">
        <f>Fac!$I$38</f>
        <v>9.0950906738775442E-2</v>
      </c>
      <c r="G61" s="15">
        <f t="shared" ref="G61:G70" si="24">E61*F61</f>
        <v>696.20736286770875</v>
      </c>
      <c r="H61" s="15">
        <f t="shared" ref="H61:H70" si="25">E61-G61</f>
        <v>6958.5526371322912</v>
      </c>
      <c r="I61" s="109"/>
      <c r="J61" s="271"/>
      <c r="K61" s="7"/>
    </row>
    <row r="62" spans="2:11" x14ac:dyDescent="0.3">
      <c r="B62" s="106"/>
      <c r="D62" s="7" t="s">
        <v>37</v>
      </c>
      <c r="E62" s="420">
        <f>mtrx!G61</f>
        <v>6832.619999999999</v>
      </c>
      <c r="F62" s="7"/>
      <c r="G62" s="15">
        <f t="shared" si="24"/>
        <v>0</v>
      </c>
      <c r="H62" s="15">
        <f t="shared" si="25"/>
        <v>6832.619999999999</v>
      </c>
      <c r="I62" s="109"/>
      <c r="J62" s="271"/>
      <c r="K62" s="7"/>
    </row>
    <row r="63" spans="2:11" x14ac:dyDescent="0.3">
      <c r="B63" s="106"/>
      <c r="D63" s="7" t="s">
        <v>39</v>
      </c>
      <c r="E63" s="420">
        <f>mtrx!H61</f>
        <v>3744.06</v>
      </c>
      <c r="F63" s="110">
        <f>Fac!$I$42</f>
        <v>0.28312766747077378</v>
      </c>
      <c r="G63" s="15">
        <f t="shared" si="24"/>
        <v>1060.0469746706253</v>
      </c>
      <c r="H63" s="15">
        <f t="shared" si="25"/>
        <v>2684.0130253293746</v>
      </c>
      <c r="I63" s="109"/>
      <c r="J63" s="271">
        <f>SUM(H60:H63)</f>
        <v>19624.321640502341</v>
      </c>
      <c r="K63" s="7"/>
    </row>
    <row r="64" spans="2:11" x14ac:dyDescent="0.3">
      <c r="B64" s="106"/>
      <c r="C64" s="1" t="s">
        <v>425</v>
      </c>
      <c r="D64" s="7"/>
      <c r="E64" s="420"/>
      <c r="F64" s="110"/>
      <c r="G64" s="15"/>
      <c r="H64" s="15"/>
      <c r="I64" s="109"/>
      <c r="J64" s="271"/>
      <c r="K64" s="7"/>
    </row>
    <row r="65" spans="2:11" x14ac:dyDescent="0.3">
      <c r="B65" s="106"/>
      <c r="D65" s="7" t="s">
        <v>463</v>
      </c>
      <c r="E65" s="420">
        <f>mtrx!D62+mtrx!E62</f>
        <v>22960.5</v>
      </c>
      <c r="F65" s="110">
        <f>Fac!$I$34</f>
        <v>0.26184397943831389</v>
      </c>
      <c r="G65" s="15">
        <f>E65*F65</f>
        <v>6012.0686898934064</v>
      </c>
      <c r="H65" s="15">
        <f t="shared" ref="H65" si="26">E65-G65</f>
        <v>16948.431310106593</v>
      </c>
      <c r="I65" s="109"/>
      <c r="J65" s="271"/>
      <c r="K65" s="7"/>
    </row>
    <row r="66" spans="2:11" x14ac:dyDescent="0.3">
      <c r="B66" s="106"/>
      <c r="D66" s="7" t="s">
        <v>38</v>
      </c>
      <c r="E66" s="420">
        <f>mtrx!F62</f>
        <v>13577.06</v>
      </c>
      <c r="F66" s="110">
        <f>Fac!$I$38</f>
        <v>9.0950906738775442E-2</v>
      </c>
      <c r="G66" s="15">
        <f t="shared" ref="G66:G68" si="27">E66*F66</f>
        <v>1234.8459178467585</v>
      </c>
      <c r="H66" s="15">
        <f t="shared" ref="H66:H68" si="28">E66-G66</f>
        <v>12342.214082153241</v>
      </c>
      <c r="I66" s="109"/>
      <c r="J66" s="271"/>
      <c r="K66" s="7"/>
    </row>
    <row r="67" spans="2:11" x14ac:dyDescent="0.3">
      <c r="B67" s="106"/>
      <c r="D67" s="7" t="s">
        <v>37</v>
      </c>
      <c r="E67" s="420">
        <f>mtrx!G62</f>
        <v>0</v>
      </c>
      <c r="F67" s="7"/>
      <c r="G67" s="15">
        <f t="shared" si="27"/>
        <v>0</v>
      </c>
      <c r="H67" s="15">
        <f t="shared" si="28"/>
        <v>0</v>
      </c>
      <c r="I67" s="109"/>
      <c r="J67" s="271"/>
      <c r="K67" s="7"/>
    </row>
    <row r="68" spans="2:11" x14ac:dyDescent="0.3">
      <c r="B68" s="106"/>
      <c r="D68" s="7" t="s">
        <v>39</v>
      </c>
      <c r="E68" s="420">
        <f>mtrx!H62</f>
        <v>19845.169999999998</v>
      </c>
      <c r="F68" s="110">
        <f>Fac!$I$42</f>
        <v>0.28312766747077378</v>
      </c>
      <c r="G68" s="15">
        <f t="shared" si="27"/>
        <v>5618.7166926609752</v>
      </c>
      <c r="H68" s="15">
        <f t="shared" si="28"/>
        <v>14226.453307339023</v>
      </c>
      <c r="I68" s="109"/>
      <c r="J68" s="271">
        <f>SUM(H65:H68)</f>
        <v>43517.098699598857</v>
      </c>
      <c r="K68" s="7"/>
    </row>
    <row r="69" spans="2:11" x14ac:dyDescent="0.3">
      <c r="B69" s="106"/>
      <c r="C69" s="1" t="s">
        <v>174</v>
      </c>
      <c r="D69" s="7"/>
      <c r="E69" s="420">
        <f>mtrx!H63</f>
        <v>9496.34</v>
      </c>
      <c r="F69" s="110">
        <f>Fac!$I$42</f>
        <v>0.28312766747077378</v>
      </c>
      <c r="G69" s="15">
        <f t="shared" si="24"/>
        <v>2688.6765937094078</v>
      </c>
      <c r="H69" s="15">
        <f t="shared" si="25"/>
        <v>6807.6634062905923</v>
      </c>
      <c r="I69" s="109"/>
      <c r="J69" s="272">
        <f t="shared" ref="J69:J70" si="29">H69</f>
        <v>6807.6634062905923</v>
      </c>
      <c r="K69" s="7"/>
    </row>
    <row r="70" spans="2:11" x14ac:dyDescent="0.3">
      <c r="B70" s="106"/>
      <c r="C70" s="1" t="s">
        <v>175</v>
      </c>
      <c r="D70" s="7"/>
      <c r="E70" s="420">
        <f>mtrx!G64</f>
        <v>10082.57</v>
      </c>
      <c r="F70" s="110"/>
      <c r="G70" s="15">
        <f t="shared" si="24"/>
        <v>0</v>
      </c>
      <c r="H70" s="15">
        <f t="shared" si="25"/>
        <v>10082.57</v>
      </c>
      <c r="I70" s="109"/>
      <c r="J70" s="272">
        <f t="shared" si="29"/>
        <v>10082.57</v>
      </c>
      <c r="K70" s="7"/>
    </row>
    <row r="71" spans="2:11" x14ac:dyDescent="0.3">
      <c r="B71" s="106"/>
      <c r="C71" s="1" t="s">
        <v>157</v>
      </c>
      <c r="D71" s="7"/>
      <c r="E71" s="420"/>
      <c r="F71" s="7"/>
      <c r="G71" s="15"/>
      <c r="H71" s="15"/>
      <c r="I71" s="109"/>
      <c r="J71" s="271"/>
      <c r="K71" s="7"/>
    </row>
    <row r="72" spans="2:11" x14ac:dyDescent="0.3">
      <c r="B72" s="106"/>
      <c r="D72" s="7" t="s">
        <v>463</v>
      </c>
      <c r="E72" s="420">
        <f>mtrx!D65+mtrx!E65</f>
        <v>0</v>
      </c>
      <c r="F72" s="110">
        <f>Fac!$I$34</f>
        <v>0.26184397943831389</v>
      </c>
      <c r="G72" s="15">
        <f>E72*F72</f>
        <v>0</v>
      </c>
      <c r="H72" s="15">
        <f t="shared" ref="H72" si="30">E72-G72</f>
        <v>0</v>
      </c>
      <c r="I72" s="109"/>
      <c r="J72" s="271"/>
      <c r="K72" s="7"/>
    </row>
    <row r="73" spans="2:11" x14ac:dyDescent="0.3">
      <c r="B73" s="106"/>
      <c r="D73" s="7" t="s">
        <v>38</v>
      </c>
      <c r="E73" s="420">
        <f>mtrx!F65</f>
        <v>593.55897322112833</v>
      </c>
      <c r="F73" s="110">
        <f>Fac!$I$38</f>
        <v>9.0950906738775442E-2</v>
      </c>
      <c r="G73" s="15">
        <f t="shared" ref="G73" si="31">E73*F73</f>
        <v>53.984726817398155</v>
      </c>
      <c r="H73" s="15">
        <f t="shared" ref="H73" si="32">E73-G73</f>
        <v>539.57424640373017</v>
      </c>
      <c r="I73" s="109"/>
      <c r="J73" s="271"/>
      <c r="K73" s="93"/>
    </row>
    <row r="74" spans="2:11" x14ac:dyDescent="0.3">
      <c r="B74" s="106"/>
      <c r="D74" s="7" t="s">
        <v>37</v>
      </c>
      <c r="E74" s="420">
        <f>mtrx!G65</f>
        <v>10629.872544656999</v>
      </c>
      <c r="F74" s="110"/>
      <c r="G74" s="15">
        <f>E74*F74</f>
        <v>0</v>
      </c>
      <c r="H74" s="15">
        <f>E74-G74</f>
        <v>10629.872544656999</v>
      </c>
      <c r="I74" s="109"/>
      <c r="J74" s="271"/>
      <c r="K74" s="7"/>
    </row>
    <row r="75" spans="2:11" x14ac:dyDescent="0.3">
      <c r="B75" s="106"/>
      <c r="D75" s="7" t="s">
        <v>39</v>
      </c>
      <c r="E75" s="420">
        <f>mtrx!H65</f>
        <v>123107.7684821219</v>
      </c>
      <c r="F75" s="110">
        <f>Fac!$I$42</f>
        <v>0.28312766747077378</v>
      </c>
      <c r="G75" s="15">
        <f>E75*F75</f>
        <v>34855.215337875212</v>
      </c>
      <c r="H75" s="15">
        <f>E75-G75</f>
        <v>88252.553144246689</v>
      </c>
      <c r="I75" s="109"/>
      <c r="J75" s="271">
        <f>SUM(H73:H75)</f>
        <v>99421.999935307424</v>
      </c>
      <c r="K75" s="7"/>
    </row>
    <row r="76" spans="2:11" ht="3.9" customHeight="1" x14ac:dyDescent="0.3">
      <c r="B76" s="106"/>
      <c r="D76" s="7"/>
      <c r="E76" s="420"/>
      <c r="F76" s="7"/>
      <c r="G76" s="15"/>
      <c r="H76" s="15"/>
      <c r="I76" s="109"/>
      <c r="J76" s="271"/>
      <c r="K76" s="7"/>
    </row>
    <row r="77" spans="2:11" x14ac:dyDescent="0.3">
      <c r="B77" s="106"/>
      <c r="C77" s="111" t="s">
        <v>0</v>
      </c>
      <c r="D77" s="7"/>
      <c r="E77" s="420">
        <f>SUM(E11:E76)</f>
        <v>4836088.4737820961</v>
      </c>
      <c r="F77" s="7"/>
      <c r="G77" s="15">
        <f>SUM(G11:G76)</f>
        <v>770889.98103020922</v>
      </c>
      <c r="H77" s="15">
        <f>SUM(H11:H76)</f>
        <v>4065198.4927518852</v>
      </c>
      <c r="I77" s="109"/>
      <c r="J77" s="271">
        <f>SUM(J14:J75)</f>
        <v>4065198.4927518861</v>
      </c>
      <c r="K77" s="7">
        <f>H77+G77</f>
        <v>4836088.4737820942</v>
      </c>
    </row>
    <row r="78" spans="2:11" ht="3.9" customHeight="1" x14ac:dyDescent="0.3">
      <c r="B78" s="106"/>
      <c r="D78" s="7"/>
      <c r="E78" s="420"/>
      <c r="F78" s="7"/>
      <c r="G78" s="15"/>
      <c r="H78" s="15"/>
      <c r="I78" s="109"/>
      <c r="J78" s="271"/>
      <c r="K78" s="7"/>
    </row>
    <row r="79" spans="2:11" x14ac:dyDescent="0.3">
      <c r="B79" s="106"/>
      <c r="C79" s="1" t="s">
        <v>21</v>
      </c>
      <c r="D79" s="7"/>
      <c r="E79" s="420"/>
      <c r="F79" s="7"/>
      <c r="G79" s="15"/>
      <c r="H79" s="15"/>
      <c r="I79" s="109"/>
      <c r="J79" s="271"/>
      <c r="K79" s="7"/>
    </row>
    <row r="80" spans="2:11" x14ac:dyDescent="0.3">
      <c r="B80" s="106"/>
      <c r="D80" s="7" t="s">
        <v>463</v>
      </c>
      <c r="E80" s="420">
        <f>Al_DepW!D35</f>
        <v>261240.02729439849</v>
      </c>
      <c r="F80" s="110">
        <f>Fac!$I$34</f>
        <v>0.26184397943831389</v>
      </c>
      <c r="G80" s="15">
        <f>E80*F80</f>
        <v>68404.128335339032</v>
      </c>
      <c r="H80" s="15">
        <f>E80-G80</f>
        <v>192835.89895905944</v>
      </c>
      <c r="I80" s="109"/>
      <c r="J80" s="271"/>
      <c r="K80" s="7"/>
    </row>
    <row r="81" spans="2:12" x14ac:dyDescent="0.3">
      <c r="B81" s="106"/>
      <c r="D81" s="1" t="s">
        <v>44</v>
      </c>
      <c r="E81" s="420">
        <f>Al_DepW!E35</f>
        <v>449285.96983203175</v>
      </c>
      <c r="F81" s="110">
        <f>Fac!$I$38</f>
        <v>9.0950906738775442E-2</v>
      </c>
      <c r="G81" s="15">
        <f>E81*F81</f>
        <v>40862.966341233398</v>
      </c>
      <c r="H81" s="15">
        <f>E81-G81</f>
        <v>408423.00349079835</v>
      </c>
      <c r="I81" s="109"/>
      <c r="J81" s="271"/>
      <c r="K81" s="7"/>
    </row>
    <row r="82" spans="2:12" x14ac:dyDescent="0.3">
      <c r="B82" s="106"/>
      <c r="D82" s="1" t="s">
        <v>163</v>
      </c>
      <c r="E82" s="420">
        <f>Al_DepW!F35</f>
        <v>167889.89019397908</v>
      </c>
      <c r="F82" s="110">
        <f>Fac!$I$42</f>
        <v>0.28312766747077378</v>
      </c>
      <c r="G82" s="15">
        <f>E82*F82</f>
        <v>47534.273002545633</v>
      </c>
      <c r="H82" s="15">
        <f>E82-G82</f>
        <v>120355.61719143344</v>
      </c>
      <c r="I82" s="109"/>
      <c r="J82" s="271"/>
      <c r="K82" s="7"/>
    </row>
    <row r="83" spans="2:12" x14ac:dyDescent="0.3">
      <c r="B83" s="106"/>
      <c r="D83" s="7" t="s">
        <v>39</v>
      </c>
      <c r="E83" s="420">
        <f>Al_DepW!G35</f>
        <v>33158.661405237777</v>
      </c>
      <c r="F83" s="110">
        <f>Fac!$I$42</f>
        <v>0.28312766747077378</v>
      </c>
      <c r="G83" s="15">
        <f>E83*F83</f>
        <v>9388.1344601181427</v>
      </c>
      <c r="H83" s="15">
        <f>E83-G83</f>
        <v>23770.526945119636</v>
      </c>
      <c r="I83" s="109"/>
      <c r="J83" s="271"/>
      <c r="K83" s="7"/>
    </row>
    <row r="84" spans="2:12" x14ac:dyDescent="0.3">
      <c r="B84" s="106"/>
      <c r="D84" s="7" t="s">
        <v>26</v>
      </c>
      <c r="E84" s="420">
        <f>Al_DepW!H35</f>
        <v>135068.20514722448</v>
      </c>
      <c r="F84" s="7"/>
      <c r="G84" s="15">
        <f>E84*F84</f>
        <v>0</v>
      </c>
      <c r="H84" s="15">
        <f>E84-G84</f>
        <v>135068.20514722448</v>
      </c>
      <c r="I84" s="109"/>
      <c r="J84" s="271">
        <f>SUM(H80:H84)</f>
        <v>880453.25173363532</v>
      </c>
      <c r="K84" s="7">
        <f>SUM(E80:E84)</f>
        <v>1046642.7538728715</v>
      </c>
    </row>
    <row r="85" spans="2:12" x14ac:dyDescent="0.3">
      <c r="B85" s="106"/>
      <c r="C85" s="1" t="s">
        <v>561</v>
      </c>
      <c r="D85" s="7"/>
      <c r="E85" s="420"/>
      <c r="F85" s="7"/>
      <c r="G85" s="15"/>
      <c r="H85" s="15"/>
      <c r="I85" s="109"/>
      <c r="J85" s="271"/>
    </row>
    <row r="86" spans="2:12" x14ac:dyDescent="0.3">
      <c r="B86" s="106"/>
      <c r="D86" s="7" t="s">
        <v>463</v>
      </c>
      <c r="E86" s="420">
        <f>DSch!E35+DSch!E36</f>
        <v>245150.35190006401</v>
      </c>
      <c r="F86" s="110">
        <f>Fac!$I$34</f>
        <v>0.26184397943831389</v>
      </c>
      <c r="G86" s="15">
        <f>E86*F86</f>
        <v>64191.143702215777</v>
      </c>
      <c r="H86" s="15">
        <f>E86-G86</f>
        <v>180959.20819784823</v>
      </c>
      <c r="I86" s="109"/>
      <c r="J86" s="271"/>
      <c r="K86" s="7"/>
    </row>
    <row r="87" spans="2:12" x14ac:dyDescent="0.3">
      <c r="B87" s="106"/>
      <c r="D87" s="1" t="s">
        <v>44</v>
      </c>
      <c r="E87" s="420">
        <f>DSch!E37</f>
        <v>413855.970411936</v>
      </c>
      <c r="F87" s="110">
        <f>Fac!$I$38</f>
        <v>9.0950906738775442E-2</v>
      </c>
      <c r="G87" s="15">
        <f t="shared" ref="G87:G90" si="33">E87*F87</f>
        <v>37640.575768221403</v>
      </c>
      <c r="H87" s="15">
        <f t="shared" ref="H87:H90" si="34">E87-G87</f>
        <v>376215.39464371459</v>
      </c>
      <c r="I87" s="109"/>
      <c r="J87" s="271"/>
      <c r="K87" s="273">
        <f>J77+J84</f>
        <v>4945651.7444855217</v>
      </c>
    </row>
    <row r="88" spans="2:12" x14ac:dyDescent="0.3">
      <c r="B88" s="106"/>
      <c r="D88" s="1" t="s">
        <v>163</v>
      </c>
      <c r="E88" s="420">
        <v>0</v>
      </c>
      <c r="F88" s="110">
        <f>Fac!$I$42</f>
        <v>0.28312766747077378</v>
      </c>
      <c r="G88" s="15">
        <f t="shared" si="33"/>
        <v>0</v>
      </c>
      <c r="H88" s="15">
        <f t="shared" si="34"/>
        <v>0</v>
      </c>
      <c r="I88" s="109"/>
      <c r="J88" s="271"/>
      <c r="K88" s="7"/>
    </row>
    <row r="89" spans="2:12" x14ac:dyDescent="0.3">
      <c r="B89" s="106"/>
      <c r="D89" s="7" t="s">
        <v>39</v>
      </c>
      <c r="E89" s="420">
        <v>0</v>
      </c>
      <c r="F89" s="110">
        <f>Fac!$I$42</f>
        <v>0.28312766747077378</v>
      </c>
      <c r="G89" s="15">
        <f t="shared" si="33"/>
        <v>0</v>
      </c>
      <c r="H89" s="15">
        <f t="shared" si="34"/>
        <v>0</v>
      </c>
      <c r="I89" s="109"/>
      <c r="J89" s="271"/>
      <c r="K89" s="7"/>
    </row>
    <row r="90" spans="2:12" x14ac:dyDescent="0.3">
      <c r="B90" s="106"/>
      <c r="D90" s="7" t="s">
        <v>26</v>
      </c>
      <c r="E90" s="420">
        <v>0</v>
      </c>
      <c r="F90" s="7"/>
      <c r="G90" s="15">
        <f t="shared" si="33"/>
        <v>0</v>
      </c>
      <c r="H90" s="15">
        <f t="shared" si="34"/>
        <v>0</v>
      </c>
      <c r="I90" s="109"/>
      <c r="J90" s="271">
        <f>SUM(H86:H90)</f>
        <v>557174.60284156282</v>
      </c>
      <c r="K90" s="7">
        <f>SUM(E86:E90)</f>
        <v>659006.32231199997</v>
      </c>
    </row>
    <row r="91" spans="2:12" ht="3.9" customHeight="1" x14ac:dyDescent="0.3">
      <c r="B91" s="106"/>
      <c r="D91" s="7"/>
      <c r="E91" s="420"/>
      <c r="F91" s="7"/>
      <c r="G91" s="15"/>
      <c r="H91" s="15"/>
      <c r="I91" s="109"/>
      <c r="K91" s="7"/>
    </row>
    <row r="92" spans="2:12" x14ac:dyDescent="0.3">
      <c r="B92" s="106"/>
      <c r="C92" s="111" t="s">
        <v>155</v>
      </c>
      <c r="E92" s="420">
        <f>SUM(E80:E90)+E77</f>
        <v>6541737.5499669677</v>
      </c>
      <c r="F92" s="7"/>
      <c r="G92" s="15">
        <f>SUM(G80:G90)+G77</f>
        <v>1038911.2026398826</v>
      </c>
      <c r="H92" s="15">
        <f>SUM(H80:H90)+H77</f>
        <v>5502826.3473270833</v>
      </c>
      <c r="I92" s="109"/>
      <c r="J92" s="2">
        <f>SUM(J77:J90)</f>
        <v>5502826.3473270843</v>
      </c>
      <c r="K92" s="7"/>
      <c r="L92" s="269">
        <f>G92+H92</f>
        <v>6541737.5499669658</v>
      </c>
    </row>
    <row r="93" spans="2:12" ht="3.9" customHeight="1" x14ac:dyDescent="0.3">
      <c r="B93" s="106"/>
      <c r="D93" s="7"/>
      <c r="E93" s="7"/>
      <c r="F93" s="7"/>
      <c r="G93" s="7"/>
      <c r="H93" s="7"/>
      <c r="I93" s="109"/>
      <c r="K93" s="7"/>
    </row>
    <row r="94" spans="2:12" x14ac:dyDescent="0.3">
      <c r="B94" s="106"/>
      <c r="D94" s="7" t="s">
        <v>45</v>
      </c>
      <c r="E94" s="7"/>
      <c r="F94" s="7"/>
      <c r="G94" s="7">
        <f>Resale!D4/1000</f>
        <v>366186</v>
      </c>
      <c r="H94" s="112"/>
      <c r="I94" s="113"/>
      <c r="K94" s="7"/>
    </row>
    <row r="95" spans="2:12" ht="3.9" customHeight="1" x14ac:dyDescent="0.3">
      <c r="B95" s="106"/>
      <c r="D95" s="7"/>
      <c r="E95" s="7"/>
      <c r="F95" s="7"/>
      <c r="G95" s="7"/>
      <c r="H95" s="7"/>
      <c r="I95" s="109"/>
      <c r="K95" s="7"/>
    </row>
    <row r="96" spans="2:12" ht="16.2" thickBot="1" x14ac:dyDescent="0.35">
      <c r="B96" s="106"/>
      <c r="C96" s="114" t="s">
        <v>46</v>
      </c>
      <c r="D96" s="60"/>
      <c r="E96" s="60"/>
      <c r="F96" s="60"/>
      <c r="G96" s="115">
        <f>ROUND(G92/G94,2)</f>
        <v>2.84</v>
      </c>
      <c r="H96" s="86"/>
      <c r="I96" s="116"/>
      <c r="J96" s="269">
        <f>(G96-3.13)/3.13</f>
        <v>-9.2651757188498413E-2</v>
      </c>
      <c r="K96" s="86"/>
    </row>
    <row r="97" spans="2:11" ht="8.1" customHeight="1" thickTop="1" x14ac:dyDescent="0.3">
      <c r="B97" s="117"/>
      <c r="C97" s="78"/>
      <c r="D97" s="55"/>
      <c r="E97" s="55"/>
      <c r="F97" s="55"/>
      <c r="G97" s="118"/>
      <c r="H97" s="55"/>
      <c r="I97" s="119"/>
      <c r="K97" s="7"/>
    </row>
    <row r="99" spans="2:11" x14ac:dyDescent="0.3">
      <c r="E99" s="7"/>
      <c r="H99" s="7">
        <f>SUM(H80:H84)</f>
        <v>880453.25173363532</v>
      </c>
    </row>
    <row r="100" spans="2:11" x14ac:dyDescent="0.3">
      <c r="E100" s="7"/>
      <c r="G100" s="17">
        <f>G96*G94</f>
        <v>1039968.24</v>
      </c>
      <c r="H100" s="7">
        <f>H99+H77</f>
        <v>4945651.7444855208</v>
      </c>
      <c r="I100" s="7"/>
    </row>
    <row r="101" spans="2:11" x14ac:dyDescent="0.3">
      <c r="E101" s="560"/>
      <c r="G101" s="57"/>
    </row>
    <row r="108" spans="2:11" ht="9.9" customHeight="1" x14ac:dyDescent="0.3"/>
    <row r="111" spans="2:11" ht="3" customHeight="1" x14ac:dyDescent="0.3"/>
  </sheetData>
  <mergeCells count="2">
    <mergeCell ref="C3:H3"/>
    <mergeCell ref="C5:H5"/>
  </mergeCells>
  <printOptions horizontalCentered="1"/>
  <pageMargins left="0.7" right="0.45" top="1" bottom="0.75" header="0.3" footer="0.3"/>
  <pageSetup scale="97" fitToHeight="2" orientation="portrait" r:id="rId1"/>
  <headerFooter>
    <oddFooter>&amp;CPage &amp;P of &amp;N</oddFooter>
  </headerFooter>
  <rowBreaks count="1" manualBreakCount="1">
    <brk id="68" min="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N41"/>
  <sheetViews>
    <sheetView workbookViewId="0">
      <selection activeCell="D11" sqref="D11"/>
    </sheetView>
  </sheetViews>
  <sheetFormatPr defaultColWidth="8.90625" defaultRowHeight="14.4" x14ac:dyDescent="0.3"/>
  <cols>
    <col min="1" max="1" width="1.81640625" style="17" customWidth="1"/>
    <col min="2" max="2" width="26.08984375" style="17" customWidth="1"/>
    <col min="3" max="3" width="10.1796875" style="17" bestFit="1" customWidth="1"/>
    <col min="4" max="4" width="8.90625" style="17"/>
    <col min="5" max="7" width="9" style="17" bestFit="1" customWidth="1"/>
    <col min="8" max="8" width="1.81640625" style="17" customWidth="1"/>
    <col min="9" max="16384" width="8.90625" style="17"/>
  </cols>
  <sheetData>
    <row r="2" spans="1:10" x14ac:dyDescent="0.3">
      <c r="A2" s="20"/>
      <c r="B2" s="21"/>
      <c r="C2" s="21"/>
      <c r="D2" s="21"/>
      <c r="E2" s="21"/>
      <c r="F2" s="21"/>
      <c r="G2" s="21"/>
      <c r="H2" s="22"/>
    </row>
    <row r="3" spans="1:10" ht="18.75" customHeight="1" x14ac:dyDescent="0.35">
      <c r="A3" s="23"/>
      <c r="B3" s="620" t="s">
        <v>171</v>
      </c>
      <c r="C3" s="620"/>
      <c r="D3" s="620"/>
      <c r="E3" s="620"/>
      <c r="F3" s="620"/>
      <c r="G3" s="620"/>
      <c r="H3" s="24"/>
    </row>
    <row r="4" spans="1:10" ht="18.75" customHeight="1" x14ac:dyDescent="0.35">
      <c r="A4" s="23"/>
      <c r="B4" s="627" t="s">
        <v>91</v>
      </c>
      <c r="C4" s="627"/>
      <c r="D4" s="627"/>
      <c r="E4" s="627"/>
      <c r="F4" s="627"/>
      <c r="G4" s="627"/>
      <c r="H4" s="24"/>
    </row>
    <row r="5" spans="1:10" ht="18.75" customHeight="1" x14ac:dyDescent="0.3">
      <c r="A5" s="23"/>
      <c r="B5" s="621" t="s">
        <v>331</v>
      </c>
      <c r="C5" s="621"/>
      <c r="D5" s="621"/>
      <c r="E5" s="621"/>
      <c r="F5" s="621"/>
      <c r="G5" s="621"/>
      <c r="H5" s="24"/>
    </row>
    <row r="6" spans="1:10" ht="9.9" customHeight="1" x14ac:dyDescent="0.3">
      <c r="A6" s="27"/>
      <c r="B6" s="349"/>
      <c r="C6" s="349"/>
      <c r="D6" s="349"/>
      <c r="E6" s="349"/>
      <c r="F6" s="349"/>
      <c r="G6" s="349"/>
      <c r="H6" s="28"/>
    </row>
    <row r="7" spans="1:10" x14ac:dyDescent="0.3">
      <c r="A7" s="23"/>
      <c r="B7" s="15"/>
      <c r="C7" s="15"/>
      <c r="D7" s="15"/>
      <c r="E7" s="15"/>
      <c r="F7" s="15"/>
      <c r="G7" s="15"/>
      <c r="H7" s="24"/>
    </row>
    <row r="8" spans="1:10" x14ac:dyDescent="0.3">
      <c r="A8" s="23"/>
      <c r="B8" s="15"/>
      <c r="C8" s="18" t="s">
        <v>13</v>
      </c>
      <c r="D8" s="18"/>
      <c r="E8" s="18"/>
      <c r="F8" s="18"/>
      <c r="G8" s="18" t="s">
        <v>86</v>
      </c>
      <c r="H8" s="24"/>
    </row>
    <row r="9" spans="1:10" x14ac:dyDescent="0.3">
      <c r="A9" s="23"/>
      <c r="B9" s="15"/>
      <c r="C9" s="18" t="s">
        <v>27</v>
      </c>
      <c r="D9" s="570" t="s">
        <v>28</v>
      </c>
      <c r="E9" s="570" t="s">
        <v>29</v>
      </c>
      <c r="F9" s="18" t="s">
        <v>26</v>
      </c>
      <c r="G9" s="18" t="s">
        <v>50</v>
      </c>
      <c r="H9" s="24"/>
    </row>
    <row r="10" spans="1:10" x14ac:dyDescent="0.3">
      <c r="A10" s="23"/>
      <c r="B10" s="6" t="s">
        <v>36</v>
      </c>
      <c r="C10" s="15">
        <f>SUM(D10:G10)</f>
        <v>1584697.1733053271</v>
      </c>
      <c r="D10" s="15">
        <f>Whol!H11*0.67</f>
        <v>170378.12949351605</v>
      </c>
      <c r="E10" s="15">
        <f>Whol!H11-D10+Whol!H12</f>
        <v>645826.85006840411</v>
      </c>
      <c r="F10" s="15">
        <f>Whol!H13</f>
        <v>551740.36766498047</v>
      </c>
      <c r="G10" s="15">
        <f>Whol!H14</f>
        <v>216751.82607842662</v>
      </c>
      <c r="H10" s="24"/>
      <c r="J10" s="32"/>
    </row>
    <row r="11" spans="1:10" x14ac:dyDescent="0.3">
      <c r="A11" s="23"/>
      <c r="B11" s="6" t="s">
        <v>40</v>
      </c>
      <c r="C11" s="15">
        <f>SUM(D11:G11)</f>
        <v>1003754.2717905871</v>
      </c>
      <c r="D11" s="15">
        <f>Whol!H16*0.67</f>
        <v>107919.32872194235</v>
      </c>
      <c r="E11" s="15">
        <f>Whol!H16-D11+Whol!H17</f>
        <v>409073.66499553272</v>
      </c>
      <c r="F11" s="15">
        <f>Whol!H18</f>
        <v>349478.26811548288</v>
      </c>
      <c r="G11" s="15">
        <f>Whol!H19</f>
        <v>137283.00995762911</v>
      </c>
      <c r="H11" s="24"/>
    </row>
    <row r="12" spans="1:10" x14ac:dyDescent="0.3">
      <c r="A12" s="23"/>
      <c r="B12" s="15" t="s">
        <v>47</v>
      </c>
      <c r="C12" s="15">
        <f t="shared" ref="C12:C26" si="0">SUM(D12:G12)</f>
        <v>21649.544442382634</v>
      </c>
      <c r="D12" s="15"/>
      <c r="E12" s="15"/>
      <c r="F12" s="15"/>
      <c r="G12" s="15">
        <f>Whol!H20</f>
        <v>21649.544442382634</v>
      </c>
      <c r="H12" s="24"/>
    </row>
    <row r="13" spans="1:10" x14ac:dyDescent="0.3">
      <c r="A13" s="23"/>
      <c r="B13" s="15" t="s">
        <v>4</v>
      </c>
      <c r="C13" s="15">
        <f t="shared" si="0"/>
        <v>413640.88294131996</v>
      </c>
      <c r="D13" s="15"/>
      <c r="E13" s="15">
        <f>Whol!H22+Whol!H23</f>
        <v>388478.0065659344</v>
      </c>
      <c r="F13" s="15">
        <f>Whol!H24</f>
        <v>0</v>
      </c>
      <c r="G13" s="15">
        <f>Whol!H25</f>
        <v>25162.876375385535</v>
      </c>
      <c r="H13" s="24"/>
    </row>
    <row r="14" spans="1:10" x14ac:dyDescent="0.3">
      <c r="A14" s="23"/>
      <c r="B14" s="15" t="s">
        <v>30</v>
      </c>
      <c r="C14" s="15">
        <f t="shared" si="0"/>
        <v>281773.57272022223</v>
      </c>
      <c r="D14" s="15">
        <f>Whol!H27*0.67</f>
        <v>188788.2937225489</v>
      </c>
      <c r="E14" s="15">
        <f>Whol!H27-D14+Whol!H28</f>
        <v>92985.278997673333</v>
      </c>
      <c r="F14" s="15">
        <f>Whol!H29</f>
        <v>0</v>
      </c>
      <c r="G14" s="15">
        <f>Whol!H30</f>
        <v>0</v>
      </c>
      <c r="H14" s="24"/>
    </row>
    <row r="15" spans="1:10" x14ac:dyDescent="0.3">
      <c r="A15" s="23"/>
      <c r="B15" s="15" t="s">
        <v>41</v>
      </c>
      <c r="C15" s="15">
        <f t="shared" si="0"/>
        <v>313760.49675596337</v>
      </c>
      <c r="D15" s="15">
        <f>Whol!H32*0.67</f>
        <v>836.64380513922947</v>
      </c>
      <c r="E15" s="15">
        <f>Whol!H32-D15+Whol!H33</f>
        <v>265271.84452955978</v>
      </c>
      <c r="F15" s="15">
        <f>Whol!H34</f>
        <v>1151.6988505325307</v>
      </c>
      <c r="G15" s="15">
        <f>Whol!H35</f>
        <v>46500.309570731843</v>
      </c>
      <c r="H15" s="24"/>
    </row>
    <row r="16" spans="1:10" x14ac:dyDescent="0.3">
      <c r="A16" s="23"/>
      <c r="B16" s="6" t="s">
        <v>48</v>
      </c>
      <c r="C16" s="15">
        <f t="shared" si="0"/>
        <v>73900.074768973835</v>
      </c>
      <c r="D16" s="15"/>
      <c r="E16" s="15"/>
      <c r="F16" s="15"/>
      <c r="G16" s="15">
        <f>Whol!H36</f>
        <v>73900.074768973835</v>
      </c>
      <c r="H16" s="24"/>
    </row>
    <row r="17" spans="1:8" x14ac:dyDescent="0.3">
      <c r="A17" s="23"/>
      <c r="B17" s="6" t="s">
        <v>422</v>
      </c>
      <c r="C17" s="15">
        <f>SUM(D17:G17)</f>
        <v>72644.533588504768</v>
      </c>
      <c r="D17" s="15">
        <f>Whol!H38*0.67</f>
        <v>19729.662945939119</v>
      </c>
      <c r="E17" s="15">
        <f>Whol!H38-D17+Whol!H39</f>
        <v>16658.185009377674</v>
      </c>
      <c r="F17" s="15"/>
      <c r="G17" s="15">
        <f>Whol!H40</f>
        <v>36256.685633187983</v>
      </c>
      <c r="H17" s="24"/>
    </row>
    <row r="18" spans="1:8" x14ac:dyDescent="0.3">
      <c r="A18" s="23"/>
      <c r="B18" s="6" t="s">
        <v>423</v>
      </c>
      <c r="C18" s="15">
        <f t="shared" si="0"/>
        <v>336.34816450665306</v>
      </c>
      <c r="D18" s="15"/>
      <c r="E18" s="15">
        <f>Whol!H42</f>
        <v>336.34816450665306</v>
      </c>
      <c r="F18" s="15"/>
      <c r="G18" s="15"/>
      <c r="H18" s="24"/>
    </row>
    <row r="19" spans="1:8" x14ac:dyDescent="0.3">
      <c r="A19" s="23"/>
      <c r="B19" s="15" t="s">
        <v>42</v>
      </c>
      <c r="C19" s="15">
        <f t="shared" si="0"/>
        <v>90863.067303198535</v>
      </c>
      <c r="D19" s="15">
        <f>Whol!H45*0.67</f>
        <v>9769.2074203639077</v>
      </c>
      <c r="E19" s="15">
        <f>Whol!H45-AlocOM_R!D19+Whol!H46</f>
        <v>37030.662574614187</v>
      </c>
      <c r="F19" s="15">
        <f>Whol!H47</f>
        <v>31635.900000000005</v>
      </c>
      <c r="G19" s="15">
        <f>Whol!H48</f>
        <v>12427.297308220448</v>
      </c>
      <c r="H19" s="24"/>
    </row>
    <row r="20" spans="1:8" x14ac:dyDescent="0.3">
      <c r="A20" s="23"/>
      <c r="B20" s="15" t="s">
        <v>424</v>
      </c>
      <c r="C20" s="15">
        <f t="shared" si="0"/>
        <v>13057.776783056544</v>
      </c>
      <c r="D20" s="15"/>
      <c r="E20" s="15">
        <f>Whol!H50+Whol!H51</f>
        <v>6725.5285846431088</v>
      </c>
      <c r="F20" s="15">
        <f>Whol!H52</f>
        <v>4546.34</v>
      </c>
      <c r="G20" s="15">
        <f>Whol!H53</f>
        <v>1785.9081984134348</v>
      </c>
      <c r="H20" s="24"/>
    </row>
    <row r="21" spans="1:8" x14ac:dyDescent="0.3">
      <c r="A21" s="23"/>
      <c r="B21" s="15" t="s">
        <v>166</v>
      </c>
      <c r="C21" s="15">
        <f t="shared" si="0"/>
        <v>15667.096506144459</v>
      </c>
      <c r="E21" s="15">
        <f>Whol!H55+Whol!H56</f>
        <v>8069.4777544279987</v>
      </c>
      <c r="F21" s="15">
        <f>Whol!H57</f>
        <v>5454.83</v>
      </c>
      <c r="G21" s="15">
        <f>Whol!H58</f>
        <v>2142.7887517164595</v>
      </c>
      <c r="H21" s="24"/>
    </row>
    <row r="22" spans="1:8" x14ac:dyDescent="0.3">
      <c r="A22" s="23"/>
      <c r="B22" s="15" t="s">
        <v>165</v>
      </c>
      <c r="C22" s="15">
        <f t="shared" si="0"/>
        <v>19624.321640502341</v>
      </c>
      <c r="D22" s="15">
        <f>Whol!H60*0.67</f>
        <v>2109.9211052872529</v>
      </c>
      <c r="E22" s="15">
        <f>Whol!H60-D22+Whol!H61</f>
        <v>7997.7675098857144</v>
      </c>
      <c r="F22" s="15">
        <f>Whol!H62</f>
        <v>6832.619999999999</v>
      </c>
      <c r="G22" s="15">
        <f>Whol!H63</f>
        <v>2684.0130253293746</v>
      </c>
      <c r="H22" s="24"/>
    </row>
    <row r="23" spans="1:8" x14ac:dyDescent="0.3">
      <c r="A23" s="23"/>
      <c r="B23" s="15" t="s">
        <v>425</v>
      </c>
      <c r="C23" s="15">
        <f t="shared" si="0"/>
        <v>43517.098699598864</v>
      </c>
      <c r="D23" s="15">
        <f>Whol!H65*0.67</f>
        <v>11355.448977771417</v>
      </c>
      <c r="E23" s="15">
        <f>Whol!H65-D23+Whol!H66</f>
        <v>17935.196414488419</v>
      </c>
      <c r="F23" s="15">
        <f>Whol!H67</f>
        <v>0</v>
      </c>
      <c r="G23" s="15">
        <f>Whol!H68</f>
        <v>14226.453307339023</v>
      </c>
      <c r="H23" s="24"/>
    </row>
    <row r="24" spans="1:8" x14ac:dyDescent="0.3">
      <c r="A24" s="23"/>
      <c r="B24" s="17" t="s">
        <v>174</v>
      </c>
      <c r="C24" s="15">
        <f t="shared" si="0"/>
        <v>6807.6634062905923</v>
      </c>
      <c r="D24" s="15"/>
      <c r="E24" s="15"/>
      <c r="F24" s="15"/>
      <c r="G24" s="15">
        <f>Whol!H69</f>
        <v>6807.6634062905923</v>
      </c>
      <c r="H24" s="24"/>
    </row>
    <row r="25" spans="1:8" x14ac:dyDescent="0.3">
      <c r="A25" s="23"/>
      <c r="B25" s="15" t="s">
        <v>175</v>
      </c>
      <c r="C25" s="15">
        <f t="shared" si="0"/>
        <v>10082.57</v>
      </c>
      <c r="D25" s="15"/>
      <c r="E25" s="15"/>
      <c r="F25" s="15">
        <f>Whol!H70</f>
        <v>10082.57</v>
      </c>
      <c r="G25" s="15"/>
      <c r="H25" s="24"/>
    </row>
    <row r="26" spans="1:8" x14ac:dyDescent="0.3">
      <c r="A26" s="23"/>
      <c r="B26" s="15" t="s">
        <v>43</v>
      </c>
      <c r="C26" s="15">
        <f t="shared" si="0"/>
        <v>99421.999935307424</v>
      </c>
      <c r="D26" s="15">
        <f>Whol!H72*0.67</f>
        <v>0</v>
      </c>
      <c r="E26" s="15">
        <f>Whol!H72-D26+Whol!H73</f>
        <v>539.57424640373017</v>
      </c>
      <c r="F26" s="15">
        <f>Whol!H74</f>
        <v>10629.872544656999</v>
      </c>
      <c r="G26" s="15">
        <f>Whol!H75</f>
        <v>88252.553144246689</v>
      </c>
      <c r="H26" s="24"/>
    </row>
    <row r="27" spans="1:8" x14ac:dyDescent="0.3">
      <c r="A27" s="23"/>
      <c r="B27" s="15" t="s">
        <v>134</v>
      </c>
      <c r="C27" s="15">
        <f>SUM(D27:G27)</f>
        <v>880453.25173363544</v>
      </c>
      <c r="D27" s="15">
        <f>Whol!H80</f>
        <v>192835.89895905944</v>
      </c>
      <c r="E27" s="15">
        <f>Whol!H81+Whol!H82</f>
        <v>528778.62068223185</v>
      </c>
      <c r="F27" s="15">
        <f>Whol!H84</f>
        <v>135068.20514722448</v>
      </c>
      <c r="G27" s="15">
        <f>Whol!H83</f>
        <v>23770.526945119636</v>
      </c>
      <c r="H27" s="24"/>
    </row>
    <row r="28" spans="1:8" ht="5.0999999999999996" customHeight="1" x14ac:dyDescent="0.3">
      <c r="A28" s="23"/>
      <c r="B28" s="15"/>
      <c r="C28" s="15"/>
      <c r="D28" s="15"/>
      <c r="E28" s="15"/>
      <c r="F28" s="15"/>
      <c r="G28" s="15"/>
      <c r="H28" s="24"/>
    </row>
    <row r="29" spans="1:8" x14ac:dyDescent="0.3">
      <c r="A29" s="23"/>
      <c r="B29" s="15" t="s">
        <v>14</v>
      </c>
      <c r="C29" s="15">
        <f>SUM(C10:C28)</f>
        <v>4945651.7444855217</v>
      </c>
      <c r="D29" s="15">
        <f>SUM(D10:D28)</f>
        <v>703722.53515156766</v>
      </c>
      <c r="E29" s="15">
        <f>SUM(E10:E28)</f>
        <v>2425707.0060976837</v>
      </c>
      <c r="F29" s="15">
        <f>SUM(F10:F28)</f>
        <v>1106620.6723228772</v>
      </c>
      <c r="G29" s="15">
        <f>SUM(G10:G28)</f>
        <v>709601.53091339313</v>
      </c>
      <c r="H29" s="24"/>
    </row>
    <row r="30" spans="1:8" ht="16.2" x14ac:dyDescent="0.45">
      <c r="A30" s="23"/>
      <c r="B30" s="15" t="s">
        <v>87</v>
      </c>
      <c r="C30" s="25">
        <f>G29</f>
        <v>709601.53091339313</v>
      </c>
      <c r="D30" s="15"/>
      <c r="E30" s="15"/>
      <c r="F30" s="15"/>
      <c r="G30" s="15"/>
      <c r="H30" s="24"/>
    </row>
    <row r="31" spans="1:8" x14ac:dyDescent="0.3">
      <c r="A31" s="23"/>
      <c r="B31" s="15" t="s">
        <v>89</v>
      </c>
      <c r="C31" s="15">
        <f>+C29-C30</f>
        <v>4236050.2135721287</v>
      </c>
      <c r="D31" s="15"/>
      <c r="E31" s="15"/>
      <c r="F31" s="15"/>
      <c r="G31" s="15"/>
      <c r="H31" s="24"/>
    </row>
    <row r="32" spans="1:8" ht="5.0999999999999996" customHeight="1" x14ac:dyDescent="0.3">
      <c r="A32" s="23"/>
      <c r="B32" s="15"/>
      <c r="C32" s="15"/>
      <c r="D32" s="15"/>
      <c r="E32" s="15"/>
      <c r="F32" s="15"/>
      <c r="G32" s="15"/>
      <c r="H32" s="24"/>
    </row>
    <row r="33" spans="1:14" x14ac:dyDescent="0.3">
      <c r="A33" s="23"/>
      <c r="B33" s="15" t="s">
        <v>88</v>
      </c>
      <c r="C33" s="26">
        <f>SUM(D33:F33)</f>
        <v>1</v>
      </c>
      <c r="D33" s="26">
        <f>D29/$C$31</f>
        <v>0.16612705224713106</v>
      </c>
      <c r="E33" s="26">
        <f>E29/$C$31</f>
        <v>0.57263414827468739</v>
      </c>
      <c r="F33" s="26">
        <f>F29/$C$31</f>
        <v>0.26123879947818152</v>
      </c>
      <c r="G33" s="15"/>
      <c r="H33" s="24"/>
      <c r="I33" s="176"/>
    </row>
    <row r="34" spans="1:14" ht="5.0999999999999996" customHeight="1" x14ac:dyDescent="0.3">
      <c r="A34" s="23"/>
      <c r="B34" s="15"/>
      <c r="C34" s="15"/>
      <c r="D34" s="15"/>
      <c r="E34" s="15"/>
      <c r="F34" s="15"/>
      <c r="G34" s="15"/>
      <c r="H34" s="24"/>
    </row>
    <row r="35" spans="1:14" x14ac:dyDescent="0.3">
      <c r="A35" s="23"/>
      <c r="B35" s="15" t="s">
        <v>567</v>
      </c>
      <c r="C35" s="15">
        <f>SUM(D35:F35)</f>
        <v>709601.53091339313</v>
      </c>
      <c r="D35" s="15">
        <f>G29*D33</f>
        <v>117884.01060069345</v>
      </c>
      <c r="E35" s="15">
        <f>G29*E33</f>
        <v>406342.0682690051</v>
      </c>
      <c r="F35" s="15">
        <f>G29*F33</f>
        <v>185375.45204369453</v>
      </c>
      <c r="G35" s="15">
        <v>0</v>
      </c>
      <c r="H35" s="24"/>
    </row>
    <row r="36" spans="1:14" ht="5.0999999999999996" customHeight="1" x14ac:dyDescent="0.3">
      <c r="A36" s="23"/>
      <c r="B36" s="15"/>
      <c r="C36" s="15"/>
      <c r="D36" s="15"/>
      <c r="E36" s="15"/>
      <c r="F36" s="15"/>
      <c r="G36" s="15"/>
      <c r="H36" s="24"/>
    </row>
    <row r="37" spans="1:14" x14ac:dyDescent="0.3">
      <c r="A37" s="23"/>
      <c r="B37" s="15" t="s">
        <v>90</v>
      </c>
      <c r="C37" s="420">
        <f>C35+C31</f>
        <v>4945651.7444855217</v>
      </c>
      <c r="D37" s="15">
        <f>D35+D29</f>
        <v>821606.54575226107</v>
      </c>
      <c r="E37" s="15">
        <f>E35+E29</f>
        <v>2832049.0743666887</v>
      </c>
      <c r="F37" s="15">
        <f>F35+F29</f>
        <v>1291996.1243665717</v>
      </c>
      <c r="G37" s="15"/>
      <c r="H37" s="24"/>
      <c r="I37" s="17">
        <f>SUM(D37:F37)</f>
        <v>4945651.7444855217</v>
      </c>
      <c r="N37" s="2"/>
    </row>
    <row r="38" spans="1:14" x14ac:dyDescent="0.3">
      <c r="A38" s="27"/>
      <c r="B38" s="14"/>
      <c r="C38" s="14"/>
      <c r="D38" s="14"/>
      <c r="E38" s="14"/>
      <c r="F38" s="14"/>
      <c r="G38" s="14"/>
      <c r="H38" s="28"/>
    </row>
    <row r="40" spans="1:14" x14ac:dyDescent="0.3">
      <c r="C40" s="340"/>
      <c r="D40" s="340"/>
      <c r="E40" s="340"/>
      <c r="F40" s="340"/>
    </row>
    <row r="41" spans="1:14" x14ac:dyDescent="0.3">
      <c r="C41" s="340"/>
      <c r="D41" s="340"/>
      <c r="E41" s="340"/>
      <c r="F41" s="340"/>
    </row>
  </sheetData>
  <mergeCells count="3">
    <mergeCell ref="B3:G3"/>
    <mergeCell ref="B4:G4"/>
    <mergeCell ref="B5:G5"/>
  </mergeCells>
  <printOptions horizontalCentered="1"/>
  <pageMargins left="0.95" right="0.7" top="1.25" bottom="0.75" header="0.3" footer="0.3"/>
  <pageSetup scale="9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J29"/>
  <sheetViews>
    <sheetView workbookViewId="0"/>
  </sheetViews>
  <sheetFormatPr defaultColWidth="8.90625" defaultRowHeight="14.4" x14ac:dyDescent="0.3"/>
  <cols>
    <col min="1" max="1" width="8.90625" style="17"/>
    <col min="2" max="2" width="1.81640625" style="17" customWidth="1"/>
    <col min="3" max="3" width="31.08984375" style="17" customWidth="1"/>
    <col min="4" max="4" width="9" style="17" bestFit="1" customWidth="1"/>
    <col min="5" max="7" width="8.90625" style="17"/>
    <col min="8" max="8" width="1.81640625" style="17" customWidth="1"/>
    <col min="9" max="16384" width="8.90625" style="17"/>
  </cols>
  <sheetData>
    <row r="2" spans="1:10" x14ac:dyDescent="0.3">
      <c r="B2" s="20"/>
      <c r="C2" s="21"/>
      <c r="D2" s="21"/>
      <c r="E2" s="21"/>
      <c r="F2" s="21"/>
      <c r="G2" s="21"/>
      <c r="H2" s="22"/>
    </row>
    <row r="3" spans="1:10" ht="18" x14ac:dyDescent="0.35">
      <c r="A3" s="23"/>
      <c r="B3" s="23"/>
      <c r="C3" s="620" t="s">
        <v>173</v>
      </c>
      <c r="D3" s="620"/>
      <c r="E3" s="620"/>
      <c r="F3" s="620"/>
      <c r="G3" s="620"/>
      <c r="H3" s="345"/>
      <c r="I3" s="13"/>
    </row>
    <row r="4" spans="1:10" ht="18" x14ac:dyDescent="0.35">
      <c r="A4" s="23"/>
      <c r="B4" s="23"/>
      <c r="C4" s="627" t="s">
        <v>104</v>
      </c>
      <c r="D4" s="627"/>
      <c r="E4" s="627"/>
      <c r="F4" s="627"/>
      <c r="G4" s="627"/>
      <c r="H4" s="33"/>
      <c r="I4" s="19"/>
    </row>
    <row r="5" spans="1:10" ht="18" x14ac:dyDescent="0.3">
      <c r="A5" s="23"/>
      <c r="B5" s="23"/>
      <c r="C5" s="621" t="s">
        <v>331</v>
      </c>
      <c r="D5" s="621"/>
      <c r="E5" s="621"/>
      <c r="F5" s="621"/>
      <c r="G5" s="621"/>
      <c r="H5" s="259"/>
      <c r="I5" s="16"/>
    </row>
    <row r="6" spans="1:10" ht="15" customHeight="1" x14ac:dyDescent="0.3">
      <c r="A6" s="15"/>
      <c r="B6" s="27"/>
      <c r="C6" s="349"/>
      <c r="D6" s="349"/>
      <c r="E6" s="349"/>
      <c r="F6" s="349"/>
      <c r="G6" s="349"/>
      <c r="H6" s="350"/>
      <c r="I6" s="16"/>
    </row>
    <row r="7" spans="1:10" ht="18" x14ac:dyDescent="0.3">
      <c r="A7" s="15"/>
      <c r="B7" s="23"/>
      <c r="C7" s="16"/>
      <c r="D7" s="16"/>
      <c r="E7" s="16"/>
      <c r="F7" s="16"/>
      <c r="G7" s="16"/>
      <c r="H7" s="5"/>
      <c r="I7" s="16"/>
    </row>
    <row r="8" spans="1:10" x14ac:dyDescent="0.3">
      <c r="B8" s="23"/>
      <c r="C8" s="15"/>
      <c r="D8" s="18" t="s">
        <v>13</v>
      </c>
      <c r="E8" s="18"/>
      <c r="F8" s="18"/>
      <c r="H8" s="34"/>
    </row>
    <row r="9" spans="1:10" x14ac:dyDescent="0.3">
      <c r="B9" s="23"/>
      <c r="C9" s="15"/>
      <c r="D9" s="18" t="s">
        <v>27</v>
      </c>
      <c r="E9" s="18" t="s">
        <v>28</v>
      </c>
      <c r="F9" s="18" t="s">
        <v>29</v>
      </c>
      <c r="G9" s="18" t="s">
        <v>26</v>
      </c>
      <c r="H9" s="34"/>
    </row>
    <row r="10" spans="1:10" ht="5.0999999999999996" customHeight="1" x14ac:dyDescent="0.3">
      <c r="B10" s="23"/>
      <c r="C10" s="15"/>
      <c r="D10" s="18"/>
      <c r="E10" s="18"/>
      <c r="F10" s="18"/>
      <c r="G10" s="18"/>
      <c r="H10" s="34"/>
    </row>
    <row r="11" spans="1:10" x14ac:dyDescent="0.3">
      <c r="B11" s="23"/>
      <c r="C11" s="15" t="s">
        <v>92</v>
      </c>
      <c r="D11" s="15">
        <f>SUM(E11:G11)</f>
        <v>4945651.7444855217</v>
      </c>
      <c r="E11" s="420">
        <f>AlocOM_R!D37</f>
        <v>821606.54575226107</v>
      </c>
      <c r="F11" s="420">
        <f>AlocOM_R!E37</f>
        <v>2832049.0743666887</v>
      </c>
      <c r="G11" s="420">
        <f>AlocOM_R!F37</f>
        <v>1291996.1243665717</v>
      </c>
      <c r="H11" s="445"/>
      <c r="I11" s="340"/>
      <c r="J11" s="17">
        <f>SUM(E11:G11)</f>
        <v>4945651.7444855217</v>
      </c>
    </row>
    <row r="12" spans="1:10" ht="16.2" x14ac:dyDescent="0.45">
      <c r="B12" s="23"/>
      <c r="C12" s="80" t="s">
        <v>565</v>
      </c>
      <c r="D12" s="25">
        <f>SUM(E12:G12)</f>
        <v>557174.60284156282</v>
      </c>
      <c r="E12" s="421">
        <f>Whol!H86</f>
        <v>180959.20819784823</v>
      </c>
      <c r="F12" s="421">
        <f>Whol!H87+Whol!H88</f>
        <v>376215.39464371459</v>
      </c>
      <c r="G12" s="421">
        <f>Whol!H90</f>
        <v>0</v>
      </c>
      <c r="H12" s="445"/>
      <c r="I12" s="446"/>
      <c r="J12" s="17">
        <f>SUM(E12:G12)</f>
        <v>557174.60284156282</v>
      </c>
    </row>
    <row r="13" spans="1:10" x14ac:dyDescent="0.3">
      <c r="B13" s="23"/>
      <c r="C13" s="36" t="s">
        <v>105</v>
      </c>
      <c r="D13" s="15">
        <f>SUM(D11:D12)</f>
        <v>5502826.3473270843</v>
      </c>
      <c r="E13" s="15">
        <f>SUM(E11:E12)</f>
        <v>1002565.7539501092</v>
      </c>
      <c r="F13" s="15">
        <f t="shared" ref="F13:G13" si="0">SUM(F11:F12)</f>
        <v>3208264.4690104034</v>
      </c>
      <c r="G13" s="15">
        <f t="shared" si="0"/>
        <v>1291996.1243665717</v>
      </c>
      <c r="H13" s="24"/>
      <c r="I13" s="17">
        <f>SUM(E13:G13)</f>
        <v>5502826.3473270852</v>
      </c>
      <c r="J13" s="17">
        <f>SUM(E13:G13)</f>
        <v>5502826.3473270852</v>
      </c>
    </row>
    <row r="14" spans="1:10" x14ac:dyDescent="0.3">
      <c r="B14" s="23"/>
      <c r="C14" s="565" t="s">
        <v>562</v>
      </c>
      <c r="D14" s="15"/>
      <c r="E14" s="566">
        <f>E11/$D$11</f>
        <v>0.16612705224713104</v>
      </c>
      <c r="F14" s="566">
        <f>F11/$D$11</f>
        <v>0.57263414827468739</v>
      </c>
      <c r="G14" s="566">
        <f>G11/$D$11</f>
        <v>0.26123879947818146</v>
      </c>
      <c r="H14" s="24"/>
    </row>
    <row r="15" spans="1:10" x14ac:dyDescent="0.3">
      <c r="B15" s="23"/>
      <c r="C15" s="36"/>
      <c r="D15" s="15"/>
      <c r="E15" s="15"/>
      <c r="F15" s="15"/>
      <c r="G15" s="15"/>
      <c r="H15" s="24"/>
    </row>
    <row r="16" spans="1:10" x14ac:dyDescent="0.3">
      <c r="B16" s="23"/>
      <c r="C16" s="36" t="s">
        <v>24</v>
      </c>
      <c r="D16" s="15"/>
      <c r="E16" s="15"/>
      <c r="F16" s="15"/>
      <c r="G16" s="15"/>
      <c r="H16" s="24"/>
    </row>
    <row r="17" spans="2:10" x14ac:dyDescent="0.3">
      <c r="B17" s="23"/>
      <c r="C17" s="29" t="s">
        <v>93</v>
      </c>
      <c r="D17" s="15">
        <f>-SAO!I13</f>
        <v>-32152.38</v>
      </c>
      <c r="E17" s="15"/>
      <c r="F17" s="15"/>
      <c r="G17" s="15">
        <f>D17</f>
        <v>-32152.38</v>
      </c>
      <c r="H17" s="24"/>
    </row>
    <row r="18" spans="2:10" x14ac:dyDescent="0.3">
      <c r="B18" s="23"/>
      <c r="C18" s="29" t="s">
        <v>280</v>
      </c>
      <c r="D18" s="15">
        <f>-SAO!I14</f>
        <v>-37025</v>
      </c>
      <c r="E18" s="15"/>
      <c r="F18" s="15"/>
      <c r="G18" s="15">
        <f>D18</f>
        <v>-37025</v>
      </c>
      <c r="H18" s="24"/>
    </row>
    <row r="19" spans="2:10" ht="16.2" x14ac:dyDescent="0.45">
      <c r="B19" s="23"/>
      <c r="C19" s="15" t="s">
        <v>281</v>
      </c>
      <c r="D19" s="15">
        <f>-SAO!I15</f>
        <v>-45650.61</v>
      </c>
      <c r="E19" s="15">
        <f>$D$19*E14</f>
        <v>-7583.8012725834024</v>
      </c>
      <c r="F19" s="15">
        <f>$D$19*F14</f>
        <v>-26141.098175569929</v>
      </c>
      <c r="G19" s="15">
        <f>$D$19*G14</f>
        <v>-11925.710551846665</v>
      </c>
      <c r="H19" s="35"/>
      <c r="J19" s="17">
        <f>SUM(E19:G19)</f>
        <v>-45650.609999999993</v>
      </c>
    </row>
    <row r="20" spans="2:10" ht="16.2" x14ac:dyDescent="0.45">
      <c r="B20" s="23"/>
      <c r="C20" s="15" t="s">
        <v>564</v>
      </c>
      <c r="D20" s="421">
        <f>-SUM(SAO!I47:I53)</f>
        <v>-419083.20999999996</v>
      </c>
      <c r="E20" s="25">
        <f>$D$20*E14</f>
        <v>-69621.058323565376</v>
      </c>
      <c r="F20" s="25">
        <f>$D$20*F14</f>
        <v>-239981.35701457193</v>
      </c>
      <c r="G20" s="25">
        <f>$D$20*G14</f>
        <v>-109480.7946618626</v>
      </c>
      <c r="H20" s="35"/>
      <c r="J20" s="17">
        <f>SUM(E20:G20)</f>
        <v>-419083.2099999999</v>
      </c>
    </row>
    <row r="21" spans="2:10" ht="5.0999999999999996" customHeight="1" x14ac:dyDescent="0.3">
      <c r="B21" s="23"/>
      <c r="C21" s="15"/>
      <c r="D21" s="15"/>
      <c r="E21" s="15"/>
      <c r="F21" s="15">
        <v>0</v>
      </c>
      <c r="G21" s="15"/>
      <c r="H21" s="24"/>
    </row>
    <row r="22" spans="2:10" x14ac:dyDescent="0.3">
      <c r="B22" s="23"/>
      <c r="C22" s="36" t="s">
        <v>94</v>
      </c>
      <c r="D22" s="15">
        <f>SUM(D13:D20)</f>
        <v>4968915.1473270841</v>
      </c>
      <c r="E22" s="15">
        <f>SUM(E13:E20)</f>
        <v>925361.06048101268</v>
      </c>
      <c r="F22" s="15">
        <f>SUM(F13:F20)</f>
        <v>2942142.5864544101</v>
      </c>
      <c r="G22" s="15">
        <f>SUM(G13:G20)</f>
        <v>1101412.5003916619</v>
      </c>
      <c r="H22" s="24"/>
      <c r="I22" s="17">
        <f>SUM(E22:G22)</f>
        <v>4968916.147327085</v>
      </c>
    </row>
    <row r="23" spans="2:10" x14ac:dyDescent="0.3">
      <c r="B23" s="27"/>
      <c r="C23" s="14"/>
      <c r="D23" s="14"/>
      <c r="E23" s="14"/>
      <c r="F23" s="14"/>
      <c r="G23" s="14"/>
      <c r="H23" s="28"/>
    </row>
    <row r="25" spans="2:10" x14ac:dyDescent="0.3">
      <c r="C25" s="17" t="s">
        <v>566</v>
      </c>
    </row>
    <row r="27" spans="2:10" x14ac:dyDescent="0.3">
      <c r="C27" s="269" t="s">
        <v>290</v>
      </c>
      <c r="D27" s="17">
        <f>Whol!H92</f>
        <v>5502826.3473270833</v>
      </c>
      <c r="G27" s="32"/>
    </row>
    <row r="28" spans="2:10" ht="16.2" x14ac:dyDescent="0.45">
      <c r="C28" s="269" t="s">
        <v>289</v>
      </c>
      <c r="D28" s="82">
        <f>SUM(D17:D20)</f>
        <v>-533911.19999999995</v>
      </c>
      <c r="G28" s="32"/>
    </row>
    <row r="29" spans="2:10" x14ac:dyDescent="0.3">
      <c r="C29" s="269" t="s">
        <v>291</v>
      </c>
      <c r="D29" s="17">
        <f>SUM(D27:D28)</f>
        <v>4968915.1473270832</v>
      </c>
    </row>
  </sheetData>
  <mergeCells count="3">
    <mergeCell ref="C4:G4"/>
    <mergeCell ref="C3:G3"/>
    <mergeCell ref="C5:G5"/>
  </mergeCells>
  <printOptions horizontalCentered="1"/>
  <pageMargins left="0.95" right="0.7" top="1.2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N62"/>
  <sheetViews>
    <sheetView topLeftCell="A48" workbookViewId="0">
      <selection activeCell="H62" sqref="B1:H62"/>
    </sheetView>
  </sheetViews>
  <sheetFormatPr defaultColWidth="8.90625" defaultRowHeight="14.4" x14ac:dyDescent="0.3"/>
  <cols>
    <col min="1" max="1" width="8.90625" style="17"/>
    <col min="2" max="2" width="1.81640625" style="17" customWidth="1"/>
    <col min="3" max="3" width="21.453125" style="17" customWidth="1"/>
    <col min="4" max="4" width="11.81640625" style="17" customWidth="1"/>
    <col min="5" max="5" width="12" style="17" customWidth="1"/>
    <col min="6" max="6" width="11.453125" style="17" customWidth="1"/>
    <col min="7" max="7" width="7.36328125" style="17" bestFit="1" customWidth="1"/>
    <col min="8" max="8" width="1.81640625" style="17" customWidth="1"/>
    <col min="9" max="9" width="8.90625" style="17"/>
    <col min="10" max="10" width="10" style="17" customWidth="1"/>
    <col min="11" max="11" width="9.81640625" style="17" bestFit="1" customWidth="1"/>
    <col min="12" max="12" width="10.81640625" style="17" customWidth="1"/>
    <col min="13" max="13" width="9" style="17" bestFit="1" customWidth="1"/>
    <col min="14" max="14" width="14" style="17" customWidth="1"/>
    <col min="15" max="15" width="10.6328125" style="17" customWidth="1"/>
    <col min="16" max="16384" width="8.90625" style="17"/>
  </cols>
  <sheetData>
    <row r="1" spans="2:14" ht="6" customHeight="1" x14ac:dyDescent="0.3">
      <c r="B1" s="20"/>
      <c r="C1" s="21"/>
      <c r="D1" s="21"/>
      <c r="E1" s="21"/>
      <c r="F1" s="21"/>
      <c r="G1" s="21"/>
      <c r="H1" s="22"/>
    </row>
    <row r="2" spans="2:14" ht="18" x14ac:dyDescent="0.35">
      <c r="B2" s="23"/>
      <c r="C2" s="620" t="s">
        <v>509</v>
      </c>
      <c r="D2" s="620"/>
      <c r="E2" s="620"/>
      <c r="F2" s="620"/>
      <c r="G2" s="620"/>
      <c r="H2" s="345"/>
    </row>
    <row r="3" spans="2:14" ht="18" x14ac:dyDescent="0.35">
      <c r="B3" s="23"/>
      <c r="C3" s="627" t="s">
        <v>102</v>
      </c>
      <c r="D3" s="627"/>
      <c r="E3" s="627"/>
      <c r="F3" s="627"/>
      <c r="G3" s="627"/>
      <c r="H3" s="33"/>
    </row>
    <row r="4" spans="2:14" ht="15.6" x14ac:dyDescent="0.3">
      <c r="B4" s="23"/>
      <c r="C4" s="621" t="s">
        <v>331</v>
      </c>
      <c r="D4" s="621"/>
      <c r="E4" s="621"/>
      <c r="F4" s="621"/>
      <c r="G4" s="621"/>
      <c r="H4" s="220"/>
      <c r="I4" s="190"/>
      <c r="J4"/>
      <c r="K4"/>
    </row>
    <row r="5" spans="2:14" ht="6" customHeight="1" x14ac:dyDescent="0.3">
      <c r="B5" s="27"/>
      <c r="C5" s="349"/>
      <c r="D5" s="349"/>
      <c r="E5" s="349"/>
      <c r="F5" s="349"/>
      <c r="G5" s="349"/>
      <c r="H5" s="351"/>
      <c r="I5" s="190"/>
      <c r="J5"/>
      <c r="K5"/>
    </row>
    <row r="6" spans="2:14" ht="6" customHeight="1" x14ac:dyDescent="0.3">
      <c r="B6" s="23"/>
      <c r="C6" s="16"/>
      <c r="D6" s="16"/>
      <c r="E6" s="16"/>
      <c r="F6" s="16"/>
      <c r="G6" s="16"/>
      <c r="H6" s="5"/>
    </row>
    <row r="7" spans="2:14" ht="18" x14ac:dyDescent="0.3">
      <c r="B7" s="23"/>
      <c r="C7" s="628" t="s">
        <v>325</v>
      </c>
      <c r="D7" s="628"/>
      <c r="E7" s="16"/>
      <c r="F7" s="16"/>
      <c r="G7" s="16"/>
      <c r="H7" s="5"/>
    </row>
    <row r="8" spans="2:14" x14ac:dyDescent="0.3">
      <c r="B8" s="23"/>
      <c r="C8" s="15"/>
      <c r="D8" s="37"/>
      <c r="E8" s="37"/>
      <c r="F8" s="37"/>
      <c r="G8" s="37"/>
      <c r="H8" s="38"/>
      <c r="M8" s="56"/>
      <c r="N8" s="56"/>
    </row>
    <row r="9" spans="2:14" ht="16.2" x14ac:dyDescent="0.45">
      <c r="B9" s="23"/>
      <c r="C9" s="15"/>
      <c r="D9" s="39" t="s">
        <v>13</v>
      </c>
      <c r="E9" s="40"/>
      <c r="F9" s="40"/>
      <c r="G9" s="40"/>
      <c r="H9" s="41"/>
    </row>
    <row r="10" spans="2:14" ht="16.2" x14ac:dyDescent="0.45">
      <c r="B10" s="23"/>
      <c r="C10" s="15" t="s">
        <v>95</v>
      </c>
      <c r="D10" s="15">
        <f>ExBA!D30</f>
        <v>922146600</v>
      </c>
      <c r="E10" s="15"/>
      <c r="F10" s="15"/>
      <c r="G10" s="15"/>
      <c r="H10" s="24"/>
      <c r="K10" s="95"/>
      <c r="L10" s="95"/>
      <c r="M10" s="95"/>
      <c r="N10" s="95"/>
    </row>
    <row r="11" spans="2:14" x14ac:dyDescent="0.3">
      <c r="B11" s="23"/>
      <c r="C11" s="15"/>
      <c r="D11" s="15"/>
      <c r="E11" s="15"/>
      <c r="F11" s="15"/>
      <c r="G11" s="15"/>
      <c r="H11" s="24"/>
    </row>
    <row r="12" spans="2:14" x14ac:dyDescent="0.3">
      <c r="B12" s="23"/>
      <c r="C12" s="15" t="s">
        <v>96</v>
      </c>
      <c r="D12" s="15">
        <f>AlocSum!E22</f>
        <v>925361.06048101268</v>
      </c>
      <c r="E12" s="15"/>
      <c r="F12" s="15"/>
      <c r="G12" s="15"/>
      <c r="H12" s="24"/>
    </row>
    <row r="13" spans="2:14" ht="17.399999999999999" x14ac:dyDescent="0.45">
      <c r="B13" s="23"/>
      <c r="C13" s="15" t="s">
        <v>97</v>
      </c>
      <c r="D13" s="25">
        <f>AlocSum!F22</f>
        <v>2942142.5864544101</v>
      </c>
      <c r="E13" s="25"/>
      <c r="F13" s="25"/>
      <c r="G13" s="25"/>
      <c r="H13" s="24"/>
      <c r="J13"/>
      <c r="K13"/>
      <c r="L13"/>
      <c r="M13"/>
      <c r="N13"/>
    </row>
    <row r="14" spans="2:14" ht="15.6" x14ac:dyDescent="0.3">
      <c r="B14" s="23"/>
      <c r="C14" s="15" t="s">
        <v>167</v>
      </c>
      <c r="D14" s="15">
        <f>SUM(D12:D13)</f>
        <v>3867503.6469354229</v>
      </c>
      <c r="E14" s="15"/>
      <c r="F14" s="15"/>
      <c r="G14" s="15"/>
      <c r="H14" s="24"/>
      <c r="J14"/>
      <c r="K14"/>
      <c r="L14"/>
      <c r="M14"/>
      <c r="N14"/>
    </row>
    <row r="15" spans="2:14" ht="15.6" x14ac:dyDescent="0.3">
      <c r="B15" s="23"/>
      <c r="C15" s="15"/>
      <c r="D15" s="15"/>
      <c r="E15" s="15"/>
      <c r="F15" s="15"/>
      <c r="G15" s="15"/>
      <c r="H15" s="24"/>
      <c r="J15"/>
      <c r="K15"/>
      <c r="L15"/>
      <c r="M15"/>
      <c r="N15"/>
    </row>
    <row r="16" spans="2:14" ht="15.6" x14ac:dyDescent="0.3">
      <c r="B16" s="23"/>
      <c r="C16" s="15" t="s">
        <v>282</v>
      </c>
      <c r="D16" s="15">
        <f>D10/1000</f>
        <v>922146.6</v>
      </c>
      <c r="E16" s="15"/>
      <c r="F16" s="15"/>
      <c r="G16" s="15"/>
      <c r="H16" s="24"/>
      <c r="J16"/>
      <c r="K16"/>
      <c r="L16"/>
      <c r="M16"/>
      <c r="N16"/>
    </row>
    <row r="17" spans="2:14" ht="15.6" x14ac:dyDescent="0.3">
      <c r="B17" s="23"/>
      <c r="C17" s="15"/>
      <c r="D17" s="15"/>
      <c r="E17" s="15"/>
      <c r="F17" s="15"/>
      <c r="G17" s="15"/>
      <c r="H17" s="24"/>
      <c r="J17"/>
      <c r="K17"/>
      <c r="L17"/>
      <c r="M17"/>
      <c r="N17"/>
    </row>
    <row r="18" spans="2:14" ht="15.6" x14ac:dyDescent="0.3">
      <c r="B18" s="23"/>
      <c r="C18" s="274" t="s">
        <v>283</v>
      </c>
      <c r="D18" s="45">
        <f>ROUND(D14/D16,2)</f>
        <v>4.1900000000000004</v>
      </c>
      <c r="E18" s="45"/>
      <c r="F18" s="45"/>
      <c r="G18" s="45"/>
      <c r="H18" s="46"/>
      <c r="J18"/>
      <c r="K18"/>
      <c r="L18"/>
      <c r="M18"/>
      <c r="N18"/>
    </row>
    <row r="19" spans="2:14" ht="8.1" customHeight="1" x14ac:dyDescent="0.3">
      <c r="B19" s="23"/>
      <c r="C19" s="80"/>
      <c r="D19" s="15"/>
      <c r="E19" s="45"/>
      <c r="F19" s="45"/>
      <c r="G19" s="45"/>
      <c r="H19" s="46"/>
      <c r="J19"/>
      <c r="K19"/>
      <c r="L19"/>
      <c r="M19"/>
      <c r="N19"/>
    </row>
    <row r="20" spans="2:14" ht="15.6" x14ac:dyDescent="0.3">
      <c r="B20" s="23"/>
      <c r="C20" s="354" t="s">
        <v>284</v>
      </c>
      <c r="D20" s="597">
        <f>D18+0.03</f>
        <v>4.2200000000000006</v>
      </c>
      <c r="E20" s="580"/>
      <c r="F20" s="580"/>
      <c r="G20" s="96"/>
      <c r="H20" s="46"/>
      <c r="J20" s="555"/>
      <c r="K20"/>
      <c r="L20"/>
      <c r="M20"/>
      <c r="N20"/>
    </row>
    <row r="21" spans="2:14" x14ac:dyDescent="0.3">
      <c r="B21" s="23"/>
      <c r="C21" s="15" t="s">
        <v>107</v>
      </c>
      <c r="D21" s="15"/>
      <c r="E21" s="43"/>
      <c r="F21" s="43"/>
      <c r="G21" s="43"/>
      <c r="H21" s="44"/>
    </row>
    <row r="22" spans="2:14" ht="6" customHeight="1" x14ac:dyDescent="0.3">
      <c r="B22" s="23"/>
      <c r="C22" s="15"/>
      <c r="D22" s="15"/>
      <c r="E22" s="43"/>
      <c r="F22" s="43"/>
      <c r="G22" s="43"/>
      <c r="H22" s="44"/>
    </row>
    <row r="23" spans="2:14" ht="6" customHeight="1" x14ac:dyDescent="0.3">
      <c r="B23" s="20"/>
      <c r="C23" s="21"/>
      <c r="D23" s="21"/>
      <c r="E23" s="352"/>
      <c r="F23" s="352"/>
      <c r="G23" s="352"/>
      <c r="H23" s="353"/>
    </row>
    <row r="24" spans="2:14" ht="17.399999999999999" x14ac:dyDescent="0.3">
      <c r="B24" s="23"/>
      <c r="C24" s="628" t="s">
        <v>285</v>
      </c>
      <c r="D24" s="628"/>
      <c r="E24" s="274"/>
      <c r="F24" s="275"/>
      <c r="G24" s="275"/>
      <c r="H24" s="44"/>
    </row>
    <row r="25" spans="2:14" ht="6" customHeight="1" x14ac:dyDescent="0.3">
      <c r="B25" s="23"/>
      <c r="C25" s="1"/>
      <c r="D25" s="274"/>
      <c r="E25" s="274"/>
      <c r="F25" s="275"/>
      <c r="G25" s="275"/>
      <c r="H25" s="44"/>
    </row>
    <row r="26" spans="2:14" x14ac:dyDescent="0.3">
      <c r="B26" s="23"/>
      <c r="C26" s="1" t="s">
        <v>286</v>
      </c>
      <c r="D26" s="80">
        <f>AlocSum!G22</f>
        <v>1101412.5003916619</v>
      </c>
      <c r="E26" s="80"/>
      <c r="F26" s="276"/>
      <c r="G26" s="276"/>
      <c r="H26" s="44"/>
    </row>
    <row r="27" spans="2:14" x14ac:dyDescent="0.3">
      <c r="B27" s="23"/>
      <c r="C27" s="1" t="s">
        <v>320</v>
      </c>
      <c r="D27" s="80">
        <f>F60</f>
        <v>122422.5</v>
      </c>
      <c r="E27" s="80"/>
      <c r="F27" s="276"/>
      <c r="G27" s="276"/>
      <c r="H27" s="44"/>
    </row>
    <row r="28" spans="2:14" ht="15.6" x14ac:dyDescent="0.3">
      <c r="B28" s="23"/>
      <c r="C28" s="1" t="s">
        <v>287</v>
      </c>
      <c r="D28" s="577">
        <f>ROUND(D26/D27,2)</f>
        <v>9</v>
      </c>
      <c r="E28" s="277"/>
      <c r="F28" s="276"/>
      <c r="G28" s="276"/>
      <c r="H28" s="44"/>
      <c r="K28"/>
    </row>
    <row r="29" spans="2:14" x14ac:dyDescent="0.3">
      <c r="B29" s="23"/>
      <c r="C29" s="1"/>
      <c r="D29" s="277"/>
      <c r="E29" s="277"/>
      <c r="F29" s="355" t="s">
        <v>13</v>
      </c>
      <c r="G29" s="571"/>
      <c r="H29" s="44"/>
    </row>
    <row r="30" spans="2:14" ht="15.6" x14ac:dyDescent="0.3">
      <c r="B30" s="23"/>
      <c r="C30" s="279"/>
      <c r="D30" s="280" t="s">
        <v>321</v>
      </c>
      <c r="E30" s="278" t="s">
        <v>140</v>
      </c>
      <c r="F30" s="355" t="s">
        <v>26</v>
      </c>
      <c r="G30" s="571"/>
      <c r="H30" s="44"/>
    </row>
    <row r="31" spans="2:14" ht="16.2" x14ac:dyDescent="0.45">
      <c r="B31" s="23"/>
      <c r="C31" s="281" t="s">
        <v>9</v>
      </c>
      <c r="D31" s="219" t="s">
        <v>322</v>
      </c>
      <c r="E31" s="219" t="s">
        <v>452</v>
      </c>
      <c r="F31" s="356" t="s">
        <v>288</v>
      </c>
      <c r="G31" s="572"/>
      <c r="H31" s="44"/>
    </row>
    <row r="32" spans="2:14" x14ac:dyDescent="0.3">
      <c r="B32" s="23"/>
      <c r="C32" s="282" t="s">
        <v>352</v>
      </c>
      <c r="D32" s="276">
        <f>$D$28</f>
        <v>9</v>
      </c>
      <c r="E32" s="468">
        <v>1</v>
      </c>
      <c r="F32" s="357">
        <f>ROUND(D32*E32,2)</f>
        <v>9</v>
      </c>
      <c r="G32" s="573"/>
      <c r="H32" s="44"/>
    </row>
    <row r="33" spans="2:8" x14ac:dyDescent="0.3">
      <c r="B33" s="23"/>
      <c r="C33" s="282" t="s">
        <v>349</v>
      </c>
      <c r="D33" s="284">
        <f t="shared" ref="D33:D42" si="0">$D$28</f>
        <v>9</v>
      </c>
      <c r="E33" s="468">
        <v>1.5</v>
      </c>
      <c r="F33" s="358">
        <f>ROUND(D33*E33,2)</f>
        <v>13.5</v>
      </c>
      <c r="G33" s="574"/>
      <c r="H33" s="44"/>
    </row>
    <row r="34" spans="2:8" x14ac:dyDescent="0.3">
      <c r="B34" s="23"/>
      <c r="C34" s="283" t="s">
        <v>201</v>
      </c>
      <c r="D34" s="284">
        <f t="shared" si="0"/>
        <v>9</v>
      </c>
      <c r="E34" s="468">
        <v>2.5</v>
      </c>
      <c r="F34" s="358">
        <f>ROUND(D34*E34,2)</f>
        <v>22.5</v>
      </c>
      <c r="G34" s="574"/>
      <c r="H34" s="44"/>
    </row>
    <row r="35" spans="2:8" x14ac:dyDescent="0.3">
      <c r="B35" s="23"/>
      <c r="C35" s="283" t="s">
        <v>202</v>
      </c>
      <c r="D35" s="284">
        <f t="shared" si="0"/>
        <v>9</v>
      </c>
      <c r="E35" s="468">
        <v>5</v>
      </c>
      <c r="F35" s="358">
        <f>ROUND(D35*E35,2)</f>
        <v>45</v>
      </c>
      <c r="G35" s="574"/>
      <c r="H35" s="44"/>
    </row>
    <row r="36" spans="2:8" x14ac:dyDescent="0.3">
      <c r="B36" s="23"/>
      <c r="C36" s="283" t="s">
        <v>203</v>
      </c>
      <c r="D36" s="284">
        <f t="shared" si="0"/>
        <v>9</v>
      </c>
      <c r="E36" s="468">
        <v>8</v>
      </c>
      <c r="F36" s="358">
        <f>ROUND(D36*E36,2)</f>
        <v>72</v>
      </c>
      <c r="G36" s="574"/>
      <c r="H36" s="44"/>
    </row>
    <row r="37" spans="2:8" x14ac:dyDescent="0.3">
      <c r="B37" s="23"/>
      <c r="C37" s="283" t="s">
        <v>204</v>
      </c>
      <c r="D37" s="284">
        <f t="shared" si="0"/>
        <v>9</v>
      </c>
      <c r="E37" s="468">
        <v>16</v>
      </c>
      <c r="F37" s="358">
        <f t="shared" ref="F37:F42" si="1">ROUND(D37*E37,2)</f>
        <v>144</v>
      </c>
      <c r="G37" s="574"/>
      <c r="H37" s="44"/>
    </row>
    <row r="38" spans="2:8" x14ac:dyDescent="0.3">
      <c r="B38" s="23"/>
      <c r="C38" s="283" t="s">
        <v>205</v>
      </c>
      <c r="D38" s="284">
        <f t="shared" si="0"/>
        <v>9</v>
      </c>
      <c r="E38" s="468">
        <v>25</v>
      </c>
      <c r="F38" s="358">
        <f t="shared" si="1"/>
        <v>225</v>
      </c>
      <c r="G38" s="574"/>
      <c r="H38" s="44"/>
    </row>
    <row r="39" spans="2:8" x14ac:dyDescent="0.3">
      <c r="B39" s="23"/>
      <c r="C39" s="283" t="s">
        <v>206</v>
      </c>
      <c r="D39" s="284">
        <f t="shared" si="0"/>
        <v>9</v>
      </c>
      <c r="E39" s="468">
        <v>50</v>
      </c>
      <c r="F39" s="358">
        <f t="shared" si="1"/>
        <v>450</v>
      </c>
      <c r="G39" s="574"/>
      <c r="H39" s="44"/>
    </row>
    <row r="40" spans="2:8" x14ac:dyDescent="0.3">
      <c r="B40" s="23"/>
      <c r="C40" s="283" t="s">
        <v>238</v>
      </c>
      <c r="D40" s="284">
        <f t="shared" si="0"/>
        <v>9</v>
      </c>
      <c r="E40" s="468">
        <v>80</v>
      </c>
      <c r="F40" s="358">
        <f t="shared" si="1"/>
        <v>720</v>
      </c>
      <c r="G40" s="574"/>
      <c r="H40" s="44"/>
    </row>
    <row r="41" spans="2:8" x14ac:dyDescent="0.3">
      <c r="B41" s="23"/>
      <c r="C41" s="283" t="s">
        <v>240</v>
      </c>
      <c r="D41" s="284">
        <f t="shared" si="0"/>
        <v>9</v>
      </c>
      <c r="E41" s="468">
        <v>210</v>
      </c>
      <c r="F41" s="358">
        <f t="shared" si="1"/>
        <v>1890</v>
      </c>
      <c r="G41" s="574"/>
      <c r="H41" s="44"/>
    </row>
    <row r="42" spans="2:8" x14ac:dyDescent="0.3">
      <c r="B42" s="23"/>
      <c r="C42" s="283" t="s">
        <v>241</v>
      </c>
      <c r="D42" s="284">
        <f t="shared" si="0"/>
        <v>9</v>
      </c>
      <c r="E42" s="468">
        <v>265</v>
      </c>
      <c r="F42" s="358">
        <f t="shared" si="1"/>
        <v>2385</v>
      </c>
      <c r="G42" s="574"/>
      <c r="H42" s="44"/>
    </row>
    <row r="43" spans="2:8" ht="12" customHeight="1" x14ac:dyDescent="0.3">
      <c r="B43" s="27"/>
      <c r="C43" s="14"/>
      <c r="D43" s="14"/>
      <c r="E43" s="469"/>
      <c r="F43" s="14"/>
      <c r="G43" s="14"/>
      <c r="H43" s="102"/>
    </row>
    <row r="44" spans="2:8" ht="6" customHeight="1" x14ac:dyDescent="0.3">
      <c r="B44" s="20"/>
      <c r="C44" s="21"/>
      <c r="D44" s="21"/>
      <c r="E44" s="470"/>
      <c r="F44" s="21"/>
      <c r="G44" s="21"/>
      <c r="H44" s="287"/>
    </row>
    <row r="45" spans="2:8" x14ac:dyDescent="0.3">
      <c r="B45" s="23"/>
      <c r="C45" s="288" t="s">
        <v>292</v>
      </c>
      <c r="D45" s="289"/>
      <c r="E45" s="471"/>
      <c r="F45" s="289"/>
      <c r="H45" s="290"/>
    </row>
    <row r="46" spans="2:8" ht="6" customHeight="1" x14ac:dyDescent="0.3">
      <c r="B46" s="23"/>
      <c r="C46" s="289"/>
      <c r="D46" s="289"/>
      <c r="E46" s="471"/>
      <c r="F46" s="289"/>
      <c r="H46" s="290"/>
    </row>
    <row r="47" spans="2:8" x14ac:dyDescent="0.3">
      <c r="B47" s="23"/>
      <c r="C47" s="291"/>
      <c r="D47" s="291" t="s">
        <v>294</v>
      </c>
      <c r="E47" s="472" t="s">
        <v>140</v>
      </c>
      <c r="F47" s="291" t="s">
        <v>294</v>
      </c>
      <c r="H47" s="24"/>
    </row>
    <row r="48" spans="2:8" ht="16.2" x14ac:dyDescent="0.45">
      <c r="B48" s="23"/>
      <c r="C48" s="281" t="s">
        <v>9</v>
      </c>
      <c r="D48" s="292" t="s">
        <v>296</v>
      </c>
      <c r="E48" s="473" t="s">
        <v>452</v>
      </c>
      <c r="F48" s="292" t="s">
        <v>295</v>
      </c>
      <c r="H48" s="24"/>
    </row>
    <row r="49" spans="2:11" x14ac:dyDescent="0.3">
      <c r="B49" s="23"/>
      <c r="C49" s="293" t="s">
        <v>352</v>
      </c>
      <c r="D49" s="2">
        <f>ExBA!C35</f>
        <v>105981</v>
      </c>
      <c r="E49" s="468">
        <v>1</v>
      </c>
      <c r="F49" s="289">
        <f t="shared" ref="F49:F55" si="2">D49*E49</f>
        <v>105981</v>
      </c>
      <c r="H49" s="290">
        <f>ROUND(F49*E49,0)</f>
        <v>105981</v>
      </c>
      <c r="J49" s="276">
        <f>F32</f>
        <v>9</v>
      </c>
      <c r="K49" s="17">
        <f>J49*D49</f>
        <v>953829</v>
      </c>
    </row>
    <row r="50" spans="2:11" x14ac:dyDescent="0.3">
      <c r="B50" s="23"/>
      <c r="C50" s="293" t="s">
        <v>349</v>
      </c>
      <c r="D50" s="2">
        <f>ExBA!C36</f>
        <v>326</v>
      </c>
      <c r="E50" s="468">
        <v>1.5</v>
      </c>
      <c r="F50" s="289">
        <f t="shared" si="2"/>
        <v>489</v>
      </c>
      <c r="H50" s="290"/>
      <c r="J50" s="343">
        <f>F33</f>
        <v>13.5</v>
      </c>
      <c r="K50" s="17">
        <f t="shared" ref="K50:K59" si="3">J50*D50</f>
        <v>4401</v>
      </c>
    </row>
    <row r="51" spans="2:11" x14ac:dyDescent="0.3">
      <c r="B51" s="23"/>
      <c r="C51" s="294" t="s">
        <v>201</v>
      </c>
      <c r="D51" s="2">
        <f>ExBA!C37</f>
        <v>1617</v>
      </c>
      <c r="E51" s="468">
        <v>2.5</v>
      </c>
      <c r="F51" s="289">
        <f t="shared" si="2"/>
        <v>4042.5</v>
      </c>
      <c r="H51" s="290">
        <f>ROUND(F51*E51,0)</f>
        <v>10106</v>
      </c>
      <c r="J51" s="343">
        <f>F34</f>
        <v>22.5</v>
      </c>
      <c r="K51" s="17">
        <f t="shared" si="3"/>
        <v>36382.5</v>
      </c>
    </row>
    <row r="52" spans="2:11" x14ac:dyDescent="0.3">
      <c r="B52" s="23"/>
      <c r="C52" s="294" t="s">
        <v>202</v>
      </c>
      <c r="D52" s="2">
        <f>ExBA!C38</f>
        <v>156</v>
      </c>
      <c r="E52" s="468">
        <v>5</v>
      </c>
      <c r="F52" s="289">
        <f t="shared" si="2"/>
        <v>780</v>
      </c>
      <c r="H52" s="290">
        <f>ROUND(F52*E52,0)</f>
        <v>3900</v>
      </c>
      <c r="J52" s="343">
        <f t="shared" ref="J52:J59" si="4">F35</f>
        <v>45</v>
      </c>
      <c r="K52" s="17">
        <f t="shared" si="3"/>
        <v>7020</v>
      </c>
    </row>
    <row r="53" spans="2:11" x14ac:dyDescent="0.3">
      <c r="B53" s="23"/>
      <c r="C53" s="294" t="s">
        <v>203</v>
      </c>
      <c r="D53" s="2">
        <f>ExBA!C39</f>
        <v>323</v>
      </c>
      <c r="E53" s="468">
        <v>8</v>
      </c>
      <c r="F53" s="289">
        <f t="shared" si="2"/>
        <v>2584</v>
      </c>
      <c r="H53" s="290">
        <f>ROUND(F53*E53,0)</f>
        <v>20672</v>
      </c>
      <c r="J53" s="343">
        <f t="shared" si="4"/>
        <v>72</v>
      </c>
      <c r="K53" s="17">
        <f t="shared" si="3"/>
        <v>23256</v>
      </c>
    </row>
    <row r="54" spans="2:11" x14ac:dyDescent="0.3">
      <c r="B54" s="23"/>
      <c r="C54" s="294" t="s">
        <v>204</v>
      </c>
      <c r="D54" s="2">
        <f>ExBA!C40</f>
        <v>196</v>
      </c>
      <c r="E54" s="468">
        <v>16</v>
      </c>
      <c r="F54" s="289">
        <f t="shared" si="2"/>
        <v>3136</v>
      </c>
      <c r="H54" s="290">
        <f>ROUND(F54*E54,0)</f>
        <v>50176</v>
      </c>
      <c r="J54" s="343">
        <f t="shared" si="4"/>
        <v>144</v>
      </c>
      <c r="K54" s="17">
        <f t="shared" si="3"/>
        <v>28224</v>
      </c>
    </row>
    <row r="55" spans="2:11" x14ac:dyDescent="0.3">
      <c r="B55" s="23"/>
      <c r="C55" s="294" t="s">
        <v>205</v>
      </c>
      <c r="D55" s="2">
        <f>ExBA!C41</f>
        <v>156</v>
      </c>
      <c r="E55" s="468">
        <v>25</v>
      </c>
      <c r="F55" s="289">
        <f t="shared" si="2"/>
        <v>3900</v>
      </c>
      <c r="H55" s="290"/>
      <c r="J55" s="343">
        <f t="shared" si="4"/>
        <v>225</v>
      </c>
      <c r="K55" s="17">
        <f t="shared" si="3"/>
        <v>35100</v>
      </c>
    </row>
    <row r="56" spans="2:11" x14ac:dyDescent="0.3">
      <c r="B56" s="23"/>
      <c r="C56" s="294" t="s">
        <v>206</v>
      </c>
      <c r="D56" s="2">
        <f>ExBA!C42</f>
        <v>11</v>
      </c>
      <c r="E56" s="468">
        <v>50</v>
      </c>
      <c r="F56" s="289">
        <f t="shared" ref="F56" si="5">D56*E56</f>
        <v>550</v>
      </c>
      <c r="H56" s="290"/>
      <c r="J56" s="343">
        <f t="shared" si="4"/>
        <v>450</v>
      </c>
      <c r="K56" s="17">
        <f t="shared" si="3"/>
        <v>4950</v>
      </c>
    </row>
    <row r="57" spans="2:11" x14ac:dyDescent="0.3">
      <c r="B57" s="23"/>
      <c r="C57" s="294" t="s">
        <v>238</v>
      </c>
      <c r="D57" s="2">
        <f>ExBA!C43</f>
        <v>12</v>
      </c>
      <c r="E57" s="468">
        <v>80</v>
      </c>
      <c r="F57" s="289">
        <f>D57*E57</f>
        <v>960</v>
      </c>
      <c r="H57" s="290"/>
      <c r="J57" s="343">
        <f t="shared" si="4"/>
        <v>720</v>
      </c>
      <c r="K57" s="17">
        <f t="shared" si="3"/>
        <v>8640</v>
      </c>
    </row>
    <row r="58" spans="2:11" x14ac:dyDescent="0.3">
      <c r="B58" s="23"/>
      <c r="C58" s="294" t="s">
        <v>240</v>
      </c>
      <c r="D58" s="2">
        <f>ExBA!C44</f>
        <v>0</v>
      </c>
      <c r="E58" s="468">
        <v>210</v>
      </c>
      <c r="F58" s="289">
        <f>D58*E58</f>
        <v>0</v>
      </c>
      <c r="H58" s="290"/>
      <c r="J58" s="343">
        <f t="shared" si="4"/>
        <v>1890</v>
      </c>
      <c r="K58" s="17">
        <f t="shared" si="3"/>
        <v>0</v>
      </c>
    </row>
    <row r="59" spans="2:11" ht="16.2" x14ac:dyDescent="0.45">
      <c r="B59" s="23"/>
      <c r="C59" s="294" t="s">
        <v>241</v>
      </c>
      <c r="D59" s="562">
        <f>ExBA!C45</f>
        <v>0</v>
      </c>
      <c r="E59" s="468">
        <v>265</v>
      </c>
      <c r="F59" s="295">
        <f>D59*E59</f>
        <v>0</v>
      </c>
      <c r="H59" s="290"/>
      <c r="J59" s="343">
        <f t="shared" si="4"/>
        <v>2385</v>
      </c>
      <c r="K59" s="17">
        <f t="shared" si="3"/>
        <v>0</v>
      </c>
    </row>
    <row r="60" spans="2:11" x14ac:dyDescent="0.3">
      <c r="B60" s="23"/>
      <c r="C60" s="344" t="s">
        <v>14</v>
      </c>
      <c r="D60" s="289">
        <f>SUM(D49:D59)</f>
        <v>108778</v>
      </c>
      <c r="E60" s="471"/>
      <c r="F60" s="289">
        <f>SUM(F49:F59)</f>
        <v>122422.5</v>
      </c>
      <c r="H60" s="290">
        <f>SUM(H49:H59)</f>
        <v>190835</v>
      </c>
      <c r="K60" s="17">
        <f>SUM(K49:K59)</f>
        <v>1101802.5</v>
      </c>
    </row>
    <row r="61" spans="2:11" ht="6" customHeight="1" x14ac:dyDescent="0.3">
      <c r="B61" s="27"/>
      <c r="C61" s="14"/>
      <c r="D61" s="14"/>
      <c r="E61" s="14"/>
      <c r="F61" s="14"/>
      <c r="G61" s="14"/>
      <c r="H61" s="28"/>
    </row>
    <row r="62" spans="2:11" x14ac:dyDescent="0.3">
      <c r="C62" s="17" t="s">
        <v>485</v>
      </c>
    </row>
  </sheetData>
  <mergeCells count="5">
    <mergeCell ref="C24:D24"/>
    <mergeCell ref="C2:G2"/>
    <mergeCell ref="C3:G3"/>
    <mergeCell ref="C4:G4"/>
    <mergeCell ref="C7:D7"/>
  </mergeCells>
  <printOptions horizontalCentered="1"/>
  <pageMargins left="0.7" right="0.7" top="0.6" bottom="0.35" header="0.3" footer="0.3"/>
  <pageSetup scale="8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70"/>
  <sheetViews>
    <sheetView showGridLines="0" zoomScaleNormal="100" workbookViewId="0">
      <selection sqref="A1:G1"/>
    </sheetView>
  </sheetViews>
  <sheetFormatPr defaultColWidth="11.1796875" defaultRowHeight="14.4" x14ac:dyDescent="0.3"/>
  <cols>
    <col min="1" max="1" width="7.81640625" style="1" customWidth="1"/>
    <col min="2" max="2" width="8.1796875" style="1" customWidth="1"/>
    <col min="3" max="3" width="10.54296875" style="1" customWidth="1"/>
    <col min="4" max="4" width="11" style="1" customWidth="1"/>
    <col min="5" max="5" width="10.90625" style="1" customWidth="1"/>
    <col min="6" max="8" width="11.81640625" style="1" customWidth="1"/>
    <col min="9" max="9" width="11.1796875" style="1"/>
    <col min="10" max="10" width="14.36328125" style="1" customWidth="1"/>
    <col min="11" max="12" width="11.1796875" style="1"/>
    <col min="13" max="13" width="12.6328125" style="1" customWidth="1"/>
    <col min="14" max="14" width="9.1796875" style="1" customWidth="1"/>
    <col min="15" max="16384" width="11.1796875" style="1"/>
  </cols>
  <sheetData>
    <row r="1" spans="1:15" ht="18.75" customHeight="1" x14ac:dyDescent="0.35">
      <c r="A1" s="629" t="s">
        <v>344</v>
      </c>
      <c r="B1" s="629"/>
      <c r="C1" s="629"/>
      <c r="D1" s="629"/>
      <c r="E1" s="629"/>
      <c r="F1" s="629"/>
      <c r="G1" s="629"/>
      <c r="H1" s="221"/>
      <c r="I1" s="17"/>
      <c r="J1" s="17"/>
      <c r="K1" s="17"/>
      <c r="L1" s="17"/>
      <c r="M1" s="17"/>
      <c r="N1" s="17"/>
    </row>
    <row r="2" spans="1:15" ht="18.75" customHeight="1" x14ac:dyDescent="0.3">
      <c r="A2" s="603" t="s">
        <v>331</v>
      </c>
      <c r="B2" s="603"/>
      <c r="C2" s="603"/>
      <c r="D2" s="603"/>
      <c r="E2" s="603"/>
      <c r="F2" s="603"/>
      <c r="G2" s="603"/>
      <c r="H2" s="218"/>
      <c r="I2" s="17"/>
      <c r="J2" s="17"/>
      <c r="K2" s="17"/>
      <c r="L2" s="17"/>
      <c r="M2" s="17"/>
      <c r="N2" s="17"/>
    </row>
    <row r="3" spans="1:15" x14ac:dyDescent="0.3">
      <c r="A3" s="81"/>
      <c r="B3" s="4"/>
      <c r="C3" s="4"/>
      <c r="D3" s="4"/>
      <c r="E3" s="4"/>
      <c r="F3" s="4"/>
      <c r="G3" s="4"/>
      <c r="H3" s="4"/>
      <c r="I3" s="17"/>
      <c r="J3" s="17"/>
      <c r="K3" s="17"/>
      <c r="L3" s="17"/>
      <c r="M3" s="17"/>
      <c r="N3" s="17"/>
    </row>
    <row r="4" spans="1:15" ht="17.399999999999999" x14ac:dyDescent="0.3">
      <c r="B4" s="373"/>
      <c r="C4" s="373"/>
      <c r="D4" s="373"/>
      <c r="I4" s="17"/>
      <c r="J4" s="17"/>
      <c r="K4" s="17"/>
      <c r="L4" s="17"/>
      <c r="M4" s="17"/>
      <c r="N4" s="17"/>
    </row>
    <row r="5" spans="1:15" x14ac:dyDescent="0.3">
      <c r="C5" s="71" t="s">
        <v>195</v>
      </c>
      <c r="D5" s="72" t="s">
        <v>146</v>
      </c>
      <c r="E5" s="72" t="s">
        <v>147</v>
      </c>
      <c r="F5" s="71" t="s">
        <v>164</v>
      </c>
      <c r="I5" s="17"/>
      <c r="J5" s="17"/>
      <c r="K5" s="17"/>
      <c r="L5" s="17"/>
      <c r="M5" s="17"/>
      <c r="N5" s="17"/>
    </row>
    <row r="6" spans="1:15" x14ac:dyDescent="0.3">
      <c r="C6" s="2" t="s">
        <v>196</v>
      </c>
      <c r="D6" s="2">
        <f>C46</f>
        <v>108778</v>
      </c>
      <c r="E6" s="2">
        <f>D24</f>
        <v>922146600</v>
      </c>
      <c r="F6" s="69">
        <f>F30</f>
        <v>3294361.9849999999</v>
      </c>
      <c r="I6" s="17"/>
      <c r="L6" s="17"/>
      <c r="M6" s="17"/>
      <c r="N6" s="17"/>
    </row>
    <row r="7" spans="1:15" x14ac:dyDescent="0.3">
      <c r="C7" s="2" t="s">
        <v>197</v>
      </c>
      <c r="F7" s="76">
        <f>E46</f>
        <v>1059279.08</v>
      </c>
      <c r="I7" s="17"/>
      <c r="J7" s="222" t="s">
        <v>345</v>
      </c>
      <c r="K7" s="223">
        <v>-19900.419999999998</v>
      </c>
      <c r="L7" s="17"/>
      <c r="M7" s="17"/>
      <c r="N7" s="17"/>
    </row>
    <row r="8" spans="1:15" x14ac:dyDescent="0.3">
      <c r="C8" s="2" t="s">
        <v>14</v>
      </c>
      <c r="F8" s="177">
        <f>SUM(F6:F7)</f>
        <v>4353641.0649999995</v>
      </c>
      <c r="I8" s="17"/>
      <c r="J8" s="222" t="s">
        <v>346</v>
      </c>
      <c r="K8" s="374">
        <v>-2457.87</v>
      </c>
      <c r="L8" s="17"/>
      <c r="M8" s="222"/>
      <c r="N8" s="223"/>
      <c r="O8" s="222"/>
    </row>
    <row r="9" spans="1:15" ht="16.2" x14ac:dyDescent="0.45">
      <c r="D9" s="2"/>
      <c r="E9" s="196" t="s">
        <v>298</v>
      </c>
      <c r="F9" s="193">
        <f>K9</f>
        <v>-22358.289999999997</v>
      </c>
      <c r="I9" s="17"/>
      <c r="K9" s="223">
        <f>SUM(K7:K8)</f>
        <v>-22358.289999999997</v>
      </c>
      <c r="L9" s="17"/>
      <c r="M9" s="17"/>
      <c r="N9" s="17"/>
    </row>
    <row r="10" spans="1:15" x14ac:dyDescent="0.3">
      <c r="C10" s="191" t="s">
        <v>132</v>
      </c>
      <c r="D10" s="2"/>
      <c r="F10" s="177">
        <f>F8+F9</f>
        <v>4331282.7749999994</v>
      </c>
      <c r="I10" s="17"/>
      <c r="J10" s="222"/>
      <c r="L10" s="17"/>
      <c r="M10" s="17"/>
      <c r="N10" s="17"/>
    </row>
    <row r="11" spans="1:15" ht="6.9" customHeight="1" x14ac:dyDescent="0.3">
      <c r="C11" s="2"/>
      <c r="D11" s="2"/>
      <c r="F11" s="177"/>
      <c r="I11" s="17"/>
      <c r="J11" s="17"/>
      <c r="K11" s="31"/>
      <c r="L11" s="17"/>
      <c r="M11" s="17"/>
      <c r="N11" s="17"/>
    </row>
    <row r="12" spans="1:15" hidden="1" x14ac:dyDescent="0.3">
      <c r="C12" s="191" t="s">
        <v>242</v>
      </c>
      <c r="D12" s="2"/>
      <c r="F12" s="177">
        <f>E57</f>
        <v>0</v>
      </c>
      <c r="I12" s="17"/>
      <c r="J12" s="17"/>
      <c r="K12" s="17"/>
      <c r="L12" s="17"/>
      <c r="M12" s="17"/>
      <c r="N12" s="17"/>
    </row>
    <row r="13" spans="1:15" ht="6.9" hidden="1" customHeight="1" x14ac:dyDescent="0.3">
      <c r="C13" s="2"/>
      <c r="D13" s="2"/>
      <c r="F13" s="177"/>
      <c r="I13" s="17"/>
      <c r="J13" s="17"/>
      <c r="K13" s="17"/>
      <c r="L13" s="17"/>
      <c r="M13" s="17"/>
      <c r="N13" s="17"/>
    </row>
    <row r="14" spans="1:15" x14ac:dyDescent="0.3">
      <c r="C14" s="191" t="s">
        <v>243</v>
      </c>
      <c r="D14" s="2"/>
      <c r="F14" s="177">
        <f>E62+E69</f>
        <v>732372</v>
      </c>
      <c r="I14" s="17"/>
      <c r="J14" s="201">
        <f>SUM(F10:F14)</f>
        <v>5063654.7749999994</v>
      </c>
      <c r="K14" s="17"/>
      <c r="L14" s="17"/>
      <c r="M14" s="17"/>
      <c r="N14" s="17"/>
    </row>
    <row r="15" spans="1:15" ht="9.6" customHeight="1" x14ac:dyDescent="0.3">
      <c r="C15" s="191"/>
      <c r="D15" s="2"/>
      <c r="F15" s="380"/>
      <c r="I15" s="17"/>
      <c r="J15" s="201"/>
      <c r="K15" s="17"/>
      <c r="L15" s="17"/>
      <c r="M15" s="17"/>
      <c r="N15" s="17"/>
    </row>
    <row r="16" spans="1:15" x14ac:dyDescent="0.3">
      <c r="C16" s="191" t="s">
        <v>317</v>
      </c>
      <c r="D16" s="69"/>
      <c r="F16" s="201">
        <f>SUM(F10:F14)</f>
        <v>5063654.7749999994</v>
      </c>
      <c r="I16" s="17"/>
      <c r="J16" s="17"/>
      <c r="K16" s="17"/>
      <c r="L16" s="17"/>
      <c r="M16" s="17"/>
      <c r="N16" s="17"/>
    </row>
    <row r="17" spans="1:14" ht="18" x14ac:dyDescent="0.35">
      <c r="A17" s="375"/>
      <c r="B17" s="375"/>
      <c r="C17" s="375"/>
      <c r="D17" s="375"/>
      <c r="E17" s="375"/>
      <c r="F17" s="375"/>
      <c r="G17" s="375"/>
      <c r="I17" s="17"/>
      <c r="J17" s="17"/>
      <c r="K17" s="17"/>
      <c r="L17" s="17"/>
      <c r="M17" s="17"/>
      <c r="N17" s="17"/>
    </row>
    <row r="18" spans="1:14" x14ac:dyDescent="0.3">
      <c r="C18" s="52"/>
      <c r="D18" s="69"/>
      <c r="I18" s="17"/>
      <c r="J18" s="17"/>
      <c r="K18" s="17"/>
      <c r="L18" s="17"/>
      <c r="M18" s="17"/>
      <c r="N18" s="17"/>
    </row>
    <row r="19" spans="1:14" ht="16.2" x14ac:dyDescent="0.3">
      <c r="A19" s="631" t="s">
        <v>299</v>
      </c>
      <c r="B19" s="631"/>
      <c r="C19" s="631"/>
      <c r="D19" s="631"/>
      <c r="I19" s="17"/>
      <c r="J19" s="17"/>
      <c r="K19" s="556"/>
      <c r="L19" s="556"/>
      <c r="M19" s="17"/>
      <c r="N19" s="17"/>
    </row>
    <row r="20" spans="1:14" x14ac:dyDescent="0.3">
      <c r="E20" s="70" t="s">
        <v>143</v>
      </c>
      <c r="F20" s="70" t="s">
        <v>144</v>
      </c>
      <c r="I20" s="17"/>
      <c r="J20" s="17"/>
      <c r="K20" s="420"/>
      <c r="L20" s="420"/>
      <c r="M20" s="17"/>
      <c r="N20" s="17"/>
    </row>
    <row r="21" spans="1:14" x14ac:dyDescent="0.3">
      <c r="B21" s="71" t="s">
        <v>145</v>
      </c>
      <c r="C21" s="72" t="s">
        <v>146</v>
      </c>
      <c r="D21" s="72" t="s">
        <v>147</v>
      </c>
      <c r="E21" s="72">
        <f>B22</f>
        <v>40000</v>
      </c>
      <c r="F21" s="72">
        <f>B23</f>
        <v>40000</v>
      </c>
      <c r="G21" s="71" t="s">
        <v>148</v>
      </c>
      <c r="I21" s="17"/>
      <c r="J21" s="17"/>
      <c r="K21" s="420"/>
      <c r="L21" s="420"/>
      <c r="M21" s="17"/>
      <c r="N21" s="17"/>
    </row>
    <row r="22" spans="1:14" x14ac:dyDescent="0.3">
      <c r="A22" s="73" t="s">
        <v>143</v>
      </c>
      <c r="B22" s="74">
        <v>40000</v>
      </c>
      <c r="C22" s="265">
        <f>BaData!N4+BaData!N15+BaData!N26+BaData!N37+BaData!N48+BaData!N59+BaData!N70+BaData!N81+BaData!N92+BaData!N103+BaData!N114+BaData!N125+BaData!N136+BaData!N147+BaData!N158+BaData!N169+BaData!N180</f>
        <v>107445</v>
      </c>
      <c r="D22" s="265">
        <f>BaData!N8+BaData!N19+BaData!N30+BaData!N41+BaData!N52+BaData!N63+BaData!N74+BaData!N85+BaData!N96+BaData!N107+BaData!N118+BaData!N129+BaData!N140+BaData!N151+BaData!N162+BaData!N173+BaData!N184</f>
        <v>532882500</v>
      </c>
      <c r="E22" s="49">
        <f>D22</f>
        <v>532882500</v>
      </c>
      <c r="F22" s="49">
        <v>0</v>
      </c>
      <c r="G22" s="49">
        <f>SUM(E22:F22)</f>
        <v>532882500</v>
      </c>
      <c r="I22" s="17"/>
      <c r="J22" s="17"/>
      <c r="K22" s="420"/>
      <c r="L22" s="420"/>
      <c r="M22" s="17"/>
      <c r="N22" s="17"/>
    </row>
    <row r="23" spans="1:14" x14ac:dyDescent="0.3">
      <c r="A23" s="73" t="s">
        <v>144</v>
      </c>
      <c r="B23" s="75">
        <v>40000</v>
      </c>
      <c r="C23" s="503">
        <f>BaData!N5+BaData!N16+BaData!N27+BaData!N38+BaData!N49+BaData!N60+BaData!N71+BaData!N82+BaData!N93+BaData!N104+BaData!N115+BaData!N126+BaData!N137+BaData!N148+BaData!N159+BaData!N170+BaData!N181</f>
        <v>1333</v>
      </c>
      <c r="D23" s="503">
        <f>BaData!N9+BaData!N20+BaData!N31+BaData!N42+BaData!N53+BaData!N64+BaData!N75+BaData!N86+BaData!N97+BaData!N108+BaData!N119+BaData!N130+BaData!N141+BaData!N152+BaData!N163+BaData!N174+BaData!N185</f>
        <v>389264100</v>
      </c>
      <c r="E23" s="76">
        <f>C23*E21</f>
        <v>53320000</v>
      </c>
      <c r="F23" s="76">
        <f>D23-E23</f>
        <v>335944100</v>
      </c>
      <c r="G23" s="76">
        <f>SUM(E23:F23)</f>
        <v>389264100</v>
      </c>
      <c r="I23" s="17"/>
      <c r="J23" s="17"/>
      <c r="K23" s="420"/>
      <c r="L23" s="420"/>
      <c r="M23" s="17"/>
      <c r="N23" s="17"/>
    </row>
    <row r="24" spans="1:14" x14ac:dyDescent="0.3">
      <c r="A24" s="73"/>
      <c r="B24" s="74"/>
      <c r="C24" s="49">
        <f>SUM(C22:C23)</f>
        <v>108778</v>
      </c>
      <c r="D24" s="49">
        <f>SUM(D22:D23)</f>
        <v>922146600</v>
      </c>
      <c r="E24" s="49">
        <f>SUM(E22:E23)</f>
        <v>586202500</v>
      </c>
      <c r="F24" s="49">
        <f>SUM(F22:F23)</f>
        <v>335944100</v>
      </c>
      <c r="G24" s="49">
        <f>SUM(G22:G23)</f>
        <v>922146600</v>
      </c>
      <c r="I24" s="17"/>
      <c r="J24" s="17"/>
      <c r="K24" s="420"/>
      <c r="L24" s="420"/>
      <c r="M24" s="17"/>
      <c r="N24" s="17"/>
    </row>
    <row r="25" spans="1:14" x14ac:dyDescent="0.3">
      <c r="A25" s="73"/>
      <c r="B25" s="74"/>
      <c r="D25" s="74"/>
      <c r="E25" s="74"/>
      <c r="F25" s="74"/>
      <c r="G25" s="74"/>
      <c r="I25" s="17"/>
      <c r="J25" s="17"/>
      <c r="K25" s="420"/>
      <c r="L25" s="420"/>
      <c r="M25" s="17"/>
      <c r="N25" s="17"/>
    </row>
    <row r="26" spans="1:14" x14ac:dyDescent="0.3">
      <c r="A26" s="77" t="s">
        <v>149</v>
      </c>
      <c r="B26" s="77"/>
      <c r="D26" s="74"/>
      <c r="E26" s="74"/>
      <c r="F26" s="74"/>
      <c r="G26" s="74"/>
      <c r="I26" s="17"/>
      <c r="J26" s="17"/>
      <c r="K26" s="420"/>
      <c r="L26" s="420"/>
      <c r="M26" s="17"/>
      <c r="N26" s="17"/>
    </row>
    <row r="27" spans="1:14" x14ac:dyDescent="0.3">
      <c r="A27" s="73"/>
      <c r="C27" s="72" t="s">
        <v>146</v>
      </c>
      <c r="D27" s="71" t="s">
        <v>147</v>
      </c>
      <c r="E27" s="72" t="s">
        <v>150</v>
      </c>
      <c r="F27" s="72" t="s">
        <v>151</v>
      </c>
      <c r="I27" s="17"/>
      <c r="J27" s="17"/>
      <c r="K27" s="420"/>
      <c r="L27" s="420"/>
      <c r="M27" s="17"/>
      <c r="N27" s="17"/>
    </row>
    <row r="28" spans="1:14" x14ac:dyDescent="0.3">
      <c r="A28" s="73" t="s">
        <v>143</v>
      </c>
      <c r="B28" s="74">
        <f>B22</f>
        <v>40000</v>
      </c>
      <c r="C28" s="49">
        <f>C22</f>
        <v>107445</v>
      </c>
      <c r="D28" s="49">
        <f>E24</f>
        <v>586202500</v>
      </c>
      <c r="E28" s="50">
        <f>Rates!D13</f>
        <v>3.7</v>
      </c>
      <c r="F28" s="69">
        <f>E28*(D28/1000)</f>
        <v>2168949.25</v>
      </c>
      <c r="I28" s="17"/>
      <c r="J28" s="17"/>
      <c r="K28" s="420"/>
      <c r="L28" s="420"/>
      <c r="M28" s="17"/>
      <c r="N28" s="17"/>
    </row>
    <row r="29" spans="1:14" x14ac:dyDescent="0.3">
      <c r="A29" s="73" t="s">
        <v>144</v>
      </c>
      <c r="B29" s="74">
        <f>B23</f>
        <v>40000</v>
      </c>
      <c r="C29" s="198">
        <f>C23</f>
        <v>1333</v>
      </c>
      <c r="D29" s="76">
        <f>F24</f>
        <v>335944100</v>
      </c>
      <c r="E29" s="79">
        <f>Rates!D14</f>
        <v>3.35</v>
      </c>
      <c r="F29" s="76">
        <f>E29*(D29/1000)</f>
        <v>1125412.7349999999</v>
      </c>
      <c r="I29" s="17"/>
      <c r="J29" s="17"/>
      <c r="K29" s="420"/>
      <c r="L29" s="420"/>
      <c r="M29" s="17"/>
      <c r="N29" s="17"/>
    </row>
    <row r="30" spans="1:14" x14ac:dyDescent="0.3">
      <c r="A30" s="73"/>
      <c r="B30" s="74" t="s">
        <v>148</v>
      </c>
      <c r="C30" s="49">
        <f>SUM(C28:C29)</f>
        <v>108778</v>
      </c>
      <c r="D30" s="49">
        <f>SUM(D28:D29)</f>
        <v>922146600</v>
      </c>
      <c r="F30" s="69">
        <f>SUM(F28:F29)</f>
        <v>3294361.9849999999</v>
      </c>
      <c r="K30" s="420"/>
      <c r="L30" s="420"/>
    </row>
    <row r="31" spans="1:14" x14ac:dyDescent="0.3">
      <c r="K31" s="420"/>
      <c r="L31" s="420"/>
    </row>
    <row r="32" spans="1:14" x14ac:dyDescent="0.3">
      <c r="A32" s="197" t="s">
        <v>198</v>
      </c>
      <c r="B32" s="78"/>
      <c r="C32" s="78"/>
      <c r="K32" s="420"/>
      <c r="L32" s="420"/>
    </row>
    <row r="33" spans="1:12" ht="6.9" customHeight="1" x14ac:dyDescent="0.3">
      <c r="K33" s="420"/>
      <c r="L33" s="420"/>
    </row>
    <row r="34" spans="1:12" x14ac:dyDescent="0.3">
      <c r="B34" s="71" t="s">
        <v>199</v>
      </c>
      <c r="C34" s="72" t="s">
        <v>146</v>
      </c>
      <c r="D34" s="71" t="s">
        <v>200</v>
      </c>
      <c r="E34" s="71" t="s">
        <v>151</v>
      </c>
      <c r="K34" s="420"/>
      <c r="L34" s="420"/>
    </row>
    <row r="35" spans="1:12" x14ac:dyDescent="0.3">
      <c r="B35" s="376" t="s">
        <v>348</v>
      </c>
      <c r="C35" s="49">
        <f>BaData!P2</f>
        <v>105981</v>
      </c>
      <c r="D35" s="57">
        <f>Rates!D20</f>
        <v>8.84</v>
      </c>
      <c r="E35" s="69">
        <f t="shared" ref="E35:E40" si="0">D35*C35</f>
        <v>936872.04</v>
      </c>
      <c r="K35" s="420"/>
      <c r="L35" s="420"/>
    </row>
    <row r="36" spans="1:12" x14ac:dyDescent="0.3">
      <c r="B36" s="376" t="s">
        <v>349</v>
      </c>
      <c r="C36" s="49">
        <f>BaData!P24</f>
        <v>326</v>
      </c>
      <c r="D36" s="48">
        <f>Rates!D21</f>
        <v>9.73</v>
      </c>
      <c r="E36" s="49">
        <f t="shared" si="0"/>
        <v>3171.98</v>
      </c>
      <c r="K36" s="420"/>
      <c r="L36" s="420"/>
    </row>
    <row r="37" spans="1:12" x14ac:dyDescent="0.3">
      <c r="B37" s="376" t="s">
        <v>201</v>
      </c>
      <c r="C37" s="49">
        <f>BaData!P46</f>
        <v>1617</v>
      </c>
      <c r="D37" s="48">
        <f>Rates!D22</f>
        <v>22.11</v>
      </c>
      <c r="E37" s="49">
        <f t="shared" si="0"/>
        <v>35751.870000000003</v>
      </c>
      <c r="K37" s="420"/>
      <c r="L37" s="420"/>
    </row>
    <row r="38" spans="1:12" x14ac:dyDescent="0.3">
      <c r="B38" s="376" t="s">
        <v>202</v>
      </c>
      <c r="C38" s="49">
        <f>BaData!P68</f>
        <v>156</v>
      </c>
      <c r="D38" s="48">
        <f>Rates!D23</f>
        <v>44.22</v>
      </c>
      <c r="E38" s="49">
        <f t="shared" si="0"/>
        <v>6898.32</v>
      </c>
      <c r="K38" s="420"/>
      <c r="L38" s="420"/>
    </row>
    <row r="39" spans="1:12" x14ac:dyDescent="0.3">
      <c r="B39" s="376" t="s">
        <v>203</v>
      </c>
      <c r="C39" s="49">
        <f>BaData!P90</f>
        <v>323</v>
      </c>
      <c r="D39" s="48">
        <f>Rates!D24</f>
        <v>88.44</v>
      </c>
      <c r="E39" s="49">
        <f t="shared" si="0"/>
        <v>28566.12</v>
      </c>
      <c r="K39" s="420"/>
      <c r="L39" s="420"/>
    </row>
    <row r="40" spans="1:12" x14ac:dyDescent="0.3">
      <c r="B40" s="376" t="s">
        <v>204</v>
      </c>
      <c r="C40" s="49">
        <f>BaData!P112-C41-C42-C43</f>
        <v>196</v>
      </c>
      <c r="D40" s="48">
        <f>Rates!D25</f>
        <v>128.05000000000001</v>
      </c>
      <c r="E40" s="49">
        <f t="shared" si="0"/>
        <v>25097.800000000003</v>
      </c>
      <c r="K40" s="420"/>
      <c r="L40" s="420"/>
    </row>
    <row r="41" spans="1:12" x14ac:dyDescent="0.3">
      <c r="B41" s="376" t="s">
        <v>205</v>
      </c>
      <c r="C41" s="265">
        <f>12+12+132</f>
        <v>156</v>
      </c>
      <c r="D41" s="48">
        <f>Rates!D26</f>
        <v>128.05000000000001</v>
      </c>
      <c r="E41" s="49">
        <f t="shared" ref="E41:E45" si="1">D41*C41</f>
        <v>19975.800000000003</v>
      </c>
      <c r="K41" s="420"/>
      <c r="L41" s="420"/>
    </row>
    <row r="42" spans="1:12" x14ac:dyDescent="0.3">
      <c r="B42" s="376" t="s">
        <v>206</v>
      </c>
      <c r="C42" s="378">
        <v>11</v>
      </c>
      <c r="D42" s="48">
        <f>Rates!D27</f>
        <v>128.05000000000001</v>
      </c>
      <c r="E42" s="80">
        <f t="shared" si="1"/>
        <v>1408.5500000000002</v>
      </c>
      <c r="K42" s="420"/>
      <c r="L42" s="420"/>
    </row>
    <row r="43" spans="1:12" x14ac:dyDescent="0.3">
      <c r="B43" s="376" t="s">
        <v>238</v>
      </c>
      <c r="C43" s="80">
        <f>12</f>
        <v>12</v>
      </c>
      <c r="D43" s="135">
        <f>Rates!D28</f>
        <v>128.05000000000001</v>
      </c>
      <c r="E43" s="80">
        <f t="shared" si="1"/>
        <v>1536.6000000000001</v>
      </c>
    </row>
    <row r="44" spans="1:12" x14ac:dyDescent="0.3">
      <c r="B44" s="376" t="s">
        <v>240</v>
      </c>
      <c r="C44" s="80">
        <v>0</v>
      </c>
      <c r="D44" s="135">
        <f>Rates!D29</f>
        <v>128.05000000000001</v>
      </c>
      <c r="E44" s="80">
        <f t="shared" si="1"/>
        <v>0</v>
      </c>
    </row>
    <row r="45" spans="1:12" x14ac:dyDescent="0.3">
      <c r="B45" s="381" t="s">
        <v>241</v>
      </c>
      <c r="C45" s="76">
        <v>0</v>
      </c>
      <c r="D45" s="79">
        <f>Rates!D30</f>
        <v>128.05000000000001</v>
      </c>
      <c r="E45" s="76">
        <f t="shared" si="1"/>
        <v>0</v>
      </c>
    </row>
    <row r="46" spans="1:12" x14ac:dyDescent="0.3">
      <c r="B46" s="70"/>
      <c r="C46" s="49">
        <f>SUM(C35:C45)</f>
        <v>108778</v>
      </c>
      <c r="D46" s="49"/>
      <c r="E46" s="69">
        <f>SUM(E35:E45)</f>
        <v>1059279.08</v>
      </c>
    </row>
    <row r="47" spans="1:12" x14ac:dyDescent="0.3">
      <c r="B47" s="70"/>
      <c r="C47" s="49"/>
      <c r="D47" s="49"/>
      <c r="E47" s="69"/>
    </row>
    <row r="48" spans="1:12" ht="16.2" hidden="1" x14ac:dyDescent="0.3">
      <c r="A48" s="630" t="s">
        <v>239</v>
      </c>
      <c r="B48" s="630"/>
      <c r="C48" s="630"/>
      <c r="D48" s="630"/>
      <c r="E48" s="630"/>
    </row>
    <row r="49" spans="1:9" ht="6.9" hidden="1" customHeight="1" x14ac:dyDescent="0.3"/>
    <row r="50" spans="1:9" hidden="1" x14ac:dyDescent="0.3">
      <c r="B50" s="71" t="s">
        <v>297</v>
      </c>
      <c r="C50" s="72" t="s">
        <v>146</v>
      </c>
      <c r="D50" s="71" t="s">
        <v>200</v>
      </c>
      <c r="E50" s="71" t="s">
        <v>151</v>
      </c>
    </row>
    <row r="51" spans="1:9" hidden="1" x14ac:dyDescent="0.3">
      <c r="B51" s="70" t="s">
        <v>204</v>
      </c>
      <c r="C51" s="49">
        <f>2*12</f>
        <v>24</v>
      </c>
      <c r="D51" s="57">
        <v>0</v>
      </c>
      <c r="E51" s="69">
        <f>D51*C51</f>
        <v>0</v>
      </c>
    </row>
    <row r="52" spans="1:9" hidden="1" x14ac:dyDescent="0.3">
      <c r="B52" s="70" t="s">
        <v>205</v>
      </c>
      <c r="C52" s="49">
        <f>8*12</f>
        <v>96</v>
      </c>
      <c r="D52" s="48">
        <v>0</v>
      </c>
      <c r="E52" s="49">
        <f>C52*D52</f>
        <v>0</v>
      </c>
    </row>
    <row r="53" spans="1:9" hidden="1" x14ac:dyDescent="0.3">
      <c r="B53" s="70" t="s">
        <v>206</v>
      </c>
      <c r="C53" s="49">
        <f>11*12</f>
        <v>132</v>
      </c>
      <c r="D53" s="48">
        <v>0</v>
      </c>
      <c r="E53" s="49">
        <f t="shared" ref="E53:E56" si="2">C53*D53</f>
        <v>0</v>
      </c>
    </row>
    <row r="54" spans="1:9" hidden="1" x14ac:dyDescent="0.3">
      <c r="B54" s="199" t="s">
        <v>238</v>
      </c>
      <c r="C54" s="49">
        <f>8*12</f>
        <v>96</v>
      </c>
      <c r="D54" s="48">
        <v>0</v>
      </c>
      <c r="E54" s="49">
        <f t="shared" si="2"/>
        <v>0</v>
      </c>
    </row>
    <row r="55" spans="1:9" hidden="1" x14ac:dyDescent="0.3">
      <c r="B55" s="70" t="s">
        <v>240</v>
      </c>
      <c r="C55" s="49">
        <f>2*12</f>
        <v>24</v>
      </c>
      <c r="D55" s="48">
        <v>0</v>
      </c>
      <c r="E55" s="49">
        <f t="shared" si="2"/>
        <v>0</v>
      </c>
    </row>
    <row r="56" spans="1:9" hidden="1" x14ac:dyDescent="0.3">
      <c r="B56" s="71" t="s">
        <v>241</v>
      </c>
      <c r="C56" s="76">
        <v>0</v>
      </c>
      <c r="D56" s="79">
        <v>0</v>
      </c>
      <c r="E56" s="76">
        <f t="shared" si="2"/>
        <v>0</v>
      </c>
    </row>
    <row r="57" spans="1:9" hidden="1" x14ac:dyDescent="0.3">
      <c r="B57" s="70"/>
      <c r="C57" s="49">
        <f>SUM(C51:C56)</f>
        <v>372</v>
      </c>
      <c r="D57" s="49"/>
      <c r="E57" s="69">
        <f>SUM(E51:E56)</f>
        <v>0</v>
      </c>
    </row>
    <row r="58" spans="1:9" hidden="1" x14ac:dyDescent="0.3">
      <c r="B58" s="70"/>
      <c r="C58" s="49"/>
      <c r="D58" s="49"/>
      <c r="E58" s="69"/>
    </row>
    <row r="59" spans="1:9" x14ac:dyDescent="0.3">
      <c r="A59" s="197" t="s">
        <v>207</v>
      </c>
      <c r="B59" s="78"/>
      <c r="C59" s="78"/>
    </row>
    <row r="60" spans="1:9" ht="6.9" customHeight="1" x14ac:dyDescent="0.3"/>
    <row r="61" spans="1:9" x14ac:dyDescent="0.3">
      <c r="C61" s="71" t="s">
        <v>208</v>
      </c>
      <c r="D61" s="72" t="s">
        <v>150</v>
      </c>
      <c r="E61" s="72" t="s">
        <v>151</v>
      </c>
    </row>
    <row r="62" spans="1:9" x14ac:dyDescent="0.3">
      <c r="B62" s="1" t="s">
        <v>182</v>
      </c>
      <c r="C62" s="49">
        <v>366186</v>
      </c>
      <c r="D62" s="200">
        <f>Rates!D51</f>
        <v>2</v>
      </c>
      <c r="E62" s="201">
        <f>C62*D62</f>
        <v>732372</v>
      </c>
      <c r="H62" s="2"/>
      <c r="I62" s="2"/>
    </row>
    <row r="64" spans="1:9" hidden="1" x14ac:dyDescent="0.3">
      <c r="B64" s="71" t="s">
        <v>297</v>
      </c>
      <c r="C64" s="72" t="s">
        <v>146</v>
      </c>
      <c r="D64" s="71" t="s">
        <v>200</v>
      </c>
      <c r="E64" s="71" t="s">
        <v>151</v>
      </c>
    </row>
    <row r="65" spans="2:5" hidden="1" x14ac:dyDescent="0.3">
      <c r="B65" s="70" t="s">
        <v>347</v>
      </c>
      <c r="C65" s="1">
        <f>1*10</f>
        <v>10</v>
      </c>
      <c r="D65" s="57">
        <v>0</v>
      </c>
      <c r="E65" s="69">
        <f>D65*C65</f>
        <v>0</v>
      </c>
    </row>
    <row r="66" spans="2:5" hidden="1" x14ac:dyDescent="0.3">
      <c r="B66" s="70" t="s">
        <v>205</v>
      </c>
      <c r="C66" s="1">
        <f>2*12</f>
        <v>24</v>
      </c>
      <c r="D66" s="48">
        <v>0</v>
      </c>
      <c r="E66" s="49">
        <f>D66*C66</f>
        <v>0</v>
      </c>
    </row>
    <row r="67" spans="2:5" hidden="1" x14ac:dyDescent="0.3">
      <c r="B67" s="70" t="s">
        <v>206</v>
      </c>
      <c r="C67" s="1">
        <f>1*12</f>
        <v>12</v>
      </c>
      <c r="D67" s="48">
        <v>0</v>
      </c>
      <c r="E67" s="49">
        <f>C67*D67</f>
        <v>0</v>
      </c>
    </row>
    <row r="68" spans="2:5" hidden="1" x14ac:dyDescent="0.3">
      <c r="B68" s="71" t="s">
        <v>238</v>
      </c>
      <c r="C68" s="78">
        <f>2*12</f>
        <v>24</v>
      </c>
      <c r="D68" s="79">
        <v>0</v>
      </c>
      <c r="E68" s="76">
        <f t="shared" ref="E68" si="3">C68*D68</f>
        <v>0</v>
      </c>
    </row>
    <row r="69" spans="2:5" hidden="1" x14ac:dyDescent="0.3">
      <c r="C69" s="1">
        <f>SUM(C65:C68)</f>
        <v>70</v>
      </c>
      <c r="E69" s="201">
        <f>SUM(E66:E68)</f>
        <v>0</v>
      </c>
    </row>
    <row r="70" spans="2:5" hidden="1" x14ac:dyDescent="0.3"/>
  </sheetData>
  <mergeCells count="4">
    <mergeCell ref="A1:G1"/>
    <mergeCell ref="A2:G2"/>
    <mergeCell ref="A48:E48"/>
    <mergeCell ref="A19:D19"/>
  </mergeCells>
  <printOptions horizontalCentered="1"/>
  <pageMargins left="0.7" right="0.7" top="0.25" bottom="0.5" header="0.3" footer="0.3"/>
  <pageSetup orientation="portrait" r:id="rId1"/>
  <headerFooter>
    <oddFooter>Page &amp;P of &amp;N</oddFooter>
  </headerFooter>
  <rowBreaks count="1" manualBreakCount="1">
    <brk id="62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U104"/>
  <sheetViews>
    <sheetView showGridLines="0" workbookViewId="0">
      <selection sqref="A1:G1"/>
    </sheetView>
  </sheetViews>
  <sheetFormatPr defaultRowHeight="15" x14ac:dyDescent="0.25"/>
  <cols>
    <col min="1" max="1" width="7.81640625" customWidth="1"/>
    <col min="2" max="2" width="8.1796875" customWidth="1"/>
    <col min="3" max="4" width="10.54296875" customWidth="1"/>
    <col min="5" max="5" width="10.90625" customWidth="1"/>
    <col min="6" max="7" width="11.81640625" customWidth="1"/>
    <col min="8" max="8" width="14" customWidth="1"/>
    <col min="10" max="10" width="10.1796875" bestFit="1" customWidth="1"/>
    <col min="14" max="14" width="11" bestFit="1" customWidth="1"/>
  </cols>
  <sheetData>
    <row r="1" spans="1:47" ht="18.75" customHeight="1" x14ac:dyDescent="0.35">
      <c r="A1" s="629" t="s">
        <v>343</v>
      </c>
      <c r="B1" s="629"/>
      <c r="C1" s="629"/>
      <c r="D1" s="629"/>
      <c r="E1" s="629"/>
      <c r="F1" s="629"/>
      <c r="G1" s="62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8.75" customHeight="1" x14ac:dyDescent="0.3">
      <c r="A2" s="603" t="s">
        <v>331</v>
      </c>
      <c r="B2" s="603"/>
      <c r="C2" s="603"/>
      <c r="D2" s="603"/>
      <c r="E2" s="603"/>
      <c r="F2" s="603"/>
      <c r="G2" s="60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5" customHeight="1" x14ac:dyDescent="0.3">
      <c r="A3" s="218"/>
      <c r="B3" s="218"/>
      <c r="C3" s="218"/>
      <c r="D3" s="2"/>
      <c r="E3" s="2"/>
      <c r="F3" s="218"/>
      <c r="G3" s="21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5" customHeight="1" x14ac:dyDescent="0.3">
      <c r="A4" s="1"/>
      <c r="B4" s="373"/>
      <c r="C4" s="373"/>
      <c r="D4" s="373"/>
      <c r="E4" s="1"/>
      <c r="F4" s="1"/>
      <c r="G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5" customHeight="1" x14ac:dyDescent="0.3">
      <c r="A5" s="1"/>
      <c r="B5" s="1"/>
      <c r="C5" s="71" t="s">
        <v>195</v>
      </c>
      <c r="D5" s="72" t="s">
        <v>146</v>
      </c>
      <c r="E5" s="72" t="s">
        <v>147</v>
      </c>
      <c r="F5" s="71" t="s">
        <v>164</v>
      </c>
      <c r="G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5" customHeight="1" x14ac:dyDescent="0.3">
      <c r="A6" s="1"/>
      <c r="B6" s="1"/>
      <c r="C6" s="2" t="s">
        <v>196</v>
      </c>
      <c r="D6" s="2">
        <f>C26</f>
        <v>108778</v>
      </c>
      <c r="E6" s="2">
        <f>D26</f>
        <v>922146600</v>
      </c>
      <c r="F6" s="69">
        <f>F26</f>
        <v>3891458.6520000007</v>
      </c>
      <c r="G6" s="1"/>
      <c r="J6" s="1"/>
      <c r="K6" s="1"/>
      <c r="L6" s="1"/>
      <c r="M6" s="1"/>
      <c r="N6" s="34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5" customHeight="1" x14ac:dyDescent="0.3">
      <c r="A7" s="1"/>
      <c r="B7" s="1"/>
      <c r="C7" s="2" t="s">
        <v>197</v>
      </c>
      <c r="D7" s="1"/>
      <c r="E7" s="1"/>
      <c r="F7" s="76">
        <f>E42</f>
        <v>1101802.5</v>
      </c>
      <c r="G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5" customHeight="1" x14ac:dyDescent="0.3">
      <c r="A8" s="1"/>
      <c r="B8" s="1"/>
      <c r="C8" s="2" t="s">
        <v>14</v>
      </c>
      <c r="D8" s="1"/>
      <c r="E8" s="1"/>
      <c r="F8" s="177">
        <f>SUM(F6:F7)</f>
        <v>4993261.1520000007</v>
      </c>
      <c r="G8" s="1"/>
      <c r="J8" s="1"/>
      <c r="K8" s="1"/>
      <c r="L8" s="1"/>
      <c r="M8" s="1"/>
      <c r="N8" s="34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5" customHeight="1" x14ac:dyDescent="0.45">
      <c r="A9" s="1"/>
      <c r="B9" s="1"/>
      <c r="C9" s="1"/>
      <c r="D9" s="2"/>
      <c r="E9" s="196" t="s">
        <v>298</v>
      </c>
      <c r="F9" s="193">
        <f>ExBA!F9*(1+SAO!I58)</f>
        <v>-26528.111085</v>
      </c>
      <c r="G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5" customHeight="1" x14ac:dyDescent="0.3">
      <c r="A10" s="1"/>
      <c r="B10" s="1"/>
      <c r="C10" s="191" t="s">
        <v>132</v>
      </c>
      <c r="D10" s="2"/>
      <c r="E10" s="1"/>
      <c r="F10" s="177">
        <f>F8+F9</f>
        <v>4966733.0409150003</v>
      </c>
      <c r="G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6.9" customHeight="1" x14ac:dyDescent="0.3">
      <c r="A11" s="1"/>
      <c r="B11" s="1"/>
      <c r="C11" s="2"/>
      <c r="D11" s="2"/>
      <c r="E11" s="1"/>
      <c r="F11" s="177"/>
      <c r="G11" s="1"/>
      <c r="J11" s="1"/>
      <c r="K11" s="1"/>
      <c r="L11" s="1"/>
      <c r="M11" s="1"/>
      <c r="N11" s="34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5.6" hidden="1" x14ac:dyDescent="0.3">
      <c r="A12" s="1"/>
      <c r="B12" s="1"/>
      <c r="C12" s="191" t="s">
        <v>242</v>
      </c>
      <c r="D12" s="2"/>
      <c r="E12" s="1"/>
      <c r="F12" s="177">
        <f>E53</f>
        <v>0</v>
      </c>
      <c r="G12" s="1"/>
      <c r="J12" s="1"/>
      <c r="K12" s="1"/>
      <c r="L12" s="1"/>
      <c r="M12" s="1"/>
      <c r="N12" s="34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6.9" hidden="1" customHeight="1" x14ac:dyDescent="0.3">
      <c r="A13" s="1"/>
      <c r="B13" s="1"/>
      <c r="C13" s="2"/>
      <c r="D13" s="2"/>
      <c r="E13" s="1"/>
      <c r="F13" s="177"/>
      <c r="G13" s="1"/>
      <c r="J13" s="1"/>
      <c r="K13" s="1"/>
      <c r="L13" s="1"/>
      <c r="M13" s="1"/>
      <c r="N13" s="340"/>
      <c r="O13" s="9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5.6" x14ac:dyDescent="0.3">
      <c r="A14" s="1"/>
      <c r="B14" s="1"/>
      <c r="C14" s="191" t="s">
        <v>243</v>
      </c>
      <c r="D14" s="2"/>
      <c r="E14" s="1"/>
      <c r="F14" s="177">
        <f>E58+E65</f>
        <v>1039968.24</v>
      </c>
      <c r="H14" s="363">
        <f>SUM(F10:F14)</f>
        <v>6006701.2809150005</v>
      </c>
      <c r="J14" s="201">
        <f>SUM(F10:F14)</f>
        <v>6006701.2809150005</v>
      </c>
      <c r="K14" s="1" t="s">
        <v>317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0.8" customHeight="1" x14ac:dyDescent="0.3">
      <c r="A15" s="1"/>
      <c r="B15" s="1"/>
      <c r="C15" s="52"/>
      <c r="D15" s="69"/>
      <c r="E15" s="1"/>
      <c r="F15" s="78"/>
      <c r="G15" s="1"/>
      <c r="J15" s="17">
        <f>SAO!I54</f>
        <v>6007826.3499669665</v>
      </c>
      <c r="K15" s="1" t="s">
        <v>323</v>
      </c>
      <c r="L15" s="1"/>
      <c r="M15" s="1"/>
      <c r="N15" s="34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5.6" x14ac:dyDescent="0.3">
      <c r="A16" s="1"/>
      <c r="B16" s="1"/>
      <c r="C16" s="191" t="s">
        <v>317</v>
      </c>
      <c r="D16" s="69"/>
      <c r="E16" s="1"/>
      <c r="F16" s="201">
        <f>SUM(F10:F15)</f>
        <v>6006701.2809150005</v>
      </c>
      <c r="G16" s="1"/>
      <c r="J16" s="17"/>
      <c r="K16" s="1"/>
      <c r="L16" s="1"/>
      <c r="M16" s="1"/>
      <c r="N16" s="34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5.6" x14ac:dyDescent="0.3">
      <c r="A17" s="78"/>
      <c r="B17" s="78"/>
      <c r="C17" s="379"/>
      <c r="D17" s="380"/>
      <c r="E17" s="78"/>
      <c r="F17" s="78"/>
      <c r="G17" s="78"/>
      <c r="J17" s="17"/>
      <c r="K17" s="1"/>
      <c r="L17" s="1"/>
      <c r="M17" s="1"/>
      <c r="N17" s="34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5.6" x14ac:dyDescent="0.3">
      <c r="A18" s="1"/>
      <c r="B18" s="1"/>
      <c r="C18" s="52"/>
      <c r="D18" s="69"/>
      <c r="E18" s="1"/>
      <c r="F18" s="1"/>
      <c r="G18" s="1"/>
      <c r="J18" s="17">
        <f>J15-J14</f>
        <v>1125.0690519660711</v>
      </c>
      <c r="K18" s="1" t="s">
        <v>569</v>
      </c>
      <c r="L18" s="1"/>
      <c r="M18" s="1"/>
      <c r="N18" s="34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6.2" x14ac:dyDescent="0.3">
      <c r="A19" s="631" t="s">
        <v>299</v>
      </c>
      <c r="B19" s="631"/>
      <c r="C19" s="631"/>
      <c r="D19" s="631"/>
      <c r="E19" s="1"/>
      <c r="F19" s="1"/>
      <c r="G19" s="1"/>
      <c r="J19" s="120">
        <f>J18/J15</f>
        <v>1.8726723883626516E-4</v>
      </c>
      <c r="K19" s="1" t="s">
        <v>570</v>
      </c>
      <c r="L19" s="1"/>
      <c r="M19" s="1"/>
      <c r="N19" s="1"/>
      <c r="O19" s="1"/>
      <c r="P19" s="9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5.6" x14ac:dyDescent="0.3">
      <c r="A20" s="1"/>
      <c r="B20" s="1"/>
      <c r="C20" s="1"/>
      <c r="D20" s="1"/>
      <c r="E20" s="70"/>
      <c r="F20" s="70"/>
      <c r="G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5.6" x14ac:dyDescent="0.3">
      <c r="A21" s="1"/>
      <c r="B21" s="71" t="s">
        <v>145</v>
      </c>
      <c r="C21" s="72" t="s">
        <v>146</v>
      </c>
      <c r="D21" s="72" t="s">
        <v>147</v>
      </c>
      <c r="E21" s="579"/>
      <c r="F21" s="579"/>
      <c r="G21" s="70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5.6" x14ac:dyDescent="0.3">
      <c r="A22" s="73"/>
      <c r="B22" s="579" t="s">
        <v>574</v>
      </c>
      <c r="C22" s="49">
        <f>ExBA!C24</f>
        <v>108778</v>
      </c>
      <c r="D22" s="49">
        <f>ExBA!D24</f>
        <v>922146600</v>
      </c>
      <c r="E22" s="80"/>
      <c r="F22" s="80"/>
      <c r="G22" s="80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6.9" customHeight="1" x14ac:dyDescent="0.3">
      <c r="A23" s="73"/>
      <c r="B23" s="74"/>
      <c r="C23" s="1"/>
      <c r="D23" s="74"/>
      <c r="E23" s="74"/>
      <c r="F23" s="74"/>
      <c r="G23" s="7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5.6" x14ac:dyDescent="0.3">
      <c r="A24" s="77" t="s">
        <v>149</v>
      </c>
      <c r="B24" s="77"/>
      <c r="C24" s="1"/>
      <c r="D24" s="74"/>
      <c r="E24" s="74"/>
      <c r="F24" s="74"/>
      <c r="G24" s="7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5.6" x14ac:dyDescent="0.3">
      <c r="A25" s="73"/>
      <c r="B25" s="1"/>
      <c r="C25" s="72" t="s">
        <v>146</v>
      </c>
      <c r="D25" s="71" t="s">
        <v>147</v>
      </c>
      <c r="E25" s="72" t="s">
        <v>150</v>
      </c>
      <c r="F25" s="72" t="s">
        <v>151</v>
      </c>
      <c r="G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5.6" x14ac:dyDescent="0.3">
      <c r="A26" s="73"/>
      <c r="B26" s="579" t="str">
        <f>B22</f>
        <v>ALL</v>
      </c>
      <c r="C26" s="49">
        <f>C22</f>
        <v>108778</v>
      </c>
      <c r="D26" s="49">
        <f>D22</f>
        <v>922146600</v>
      </c>
      <c r="E26" s="50">
        <f>Rates!E13</f>
        <v>4.2200000000000006</v>
      </c>
      <c r="F26" s="69">
        <f>E26*(D26/1000)</f>
        <v>3891458.6520000007</v>
      </c>
      <c r="G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5.6" x14ac:dyDescent="0.3">
      <c r="A27" s="1"/>
      <c r="B27" s="1"/>
      <c r="C27" s="1"/>
      <c r="D27" s="1"/>
      <c r="E27" s="1"/>
      <c r="F27" s="1"/>
      <c r="G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5.6" x14ac:dyDescent="0.3">
      <c r="A28" s="197" t="s">
        <v>198</v>
      </c>
      <c r="B28" s="78"/>
      <c r="C28" s="78"/>
      <c r="D28" s="1"/>
      <c r="E28" s="1"/>
      <c r="F28" s="1"/>
      <c r="G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6.9" customHeight="1" x14ac:dyDescent="0.3">
      <c r="A29" s="1"/>
      <c r="B29" s="1"/>
      <c r="C29" s="1"/>
      <c r="D29" s="1"/>
      <c r="E29" s="1"/>
      <c r="F29" s="1"/>
      <c r="G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5.6" x14ac:dyDescent="0.3">
      <c r="A30" s="1"/>
      <c r="B30" s="71" t="s">
        <v>199</v>
      </c>
      <c r="C30" s="72" t="s">
        <v>146</v>
      </c>
      <c r="D30" s="71" t="s">
        <v>200</v>
      </c>
      <c r="E30" s="71" t="s">
        <v>151</v>
      </c>
      <c r="F30" s="1"/>
      <c r="G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5.6" x14ac:dyDescent="0.3">
      <c r="A31" s="1"/>
      <c r="B31" s="376" t="s">
        <v>348</v>
      </c>
      <c r="C31" s="2">
        <f>ExBA!C35</f>
        <v>105981</v>
      </c>
      <c r="D31" s="57">
        <f>Rates!E20</f>
        <v>9</v>
      </c>
      <c r="E31" s="69">
        <f>D31*C31</f>
        <v>953829</v>
      </c>
      <c r="F31" s="1"/>
      <c r="G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5.6" x14ac:dyDescent="0.3">
      <c r="A32" s="1"/>
      <c r="B32" s="376" t="s">
        <v>349</v>
      </c>
      <c r="C32" s="2">
        <f>ExBA!C36</f>
        <v>326</v>
      </c>
      <c r="D32" s="31">
        <f>Rates!E21</f>
        <v>13.5</v>
      </c>
      <c r="E32" s="49">
        <f>D32*C32</f>
        <v>4401</v>
      </c>
      <c r="F32" s="1"/>
      <c r="G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5.6" x14ac:dyDescent="0.3">
      <c r="A33" s="1"/>
      <c r="B33" s="376" t="s">
        <v>201</v>
      </c>
      <c r="C33" s="2">
        <f>ExBA!C37</f>
        <v>1617</v>
      </c>
      <c r="D33" s="31">
        <f>Rates!E22</f>
        <v>22.5</v>
      </c>
      <c r="E33" s="49">
        <f>D33*C33</f>
        <v>36382.5</v>
      </c>
      <c r="F33" s="1"/>
      <c r="G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5.6" x14ac:dyDescent="0.3">
      <c r="A34" s="1"/>
      <c r="B34" s="376" t="s">
        <v>202</v>
      </c>
      <c r="C34" s="2">
        <f>ExBA!C38</f>
        <v>156</v>
      </c>
      <c r="D34" s="31">
        <f>Rates!E23</f>
        <v>45</v>
      </c>
      <c r="E34" s="49">
        <f t="shared" ref="E34:E35" si="0">D34*C34</f>
        <v>7020</v>
      </c>
      <c r="F34" s="1"/>
      <c r="G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5.6" x14ac:dyDescent="0.3">
      <c r="A35" s="1"/>
      <c r="B35" s="376" t="s">
        <v>203</v>
      </c>
      <c r="C35" s="2">
        <f>ExBA!C39</f>
        <v>323</v>
      </c>
      <c r="D35" s="31">
        <f>Rates!E24</f>
        <v>72</v>
      </c>
      <c r="E35" s="49">
        <f t="shared" si="0"/>
        <v>23256</v>
      </c>
      <c r="F35" s="1"/>
      <c r="G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5.6" x14ac:dyDescent="0.3">
      <c r="A36" s="1"/>
      <c r="B36" s="376" t="s">
        <v>204</v>
      </c>
      <c r="C36" s="2">
        <f>ExBA!C40</f>
        <v>196</v>
      </c>
      <c r="D36" s="31">
        <f>Rates!E25</f>
        <v>144</v>
      </c>
      <c r="E36" s="49">
        <f>D36*C36</f>
        <v>28224</v>
      </c>
      <c r="F36" s="1"/>
      <c r="G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5.6" x14ac:dyDescent="0.3">
      <c r="A37" s="1"/>
      <c r="B37" s="376" t="s">
        <v>205</v>
      </c>
      <c r="C37" s="2">
        <f>ExBA!C41</f>
        <v>156</v>
      </c>
      <c r="D37" s="31">
        <f>Rates!E26</f>
        <v>225</v>
      </c>
      <c r="E37" s="49">
        <f>D37*C37</f>
        <v>35100</v>
      </c>
      <c r="F37" s="1"/>
      <c r="G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5.6" x14ac:dyDescent="0.3">
      <c r="A38" s="1"/>
      <c r="B38" s="376" t="s">
        <v>206</v>
      </c>
      <c r="C38" s="2">
        <f>ExBA!C42</f>
        <v>11</v>
      </c>
      <c r="D38" s="31">
        <f>Rates!E27</f>
        <v>450</v>
      </c>
      <c r="E38" s="80">
        <f>D38*C38</f>
        <v>4950</v>
      </c>
      <c r="F38" s="1"/>
      <c r="G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5.6" x14ac:dyDescent="0.3">
      <c r="A39" s="1"/>
      <c r="B39" s="376" t="s">
        <v>238</v>
      </c>
      <c r="C39" s="2">
        <f>ExBA!C43</f>
        <v>12</v>
      </c>
      <c r="D39" s="43">
        <f>Rates!E28</f>
        <v>720</v>
      </c>
      <c r="E39" s="80">
        <f>D39*C39</f>
        <v>8640</v>
      </c>
      <c r="F39" s="1"/>
      <c r="G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5.6" x14ac:dyDescent="0.3">
      <c r="A40" s="1"/>
      <c r="B40" s="376" t="s">
        <v>240</v>
      </c>
      <c r="C40" s="2">
        <f>ExBA!C44</f>
        <v>0</v>
      </c>
      <c r="D40" s="43">
        <f>Rates!E29</f>
        <v>1890</v>
      </c>
      <c r="E40" s="80">
        <f t="shared" ref="E40:E41" si="1">D40*C40</f>
        <v>0</v>
      </c>
      <c r="F40" s="1"/>
      <c r="G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5.6" x14ac:dyDescent="0.3">
      <c r="A41" s="1"/>
      <c r="B41" s="381" t="s">
        <v>241</v>
      </c>
      <c r="C41" s="198">
        <f>ExBA!C45</f>
        <v>0</v>
      </c>
      <c r="D41" s="484">
        <f>Rates!E30</f>
        <v>2385</v>
      </c>
      <c r="E41" s="76">
        <f t="shared" si="1"/>
        <v>0</v>
      </c>
      <c r="F41" s="1"/>
      <c r="G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5.6" x14ac:dyDescent="0.3">
      <c r="A42" s="1"/>
      <c r="B42" s="70"/>
      <c r="C42" s="49">
        <f>SUM(C31:C41)</f>
        <v>108778</v>
      </c>
      <c r="D42" s="49"/>
      <c r="E42" s="69">
        <f>SUM(E31:E41)</f>
        <v>1101802.5</v>
      </c>
      <c r="F42" s="1"/>
      <c r="G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6.9" customHeight="1" x14ac:dyDescent="0.3">
      <c r="A43" s="1"/>
      <c r="B43" s="70"/>
      <c r="C43" s="49"/>
      <c r="D43" s="49"/>
      <c r="E43" s="69"/>
      <c r="F43" s="1"/>
      <c r="G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6.2" hidden="1" x14ac:dyDescent="0.3">
      <c r="A44" s="630" t="s">
        <v>239</v>
      </c>
      <c r="B44" s="630"/>
      <c r="C44" s="630"/>
      <c r="D44" s="630"/>
      <c r="E44" s="630"/>
      <c r="F44" s="1"/>
      <c r="G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6.9" hidden="1" customHeight="1" x14ac:dyDescent="0.3">
      <c r="A45" s="1"/>
      <c r="B45" s="1"/>
      <c r="C45" s="1"/>
      <c r="D45" s="1"/>
      <c r="E45" s="1"/>
      <c r="F45" s="1"/>
      <c r="G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5.6" hidden="1" x14ac:dyDescent="0.3">
      <c r="A46" s="1"/>
      <c r="B46" s="71" t="s">
        <v>575</v>
      </c>
      <c r="C46" s="72" t="s">
        <v>146</v>
      </c>
      <c r="D46" s="71" t="s">
        <v>200</v>
      </c>
      <c r="E46" s="71" t="s">
        <v>151</v>
      </c>
      <c r="F46" s="1"/>
      <c r="G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5.6" hidden="1" x14ac:dyDescent="0.3">
      <c r="A47" s="1"/>
      <c r="B47" s="70" t="s">
        <v>204</v>
      </c>
      <c r="C47" s="49">
        <f>ExBA!C51</f>
        <v>24</v>
      </c>
      <c r="D47" s="527">
        <v>0</v>
      </c>
      <c r="E47" s="69">
        <f>D47*C47</f>
        <v>0</v>
      </c>
      <c r="F47" s="1"/>
      <c r="G47" s="1"/>
      <c r="I47" s="1"/>
      <c r="J47" s="1"/>
      <c r="K47" s="1"/>
      <c r="L47" s="466"/>
      <c r="M47" s="9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5.6" hidden="1" x14ac:dyDescent="0.3">
      <c r="A48" s="1"/>
      <c r="B48" s="70" t="s">
        <v>205</v>
      </c>
      <c r="C48" s="49">
        <f>ExBA!C52</f>
        <v>96</v>
      </c>
      <c r="D48" s="575">
        <v>0</v>
      </c>
      <c r="E48" s="49">
        <f>C48*D48</f>
        <v>0</v>
      </c>
      <c r="F48" s="1"/>
      <c r="G48" s="1"/>
      <c r="I48" s="1"/>
      <c r="J48" s="1"/>
      <c r="K48" s="1"/>
      <c r="L48" s="466"/>
      <c r="M48" s="9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5.6" hidden="1" x14ac:dyDescent="0.3">
      <c r="A49" s="1"/>
      <c r="B49" s="70" t="s">
        <v>206</v>
      </c>
      <c r="C49" s="49">
        <f>ExBA!C53</f>
        <v>132</v>
      </c>
      <c r="D49" s="575">
        <v>0</v>
      </c>
      <c r="E49" s="49">
        <f>C49*D49</f>
        <v>0</v>
      </c>
      <c r="F49" s="1"/>
      <c r="G49" s="1"/>
      <c r="I49" s="1"/>
      <c r="J49" s="1"/>
      <c r="K49" s="1"/>
      <c r="L49" s="466"/>
      <c r="M49" s="9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5.6" hidden="1" x14ac:dyDescent="0.3">
      <c r="A50" s="1"/>
      <c r="B50" s="199" t="s">
        <v>238</v>
      </c>
      <c r="C50" s="49">
        <f>ExBA!C54</f>
        <v>96</v>
      </c>
      <c r="D50" s="575">
        <v>0</v>
      </c>
      <c r="E50" s="49">
        <f>C50*D50</f>
        <v>0</v>
      </c>
      <c r="F50" s="1"/>
      <c r="G50" s="1"/>
      <c r="I50" s="1"/>
      <c r="J50" s="1"/>
      <c r="K50" s="1"/>
      <c r="L50" s="466"/>
      <c r="M50" s="9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5.6" hidden="1" x14ac:dyDescent="0.3">
      <c r="A51" s="1"/>
      <c r="B51" s="70" t="s">
        <v>240</v>
      </c>
      <c r="C51" s="49">
        <f>ExBA!C55</f>
        <v>24</v>
      </c>
      <c r="D51" s="575">
        <v>0</v>
      </c>
      <c r="E51" s="49">
        <f>C51*D51</f>
        <v>0</v>
      </c>
      <c r="F51" s="1"/>
      <c r="G51" s="1"/>
      <c r="I51" s="1"/>
      <c r="J51" s="1"/>
      <c r="K51" s="1"/>
      <c r="L51" s="466"/>
      <c r="M51" s="9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5.6" hidden="1" x14ac:dyDescent="0.3">
      <c r="A52" s="1"/>
      <c r="B52" s="71" t="s">
        <v>241</v>
      </c>
      <c r="C52" s="76">
        <f>ExBA!C56</f>
        <v>0</v>
      </c>
      <c r="D52" s="576">
        <v>0</v>
      </c>
      <c r="E52" s="76">
        <f>C52*D52</f>
        <v>0</v>
      </c>
      <c r="F52" s="1"/>
      <c r="G52" s="1"/>
      <c r="I52" s="1"/>
      <c r="J52" s="1"/>
      <c r="K52" s="1"/>
      <c r="L52" s="466"/>
      <c r="M52" s="9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5.6" hidden="1" x14ac:dyDescent="0.3">
      <c r="A53" s="1"/>
      <c r="B53" s="70"/>
      <c r="C53" s="49">
        <f>SUM(C47:C52)</f>
        <v>372</v>
      </c>
      <c r="D53" s="49"/>
      <c r="E53" s="69">
        <f>SUM(E47:E52)</f>
        <v>0</v>
      </c>
      <c r="F53" s="1"/>
      <c r="G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5.6" x14ac:dyDescent="0.3">
      <c r="A54" s="1"/>
      <c r="B54" s="70"/>
      <c r="C54" s="49"/>
      <c r="D54" s="49"/>
      <c r="E54" s="69"/>
      <c r="F54" s="1"/>
      <c r="G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5.6" x14ac:dyDescent="0.3">
      <c r="A55" s="197" t="s">
        <v>207</v>
      </c>
      <c r="B55" s="78"/>
      <c r="C55" s="78"/>
      <c r="D55" s="1"/>
      <c r="E55" s="1"/>
      <c r="F55" s="1"/>
      <c r="G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6.9" customHeight="1" x14ac:dyDescent="0.3">
      <c r="A56" s="1"/>
      <c r="B56" s="1"/>
      <c r="C56" s="1"/>
      <c r="D56" s="1"/>
      <c r="E56" s="1"/>
      <c r="F56" s="1"/>
      <c r="G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5.6" x14ac:dyDescent="0.3">
      <c r="A57" s="1"/>
      <c r="B57" s="1"/>
      <c r="C57" s="71" t="s">
        <v>208</v>
      </c>
      <c r="D57" s="72" t="s">
        <v>150</v>
      </c>
      <c r="E57" s="72" t="s">
        <v>151</v>
      </c>
      <c r="F57" s="1"/>
      <c r="G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5.6" x14ac:dyDescent="0.3">
      <c r="A58" s="1"/>
      <c r="B58" s="1" t="s">
        <v>182</v>
      </c>
      <c r="C58" s="49">
        <f>ExBA!C62</f>
        <v>366186</v>
      </c>
      <c r="D58" s="200">
        <f>Rates!E51</f>
        <v>2.84</v>
      </c>
      <c r="E58" s="201">
        <f>C58*D58</f>
        <v>1039968.24</v>
      </c>
      <c r="F58" s="1"/>
      <c r="G58" s="1"/>
      <c r="J58" s="1"/>
      <c r="K58" s="9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.6" x14ac:dyDescent="0.3">
      <c r="A59" s="1"/>
      <c r="B59" s="1"/>
      <c r="C59" s="1"/>
      <c r="D59" s="1"/>
      <c r="E59" s="1"/>
      <c r="F59" s="1"/>
      <c r="G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5.6" hidden="1" x14ac:dyDescent="0.3">
      <c r="B60" s="71" t="s">
        <v>297</v>
      </c>
      <c r="C60" s="72" t="s">
        <v>146</v>
      </c>
      <c r="D60" s="71" t="s">
        <v>200</v>
      </c>
      <c r="E60" s="71" t="s">
        <v>151</v>
      </c>
      <c r="J60" s="1"/>
      <c r="K60" s="9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5.6" hidden="1" x14ac:dyDescent="0.3">
      <c r="B61" s="70" t="s">
        <v>347</v>
      </c>
      <c r="C61" s="1">
        <f>ExBA!C65</f>
        <v>10</v>
      </c>
      <c r="D61" s="527">
        <v>0</v>
      </c>
      <c r="E61" s="69">
        <f>D61*C61</f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.6" hidden="1" x14ac:dyDescent="0.3">
      <c r="B62" s="70" t="s">
        <v>205</v>
      </c>
      <c r="C62" s="1">
        <f>ExBA!C66</f>
        <v>24</v>
      </c>
      <c r="D62" s="528">
        <v>0</v>
      </c>
      <c r="E62" s="49">
        <f>D62*C62</f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5.6" hidden="1" x14ac:dyDescent="0.3">
      <c r="B63" s="70" t="s">
        <v>206</v>
      </c>
      <c r="C63" s="1">
        <f>ExBA!C67</f>
        <v>12</v>
      </c>
      <c r="D63" s="528">
        <v>0</v>
      </c>
      <c r="E63" s="49">
        <f>C63*D63</f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5.6" hidden="1" x14ac:dyDescent="0.3">
      <c r="B64" s="71" t="s">
        <v>238</v>
      </c>
      <c r="C64" s="78">
        <f>ExBA!C68</f>
        <v>24</v>
      </c>
      <c r="D64" s="529">
        <v>0</v>
      </c>
      <c r="E64" s="76">
        <f t="shared" ref="E64" si="2">C64*D64</f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2:47" ht="15.6" hidden="1" x14ac:dyDescent="0.3">
      <c r="B65" s="1"/>
      <c r="C65" s="1">
        <f>SUM(C61:C64)</f>
        <v>70</v>
      </c>
      <c r="D65" s="1"/>
      <c r="E65" s="201">
        <f>SUM(E62:E64)</f>
        <v>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2:47" ht="15.6" x14ac:dyDescent="0.3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2:47" ht="15.6" x14ac:dyDescent="0.3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2:47" ht="15.6" x14ac:dyDescent="0.3"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2:47" ht="15.6" x14ac:dyDescent="0.3"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2:47" ht="15.6" x14ac:dyDescent="0.3"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2:47" ht="15.6" x14ac:dyDescent="0.3"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2:47" ht="15.6" x14ac:dyDescent="0.3"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2:47" ht="15.6" x14ac:dyDescent="0.3"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2:47" ht="15.6" x14ac:dyDescent="0.3"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2:47" ht="15.6" x14ac:dyDescent="0.3"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2:47" ht="15.6" x14ac:dyDescent="0.3"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2:47" ht="15.6" x14ac:dyDescent="0.3"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2:47" ht="15.6" x14ac:dyDescent="0.3"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2:47" ht="15.6" x14ac:dyDescent="0.3"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2:47" ht="15.6" x14ac:dyDescent="0.3"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0:47" ht="15.6" x14ac:dyDescent="0.3"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0:47" ht="15.6" x14ac:dyDescent="0.3"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0:47" ht="15.6" x14ac:dyDescent="0.3"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0:47" ht="15.6" x14ac:dyDescent="0.3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0:47" ht="15.6" x14ac:dyDescent="0.3"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0:47" ht="15.6" x14ac:dyDescent="0.3"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0:47" ht="15.6" x14ac:dyDescent="0.3"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0:47" ht="15.6" x14ac:dyDescent="0.3"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0:47" ht="15.6" x14ac:dyDescent="0.3"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0:47" ht="15.6" x14ac:dyDescent="0.3"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0:47" ht="15.6" x14ac:dyDescent="0.3"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0:47" ht="15.6" x14ac:dyDescent="0.3"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0:47" ht="15.6" x14ac:dyDescent="0.3"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0:47" ht="15.6" x14ac:dyDescent="0.3"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0:47" ht="15.6" x14ac:dyDescent="0.3"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0:47" ht="15.6" x14ac:dyDescent="0.3"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0:47" ht="15.6" x14ac:dyDescent="0.3"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0:47" ht="15.6" x14ac:dyDescent="0.3"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0:47" ht="15.6" x14ac:dyDescent="0.3"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0:47" ht="15.6" x14ac:dyDescent="0.3"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0:47" ht="15.6" x14ac:dyDescent="0.3"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0:47" ht="15.6" x14ac:dyDescent="0.3"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0:47" ht="15.6" x14ac:dyDescent="0.3"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0:47" ht="15.6" x14ac:dyDescent="0.3"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</sheetData>
  <mergeCells count="4">
    <mergeCell ref="A19:D19"/>
    <mergeCell ref="A1:G1"/>
    <mergeCell ref="A2:G2"/>
    <mergeCell ref="A44:E44"/>
  </mergeCells>
  <printOptions horizontalCentered="1"/>
  <pageMargins left="0.7" right="0.7" top="0.5" bottom="0.75" header="0.3" footer="0.3"/>
  <pageSetup orientation="portrait" r:id="rId1"/>
  <headerFooter>
    <oddFooter>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2DC2-B11B-4377-A2B4-B8CB4BB87506}">
  <sheetPr>
    <pageSetUpPr fitToPage="1"/>
  </sheetPr>
  <dimension ref="A1:Q193"/>
  <sheetViews>
    <sheetView workbookViewId="0"/>
  </sheetViews>
  <sheetFormatPr defaultColWidth="8.90625" defaultRowHeight="13.8" x14ac:dyDescent="0.3"/>
  <cols>
    <col min="1" max="1" width="8.90625" style="504"/>
    <col min="2" max="2" width="10.54296875" style="504" customWidth="1"/>
    <col min="3" max="7" width="8.90625" style="504"/>
    <col min="8" max="8" width="9.36328125" style="504" bestFit="1" customWidth="1"/>
    <col min="9" max="13" width="8.90625" style="504"/>
    <col min="14" max="14" width="10.08984375" style="506" customWidth="1"/>
    <col min="15" max="15" width="8.90625" style="504"/>
    <col min="16" max="16" width="11" style="504" customWidth="1"/>
    <col min="17" max="17" width="9.81640625" style="504" bestFit="1" customWidth="1"/>
    <col min="18" max="16384" width="8.90625" style="504"/>
  </cols>
  <sheetData>
    <row r="1" spans="1:17" x14ac:dyDescent="0.3">
      <c r="J1" s="505"/>
    </row>
    <row r="2" spans="1:17" ht="16.2" x14ac:dyDescent="0.45">
      <c r="A2" s="632" t="s">
        <v>576</v>
      </c>
      <c r="B2" s="632"/>
      <c r="P2" s="504">
        <f>N6+N17+N160+N171</f>
        <v>105981</v>
      </c>
      <c r="Q2" s="504">
        <f>N10+N21+N164+N175</f>
        <v>585014600</v>
      </c>
    </row>
    <row r="3" spans="1:17" ht="15.6" x14ac:dyDescent="0.45">
      <c r="B3" s="508" t="s">
        <v>486</v>
      </c>
      <c r="C3" s="508" t="s">
        <v>487</v>
      </c>
      <c r="D3" s="508" t="s">
        <v>488</v>
      </c>
      <c r="E3" s="508" t="s">
        <v>489</v>
      </c>
      <c r="F3" s="508" t="s">
        <v>490</v>
      </c>
      <c r="G3" s="508" t="s">
        <v>491</v>
      </c>
      <c r="H3" s="508" t="s">
        <v>492</v>
      </c>
      <c r="I3" s="508" t="s">
        <v>493</v>
      </c>
      <c r="J3" s="508" t="s">
        <v>494</v>
      </c>
      <c r="K3" s="508" t="s">
        <v>495</v>
      </c>
      <c r="L3" s="508" t="s">
        <v>496</v>
      </c>
      <c r="M3" s="508" t="s">
        <v>497</v>
      </c>
      <c r="N3" s="509" t="s">
        <v>14</v>
      </c>
    </row>
    <row r="4" spans="1:17" x14ac:dyDescent="0.3">
      <c r="A4" s="510" t="s">
        <v>498</v>
      </c>
      <c r="B4" s="504">
        <f>206+7903</f>
        <v>8109</v>
      </c>
      <c r="C4" s="504">
        <f>236+7879</f>
        <v>8115</v>
      </c>
      <c r="D4" s="504">
        <f>212+7920</f>
        <v>8132</v>
      </c>
      <c r="E4" s="504">
        <f>187+7973</f>
        <v>8160</v>
      </c>
      <c r="F4" s="504">
        <f>162+7967</f>
        <v>8129</v>
      </c>
      <c r="G4" s="504">
        <f>168+7950</f>
        <v>8118</v>
      </c>
      <c r="H4" s="504">
        <f>172+7960</f>
        <v>8132</v>
      </c>
      <c r="I4" s="504">
        <f>164+7974</f>
        <v>8138</v>
      </c>
      <c r="J4" s="504">
        <f>178+7977</f>
        <v>8155</v>
      </c>
      <c r="K4" s="504">
        <f>163+7985</f>
        <v>8148</v>
      </c>
      <c r="L4" s="504">
        <f>195+8018</f>
        <v>8213</v>
      </c>
      <c r="M4" s="504">
        <f>207+8020</f>
        <v>8227</v>
      </c>
      <c r="N4" s="506">
        <f>SUM(B4:M4)</f>
        <v>97776</v>
      </c>
    </row>
    <row r="5" spans="1:17" ht="15.6" x14ac:dyDescent="0.45">
      <c r="A5" s="510" t="s">
        <v>366</v>
      </c>
      <c r="B5" s="511">
        <v>32</v>
      </c>
      <c r="C5" s="511">
        <v>27</v>
      </c>
      <c r="D5" s="511">
        <v>18</v>
      </c>
      <c r="E5" s="511">
        <v>15</v>
      </c>
      <c r="F5" s="511">
        <v>39</v>
      </c>
      <c r="G5" s="511">
        <v>73</v>
      </c>
      <c r="H5" s="511">
        <v>66</v>
      </c>
      <c r="I5" s="511">
        <v>68</v>
      </c>
      <c r="J5" s="511">
        <v>59</v>
      </c>
      <c r="K5" s="511">
        <v>76</v>
      </c>
      <c r="L5" s="511">
        <v>25</v>
      </c>
      <c r="M5" s="511">
        <v>33</v>
      </c>
      <c r="N5" s="512">
        <f>SUM(B5:M5)</f>
        <v>531</v>
      </c>
    </row>
    <row r="6" spans="1:17" x14ac:dyDescent="0.3">
      <c r="A6" s="513"/>
      <c r="B6" s="504">
        <f>SUM(B4:B5)</f>
        <v>8141</v>
      </c>
      <c r="C6" s="504">
        <f t="shared" ref="C6:N6" si="0">SUM(C4:C5)</f>
        <v>8142</v>
      </c>
      <c r="D6" s="504">
        <f t="shared" si="0"/>
        <v>8150</v>
      </c>
      <c r="E6" s="504">
        <f t="shared" si="0"/>
        <v>8175</v>
      </c>
      <c r="F6" s="504">
        <f t="shared" si="0"/>
        <v>8168</v>
      </c>
      <c r="G6" s="504">
        <f t="shared" si="0"/>
        <v>8191</v>
      </c>
      <c r="H6" s="504">
        <f t="shared" si="0"/>
        <v>8198</v>
      </c>
      <c r="I6" s="504">
        <f>SUM(I4:I5)</f>
        <v>8206</v>
      </c>
      <c r="J6" s="504">
        <f>SUM(J4:J5)</f>
        <v>8214</v>
      </c>
      <c r="K6" s="504">
        <f t="shared" si="0"/>
        <v>8224</v>
      </c>
      <c r="L6" s="504">
        <f t="shared" si="0"/>
        <v>8238</v>
      </c>
      <c r="M6" s="504">
        <f t="shared" si="0"/>
        <v>8260</v>
      </c>
      <c r="N6" s="506">
        <f t="shared" si="0"/>
        <v>98307</v>
      </c>
    </row>
    <row r="7" spans="1:17" x14ac:dyDescent="0.3">
      <c r="A7" s="513"/>
    </row>
    <row r="8" spans="1:17" x14ac:dyDescent="0.3">
      <c r="A8" s="510" t="s">
        <v>498</v>
      </c>
      <c r="B8" s="504">
        <v>37334800</v>
      </c>
      <c r="C8" s="504">
        <v>33078700</v>
      </c>
      <c r="D8" s="504">
        <v>33989500</v>
      </c>
      <c r="E8" s="504">
        <v>35959300</v>
      </c>
      <c r="F8" s="504">
        <v>47956800</v>
      </c>
      <c r="G8" s="504">
        <v>49428700</v>
      </c>
      <c r="H8" s="504">
        <v>46496800</v>
      </c>
      <c r="I8" s="504">
        <v>46319100</v>
      </c>
      <c r="J8" s="504">
        <v>42399200</v>
      </c>
      <c r="K8" s="504">
        <v>44829700</v>
      </c>
      <c r="L8" s="504">
        <v>36434800</v>
      </c>
      <c r="M8" s="504">
        <v>35761100</v>
      </c>
      <c r="N8" s="506">
        <f>SUM(B8:M8)</f>
        <v>489988500</v>
      </c>
    </row>
    <row r="9" spans="1:17" ht="15.6" x14ac:dyDescent="0.45">
      <c r="A9" s="510" t="s">
        <v>366</v>
      </c>
      <c r="B9" s="511">
        <v>3792500</v>
      </c>
      <c r="C9" s="511">
        <v>2231400</v>
      </c>
      <c r="D9" s="511">
        <v>2773500</v>
      </c>
      <c r="E9" s="511">
        <v>1030100</v>
      </c>
      <c r="F9" s="511">
        <v>2491900</v>
      </c>
      <c r="G9" s="511">
        <v>5331400</v>
      </c>
      <c r="H9" s="511">
        <v>4093500</v>
      </c>
      <c r="I9" s="511">
        <v>5085100</v>
      </c>
      <c r="J9" s="511">
        <v>3985100</v>
      </c>
      <c r="K9" s="511">
        <v>5583900</v>
      </c>
      <c r="L9" s="511">
        <v>2668500</v>
      </c>
      <c r="M9" s="511">
        <v>2951100</v>
      </c>
      <c r="N9" s="512">
        <f>SUM(B9:M9)</f>
        <v>42018000</v>
      </c>
    </row>
    <row r="10" spans="1:17" x14ac:dyDescent="0.3">
      <c r="B10" s="504">
        <f>SUM(B8:B9)</f>
        <v>41127300</v>
      </c>
      <c r="C10" s="504">
        <f t="shared" ref="C10:M10" si="1">SUM(C8:C9)</f>
        <v>35310100</v>
      </c>
      <c r="D10" s="504">
        <f t="shared" si="1"/>
        <v>36763000</v>
      </c>
      <c r="E10" s="504">
        <f t="shared" si="1"/>
        <v>36989400</v>
      </c>
      <c r="F10" s="504">
        <f t="shared" si="1"/>
        <v>50448700</v>
      </c>
      <c r="G10" s="504">
        <f t="shared" si="1"/>
        <v>54760100</v>
      </c>
      <c r="H10" s="504">
        <f t="shared" si="1"/>
        <v>50590300</v>
      </c>
      <c r="I10" s="504">
        <f t="shared" si="1"/>
        <v>51404200</v>
      </c>
      <c r="J10" s="504">
        <f t="shared" si="1"/>
        <v>46384300</v>
      </c>
      <c r="K10" s="504">
        <f t="shared" si="1"/>
        <v>50413600</v>
      </c>
      <c r="L10" s="504">
        <f t="shared" si="1"/>
        <v>39103300</v>
      </c>
      <c r="M10" s="504">
        <f t="shared" si="1"/>
        <v>38712200</v>
      </c>
      <c r="N10" s="506">
        <f>SUM(N8:N9)</f>
        <v>532006500</v>
      </c>
    </row>
    <row r="13" spans="1:17" ht="16.2" x14ac:dyDescent="0.45">
      <c r="A13" s="632" t="s">
        <v>577</v>
      </c>
      <c r="B13" s="632"/>
    </row>
    <row r="14" spans="1:17" ht="15.6" x14ac:dyDescent="0.45">
      <c r="B14" s="508" t="s">
        <v>486</v>
      </c>
      <c r="C14" s="508" t="s">
        <v>487</v>
      </c>
      <c r="D14" s="508" t="s">
        <v>488</v>
      </c>
      <c r="E14" s="508" t="s">
        <v>489</v>
      </c>
      <c r="F14" s="508" t="s">
        <v>490</v>
      </c>
      <c r="G14" s="508" t="s">
        <v>491</v>
      </c>
      <c r="H14" s="508" t="s">
        <v>492</v>
      </c>
      <c r="I14" s="508" t="s">
        <v>493</v>
      </c>
      <c r="J14" s="508" t="s">
        <v>494</v>
      </c>
      <c r="K14" s="508" t="s">
        <v>495</v>
      </c>
      <c r="L14" s="508" t="s">
        <v>496</v>
      </c>
      <c r="M14" s="508" t="s">
        <v>497</v>
      </c>
      <c r="N14" s="509" t="s">
        <v>14</v>
      </c>
    </row>
    <row r="15" spans="1:17" x14ac:dyDescent="0.3">
      <c r="A15" s="510" t="s">
        <v>498</v>
      </c>
      <c r="B15" s="506">
        <f>170+339</f>
        <v>509</v>
      </c>
      <c r="C15" s="506">
        <f>171+336</f>
        <v>507</v>
      </c>
      <c r="D15" s="506">
        <f>159+355</f>
        <v>514</v>
      </c>
      <c r="E15" s="506">
        <f>154+362</f>
        <v>516</v>
      </c>
      <c r="F15" s="506">
        <f>139+377</f>
        <v>516</v>
      </c>
      <c r="G15" s="506">
        <f>133+385</f>
        <v>518</v>
      </c>
      <c r="H15" s="506">
        <f>152+389</f>
        <v>541</v>
      </c>
      <c r="I15" s="506">
        <f>169+393</f>
        <v>562</v>
      </c>
      <c r="J15" s="506">
        <f>170+383</f>
        <v>553</v>
      </c>
      <c r="K15" s="506">
        <f>170+384</f>
        <v>554</v>
      </c>
      <c r="L15" s="506">
        <f>188+369</f>
        <v>557</v>
      </c>
      <c r="M15" s="506">
        <f>196+363</f>
        <v>559</v>
      </c>
      <c r="N15" s="506">
        <f>SUM(B15:M15)</f>
        <v>6406</v>
      </c>
    </row>
    <row r="16" spans="1:17" ht="15.6" x14ac:dyDescent="0.45">
      <c r="A16" s="510" t="s">
        <v>366</v>
      </c>
      <c r="B16" s="512">
        <v>15</v>
      </c>
      <c r="C16" s="512">
        <v>16</v>
      </c>
      <c r="D16" s="512">
        <v>13</v>
      </c>
      <c r="E16" s="512">
        <v>13</v>
      </c>
      <c r="F16" s="512">
        <v>18</v>
      </c>
      <c r="G16" s="512">
        <v>26</v>
      </c>
      <c r="H16" s="512">
        <v>24</v>
      </c>
      <c r="I16" s="512">
        <v>25</v>
      </c>
      <c r="J16" s="512">
        <v>26</v>
      </c>
      <c r="K16" s="512">
        <v>28</v>
      </c>
      <c r="L16" s="512">
        <v>16</v>
      </c>
      <c r="M16" s="512">
        <v>14</v>
      </c>
      <c r="N16" s="512">
        <f>SUM(B16:M16)</f>
        <v>234</v>
      </c>
    </row>
    <row r="17" spans="1:17" x14ac:dyDescent="0.3">
      <c r="A17" s="513"/>
      <c r="B17" s="506">
        <f>SUM(B15:B16)</f>
        <v>524</v>
      </c>
      <c r="C17" s="506">
        <f t="shared" ref="C17:H17" si="2">SUM(C15:C16)</f>
        <v>523</v>
      </c>
      <c r="D17" s="506">
        <f t="shared" si="2"/>
        <v>527</v>
      </c>
      <c r="E17" s="506">
        <f t="shared" si="2"/>
        <v>529</v>
      </c>
      <c r="F17" s="506">
        <f t="shared" si="2"/>
        <v>534</v>
      </c>
      <c r="G17" s="506">
        <f t="shared" si="2"/>
        <v>544</v>
      </c>
      <c r="H17" s="506">
        <f t="shared" si="2"/>
        <v>565</v>
      </c>
      <c r="I17" s="506">
        <f>SUM(I15:I16)</f>
        <v>587</v>
      </c>
      <c r="J17" s="506">
        <f>SUM(J15:J16)</f>
        <v>579</v>
      </c>
      <c r="K17" s="506">
        <f t="shared" ref="K17:N17" si="3">SUM(K15:K16)</f>
        <v>582</v>
      </c>
      <c r="L17" s="506">
        <f t="shared" si="3"/>
        <v>573</v>
      </c>
      <c r="M17" s="506">
        <f t="shared" si="3"/>
        <v>573</v>
      </c>
      <c r="N17" s="506">
        <f t="shared" si="3"/>
        <v>6640</v>
      </c>
    </row>
    <row r="18" spans="1:17" x14ac:dyDescent="0.3">
      <c r="A18" s="513"/>
      <c r="B18" s="506"/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</row>
    <row r="19" spans="1:17" x14ac:dyDescent="0.3">
      <c r="A19" s="510" t="s">
        <v>498</v>
      </c>
      <c r="B19" s="506">
        <v>1397800</v>
      </c>
      <c r="C19" s="506">
        <v>1266100</v>
      </c>
      <c r="D19" s="506">
        <v>1502700</v>
      </c>
      <c r="E19" s="506">
        <v>1527100</v>
      </c>
      <c r="F19" s="506">
        <v>1893500</v>
      </c>
      <c r="G19" s="506">
        <v>2004500</v>
      </c>
      <c r="H19" s="506">
        <v>2098200</v>
      </c>
      <c r="I19" s="506">
        <v>2070300</v>
      </c>
      <c r="J19" s="506">
        <v>1861000</v>
      </c>
      <c r="K19" s="506">
        <v>1901000</v>
      </c>
      <c r="L19" s="506">
        <v>1403700</v>
      </c>
      <c r="M19" s="506">
        <v>1412000</v>
      </c>
      <c r="N19" s="506">
        <f>SUM(B19:M19)</f>
        <v>20337900</v>
      </c>
    </row>
    <row r="20" spans="1:17" ht="15.6" x14ac:dyDescent="0.45">
      <c r="A20" s="510" t="s">
        <v>366</v>
      </c>
      <c r="B20" s="512">
        <v>1348900</v>
      </c>
      <c r="C20" s="512">
        <v>1516000</v>
      </c>
      <c r="D20" s="512">
        <v>1492500</v>
      </c>
      <c r="E20" s="512">
        <v>1676700</v>
      </c>
      <c r="F20" s="512">
        <v>1783800</v>
      </c>
      <c r="G20" s="512">
        <v>2375200</v>
      </c>
      <c r="H20" s="512">
        <v>2527600</v>
      </c>
      <c r="I20" s="512">
        <v>2983100</v>
      </c>
      <c r="J20" s="512">
        <v>2474500</v>
      </c>
      <c r="K20" s="512">
        <v>2515900</v>
      </c>
      <c r="L20" s="512">
        <v>2643000</v>
      </c>
      <c r="M20" s="512">
        <v>1596500</v>
      </c>
      <c r="N20" s="512">
        <f>SUM(B20:M20)</f>
        <v>24933700</v>
      </c>
    </row>
    <row r="21" spans="1:17" x14ac:dyDescent="0.3">
      <c r="B21" s="504">
        <f>SUM(B19:B20)</f>
        <v>2746700</v>
      </c>
      <c r="C21" s="504">
        <f t="shared" ref="C21:N21" si="4">SUM(C19:C20)</f>
        <v>2782100</v>
      </c>
      <c r="D21" s="504">
        <f t="shared" si="4"/>
        <v>2995200</v>
      </c>
      <c r="E21" s="506">
        <f t="shared" si="4"/>
        <v>3203800</v>
      </c>
      <c r="F21" s="504">
        <f t="shared" si="4"/>
        <v>3677300</v>
      </c>
      <c r="G21" s="504">
        <f t="shared" si="4"/>
        <v>4379700</v>
      </c>
      <c r="H21" s="504">
        <f t="shared" si="4"/>
        <v>4625800</v>
      </c>
      <c r="I21" s="506">
        <f t="shared" si="4"/>
        <v>5053400</v>
      </c>
      <c r="J21" s="504">
        <f t="shared" si="4"/>
        <v>4335500</v>
      </c>
      <c r="K21" s="504">
        <f t="shared" si="4"/>
        <v>4416900</v>
      </c>
      <c r="L21" s="504">
        <f t="shared" si="4"/>
        <v>4046700</v>
      </c>
      <c r="M21" s="504">
        <f t="shared" si="4"/>
        <v>3008500</v>
      </c>
      <c r="N21" s="506">
        <f t="shared" si="4"/>
        <v>45271600</v>
      </c>
    </row>
    <row r="24" spans="1:17" ht="16.2" x14ac:dyDescent="0.45">
      <c r="A24" s="632" t="s">
        <v>578</v>
      </c>
      <c r="B24" s="632"/>
      <c r="P24" s="504">
        <f>N28+N39</f>
        <v>326</v>
      </c>
      <c r="Q24" s="504">
        <f>N32+N43</f>
        <v>1875800</v>
      </c>
    </row>
    <row r="25" spans="1:17" ht="15.6" x14ac:dyDescent="0.45">
      <c r="B25" s="508" t="s">
        <v>486</v>
      </c>
      <c r="C25" s="508" t="s">
        <v>487</v>
      </c>
      <c r="D25" s="508" t="s">
        <v>488</v>
      </c>
      <c r="E25" s="508" t="s">
        <v>489</v>
      </c>
      <c r="F25" s="508" t="s">
        <v>490</v>
      </c>
      <c r="G25" s="508" t="s">
        <v>491</v>
      </c>
      <c r="H25" s="508" t="s">
        <v>492</v>
      </c>
      <c r="I25" s="508" t="s">
        <v>493</v>
      </c>
      <c r="J25" s="508" t="s">
        <v>494</v>
      </c>
      <c r="K25" s="508" t="s">
        <v>495</v>
      </c>
      <c r="L25" s="508" t="s">
        <v>496</v>
      </c>
      <c r="M25" s="508" t="s">
        <v>497</v>
      </c>
      <c r="N25" s="509" t="s">
        <v>14</v>
      </c>
    </row>
    <row r="26" spans="1:17" x14ac:dyDescent="0.3">
      <c r="A26" s="510" t="s">
        <v>498</v>
      </c>
      <c r="B26" s="506">
        <v>23</v>
      </c>
      <c r="C26" s="506">
        <v>23</v>
      </c>
      <c r="D26" s="506">
        <v>23</v>
      </c>
      <c r="E26" s="506">
        <v>24</v>
      </c>
      <c r="F26" s="506">
        <v>24</v>
      </c>
      <c r="G26" s="506">
        <v>24</v>
      </c>
      <c r="H26" s="506">
        <v>24</v>
      </c>
      <c r="I26" s="506">
        <v>25</v>
      </c>
      <c r="J26" s="506">
        <v>25</v>
      </c>
      <c r="K26" s="506">
        <v>25</v>
      </c>
      <c r="L26" s="506">
        <v>25</v>
      </c>
      <c r="M26" s="506">
        <v>25</v>
      </c>
      <c r="N26" s="506">
        <f>SUM(B26:M26)</f>
        <v>290</v>
      </c>
    </row>
    <row r="27" spans="1:17" ht="15.6" x14ac:dyDescent="0.45">
      <c r="A27" s="510" t="s">
        <v>366</v>
      </c>
      <c r="B27" s="512">
        <v>0</v>
      </c>
      <c r="C27" s="512">
        <v>0</v>
      </c>
      <c r="D27" s="512">
        <v>0</v>
      </c>
      <c r="E27" s="512">
        <v>0</v>
      </c>
      <c r="F27" s="512">
        <v>0</v>
      </c>
      <c r="G27" s="512">
        <v>0</v>
      </c>
      <c r="H27" s="512">
        <v>0</v>
      </c>
      <c r="I27" s="512">
        <v>0</v>
      </c>
      <c r="J27" s="512">
        <v>0</v>
      </c>
      <c r="K27" s="512">
        <v>0</v>
      </c>
      <c r="L27" s="512">
        <v>0</v>
      </c>
      <c r="M27" s="512">
        <v>0</v>
      </c>
      <c r="N27" s="512">
        <f>SUM(B27:M27)</f>
        <v>0</v>
      </c>
    </row>
    <row r="28" spans="1:17" x14ac:dyDescent="0.3">
      <c r="A28" s="513"/>
      <c r="B28" s="506">
        <f>SUM(B26:B27)</f>
        <v>23</v>
      </c>
      <c r="C28" s="506">
        <f t="shared" ref="C28:H28" si="5">SUM(C26:C27)</f>
        <v>23</v>
      </c>
      <c r="D28" s="506">
        <f t="shared" si="5"/>
        <v>23</v>
      </c>
      <c r="E28" s="506">
        <f t="shared" si="5"/>
        <v>24</v>
      </c>
      <c r="F28" s="506">
        <f t="shared" si="5"/>
        <v>24</v>
      </c>
      <c r="G28" s="506">
        <f t="shared" si="5"/>
        <v>24</v>
      </c>
      <c r="H28" s="506">
        <f t="shared" si="5"/>
        <v>24</v>
      </c>
      <c r="I28" s="506">
        <f>SUM(I26:I27)</f>
        <v>25</v>
      </c>
      <c r="J28" s="506">
        <f>SUM(J26:J27)</f>
        <v>25</v>
      </c>
      <c r="K28" s="506">
        <f t="shared" ref="K28:N28" si="6">SUM(K26:K27)</f>
        <v>25</v>
      </c>
      <c r="L28" s="506">
        <f t="shared" si="6"/>
        <v>25</v>
      </c>
      <c r="M28" s="506">
        <f t="shared" si="6"/>
        <v>25</v>
      </c>
      <c r="N28" s="506">
        <f t="shared" si="6"/>
        <v>290</v>
      </c>
    </row>
    <row r="29" spans="1:17" x14ac:dyDescent="0.3">
      <c r="A29" s="513"/>
      <c r="B29" s="506"/>
      <c r="C29" s="506"/>
      <c r="D29" s="506"/>
      <c r="E29" s="506"/>
      <c r="F29" s="506"/>
      <c r="G29" s="506"/>
      <c r="H29" s="506"/>
      <c r="I29" s="506"/>
      <c r="J29" s="506"/>
      <c r="K29" s="506"/>
      <c r="L29" s="506"/>
      <c r="M29" s="506"/>
    </row>
    <row r="30" spans="1:17" x14ac:dyDescent="0.3">
      <c r="A30" s="510" t="s">
        <v>498</v>
      </c>
      <c r="B30" s="506">
        <v>107000</v>
      </c>
      <c r="C30" s="506">
        <v>100700</v>
      </c>
      <c r="D30" s="506">
        <v>106100</v>
      </c>
      <c r="E30" s="506">
        <v>122400</v>
      </c>
      <c r="F30" s="506">
        <v>188000</v>
      </c>
      <c r="G30" s="506">
        <v>180500</v>
      </c>
      <c r="H30" s="506">
        <v>153500</v>
      </c>
      <c r="I30" s="506">
        <v>203000</v>
      </c>
      <c r="J30" s="506">
        <v>161100</v>
      </c>
      <c r="K30" s="506">
        <v>178000</v>
      </c>
      <c r="L30" s="506">
        <v>141600</v>
      </c>
      <c r="M30" s="506">
        <v>117200</v>
      </c>
      <c r="N30" s="506">
        <f>SUM(B30:M30)</f>
        <v>1759100</v>
      </c>
    </row>
    <row r="31" spans="1:17" ht="15.6" x14ac:dyDescent="0.45">
      <c r="A31" s="510" t="s">
        <v>366</v>
      </c>
      <c r="B31" s="512">
        <v>0</v>
      </c>
      <c r="C31" s="512">
        <v>0</v>
      </c>
      <c r="D31" s="512">
        <v>0</v>
      </c>
      <c r="E31" s="512">
        <v>0</v>
      </c>
      <c r="F31" s="512">
        <v>0</v>
      </c>
      <c r="G31" s="512">
        <v>0</v>
      </c>
      <c r="H31" s="512">
        <v>0</v>
      </c>
      <c r="I31" s="512">
        <v>0</v>
      </c>
      <c r="J31" s="512">
        <v>0</v>
      </c>
      <c r="K31" s="512">
        <v>0</v>
      </c>
      <c r="L31" s="512">
        <v>0</v>
      </c>
      <c r="M31" s="512">
        <v>0</v>
      </c>
      <c r="N31" s="512">
        <f>SUM(B31:M31)</f>
        <v>0</v>
      </c>
    </row>
    <row r="32" spans="1:17" x14ac:dyDescent="0.3">
      <c r="B32" s="506">
        <f>SUM(B30:B31)</f>
        <v>107000</v>
      </c>
      <c r="C32" s="504">
        <f t="shared" ref="C32:N32" si="7">SUM(C30:C31)</f>
        <v>100700</v>
      </c>
      <c r="D32" s="504">
        <f t="shared" si="7"/>
        <v>106100</v>
      </c>
      <c r="E32" s="504">
        <f t="shared" si="7"/>
        <v>122400</v>
      </c>
      <c r="F32" s="504">
        <f t="shared" si="7"/>
        <v>188000</v>
      </c>
      <c r="G32" s="504">
        <f t="shared" si="7"/>
        <v>180500</v>
      </c>
      <c r="H32" s="504">
        <f t="shared" si="7"/>
        <v>153500</v>
      </c>
      <c r="I32" s="504">
        <f t="shared" si="7"/>
        <v>203000</v>
      </c>
      <c r="J32" s="504">
        <f t="shared" si="7"/>
        <v>161100</v>
      </c>
      <c r="K32" s="504">
        <f t="shared" si="7"/>
        <v>178000</v>
      </c>
      <c r="L32" s="504">
        <f t="shared" si="7"/>
        <v>141600</v>
      </c>
      <c r="M32" s="504">
        <f t="shared" si="7"/>
        <v>117200</v>
      </c>
      <c r="N32" s="506">
        <f t="shared" si="7"/>
        <v>1759100</v>
      </c>
    </row>
    <row r="35" spans="1:17" ht="16.2" x14ac:dyDescent="0.45">
      <c r="A35" s="632" t="s">
        <v>579</v>
      </c>
      <c r="B35" s="632"/>
    </row>
    <row r="36" spans="1:17" ht="15.6" x14ac:dyDescent="0.45">
      <c r="B36" s="508" t="s">
        <v>486</v>
      </c>
      <c r="C36" s="508" t="s">
        <v>487</v>
      </c>
      <c r="D36" s="508" t="s">
        <v>488</v>
      </c>
      <c r="E36" s="508" t="s">
        <v>489</v>
      </c>
      <c r="F36" s="508" t="s">
        <v>490</v>
      </c>
      <c r="G36" s="508" t="s">
        <v>491</v>
      </c>
      <c r="H36" s="508" t="s">
        <v>492</v>
      </c>
      <c r="I36" s="508" t="s">
        <v>493</v>
      </c>
      <c r="J36" s="508" t="s">
        <v>494</v>
      </c>
      <c r="K36" s="508" t="s">
        <v>495</v>
      </c>
      <c r="L36" s="508" t="s">
        <v>496</v>
      </c>
      <c r="M36" s="508" t="s">
        <v>497</v>
      </c>
      <c r="N36" s="509" t="s">
        <v>14</v>
      </c>
    </row>
    <row r="37" spans="1:17" x14ac:dyDescent="0.3">
      <c r="A37" s="510" t="s">
        <v>498</v>
      </c>
      <c r="B37" s="506">
        <v>3</v>
      </c>
      <c r="C37" s="506">
        <v>3</v>
      </c>
      <c r="D37" s="506">
        <v>3</v>
      </c>
      <c r="E37" s="506">
        <v>3</v>
      </c>
      <c r="F37" s="506">
        <v>3</v>
      </c>
      <c r="G37" s="506">
        <v>3</v>
      </c>
      <c r="H37" s="506">
        <v>3</v>
      </c>
      <c r="I37" s="506">
        <v>3</v>
      </c>
      <c r="J37" s="506">
        <v>3</v>
      </c>
      <c r="K37" s="506">
        <v>3</v>
      </c>
      <c r="L37" s="506">
        <v>3</v>
      </c>
      <c r="M37" s="506">
        <v>3</v>
      </c>
      <c r="N37" s="506">
        <f>SUM(B37:M37)</f>
        <v>36</v>
      </c>
    </row>
    <row r="38" spans="1:17" ht="15.6" x14ac:dyDescent="0.45">
      <c r="A38" s="510" t="s">
        <v>366</v>
      </c>
      <c r="B38" s="512">
        <v>0</v>
      </c>
      <c r="C38" s="512">
        <v>0</v>
      </c>
      <c r="D38" s="512">
        <v>0</v>
      </c>
      <c r="E38" s="512">
        <v>0</v>
      </c>
      <c r="F38" s="512">
        <v>0</v>
      </c>
      <c r="G38" s="512">
        <v>0</v>
      </c>
      <c r="H38" s="512">
        <v>0</v>
      </c>
      <c r="I38" s="512">
        <v>0</v>
      </c>
      <c r="J38" s="512">
        <v>0</v>
      </c>
      <c r="K38" s="512">
        <v>0</v>
      </c>
      <c r="L38" s="512">
        <v>0</v>
      </c>
      <c r="M38" s="512">
        <v>0</v>
      </c>
      <c r="N38" s="512">
        <f>SUM(B38:M38)</f>
        <v>0</v>
      </c>
    </row>
    <row r="39" spans="1:17" x14ac:dyDescent="0.3">
      <c r="A39" s="513"/>
      <c r="B39" s="506">
        <f>SUM(B37:B38)</f>
        <v>3</v>
      </c>
      <c r="C39" s="506">
        <f t="shared" ref="C39:H39" si="8">SUM(C37:C38)</f>
        <v>3</v>
      </c>
      <c r="D39" s="506">
        <f t="shared" si="8"/>
        <v>3</v>
      </c>
      <c r="E39" s="506">
        <f t="shared" si="8"/>
        <v>3</v>
      </c>
      <c r="F39" s="506">
        <f t="shared" si="8"/>
        <v>3</v>
      </c>
      <c r="G39" s="506">
        <f t="shared" si="8"/>
        <v>3</v>
      </c>
      <c r="H39" s="506">
        <f t="shared" si="8"/>
        <v>3</v>
      </c>
      <c r="I39" s="506">
        <f>SUM(I37:I38)</f>
        <v>3</v>
      </c>
      <c r="J39" s="506">
        <f>SUM(J37:J38)</f>
        <v>3</v>
      </c>
      <c r="K39" s="506">
        <f t="shared" ref="K39:N39" si="9">SUM(K37:K38)</f>
        <v>3</v>
      </c>
      <c r="L39" s="506">
        <f t="shared" si="9"/>
        <v>3</v>
      </c>
      <c r="M39" s="506">
        <f t="shared" si="9"/>
        <v>3</v>
      </c>
      <c r="N39" s="506">
        <f t="shared" si="9"/>
        <v>36</v>
      </c>
    </row>
    <row r="40" spans="1:17" x14ac:dyDescent="0.3">
      <c r="A40" s="513"/>
      <c r="B40" s="506"/>
      <c r="C40" s="506"/>
      <c r="D40" s="506"/>
      <c r="E40" s="506"/>
      <c r="F40" s="506"/>
      <c r="G40" s="506"/>
      <c r="H40" s="506"/>
      <c r="I40" s="506"/>
      <c r="J40" s="506"/>
      <c r="K40" s="506"/>
      <c r="L40" s="506"/>
      <c r="M40" s="506"/>
    </row>
    <row r="41" spans="1:17" x14ac:dyDescent="0.3">
      <c r="A41" s="510" t="s">
        <v>498</v>
      </c>
      <c r="B41" s="506">
        <v>5400</v>
      </c>
      <c r="C41" s="506">
        <v>4200</v>
      </c>
      <c r="D41" s="506">
        <v>4100</v>
      </c>
      <c r="E41" s="506">
        <v>8200</v>
      </c>
      <c r="F41" s="506">
        <v>13900</v>
      </c>
      <c r="G41" s="506">
        <v>7300</v>
      </c>
      <c r="H41" s="506">
        <v>5800</v>
      </c>
      <c r="I41" s="506">
        <v>8500</v>
      </c>
      <c r="J41" s="506">
        <v>7900</v>
      </c>
      <c r="K41" s="506">
        <v>7900</v>
      </c>
      <c r="L41" s="506">
        <v>3100</v>
      </c>
      <c r="M41" s="506">
        <v>40400</v>
      </c>
      <c r="N41" s="506">
        <f>SUM(B41:M41)</f>
        <v>116700</v>
      </c>
    </row>
    <row r="42" spans="1:17" ht="15.6" x14ac:dyDescent="0.45">
      <c r="A42" s="510" t="s">
        <v>366</v>
      </c>
      <c r="B42" s="512">
        <v>0</v>
      </c>
      <c r="C42" s="512">
        <v>0</v>
      </c>
      <c r="D42" s="512">
        <v>0</v>
      </c>
      <c r="E42" s="512">
        <v>0</v>
      </c>
      <c r="F42" s="512">
        <v>0</v>
      </c>
      <c r="G42" s="512">
        <v>0</v>
      </c>
      <c r="H42" s="512">
        <v>0</v>
      </c>
      <c r="I42" s="512">
        <v>0</v>
      </c>
      <c r="J42" s="512">
        <v>0</v>
      </c>
      <c r="K42" s="512">
        <v>0</v>
      </c>
      <c r="L42" s="512">
        <v>0</v>
      </c>
      <c r="M42" s="512">
        <v>0</v>
      </c>
      <c r="N42" s="512">
        <f>SUM(B42:M42)</f>
        <v>0</v>
      </c>
    </row>
    <row r="43" spans="1:17" x14ac:dyDescent="0.3">
      <c r="B43" s="504">
        <f>SUM(B41:B42)</f>
        <v>5400</v>
      </c>
      <c r="C43" s="504">
        <f t="shared" ref="C43:N43" si="10">SUM(C41:C42)</f>
        <v>4200</v>
      </c>
      <c r="D43" s="504">
        <f t="shared" si="10"/>
        <v>4100</v>
      </c>
      <c r="E43" s="504">
        <f t="shared" si="10"/>
        <v>8200</v>
      </c>
      <c r="F43" s="504">
        <f t="shared" si="10"/>
        <v>13900</v>
      </c>
      <c r="G43" s="504">
        <f t="shared" si="10"/>
        <v>7300</v>
      </c>
      <c r="H43" s="504">
        <f t="shared" si="10"/>
        <v>5800</v>
      </c>
      <c r="I43" s="504">
        <f t="shared" si="10"/>
        <v>8500</v>
      </c>
      <c r="J43" s="504">
        <f t="shared" si="10"/>
        <v>7900</v>
      </c>
      <c r="K43" s="504">
        <f t="shared" si="10"/>
        <v>7900</v>
      </c>
      <c r="L43" s="504">
        <f t="shared" si="10"/>
        <v>3100</v>
      </c>
      <c r="M43" s="504">
        <f t="shared" si="10"/>
        <v>40400</v>
      </c>
      <c r="N43" s="506">
        <f t="shared" si="10"/>
        <v>116700</v>
      </c>
    </row>
    <row r="46" spans="1:17" ht="16.2" x14ac:dyDescent="0.45">
      <c r="A46" s="632" t="s">
        <v>580</v>
      </c>
      <c r="B46" s="632"/>
      <c r="P46" s="504">
        <f>N50+N61+N182</f>
        <v>1617</v>
      </c>
      <c r="Q46" s="504">
        <f>N54+N65+N186</f>
        <v>37279500</v>
      </c>
    </row>
    <row r="47" spans="1:17" ht="15.6" x14ac:dyDescent="0.45">
      <c r="B47" s="508" t="s">
        <v>486</v>
      </c>
      <c r="C47" s="508" t="s">
        <v>487</v>
      </c>
      <c r="D47" s="508" t="s">
        <v>488</v>
      </c>
      <c r="E47" s="508" t="s">
        <v>489</v>
      </c>
      <c r="F47" s="508" t="s">
        <v>490</v>
      </c>
      <c r="G47" s="508" t="s">
        <v>491</v>
      </c>
      <c r="H47" s="508" t="s">
        <v>492</v>
      </c>
      <c r="I47" s="508" t="s">
        <v>493</v>
      </c>
      <c r="J47" s="508" t="s">
        <v>494</v>
      </c>
      <c r="K47" s="508" t="s">
        <v>495</v>
      </c>
      <c r="L47" s="508" t="s">
        <v>496</v>
      </c>
      <c r="M47" s="508" t="s">
        <v>497</v>
      </c>
      <c r="N47" s="509" t="s">
        <v>14</v>
      </c>
    </row>
    <row r="48" spans="1:17" x14ac:dyDescent="0.3">
      <c r="A48" s="510" t="s">
        <v>498</v>
      </c>
      <c r="B48" s="506">
        <f>4+51</f>
        <v>55</v>
      </c>
      <c r="C48" s="506">
        <f>5+50</f>
        <v>55</v>
      </c>
      <c r="D48" s="506">
        <f>5+51</f>
        <v>56</v>
      </c>
      <c r="E48" s="506">
        <f>3+54</f>
        <v>57</v>
      </c>
      <c r="F48" s="506">
        <f>3+57</f>
        <v>60</v>
      </c>
      <c r="G48" s="506">
        <f>7+51</f>
        <v>58</v>
      </c>
      <c r="H48" s="506">
        <f>3+53</f>
        <v>56</v>
      </c>
      <c r="I48" s="506">
        <f>4+53</f>
        <v>57</v>
      </c>
      <c r="J48" s="506">
        <f>5+52</f>
        <v>57</v>
      </c>
      <c r="K48" s="506">
        <f>7+49</f>
        <v>56</v>
      </c>
      <c r="L48" s="506">
        <f>6+54</f>
        <v>60</v>
      </c>
      <c r="M48" s="506">
        <f>8+51</f>
        <v>59</v>
      </c>
      <c r="N48" s="506">
        <f>SUM(B48:M48)</f>
        <v>686</v>
      </c>
    </row>
    <row r="49" spans="1:14" ht="15.6" x14ac:dyDescent="0.45">
      <c r="A49" s="510" t="s">
        <v>366</v>
      </c>
      <c r="B49" s="512">
        <v>3</v>
      </c>
      <c r="C49" s="512">
        <v>4</v>
      </c>
      <c r="D49" s="512">
        <v>4</v>
      </c>
      <c r="E49" s="512">
        <v>3</v>
      </c>
      <c r="F49" s="512">
        <v>1</v>
      </c>
      <c r="G49" s="512">
        <v>3</v>
      </c>
      <c r="H49" s="512">
        <v>5</v>
      </c>
      <c r="I49" s="512">
        <v>3</v>
      </c>
      <c r="J49" s="512">
        <v>3</v>
      </c>
      <c r="K49" s="512">
        <v>5</v>
      </c>
      <c r="L49" s="512">
        <v>3</v>
      </c>
      <c r="M49" s="512">
        <v>4</v>
      </c>
      <c r="N49" s="512">
        <f>SUM(B49:M49)</f>
        <v>41</v>
      </c>
    </row>
    <row r="50" spans="1:14" x14ac:dyDescent="0.3">
      <c r="A50" s="513"/>
      <c r="B50" s="506">
        <f>SUM(B48:B49)</f>
        <v>58</v>
      </c>
      <c r="C50" s="506">
        <f t="shared" ref="C50:H50" si="11">SUM(C48:C49)</f>
        <v>59</v>
      </c>
      <c r="D50" s="506">
        <f t="shared" si="11"/>
        <v>60</v>
      </c>
      <c r="E50" s="506">
        <f t="shared" si="11"/>
        <v>60</v>
      </c>
      <c r="F50" s="506">
        <f t="shared" si="11"/>
        <v>61</v>
      </c>
      <c r="G50" s="506">
        <f t="shared" si="11"/>
        <v>61</v>
      </c>
      <c r="H50" s="506">
        <f t="shared" si="11"/>
        <v>61</v>
      </c>
      <c r="I50" s="506">
        <f>SUM(I48:I49)</f>
        <v>60</v>
      </c>
      <c r="J50" s="506">
        <f>SUM(J48:J49)</f>
        <v>60</v>
      </c>
      <c r="K50" s="506">
        <f t="shared" ref="K50:N50" si="12">SUM(K48:K49)</f>
        <v>61</v>
      </c>
      <c r="L50" s="506">
        <f t="shared" si="12"/>
        <v>63</v>
      </c>
      <c r="M50" s="506">
        <f t="shared" si="12"/>
        <v>63</v>
      </c>
      <c r="N50" s="506">
        <f t="shared" si="12"/>
        <v>727</v>
      </c>
    </row>
    <row r="51" spans="1:14" x14ac:dyDescent="0.3">
      <c r="A51" s="513"/>
      <c r="B51" s="506"/>
      <c r="C51" s="506"/>
      <c r="D51" s="506"/>
      <c r="E51" s="506"/>
      <c r="F51" s="506"/>
      <c r="G51" s="506"/>
      <c r="H51" s="506"/>
      <c r="I51" s="506"/>
      <c r="J51" s="506"/>
      <c r="K51" s="506"/>
      <c r="L51" s="506"/>
      <c r="M51" s="506"/>
    </row>
    <row r="52" spans="1:14" x14ac:dyDescent="0.3">
      <c r="A52" s="510" t="s">
        <v>498</v>
      </c>
      <c r="B52" s="506">
        <v>391000</v>
      </c>
      <c r="C52" s="506">
        <v>344900</v>
      </c>
      <c r="D52" s="506">
        <v>318700</v>
      </c>
      <c r="E52" s="506">
        <v>454400</v>
      </c>
      <c r="F52" s="506">
        <v>566000</v>
      </c>
      <c r="G52" s="506">
        <v>513000</v>
      </c>
      <c r="H52" s="506">
        <v>438000</v>
      </c>
      <c r="I52" s="506">
        <v>465100</v>
      </c>
      <c r="J52" s="506">
        <v>495600</v>
      </c>
      <c r="K52" s="506">
        <v>450400</v>
      </c>
      <c r="L52" s="506">
        <v>410700</v>
      </c>
      <c r="M52" s="506">
        <v>388400</v>
      </c>
      <c r="N52" s="506">
        <f>SUM(B52:M52)</f>
        <v>5236200</v>
      </c>
    </row>
    <row r="53" spans="1:14" ht="15.6" x14ac:dyDescent="0.45">
      <c r="A53" s="510" t="s">
        <v>366</v>
      </c>
      <c r="B53" s="512">
        <v>214900</v>
      </c>
      <c r="C53" s="512">
        <v>401200</v>
      </c>
      <c r="D53" s="512">
        <v>361000</v>
      </c>
      <c r="E53" s="512">
        <v>620500</v>
      </c>
      <c r="F53" s="512">
        <v>71500</v>
      </c>
      <c r="G53" s="512">
        <v>159900</v>
      </c>
      <c r="H53" s="512">
        <v>269300</v>
      </c>
      <c r="I53" s="512">
        <v>161900</v>
      </c>
      <c r="J53" s="512">
        <v>203400</v>
      </c>
      <c r="K53" s="512">
        <v>326100</v>
      </c>
      <c r="L53" s="512">
        <v>171500</v>
      </c>
      <c r="M53" s="512">
        <v>245800</v>
      </c>
      <c r="N53" s="512">
        <f>SUM(B53:M53)</f>
        <v>3207000</v>
      </c>
    </row>
    <row r="54" spans="1:14" x14ac:dyDescent="0.3">
      <c r="B54" s="504">
        <f>SUM(B52:B53)</f>
        <v>605900</v>
      </c>
      <c r="C54" s="504">
        <f t="shared" ref="C54:N54" si="13">SUM(C52:C53)</f>
        <v>746100</v>
      </c>
      <c r="D54" s="504">
        <f t="shared" si="13"/>
        <v>679700</v>
      </c>
      <c r="E54" s="504">
        <f t="shared" si="13"/>
        <v>1074900</v>
      </c>
      <c r="F54" s="506">
        <f t="shared" si="13"/>
        <v>637500</v>
      </c>
      <c r="G54" s="504">
        <f t="shared" si="13"/>
        <v>672900</v>
      </c>
      <c r="H54" s="504">
        <f t="shared" si="13"/>
        <v>707300</v>
      </c>
      <c r="I54" s="504">
        <f t="shared" si="13"/>
        <v>627000</v>
      </c>
      <c r="J54" s="504">
        <f t="shared" si="13"/>
        <v>699000</v>
      </c>
      <c r="K54" s="504">
        <f t="shared" si="13"/>
        <v>776500</v>
      </c>
      <c r="L54" s="504">
        <f t="shared" si="13"/>
        <v>582200</v>
      </c>
      <c r="M54" s="504">
        <f t="shared" si="13"/>
        <v>634200</v>
      </c>
      <c r="N54" s="506">
        <f t="shared" si="13"/>
        <v>8443200</v>
      </c>
    </row>
    <row r="57" spans="1:14" ht="16.2" x14ac:dyDescent="0.45">
      <c r="A57" s="632" t="s">
        <v>581</v>
      </c>
      <c r="B57" s="632"/>
    </row>
    <row r="58" spans="1:14" ht="15.6" x14ac:dyDescent="0.45">
      <c r="B58" s="508" t="s">
        <v>486</v>
      </c>
      <c r="C58" s="508" t="s">
        <v>487</v>
      </c>
      <c r="D58" s="508" t="s">
        <v>488</v>
      </c>
      <c r="E58" s="508" t="s">
        <v>489</v>
      </c>
      <c r="F58" s="508" t="s">
        <v>490</v>
      </c>
      <c r="G58" s="508" t="s">
        <v>491</v>
      </c>
      <c r="H58" s="508" t="s">
        <v>492</v>
      </c>
      <c r="I58" s="508" t="s">
        <v>493</v>
      </c>
      <c r="J58" s="508" t="s">
        <v>494</v>
      </c>
      <c r="K58" s="508" t="s">
        <v>495</v>
      </c>
      <c r="L58" s="508" t="s">
        <v>496</v>
      </c>
      <c r="M58" s="508" t="s">
        <v>497</v>
      </c>
      <c r="N58" s="509" t="s">
        <v>14</v>
      </c>
    </row>
    <row r="59" spans="1:14" x14ac:dyDescent="0.3">
      <c r="A59" s="510" t="s">
        <v>498</v>
      </c>
      <c r="B59" s="506">
        <f>18+39</f>
        <v>57</v>
      </c>
      <c r="C59" s="506">
        <f>18+42</f>
        <v>60</v>
      </c>
      <c r="D59" s="506">
        <f>16+46</f>
        <v>62</v>
      </c>
      <c r="E59" s="506">
        <f>14+48</f>
        <v>62</v>
      </c>
      <c r="F59" s="506">
        <f>9+50</f>
        <v>59</v>
      </c>
      <c r="G59" s="506">
        <f>11+43</f>
        <v>54</v>
      </c>
      <c r="H59" s="506">
        <f>9+43</f>
        <v>52</v>
      </c>
      <c r="I59" s="506">
        <f>10+41</f>
        <v>51</v>
      </c>
      <c r="J59" s="506">
        <f>12+47</f>
        <v>59</v>
      </c>
      <c r="K59" s="506">
        <f>11+44</f>
        <v>55</v>
      </c>
      <c r="L59" s="506">
        <f>19+38</f>
        <v>57</v>
      </c>
      <c r="M59" s="506">
        <f>21+38</f>
        <v>59</v>
      </c>
      <c r="N59" s="506">
        <f>SUM(B59:M59)</f>
        <v>687</v>
      </c>
    </row>
    <row r="60" spans="1:14" ht="15.6" x14ac:dyDescent="0.45">
      <c r="A60" s="510" t="s">
        <v>366</v>
      </c>
      <c r="B60" s="512">
        <v>15</v>
      </c>
      <c r="C60" s="512">
        <v>13</v>
      </c>
      <c r="D60" s="512">
        <v>12</v>
      </c>
      <c r="E60" s="512">
        <v>12</v>
      </c>
      <c r="F60" s="512">
        <v>15</v>
      </c>
      <c r="G60" s="512">
        <v>19</v>
      </c>
      <c r="H60" s="512">
        <v>22</v>
      </c>
      <c r="I60" s="512">
        <v>23</v>
      </c>
      <c r="J60" s="512">
        <v>16</v>
      </c>
      <c r="K60" s="512">
        <v>17</v>
      </c>
      <c r="L60" s="512">
        <v>15</v>
      </c>
      <c r="M60" s="512">
        <v>12</v>
      </c>
      <c r="N60" s="512">
        <f>SUM(B60:M60)</f>
        <v>191</v>
      </c>
    </row>
    <row r="61" spans="1:14" x14ac:dyDescent="0.3">
      <c r="A61" s="513"/>
      <c r="B61" s="506">
        <f>SUM(B59:B60)</f>
        <v>72</v>
      </c>
      <c r="C61" s="506">
        <f t="shared" ref="C61:H61" si="14">SUM(C59:C60)</f>
        <v>73</v>
      </c>
      <c r="D61" s="506">
        <f t="shared" si="14"/>
        <v>74</v>
      </c>
      <c r="E61" s="506">
        <f t="shared" si="14"/>
        <v>74</v>
      </c>
      <c r="F61" s="506">
        <f t="shared" si="14"/>
        <v>74</v>
      </c>
      <c r="G61" s="506">
        <f t="shared" si="14"/>
        <v>73</v>
      </c>
      <c r="H61" s="506">
        <f t="shared" si="14"/>
        <v>74</v>
      </c>
      <c r="I61" s="506">
        <f>SUM(I59:I60)</f>
        <v>74</v>
      </c>
      <c r="J61" s="506">
        <f>SUM(J59:J60)</f>
        <v>75</v>
      </c>
      <c r="K61" s="506">
        <f t="shared" ref="K61:N61" si="15">SUM(K59:K60)</f>
        <v>72</v>
      </c>
      <c r="L61" s="506">
        <f t="shared" si="15"/>
        <v>72</v>
      </c>
      <c r="M61" s="506">
        <f t="shared" si="15"/>
        <v>71</v>
      </c>
      <c r="N61" s="506">
        <f t="shared" si="15"/>
        <v>878</v>
      </c>
    </row>
    <row r="62" spans="1:14" x14ac:dyDescent="0.3">
      <c r="A62" s="513"/>
      <c r="B62" s="506"/>
      <c r="C62" s="506"/>
      <c r="D62" s="506"/>
      <c r="E62" s="506"/>
      <c r="F62" s="506"/>
      <c r="G62" s="506"/>
      <c r="H62" s="506"/>
      <c r="I62" s="506"/>
      <c r="J62" s="506"/>
      <c r="K62" s="506"/>
      <c r="L62" s="506"/>
      <c r="M62" s="506"/>
    </row>
    <row r="63" spans="1:14" x14ac:dyDescent="0.3">
      <c r="A63" s="510" t="s">
        <v>498</v>
      </c>
      <c r="B63" s="506">
        <v>344900</v>
      </c>
      <c r="C63" s="506">
        <v>274300</v>
      </c>
      <c r="D63" s="506">
        <v>273200</v>
      </c>
      <c r="E63" s="506">
        <v>292600</v>
      </c>
      <c r="F63" s="506">
        <v>428300</v>
      </c>
      <c r="G63" s="506">
        <v>378300</v>
      </c>
      <c r="H63" s="506">
        <v>351200</v>
      </c>
      <c r="I63" s="506">
        <v>285800</v>
      </c>
      <c r="J63" s="506">
        <v>417900</v>
      </c>
      <c r="K63" s="506">
        <v>331800</v>
      </c>
      <c r="L63" s="506">
        <v>228000</v>
      </c>
      <c r="M63" s="506">
        <v>216700</v>
      </c>
      <c r="N63" s="506">
        <f>SUM(B63:M63)</f>
        <v>3823000</v>
      </c>
    </row>
    <row r="64" spans="1:14" ht="15.6" x14ac:dyDescent="0.45">
      <c r="A64" s="510" t="s">
        <v>366</v>
      </c>
      <c r="B64" s="512">
        <v>2250900</v>
      </c>
      <c r="C64" s="512">
        <v>1609300</v>
      </c>
      <c r="D64" s="512">
        <v>1224800</v>
      </c>
      <c r="E64" s="512">
        <v>1276000</v>
      </c>
      <c r="F64" s="512">
        <v>1908600</v>
      </c>
      <c r="G64" s="512">
        <v>2127400</v>
      </c>
      <c r="H64" s="512">
        <v>2904800</v>
      </c>
      <c r="I64" s="512">
        <v>2830200</v>
      </c>
      <c r="J64" s="512">
        <v>2547700</v>
      </c>
      <c r="K64" s="512">
        <v>2433600</v>
      </c>
      <c r="L64" s="512">
        <v>1928200</v>
      </c>
      <c r="M64" s="512">
        <v>1488000</v>
      </c>
      <c r="N64" s="512">
        <f>SUM(B64:M64)</f>
        <v>24529500</v>
      </c>
    </row>
    <row r="65" spans="1:17" x14ac:dyDescent="0.3">
      <c r="B65" s="504">
        <f>SUM(B63:B64)</f>
        <v>2595800</v>
      </c>
      <c r="C65" s="504">
        <f t="shared" ref="C65:N65" si="16">SUM(C63:C64)</f>
        <v>1883600</v>
      </c>
      <c r="D65" s="504">
        <f t="shared" si="16"/>
        <v>1498000</v>
      </c>
      <c r="E65" s="504">
        <f t="shared" si="16"/>
        <v>1568600</v>
      </c>
      <c r="F65" s="504">
        <f t="shared" si="16"/>
        <v>2336900</v>
      </c>
      <c r="G65" s="506">
        <f t="shared" si="16"/>
        <v>2505700</v>
      </c>
      <c r="H65" s="504">
        <f t="shared" si="16"/>
        <v>3256000</v>
      </c>
      <c r="I65" s="504">
        <f t="shared" si="16"/>
        <v>3116000</v>
      </c>
      <c r="J65" s="504">
        <f t="shared" si="16"/>
        <v>2965600</v>
      </c>
      <c r="K65" s="504">
        <f t="shared" si="16"/>
        <v>2765400</v>
      </c>
      <c r="L65" s="506">
        <f t="shared" si="16"/>
        <v>2156200</v>
      </c>
      <c r="M65" s="504">
        <f t="shared" si="16"/>
        <v>1704700</v>
      </c>
      <c r="N65" s="506">
        <f t="shared" si="16"/>
        <v>28352500</v>
      </c>
    </row>
    <row r="68" spans="1:17" ht="16.2" x14ac:dyDescent="0.45">
      <c r="A68" s="632" t="s">
        <v>582</v>
      </c>
      <c r="B68" s="632"/>
      <c r="P68" s="504">
        <f>N72+N83</f>
        <v>156</v>
      </c>
      <c r="Q68" s="504">
        <f>N76+N87</f>
        <v>4937400</v>
      </c>
    </row>
    <row r="69" spans="1:17" ht="15.6" x14ac:dyDescent="0.45">
      <c r="B69" s="508" t="s">
        <v>486</v>
      </c>
      <c r="C69" s="508" t="s">
        <v>487</v>
      </c>
      <c r="D69" s="508" t="s">
        <v>488</v>
      </c>
      <c r="E69" s="508" t="s">
        <v>489</v>
      </c>
      <c r="F69" s="508" t="s">
        <v>490</v>
      </c>
      <c r="G69" s="508" t="s">
        <v>491</v>
      </c>
      <c r="H69" s="508" t="s">
        <v>492</v>
      </c>
      <c r="I69" s="508" t="s">
        <v>493</v>
      </c>
      <c r="J69" s="508" t="s">
        <v>494</v>
      </c>
      <c r="K69" s="508" t="s">
        <v>495</v>
      </c>
      <c r="L69" s="508" t="s">
        <v>496</v>
      </c>
      <c r="M69" s="508" t="s">
        <v>497</v>
      </c>
      <c r="N69" s="509" t="s">
        <v>14</v>
      </c>
    </row>
    <row r="70" spans="1:17" x14ac:dyDescent="0.3">
      <c r="A70" s="510" t="s">
        <v>498</v>
      </c>
      <c r="B70" s="506">
        <v>5</v>
      </c>
      <c r="C70" s="506">
        <v>5</v>
      </c>
      <c r="D70" s="506">
        <v>5</v>
      </c>
      <c r="E70" s="506">
        <v>5</v>
      </c>
      <c r="F70" s="506">
        <v>5</v>
      </c>
      <c r="G70" s="506">
        <v>3</v>
      </c>
      <c r="H70" s="506">
        <v>3</v>
      </c>
      <c r="I70" s="506">
        <v>3</v>
      </c>
      <c r="J70" s="506">
        <v>2</v>
      </c>
      <c r="K70" s="506">
        <v>4</v>
      </c>
      <c r="L70" s="506">
        <v>5</v>
      </c>
      <c r="M70" s="506">
        <v>5</v>
      </c>
      <c r="N70" s="506">
        <f>SUM(B70:M70)</f>
        <v>50</v>
      </c>
    </row>
    <row r="71" spans="1:17" ht="15.6" x14ac:dyDescent="0.45">
      <c r="A71" s="510" t="s">
        <v>366</v>
      </c>
      <c r="B71" s="512">
        <v>0</v>
      </c>
      <c r="C71" s="512">
        <v>0</v>
      </c>
      <c r="D71" s="512">
        <v>0</v>
      </c>
      <c r="E71" s="512">
        <v>0</v>
      </c>
      <c r="F71" s="512">
        <v>0</v>
      </c>
      <c r="G71" s="512">
        <v>2</v>
      </c>
      <c r="H71" s="512">
        <v>2</v>
      </c>
      <c r="I71" s="512">
        <v>2</v>
      </c>
      <c r="J71" s="512">
        <v>3</v>
      </c>
      <c r="K71" s="512">
        <v>1</v>
      </c>
      <c r="L71" s="512">
        <v>0</v>
      </c>
      <c r="M71" s="512">
        <v>0</v>
      </c>
      <c r="N71" s="512">
        <f>SUM(B71:M71)</f>
        <v>10</v>
      </c>
    </row>
    <row r="72" spans="1:17" x14ac:dyDescent="0.3">
      <c r="A72" s="513"/>
      <c r="B72" s="506">
        <f>SUM(B70:B71)</f>
        <v>5</v>
      </c>
      <c r="C72" s="506">
        <f t="shared" ref="C72:H72" si="17">SUM(C70:C71)</f>
        <v>5</v>
      </c>
      <c r="D72" s="506">
        <f t="shared" si="17"/>
        <v>5</v>
      </c>
      <c r="E72" s="506">
        <f t="shared" si="17"/>
        <v>5</v>
      </c>
      <c r="F72" s="506">
        <f t="shared" si="17"/>
        <v>5</v>
      </c>
      <c r="G72" s="506">
        <f t="shared" si="17"/>
        <v>5</v>
      </c>
      <c r="H72" s="506">
        <f t="shared" si="17"/>
        <v>5</v>
      </c>
      <c r="I72" s="506">
        <f>SUM(I70:I71)</f>
        <v>5</v>
      </c>
      <c r="J72" s="506">
        <f>SUM(J70:J71)</f>
        <v>5</v>
      </c>
      <c r="K72" s="506">
        <f t="shared" ref="K72:N72" si="18">SUM(K70:K71)</f>
        <v>5</v>
      </c>
      <c r="L72" s="506">
        <f t="shared" si="18"/>
        <v>5</v>
      </c>
      <c r="M72" s="506">
        <f t="shared" si="18"/>
        <v>5</v>
      </c>
      <c r="N72" s="506">
        <f t="shared" si="18"/>
        <v>60</v>
      </c>
    </row>
    <row r="73" spans="1:17" x14ac:dyDescent="0.3">
      <c r="A73" s="513"/>
      <c r="B73" s="506"/>
      <c r="C73" s="506"/>
      <c r="D73" s="506"/>
      <c r="E73" s="506"/>
      <c r="F73" s="506"/>
      <c r="G73" s="506"/>
      <c r="H73" s="506"/>
      <c r="I73" s="506"/>
      <c r="J73" s="506"/>
      <c r="K73" s="506"/>
      <c r="L73" s="506"/>
      <c r="M73" s="506"/>
    </row>
    <row r="74" spans="1:17" x14ac:dyDescent="0.3">
      <c r="A74" s="510" t="s">
        <v>498</v>
      </c>
      <c r="B74" s="506">
        <v>86700</v>
      </c>
      <c r="C74" s="506">
        <v>72500</v>
      </c>
      <c r="D74" s="506">
        <v>53200</v>
      </c>
      <c r="E74" s="506">
        <v>54200</v>
      </c>
      <c r="F74" s="506">
        <v>94400</v>
      </c>
      <c r="G74" s="506">
        <v>35900</v>
      </c>
      <c r="H74" s="506">
        <v>15700</v>
      </c>
      <c r="I74" s="506">
        <v>20100</v>
      </c>
      <c r="J74" s="506">
        <v>5100</v>
      </c>
      <c r="K74" s="506">
        <v>42400</v>
      </c>
      <c r="L74" s="506">
        <v>41200</v>
      </c>
      <c r="M74" s="506">
        <v>45500</v>
      </c>
      <c r="N74" s="506">
        <f>SUM(B74:M74)</f>
        <v>566900</v>
      </c>
    </row>
    <row r="75" spans="1:17" ht="15.6" x14ac:dyDescent="0.45">
      <c r="A75" s="510" t="s">
        <v>366</v>
      </c>
      <c r="B75" s="512">
        <v>0</v>
      </c>
      <c r="C75" s="512">
        <v>0</v>
      </c>
      <c r="D75" s="512">
        <v>0</v>
      </c>
      <c r="E75" s="512">
        <v>0</v>
      </c>
      <c r="F75" s="512">
        <v>0</v>
      </c>
      <c r="G75" s="512">
        <v>108000</v>
      </c>
      <c r="H75" s="512">
        <v>101600</v>
      </c>
      <c r="I75" s="512">
        <v>205400</v>
      </c>
      <c r="J75" s="512">
        <v>132600</v>
      </c>
      <c r="K75" s="512">
        <v>52900</v>
      </c>
      <c r="L75" s="512">
        <v>0</v>
      </c>
      <c r="M75" s="512">
        <v>0</v>
      </c>
      <c r="N75" s="512">
        <f>SUM(B75:M75)</f>
        <v>600500</v>
      </c>
    </row>
    <row r="76" spans="1:17" x14ac:dyDescent="0.3">
      <c r="B76" s="504">
        <f>SUM(B74:B75)</f>
        <v>86700</v>
      </c>
      <c r="C76" s="504">
        <f t="shared" ref="C76:N76" si="19">SUM(C74:C75)</f>
        <v>72500</v>
      </c>
      <c r="D76" s="504">
        <f t="shared" si="19"/>
        <v>53200</v>
      </c>
      <c r="E76" s="504">
        <f t="shared" si="19"/>
        <v>54200</v>
      </c>
      <c r="F76" s="504">
        <f t="shared" si="19"/>
        <v>94400</v>
      </c>
      <c r="G76" s="504">
        <f t="shared" si="19"/>
        <v>143900</v>
      </c>
      <c r="H76" s="504">
        <f t="shared" si="19"/>
        <v>117300</v>
      </c>
      <c r="I76" s="504">
        <f t="shared" si="19"/>
        <v>225500</v>
      </c>
      <c r="J76" s="504">
        <f t="shared" si="19"/>
        <v>137700</v>
      </c>
      <c r="K76" s="504">
        <f t="shared" si="19"/>
        <v>95300</v>
      </c>
      <c r="L76" s="504">
        <f t="shared" si="19"/>
        <v>41200</v>
      </c>
      <c r="M76" s="504">
        <f t="shared" si="19"/>
        <v>45500</v>
      </c>
      <c r="N76" s="506">
        <f t="shared" si="19"/>
        <v>1167400</v>
      </c>
    </row>
    <row r="79" spans="1:17" ht="16.2" x14ac:dyDescent="0.45">
      <c r="A79" s="632" t="s">
        <v>583</v>
      </c>
      <c r="B79" s="632"/>
    </row>
    <row r="80" spans="1:17" ht="15.6" x14ac:dyDescent="0.45">
      <c r="B80" s="508" t="s">
        <v>486</v>
      </c>
      <c r="C80" s="508" t="s">
        <v>487</v>
      </c>
      <c r="D80" s="508" t="s">
        <v>488</v>
      </c>
      <c r="E80" s="508" t="s">
        <v>489</v>
      </c>
      <c r="F80" s="508" t="s">
        <v>490</v>
      </c>
      <c r="G80" s="508" t="s">
        <v>491</v>
      </c>
      <c r="H80" s="508" t="s">
        <v>492</v>
      </c>
      <c r="I80" s="508" t="s">
        <v>493</v>
      </c>
      <c r="J80" s="508" t="s">
        <v>494</v>
      </c>
      <c r="K80" s="508" t="s">
        <v>495</v>
      </c>
      <c r="L80" s="508" t="s">
        <v>496</v>
      </c>
      <c r="M80" s="508" t="s">
        <v>497</v>
      </c>
      <c r="N80" s="509" t="s">
        <v>14</v>
      </c>
    </row>
    <row r="81" spans="1:17" x14ac:dyDescent="0.3">
      <c r="A81" s="510" t="s">
        <v>498</v>
      </c>
      <c r="B81" s="506">
        <f>1+4</f>
        <v>5</v>
      </c>
      <c r="C81" s="506">
        <f>1+6</f>
        <v>7</v>
      </c>
      <c r="D81" s="506">
        <v>6</v>
      </c>
      <c r="E81" s="506">
        <v>6</v>
      </c>
      <c r="F81" s="506">
        <v>5</v>
      </c>
      <c r="G81" s="506">
        <v>6</v>
      </c>
      <c r="H81" s="506">
        <v>5</v>
      </c>
      <c r="I81" s="506">
        <v>6</v>
      </c>
      <c r="J81" s="506">
        <v>5</v>
      </c>
      <c r="K81" s="506">
        <v>5</v>
      </c>
      <c r="L81" s="506">
        <v>6</v>
      </c>
      <c r="M81" s="506">
        <f>1+6</f>
        <v>7</v>
      </c>
      <c r="N81" s="506">
        <f>SUM(B81:M81)</f>
        <v>69</v>
      </c>
    </row>
    <row r="82" spans="1:17" ht="15.6" x14ac:dyDescent="0.45">
      <c r="A82" s="510" t="s">
        <v>366</v>
      </c>
      <c r="B82" s="512">
        <v>3</v>
      </c>
      <c r="C82" s="512">
        <v>1</v>
      </c>
      <c r="D82" s="512">
        <v>2</v>
      </c>
      <c r="E82" s="512">
        <v>2</v>
      </c>
      <c r="F82" s="512">
        <v>3</v>
      </c>
      <c r="G82" s="512">
        <v>2</v>
      </c>
      <c r="H82" s="512">
        <v>3</v>
      </c>
      <c r="I82" s="512">
        <v>2</v>
      </c>
      <c r="J82" s="512">
        <v>3</v>
      </c>
      <c r="K82" s="512">
        <v>3</v>
      </c>
      <c r="L82" s="512">
        <v>2</v>
      </c>
      <c r="M82" s="512">
        <v>1</v>
      </c>
      <c r="N82" s="512">
        <f>SUM(B82:M82)</f>
        <v>27</v>
      </c>
    </row>
    <row r="83" spans="1:17" x14ac:dyDescent="0.3">
      <c r="A83" s="513"/>
      <c r="B83" s="506">
        <f>SUM(B81:B82)</f>
        <v>8</v>
      </c>
      <c r="C83" s="506">
        <f t="shared" ref="C83:H83" si="20">SUM(C81:C82)</f>
        <v>8</v>
      </c>
      <c r="D83" s="506">
        <f t="shared" si="20"/>
        <v>8</v>
      </c>
      <c r="E83" s="506">
        <f t="shared" si="20"/>
        <v>8</v>
      </c>
      <c r="F83" s="506">
        <f t="shared" si="20"/>
        <v>8</v>
      </c>
      <c r="G83" s="506">
        <f t="shared" si="20"/>
        <v>8</v>
      </c>
      <c r="H83" s="506">
        <f t="shared" si="20"/>
        <v>8</v>
      </c>
      <c r="I83" s="506">
        <f>SUM(I81:I82)</f>
        <v>8</v>
      </c>
      <c r="J83" s="506">
        <f>SUM(J81:J82)</f>
        <v>8</v>
      </c>
      <c r="K83" s="506">
        <f t="shared" ref="K83:N83" si="21">SUM(K81:K82)</f>
        <v>8</v>
      </c>
      <c r="L83" s="506">
        <f t="shared" si="21"/>
        <v>8</v>
      </c>
      <c r="M83" s="506">
        <f t="shared" si="21"/>
        <v>8</v>
      </c>
      <c r="N83" s="506">
        <f t="shared" si="21"/>
        <v>96</v>
      </c>
    </row>
    <row r="84" spans="1:17" x14ac:dyDescent="0.3">
      <c r="A84" s="513"/>
      <c r="B84" s="506"/>
      <c r="C84" s="506"/>
      <c r="D84" s="506"/>
      <c r="E84" s="506"/>
      <c r="F84" s="506"/>
      <c r="G84" s="506"/>
      <c r="H84" s="506"/>
      <c r="I84" s="506"/>
      <c r="J84" s="506"/>
      <c r="K84" s="506"/>
      <c r="L84" s="506"/>
      <c r="M84" s="506"/>
    </row>
    <row r="85" spans="1:17" x14ac:dyDescent="0.3">
      <c r="A85" s="510" t="s">
        <v>498</v>
      </c>
      <c r="B85" s="506">
        <v>69200</v>
      </c>
      <c r="C85" s="506">
        <v>131900</v>
      </c>
      <c r="D85" s="506">
        <v>144200</v>
      </c>
      <c r="E85" s="506">
        <v>145300</v>
      </c>
      <c r="F85" s="506">
        <v>92700</v>
      </c>
      <c r="G85" s="506">
        <v>125500</v>
      </c>
      <c r="H85" s="506">
        <v>91800</v>
      </c>
      <c r="I85" s="506">
        <v>132700</v>
      </c>
      <c r="J85" s="506">
        <v>89500</v>
      </c>
      <c r="K85" s="506">
        <v>98900</v>
      </c>
      <c r="L85" s="506">
        <v>125100</v>
      </c>
      <c r="M85" s="506">
        <v>139400</v>
      </c>
      <c r="N85" s="506">
        <f>SUM(B85:M85)</f>
        <v>1386200</v>
      </c>
    </row>
    <row r="86" spans="1:17" ht="15.6" x14ac:dyDescent="0.45">
      <c r="A86" s="510" t="s">
        <v>366</v>
      </c>
      <c r="B86" s="512">
        <v>231100</v>
      </c>
      <c r="C86" s="512">
        <v>49800</v>
      </c>
      <c r="D86" s="512">
        <v>140400</v>
      </c>
      <c r="E86" s="512">
        <v>195400</v>
      </c>
      <c r="F86" s="512">
        <v>254800</v>
      </c>
      <c r="G86" s="512">
        <v>191500</v>
      </c>
      <c r="H86" s="512">
        <v>230300</v>
      </c>
      <c r="I86" s="512">
        <v>252500</v>
      </c>
      <c r="J86" s="512">
        <v>316200</v>
      </c>
      <c r="K86" s="512">
        <v>334800</v>
      </c>
      <c r="L86" s="512">
        <v>126200</v>
      </c>
      <c r="M86" s="512">
        <v>60800</v>
      </c>
      <c r="N86" s="512">
        <f>SUM(B86:M86)</f>
        <v>2383800</v>
      </c>
    </row>
    <row r="87" spans="1:17" x14ac:dyDescent="0.3">
      <c r="B87" s="504">
        <f>SUM(B85:B86)</f>
        <v>300300</v>
      </c>
      <c r="C87" s="504">
        <f t="shared" ref="C87:N87" si="22">SUM(C85:C86)</f>
        <v>181700</v>
      </c>
      <c r="D87" s="504">
        <f t="shared" si="22"/>
        <v>284600</v>
      </c>
      <c r="E87" s="504">
        <f t="shared" si="22"/>
        <v>340700</v>
      </c>
      <c r="F87" s="504">
        <f t="shared" si="22"/>
        <v>347500</v>
      </c>
      <c r="G87" s="504">
        <f t="shared" si="22"/>
        <v>317000</v>
      </c>
      <c r="H87" s="504">
        <f t="shared" si="22"/>
        <v>322100</v>
      </c>
      <c r="I87" s="504">
        <f t="shared" si="22"/>
        <v>385200</v>
      </c>
      <c r="J87" s="504">
        <f t="shared" si="22"/>
        <v>405700</v>
      </c>
      <c r="K87" s="504">
        <f t="shared" si="22"/>
        <v>433700</v>
      </c>
      <c r="L87" s="504">
        <f t="shared" si="22"/>
        <v>251300</v>
      </c>
      <c r="M87" s="506">
        <f t="shared" si="22"/>
        <v>200200</v>
      </c>
      <c r="N87" s="506">
        <f t="shared" si="22"/>
        <v>3770000</v>
      </c>
    </row>
    <row r="90" spans="1:17" ht="16.2" x14ac:dyDescent="0.45">
      <c r="A90" s="632" t="s">
        <v>584</v>
      </c>
      <c r="B90" s="632"/>
      <c r="P90" s="504">
        <f>N94+N105</f>
        <v>323</v>
      </c>
      <c r="Q90" s="504">
        <f>N98+N109</f>
        <v>20286000</v>
      </c>
    </row>
    <row r="91" spans="1:17" ht="15.6" x14ac:dyDescent="0.45">
      <c r="B91" s="508" t="s">
        <v>486</v>
      </c>
      <c r="C91" s="508" t="s">
        <v>487</v>
      </c>
      <c r="D91" s="508" t="s">
        <v>488</v>
      </c>
      <c r="E91" s="508" t="s">
        <v>489</v>
      </c>
      <c r="F91" s="508" t="s">
        <v>490</v>
      </c>
      <c r="G91" s="508" t="s">
        <v>491</v>
      </c>
      <c r="H91" s="508" t="s">
        <v>492</v>
      </c>
      <c r="I91" s="508" t="s">
        <v>493</v>
      </c>
      <c r="J91" s="508" t="s">
        <v>494</v>
      </c>
      <c r="K91" s="508" t="s">
        <v>495</v>
      </c>
      <c r="L91" s="508" t="s">
        <v>496</v>
      </c>
      <c r="M91" s="508" t="s">
        <v>497</v>
      </c>
      <c r="N91" s="509" t="s">
        <v>14</v>
      </c>
    </row>
    <row r="92" spans="1:17" x14ac:dyDescent="0.3">
      <c r="A92" s="510" t="s">
        <v>498</v>
      </c>
      <c r="B92" s="506">
        <v>1</v>
      </c>
      <c r="C92" s="506">
        <v>1</v>
      </c>
      <c r="D92" s="506">
        <v>1</v>
      </c>
      <c r="E92" s="506">
        <v>1</v>
      </c>
      <c r="F92" s="506">
        <v>1</v>
      </c>
      <c r="G92" s="506">
        <v>1</v>
      </c>
      <c r="H92" s="506">
        <v>1</v>
      </c>
      <c r="I92" s="506">
        <v>1</v>
      </c>
      <c r="J92" s="506">
        <v>1</v>
      </c>
      <c r="K92" s="506">
        <v>1</v>
      </c>
      <c r="L92" s="506">
        <v>1</v>
      </c>
      <c r="M92" s="506">
        <v>1</v>
      </c>
      <c r="N92" s="506">
        <f>SUM(B92:M92)</f>
        <v>12</v>
      </c>
    </row>
    <row r="93" spans="1:17" ht="15.6" x14ac:dyDescent="0.45">
      <c r="A93" s="510" t="s">
        <v>366</v>
      </c>
      <c r="B93" s="512">
        <v>0</v>
      </c>
      <c r="C93" s="512">
        <v>0</v>
      </c>
      <c r="D93" s="512">
        <v>0</v>
      </c>
      <c r="E93" s="512">
        <v>0</v>
      </c>
      <c r="F93" s="512">
        <v>0</v>
      </c>
      <c r="G93" s="512">
        <v>0</v>
      </c>
      <c r="H93" s="512">
        <v>0</v>
      </c>
      <c r="I93" s="512">
        <v>0</v>
      </c>
      <c r="J93" s="512">
        <v>0</v>
      </c>
      <c r="K93" s="512">
        <v>0</v>
      </c>
      <c r="L93" s="512">
        <v>0</v>
      </c>
      <c r="M93" s="512">
        <v>0</v>
      </c>
      <c r="N93" s="512">
        <f>SUM(B93:M93)</f>
        <v>0</v>
      </c>
    </row>
    <row r="94" spans="1:17" x14ac:dyDescent="0.3">
      <c r="A94" s="513"/>
      <c r="B94" s="506">
        <f>SUM(B92:B93)</f>
        <v>1</v>
      </c>
      <c r="C94" s="506">
        <f t="shared" ref="C94:H94" si="23">SUM(C92:C93)</f>
        <v>1</v>
      </c>
      <c r="D94" s="506">
        <f t="shared" si="23"/>
        <v>1</v>
      </c>
      <c r="E94" s="506">
        <f t="shared" si="23"/>
        <v>1</v>
      </c>
      <c r="F94" s="506">
        <f t="shared" si="23"/>
        <v>1</v>
      </c>
      <c r="G94" s="506">
        <f t="shared" si="23"/>
        <v>1</v>
      </c>
      <c r="H94" s="506">
        <f t="shared" si="23"/>
        <v>1</v>
      </c>
      <c r="I94" s="506">
        <f>SUM(I92:I93)</f>
        <v>1</v>
      </c>
      <c r="J94" s="506">
        <f>SUM(J92:J93)</f>
        <v>1</v>
      </c>
      <c r="K94" s="506">
        <f t="shared" ref="K94:N94" si="24">SUM(K92:K93)</f>
        <v>1</v>
      </c>
      <c r="L94" s="506">
        <f t="shared" si="24"/>
        <v>1</v>
      </c>
      <c r="M94" s="506">
        <f t="shared" si="24"/>
        <v>1</v>
      </c>
      <c r="N94" s="506">
        <f t="shared" si="24"/>
        <v>12</v>
      </c>
    </row>
    <row r="95" spans="1:17" x14ac:dyDescent="0.3">
      <c r="A95" s="513"/>
      <c r="B95" s="506"/>
      <c r="C95" s="506"/>
      <c r="D95" s="506"/>
      <c r="E95" s="506"/>
      <c r="F95" s="506"/>
      <c r="G95" s="506"/>
      <c r="H95" s="506"/>
      <c r="I95" s="506"/>
      <c r="J95" s="506"/>
      <c r="K95" s="506"/>
      <c r="L95" s="506"/>
      <c r="M95" s="506"/>
    </row>
    <row r="96" spans="1:17" x14ac:dyDescent="0.3">
      <c r="A96" s="510" t="s">
        <v>498</v>
      </c>
      <c r="B96" s="506">
        <v>4900</v>
      </c>
      <c r="C96" s="506">
        <v>5600</v>
      </c>
      <c r="D96" s="506">
        <v>5300</v>
      </c>
      <c r="E96" s="506">
        <v>3800</v>
      </c>
      <c r="F96" s="506">
        <v>10500</v>
      </c>
      <c r="G96" s="506">
        <v>65300</v>
      </c>
      <c r="H96" s="506">
        <v>14200</v>
      </c>
      <c r="I96" s="506">
        <v>27900</v>
      </c>
      <c r="J96" s="506">
        <v>49400</v>
      </c>
      <c r="K96" s="506">
        <v>10500</v>
      </c>
      <c r="L96" s="506">
        <v>3900</v>
      </c>
      <c r="M96" s="506">
        <v>9200</v>
      </c>
      <c r="N96" s="506">
        <f>SUM(B96:M96)</f>
        <v>210500</v>
      </c>
    </row>
    <row r="97" spans="1:17" ht="15.6" x14ac:dyDescent="0.45">
      <c r="A97" s="510" t="s">
        <v>366</v>
      </c>
      <c r="B97" s="512">
        <v>0</v>
      </c>
      <c r="C97" s="512">
        <v>0</v>
      </c>
      <c r="D97" s="512">
        <v>0</v>
      </c>
      <c r="E97" s="512">
        <v>0</v>
      </c>
      <c r="F97" s="512">
        <v>0</v>
      </c>
      <c r="G97" s="512">
        <v>0</v>
      </c>
      <c r="H97" s="512">
        <v>0</v>
      </c>
      <c r="I97" s="512">
        <v>0</v>
      </c>
      <c r="J97" s="512">
        <v>0</v>
      </c>
      <c r="K97" s="512">
        <v>0</v>
      </c>
      <c r="L97" s="512">
        <v>0</v>
      </c>
      <c r="M97" s="512">
        <v>0</v>
      </c>
      <c r="N97" s="512">
        <f>SUM(B97:M97)</f>
        <v>0</v>
      </c>
    </row>
    <row r="98" spans="1:17" x14ac:dyDescent="0.3">
      <c r="B98" s="506">
        <f>SUM(B96:B97)</f>
        <v>4900</v>
      </c>
      <c r="C98" s="506">
        <f t="shared" ref="C98:N98" si="25">SUM(C96:C97)</f>
        <v>5600</v>
      </c>
      <c r="D98" s="504">
        <f t="shared" si="25"/>
        <v>5300</v>
      </c>
      <c r="E98" s="504">
        <f t="shared" si="25"/>
        <v>3800</v>
      </c>
      <c r="F98" s="504">
        <f t="shared" si="25"/>
        <v>10500</v>
      </c>
      <c r="G98" s="504">
        <f t="shared" si="25"/>
        <v>65300</v>
      </c>
      <c r="H98" s="504">
        <f t="shared" si="25"/>
        <v>14200</v>
      </c>
      <c r="I98" s="504">
        <f t="shared" si="25"/>
        <v>27900</v>
      </c>
      <c r="J98" s="504">
        <f t="shared" si="25"/>
        <v>49400</v>
      </c>
      <c r="K98" s="504">
        <f t="shared" si="25"/>
        <v>10500</v>
      </c>
      <c r="L98" s="504">
        <f t="shared" si="25"/>
        <v>3900</v>
      </c>
      <c r="M98" s="504">
        <f t="shared" si="25"/>
        <v>9200</v>
      </c>
      <c r="N98" s="506">
        <f t="shared" si="25"/>
        <v>210500</v>
      </c>
    </row>
    <row r="101" spans="1:17" ht="16.2" x14ac:dyDescent="0.45">
      <c r="A101" s="632" t="s">
        <v>585</v>
      </c>
      <c r="B101" s="632"/>
    </row>
    <row r="102" spans="1:17" ht="15.6" x14ac:dyDescent="0.45">
      <c r="B102" s="508" t="s">
        <v>486</v>
      </c>
      <c r="C102" s="508" t="s">
        <v>487</v>
      </c>
      <c r="D102" s="508" t="s">
        <v>488</v>
      </c>
      <c r="E102" s="508" t="s">
        <v>489</v>
      </c>
      <c r="F102" s="508" t="s">
        <v>490</v>
      </c>
      <c r="G102" s="508" t="s">
        <v>491</v>
      </c>
      <c r="H102" s="508" t="s">
        <v>492</v>
      </c>
      <c r="I102" s="508" t="s">
        <v>493</v>
      </c>
      <c r="J102" s="508" t="s">
        <v>494</v>
      </c>
      <c r="K102" s="508" t="s">
        <v>495</v>
      </c>
      <c r="L102" s="508" t="s">
        <v>496</v>
      </c>
      <c r="M102" s="508" t="s">
        <v>497</v>
      </c>
      <c r="N102" s="509" t="s">
        <v>14</v>
      </c>
    </row>
    <row r="103" spans="1:17" x14ac:dyDescent="0.3">
      <c r="A103" s="510" t="s">
        <v>498</v>
      </c>
      <c r="B103" s="506">
        <f>9+12</f>
        <v>21</v>
      </c>
      <c r="C103" s="506">
        <f>8+13</f>
        <v>21</v>
      </c>
      <c r="D103" s="506">
        <f>8+14</f>
        <v>22</v>
      </c>
      <c r="E103" s="506">
        <f>8+13</f>
        <v>21</v>
      </c>
      <c r="F103" s="506">
        <f>6+12</f>
        <v>18</v>
      </c>
      <c r="G103" s="506">
        <f>4+11</f>
        <v>15</v>
      </c>
      <c r="H103" s="506">
        <f>4+12</f>
        <v>16</v>
      </c>
      <c r="I103" s="506">
        <f>4+14</f>
        <v>18</v>
      </c>
      <c r="J103" s="506">
        <f>2+16</f>
        <v>18</v>
      </c>
      <c r="K103" s="506">
        <f>2+15</f>
        <v>17</v>
      </c>
      <c r="L103" s="506">
        <f>4+17</f>
        <v>21</v>
      </c>
      <c r="M103" s="506">
        <f>5+20</f>
        <v>25</v>
      </c>
      <c r="N103" s="506">
        <f>SUM(B103:M103)</f>
        <v>233</v>
      </c>
    </row>
    <row r="104" spans="1:17" ht="15.6" x14ac:dyDescent="0.45">
      <c r="A104" s="510" t="s">
        <v>366</v>
      </c>
      <c r="B104" s="512">
        <v>3</v>
      </c>
      <c r="C104" s="512">
        <v>3</v>
      </c>
      <c r="D104" s="512">
        <v>4</v>
      </c>
      <c r="E104" s="512">
        <v>5</v>
      </c>
      <c r="F104" s="512">
        <v>8</v>
      </c>
      <c r="G104" s="512">
        <v>11</v>
      </c>
      <c r="H104" s="512">
        <v>10</v>
      </c>
      <c r="I104" s="512">
        <v>8</v>
      </c>
      <c r="J104" s="512">
        <v>8</v>
      </c>
      <c r="K104" s="512">
        <v>9</v>
      </c>
      <c r="L104" s="512">
        <v>5</v>
      </c>
      <c r="M104" s="512">
        <v>4</v>
      </c>
      <c r="N104" s="512">
        <f>SUM(B104:M104)</f>
        <v>78</v>
      </c>
    </row>
    <row r="105" spans="1:17" x14ac:dyDescent="0.3">
      <c r="A105" s="513"/>
      <c r="B105" s="506">
        <f>SUM(B103:B104)</f>
        <v>24</v>
      </c>
      <c r="C105" s="506">
        <f t="shared" ref="C105:H105" si="26">SUM(C103:C104)</f>
        <v>24</v>
      </c>
      <c r="D105" s="506">
        <f t="shared" si="26"/>
        <v>26</v>
      </c>
      <c r="E105" s="506">
        <f t="shared" si="26"/>
        <v>26</v>
      </c>
      <c r="F105" s="506">
        <f t="shared" si="26"/>
        <v>26</v>
      </c>
      <c r="G105" s="506">
        <f t="shared" si="26"/>
        <v>26</v>
      </c>
      <c r="H105" s="506">
        <f t="shared" si="26"/>
        <v>26</v>
      </c>
      <c r="I105" s="506">
        <f>SUM(I103:I104)</f>
        <v>26</v>
      </c>
      <c r="J105" s="506">
        <f>SUM(J103:J104)</f>
        <v>26</v>
      </c>
      <c r="K105" s="506">
        <f t="shared" ref="K105:N105" si="27">SUM(K103:K104)</f>
        <v>26</v>
      </c>
      <c r="L105" s="506">
        <f t="shared" si="27"/>
        <v>26</v>
      </c>
      <c r="M105" s="506">
        <f t="shared" si="27"/>
        <v>29</v>
      </c>
      <c r="N105" s="506">
        <f t="shared" si="27"/>
        <v>311</v>
      </c>
    </row>
    <row r="106" spans="1:17" x14ac:dyDescent="0.3">
      <c r="A106" s="513"/>
      <c r="B106" s="506"/>
      <c r="C106" s="506"/>
      <c r="D106" s="506"/>
      <c r="E106" s="506"/>
      <c r="F106" s="506"/>
      <c r="G106" s="506"/>
      <c r="H106" s="506"/>
      <c r="I106" s="506"/>
      <c r="J106" s="506"/>
      <c r="K106" s="506"/>
      <c r="L106" s="506"/>
      <c r="M106" s="506"/>
    </row>
    <row r="107" spans="1:17" x14ac:dyDescent="0.3">
      <c r="A107" s="510" t="s">
        <v>498</v>
      </c>
      <c r="B107" s="506">
        <v>143200</v>
      </c>
      <c r="C107" s="506">
        <v>155400</v>
      </c>
      <c r="D107" s="506">
        <v>199500</v>
      </c>
      <c r="E107" s="506">
        <v>167300</v>
      </c>
      <c r="F107" s="506">
        <v>192300</v>
      </c>
      <c r="G107" s="506">
        <v>100300</v>
      </c>
      <c r="H107" s="506">
        <v>120700</v>
      </c>
      <c r="I107" s="506">
        <v>192400</v>
      </c>
      <c r="J107" s="506">
        <v>242100</v>
      </c>
      <c r="K107" s="506">
        <v>144700</v>
      </c>
      <c r="L107" s="506">
        <v>141500</v>
      </c>
      <c r="M107" s="506">
        <v>163700</v>
      </c>
      <c r="N107" s="506">
        <f>SUM(B107:M107)</f>
        <v>1963100</v>
      </c>
    </row>
    <row r="108" spans="1:17" ht="15.6" x14ac:dyDescent="0.45">
      <c r="A108" s="510" t="s">
        <v>366</v>
      </c>
      <c r="B108" s="512">
        <v>856000</v>
      </c>
      <c r="C108" s="512">
        <v>724400</v>
      </c>
      <c r="D108" s="512">
        <v>1174500</v>
      </c>
      <c r="E108" s="512">
        <v>840200</v>
      </c>
      <c r="F108" s="512">
        <v>2928500</v>
      </c>
      <c r="G108" s="512">
        <v>3027700</v>
      </c>
      <c r="H108" s="512">
        <v>1885400</v>
      </c>
      <c r="I108" s="512">
        <v>2202200</v>
      </c>
      <c r="J108" s="512">
        <v>1612300</v>
      </c>
      <c r="K108" s="512">
        <v>1193300</v>
      </c>
      <c r="L108" s="512">
        <v>1216000</v>
      </c>
      <c r="M108" s="512">
        <v>451900</v>
      </c>
      <c r="N108" s="512">
        <f>SUM(B108:M108)</f>
        <v>18112400</v>
      </c>
    </row>
    <row r="109" spans="1:17" x14ac:dyDescent="0.3">
      <c r="B109" s="504">
        <f>SUM(B107:B108)</f>
        <v>999200</v>
      </c>
      <c r="C109" s="504">
        <f t="shared" ref="C109:N109" si="28">SUM(C107:C108)</f>
        <v>879800</v>
      </c>
      <c r="D109" s="504">
        <f t="shared" si="28"/>
        <v>1374000</v>
      </c>
      <c r="E109" s="504">
        <f t="shared" si="28"/>
        <v>1007500</v>
      </c>
      <c r="F109" s="504">
        <f t="shared" si="28"/>
        <v>3120800</v>
      </c>
      <c r="G109" s="504">
        <f t="shared" si="28"/>
        <v>3128000</v>
      </c>
      <c r="H109" s="504">
        <f t="shared" si="28"/>
        <v>2006100</v>
      </c>
      <c r="I109" s="504">
        <f t="shared" si="28"/>
        <v>2394600</v>
      </c>
      <c r="J109" s="504">
        <f t="shared" si="28"/>
        <v>1854400</v>
      </c>
      <c r="K109" s="504">
        <f t="shared" si="28"/>
        <v>1338000</v>
      </c>
      <c r="L109" s="504">
        <f t="shared" si="28"/>
        <v>1357500</v>
      </c>
      <c r="M109" s="504">
        <f t="shared" si="28"/>
        <v>615600</v>
      </c>
      <c r="N109" s="506">
        <f t="shared" si="28"/>
        <v>20075500</v>
      </c>
    </row>
    <row r="112" spans="1:17" ht="16.2" x14ac:dyDescent="0.45">
      <c r="A112" s="632" t="s">
        <v>586</v>
      </c>
      <c r="B112" s="632"/>
      <c r="P112" s="504">
        <f>N116+N127+N138+N149</f>
        <v>375</v>
      </c>
      <c r="Q112" s="504">
        <f>N120+N131+N142+N153</f>
        <v>272753300</v>
      </c>
    </row>
    <row r="113" spans="1:14" ht="15.6" x14ac:dyDescent="0.45">
      <c r="B113" s="508" t="s">
        <v>486</v>
      </c>
      <c r="C113" s="508" t="s">
        <v>487</v>
      </c>
      <c r="D113" s="508" t="s">
        <v>488</v>
      </c>
      <c r="E113" s="508" t="s">
        <v>489</v>
      </c>
      <c r="F113" s="508" t="s">
        <v>490</v>
      </c>
      <c r="G113" s="508" t="s">
        <v>491</v>
      </c>
      <c r="H113" s="508" t="s">
        <v>492</v>
      </c>
      <c r="I113" s="508" t="s">
        <v>493</v>
      </c>
      <c r="J113" s="508" t="s">
        <v>494</v>
      </c>
      <c r="K113" s="508" t="s">
        <v>495</v>
      </c>
      <c r="L113" s="508" t="s">
        <v>496</v>
      </c>
      <c r="M113" s="508" t="s">
        <v>497</v>
      </c>
      <c r="N113" s="509" t="s">
        <v>14</v>
      </c>
    </row>
    <row r="114" spans="1:14" x14ac:dyDescent="0.3">
      <c r="A114" s="510" t="s">
        <v>498</v>
      </c>
      <c r="B114" s="506">
        <v>1</v>
      </c>
      <c r="C114" s="506">
        <v>1</v>
      </c>
      <c r="D114" s="506">
        <v>1</v>
      </c>
      <c r="E114" s="506">
        <v>1</v>
      </c>
      <c r="F114" s="506">
        <v>1</v>
      </c>
      <c r="G114" s="506">
        <v>1</v>
      </c>
      <c r="H114" s="506">
        <v>1</v>
      </c>
      <c r="I114" s="506">
        <v>1</v>
      </c>
      <c r="J114" s="506">
        <v>1</v>
      </c>
      <c r="K114" s="506">
        <v>1</v>
      </c>
      <c r="L114" s="506">
        <v>1</v>
      </c>
      <c r="M114" s="506">
        <v>1</v>
      </c>
      <c r="N114" s="506">
        <f>SUM(B114:M114)</f>
        <v>12</v>
      </c>
    </row>
    <row r="115" spans="1:14" ht="15.6" x14ac:dyDescent="0.45">
      <c r="A115" s="510" t="s">
        <v>366</v>
      </c>
      <c r="B115" s="512">
        <v>0</v>
      </c>
      <c r="C115" s="512">
        <v>0</v>
      </c>
      <c r="D115" s="512">
        <v>0</v>
      </c>
      <c r="E115" s="512">
        <v>0</v>
      </c>
      <c r="F115" s="512">
        <v>0</v>
      </c>
      <c r="G115" s="512">
        <v>0</v>
      </c>
      <c r="H115" s="512">
        <v>0</v>
      </c>
      <c r="I115" s="512">
        <v>0</v>
      </c>
      <c r="J115" s="512">
        <v>0</v>
      </c>
      <c r="K115" s="512">
        <v>0</v>
      </c>
      <c r="L115" s="512">
        <v>0</v>
      </c>
      <c r="M115" s="512">
        <v>0</v>
      </c>
      <c r="N115" s="512">
        <f>SUM(B115:M115)</f>
        <v>0</v>
      </c>
    </row>
    <row r="116" spans="1:14" x14ac:dyDescent="0.3">
      <c r="A116" s="513"/>
      <c r="B116" s="506">
        <f>SUM(B114:B115)</f>
        <v>1</v>
      </c>
      <c r="C116" s="506">
        <f t="shared" ref="C116:H116" si="29">SUM(C114:C115)</f>
        <v>1</v>
      </c>
      <c r="D116" s="506">
        <f t="shared" si="29"/>
        <v>1</v>
      </c>
      <c r="E116" s="506">
        <f t="shared" si="29"/>
        <v>1</v>
      </c>
      <c r="F116" s="506">
        <f t="shared" si="29"/>
        <v>1</v>
      </c>
      <c r="G116" s="506">
        <f t="shared" si="29"/>
        <v>1</v>
      </c>
      <c r="H116" s="506">
        <f t="shared" si="29"/>
        <v>1</v>
      </c>
      <c r="I116" s="506">
        <f>SUM(I114:I115)</f>
        <v>1</v>
      </c>
      <c r="J116" s="506">
        <f>SUM(J114:J115)</f>
        <v>1</v>
      </c>
      <c r="K116" s="506">
        <f t="shared" ref="K116:N116" si="30">SUM(K114:K115)</f>
        <v>1</v>
      </c>
      <c r="L116" s="506">
        <f t="shared" si="30"/>
        <v>1</v>
      </c>
      <c r="M116" s="506">
        <f t="shared" si="30"/>
        <v>1</v>
      </c>
      <c r="N116" s="506">
        <f t="shared" si="30"/>
        <v>12</v>
      </c>
    </row>
    <row r="117" spans="1:14" x14ac:dyDescent="0.3">
      <c r="A117" s="513"/>
      <c r="B117" s="506"/>
      <c r="C117" s="506"/>
      <c r="D117" s="506"/>
      <c r="E117" s="506"/>
      <c r="F117" s="506"/>
      <c r="G117" s="506"/>
      <c r="H117" s="506"/>
      <c r="I117" s="506"/>
      <c r="J117" s="506"/>
      <c r="K117" s="506"/>
      <c r="L117" s="506"/>
      <c r="M117" s="506"/>
    </row>
    <row r="118" spans="1:14" x14ac:dyDescent="0.3">
      <c r="A118" s="510" t="s">
        <v>498</v>
      </c>
      <c r="B118" s="506">
        <v>22700</v>
      </c>
      <c r="C118" s="506">
        <v>14300</v>
      </c>
      <c r="D118" s="506">
        <v>16700</v>
      </c>
      <c r="E118" s="506">
        <v>17500</v>
      </c>
      <c r="F118" s="506">
        <v>23300</v>
      </c>
      <c r="G118" s="506">
        <v>22900</v>
      </c>
      <c r="H118" s="506">
        <v>18400</v>
      </c>
      <c r="I118" s="506">
        <v>14300</v>
      </c>
      <c r="J118" s="506">
        <v>12700</v>
      </c>
      <c r="K118" s="506">
        <v>17700</v>
      </c>
      <c r="L118" s="506">
        <v>15600</v>
      </c>
      <c r="M118" s="506">
        <v>15600</v>
      </c>
      <c r="N118" s="506">
        <f>SUM(B118:M118)</f>
        <v>211700</v>
      </c>
    </row>
    <row r="119" spans="1:14" ht="15.6" x14ac:dyDescent="0.45">
      <c r="A119" s="510" t="s">
        <v>366</v>
      </c>
      <c r="B119" s="512">
        <v>0</v>
      </c>
      <c r="C119" s="512">
        <v>0</v>
      </c>
      <c r="D119" s="512">
        <v>0</v>
      </c>
      <c r="E119" s="512">
        <v>0</v>
      </c>
      <c r="F119" s="512">
        <v>0</v>
      </c>
      <c r="G119" s="512">
        <v>0</v>
      </c>
      <c r="H119" s="512">
        <v>0</v>
      </c>
      <c r="I119" s="512">
        <v>0</v>
      </c>
      <c r="J119" s="512">
        <v>0</v>
      </c>
      <c r="K119" s="512">
        <v>0</v>
      </c>
      <c r="L119" s="512">
        <v>0</v>
      </c>
      <c r="M119" s="512">
        <v>0</v>
      </c>
      <c r="N119" s="512">
        <f>SUM(B119:M119)</f>
        <v>0</v>
      </c>
    </row>
    <row r="120" spans="1:14" x14ac:dyDescent="0.3">
      <c r="B120" s="504">
        <f>SUM(B118:B119)</f>
        <v>22700</v>
      </c>
      <c r="C120" s="504">
        <f t="shared" ref="C120:N120" si="31">SUM(C118:C119)</f>
        <v>14300</v>
      </c>
      <c r="D120" s="504">
        <f t="shared" si="31"/>
        <v>16700</v>
      </c>
      <c r="E120" s="504">
        <f t="shared" si="31"/>
        <v>17500</v>
      </c>
      <c r="F120" s="504">
        <f t="shared" si="31"/>
        <v>23300</v>
      </c>
      <c r="G120" s="504">
        <f t="shared" si="31"/>
        <v>22900</v>
      </c>
      <c r="H120" s="504">
        <f t="shared" si="31"/>
        <v>18400</v>
      </c>
      <c r="I120" s="504">
        <f t="shared" si="31"/>
        <v>14300</v>
      </c>
      <c r="J120" s="504">
        <f t="shared" si="31"/>
        <v>12700</v>
      </c>
      <c r="K120" s="504">
        <f t="shared" si="31"/>
        <v>17700</v>
      </c>
      <c r="L120" s="504">
        <f t="shared" si="31"/>
        <v>15600</v>
      </c>
      <c r="M120" s="504">
        <f t="shared" si="31"/>
        <v>15600</v>
      </c>
      <c r="N120" s="506">
        <f t="shared" si="31"/>
        <v>211700</v>
      </c>
    </row>
    <row r="123" spans="1:14" ht="16.2" x14ac:dyDescent="0.45">
      <c r="A123" s="632" t="s">
        <v>587</v>
      </c>
      <c r="B123" s="632"/>
    </row>
    <row r="124" spans="1:14" ht="15.6" x14ac:dyDescent="0.45">
      <c r="B124" s="508" t="s">
        <v>486</v>
      </c>
      <c r="C124" s="508" t="s">
        <v>487</v>
      </c>
      <c r="D124" s="508" t="s">
        <v>488</v>
      </c>
      <c r="E124" s="508" t="s">
        <v>489</v>
      </c>
      <c r="F124" s="508" t="s">
        <v>490</v>
      </c>
      <c r="G124" s="508" t="s">
        <v>491</v>
      </c>
      <c r="H124" s="508" t="s">
        <v>492</v>
      </c>
      <c r="I124" s="508" t="s">
        <v>493</v>
      </c>
      <c r="J124" s="508" t="s">
        <v>494</v>
      </c>
      <c r="K124" s="508" t="s">
        <v>495</v>
      </c>
      <c r="L124" s="508" t="s">
        <v>496</v>
      </c>
      <c r="M124" s="508" t="s">
        <v>497</v>
      </c>
      <c r="N124" s="509" t="s">
        <v>14</v>
      </c>
    </row>
    <row r="125" spans="1:14" x14ac:dyDescent="0.3">
      <c r="A125" s="510" t="s">
        <v>498</v>
      </c>
      <c r="B125" s="506">
        <f>4+12</f>
        <v>16</v>
      </c>
      <c r="C125" s="506">
        <f>3+11</f>
        <v>14</v>
      </c>
      <c r="D125" s="506">
        <f>3+9</f>
        <v>12</v>
      </c>
      <c r="E125" s="506">
        <f>4+9</f>
        <v>13</v>
      </c>
      <c r="F125" s="506">
        <f>3+11</f>
        <v>14</v>
      </c>
      <c r="G125" s="506">
        <f>5+10</f>
        <v>15</v>
      </c>
      <c r="H125" s="506">
        <f>3+11</f>
        <v>14</v>
      </c>
      <c r="I125" s="506">
        <f>4+9</f>
        <v>13</v>
      </c>
      <c r="J125" s="506">
        <f>4+11</f>
        <v>15</v>
      </c>
      <c r="K125" s="506">
        <f>4+11</f>
        <v>15</v>
      </c>
      <c r="L125" s="506">
        <f>4+13</f>
        <v>17</v>
      </c>
      <c r="M125" s="506">
        <f>4+13</f>
        <v>17</v>
      </c>
      <c r="N125" s="506">
        <f>SUM(B125:M125)</f>
        <v>175</v>
      </c>
    </row>
    <row r="126" spans="1:14" ht="15.6" x14ac:dyDescent="0.45">
      <c r="A126" s="510" t="s">
        <v>366</v>
      </c>
      <c r="B126" s="512">
        <v>12</v>
      </c>
      <c r="C126" s="512">
        <v>14</v>
      </c>
      <c r="D126" s="512">
        <v>15</v>
      </c>
      <c r="E126" s="512">
        <v>13</v>
      </c>
      <c r="F126" s="512">
        <v>13</v>
      </c>
      <c r="G126" s="512">
        <v>14</v>
      </c>
      <c r="H126" s="512">
        <v>15</v>
      </c>
      <c r="I126" s="512">
        <v>16</v>
      </c>
      <c r="J126" s="512">
        <v>14</v>
      </c>
      <c r="K126" s="512">
        <v>14</v>
      </c>
      <c r="L126" s="512">
        <v>12</v>
      </c>
      <c r="M126" s="512">
        <v>12</v>
      </c>
      <c r="N126" s="512">
        <f>SUM(B126:M126)</f>
        <v>164</v>
      </c>
    </row>
    <row r="127" spans="1:14" x14ac:dyDescent="0.3">
      <c r="A127" s="513"/>
      <c r="B127" s="506">
        <f>SUM(B125:B126)</f>
        <v>28</v>
      </c>
      <c r="C127" s="506">
        <f t="shared" ref="C127:H127" si="32">SUM(C125:C126)</f>
        <v>28</v>
      </c>
      <c r="D127" s="506">
        <f t="shared" si="32"/>
        <v>27</v>
      </c>
      <c r="E127" s="506">
        <f t="shared" si="32"/>
        <v>26</v>
      </c>
      <c r="F127" s="506">
        <f t="shared" si="32"/>
        <v>27</v>
      </c>
      <c r="G127" s="506">
        <f t="shared" si="32"/>
        <v>29</v>
      </c>
      <c r="H127" s="506">
        <f t="shared" si="32"/>
        <v>29</v>
      </c>
      <c r="I127" s="506">
        <f>SUM(I125:I126)</f>
        <v>29</v>
      </c>
      <c r="J127" s="506">
        <f>SUM(J125:J126)</f>
        <v>29</v>
      </c>
      <c r="K127" s="506">
        <f t="shared" ref="K127:N127" si="33">SUM(K125:K126)</f>
        <v>29</v>
      </c>
      <c r="L127" s="506">
        <f t="shared" si="33"/>
        <v>29</v>
      </c>
      <c r="M127" s="506">
        <f t="shared" si="33"/>
        <v>29</v>
      </c>
      <c r="N127" s="506">
        <f t="shared" si="33"/>
        <v>339</v>
      </c>
    </row>
    <row r="128" spans="1:14" x14ac:dyDescent="0.3">
      <c r="A128" s="513"/>
      <c r="B128" s="506"/>
      <c r="C128" s="506"/>
      <c r="D128" s="506"/>
      <c r="E128" s="506"/>
      <c r="F128" s="506"/>
      <c r="G128" s="506"/>
      <c r="H128" s="506"/>
      <c r="I128" s="506"/>
      <c r="J128" s="506"/>
      <c r="K128" s="506"/>
      <c r="L128" s="506"/>
      <c r="M128" s="506"/>
    </row>
    <row r="129" spans="1:14" x14ac:dyDescent="0.3">
      <c r="A129" s="510" t="s">
        <v>498</v>
      </c>
      <c r="B129" s="506">
        <v>161300</v>
      </c>
      <c r="C129" s="506">
        <v>114800</v>
      </c>
      <c r="D129" s="506">
        <v>93500</v>
      </c>
      <c r="E129" s="506">
        <v>137800</v>
      </c>
      <c r="F129" s="506">
        <v>175700</v>
      </c>
      <c r="G129" s="506">
        <v>142300</v>
      </c>
      <c r="H129" s="506">
        <v>134500</v>
      </c>
      <c r="I129" s="506">
        <v>107900</v>
      </c>
      <c r="J129" s="506">
        <v>177100</v>
      </c>
      <c r="K129" s="506">
        <v>199700</v>
      </c>
      <c r="L129" s="506">
        <v>186000</v>
      </c>
      <c r="M129" s="506">
        <v>151800</v>
      </c>
      <c r="N129" s="506">
        <f>SUM(B129:M129)</f>
        <v>1782400</v>
      </c>
    </row>
    <row r="130" spans="1:14" ht="15.6" x14ac:dyDescent="0.45">
      <c r="A130" s="510" t="s">
        <v>366</v>
      </c>
      <c r="B130" s="512">
        <v>6660500</v>
      </c>
      <c r="C130" s="512">
        <v>7020000</v>
      </c>
      <c r="D130" s="512">
        <v>8353700</v>
      </c>
      <c r="E130" s="512">
        <v>7911900</v>
      </c>
      <c r="F130" s="512">
        <v>8654600</v>
      </c>
      <c r="G130" s="512">
        <v>9508400</v>
      </c>
      <c r="H130" s="512">
        <v>9263400</v>
      </c>
      <c r="I130" s="512">
        <v>11649700</v>
      </c>
      <c r="J130" s="512">
        <v>9507500</v>
      </c>
      <c r="K130" s="512">
        <v>8526600</v>
      </c>
      <c r="L130" s="512">
        <v>6721700</v>
      </c>
      <c r="M130" s="512">
        <v>5981300</v>
      </c>
      <c r="N130" s="512">
        <f>SUM(B130:M130)</f>
        <v>99759300</v>
      </c>
    </row>
    <row r="131" spans="1:14" x14ac:dyDescent="0.3">
      <c r="B131" s="504">
        <f>SUM(B129:B130)</f>
        <v>6821800</v>
      </c>
      <c r="C131" s="504">
        <f t="shared" ref="C131:N131" si="34">SUM(C129:C130)</f>
        <v>7134800</v>
      </c>
      <c r="D131" s="504">
        <f t="shared" si="34"/>
        <v>8447200</v>
      </c>
      <c r="E131" s="504">
        <f t="shared" si="34"/>
        <v>8049700</v>
      </c>
      <c r="F131" s="504">
        <f t="shared" si="34"/>
        <v>8830300</v>
      </c>
      <c r="G131" s="504">
        <f t="shared" si="34"/>
        <v>9650700</v>
      </c>
      <c r="H131" s="504">
        <f t="shared" si="34"/>
        <v>9397900</v>
      </c>
      <c r="I131" s="504">
        <f t="shared" si="34"/>
        <v>11757600</v>
      </c>
      <c r="J131" s="504">
        <f t="shared" si="34"/>
        <v>9684600</v>
      </c>
      <c r="K131" s="504">
        <f t="shared" si="34"/>
        <v>8726300</v>
      </c>
      <c r="L131" s="504">
        <f t="shared" si="34"/>
        <v>6907700</v>
      </c>
      <c r="M131" s="504">
        <f t="shared" si="34"/>
        <v>6133100</v>
      </c>
      <c r="N131" s="506">
        <f t="shared" si="34"/>
        <v>101541700</v>
      </c>
    </row>
    <row r="134" spans="1:14" ht="16.2" x14ac:dyDescent="0.45">
      <c r="A134" s="632" t="s">
        <v>588</v>
      </c>
      <c r="B134" s="632"/>
    </row>
    <row r="135" spans="1:14" ht="15.6" x14ac:dyDescent="0.45">
      <c r="B135" s="508" t="s">
        <v>486</v>
      </c>
      <c r="C135" s="508" t="s">
        <v>487</v>
      </c>
      <c r="D135" s="508" t="s">
        <v>488</v>
      </c>
      <c r="E135" s="508" t="s">
        <v>489</v>
      </c>
      <c r="F135" s="508" t="s">
        <v>490</v>
      </c>
      <c r="G135" s="508" t="s">
        <v>491</v>
      </c>
      <c r="H135" s="508" t="s">
        <v>492</v>
      </c>
      <c r="I135" s="508" t="s">
        <v>493</v>
      </c>
      <c r="J135" s="508" t="s">
        <v>494</v>
      </c>
      <c r="K135" s="508" t="s">
        <v>495</v>
      </c>
      <c r="L135" s="508" t="s">
        <v>496</v>
      </c>
      <c r="M135" s="508" t="s">
        <v>497</v>
      </c>
      <c r="N135" s="509" t="s">
        <v>14</v>
      </c>
    </row>
    <row r="136" spans="1:14" x14ac:dyDescent="0.3">
      <c r="A136" s="510" t="s">
        <v>498</v>
      </c>
      <c r="B136" s="506">
        <v>1</v>
      </c>
      <c r="C136" s="506">
        <v>1</v>
      </c>
      <c r="D136" s="506">
        <v>1</v>
      </c>
      <c r="E136" s="506">
        <v>1</v>
      </c>
      <c r="F136" s="506">
        <v>1</v>
      </c>
      <c r="G136" s="506">
        <v>0</v>
      </c>
      <c r="H136" s="506">
        <v>0</v>
      </c>
      <c r="I136" s="506">
        <v>0</v>
      </c>
      <c r="J136" s="506">
        <v>1</v>
      </c>
      <c r="K136" s="506">
        <v>0</v>
      </c>
      <c r="L136" s="506">
        <v>1</v>
      </c>
      <c r="M136" s="506">
        <v>1</v>
      </c>
      <c r="N136" s="506">
        <f>SUM(B136:M136)</f>
        <v>8</v>
      </c>
    </row>
    <row r="137" spans="1:14" ht="15.6" x14ac:dyDescent="0.45">
      <c r="A137" s="510" t="s">
        <v>366</v>
      </c>
      <c r="B137" s="512">
        <v>0</v>
      </c>
      <c r="C137" s="512">
        <v>0</v>
      </c>
      <c r="D137" s="512">
        <v>0</v>
      </c>
      <c r="E137" s="512">
        <v>0</v>
      </c>
      <c r="F137" s="512">
        <v>0</v>
      </c>
      <c r="G137" s="512">
        <v>1</v>
      </c>
      <c r="H137" s="512">
        <v>1</v>
      </c>
      <c r="I137" s="512">
        <v>1</v>
      </c>
      <c r="J137" s="512">
        <v>0</v>
      </c>
      <c r="K137" s="512">
        <v>1</v>
      </c>
      <c r="L137" s="512">
        <v>0</v>
      </c>
      <c r="M137" s="512">
        <v>0</v>
      </c>
      <c r="N137" s="512">
        <f>SUM(B137:M137)</f>
        <v>4</v>
      </c>
    </row>
    <row r="138" spans="1:14" x14ac:dyDescent="0.3">
      <c r="A138" s="513"/>
      <c r="B138" s="506">
        <f>SUM(B136:B137)</f>
        <v>1</v>
      </c>
      <c r="C138" s="506">
        <f t="shared" ref="C138:H138" si="35">SUM(C136:C137)</f>
        <v>1</v>
      </c>
      <c r="D138" s="506">
        <f t="shared" si="35"/>
        <v>1</v>
      </c>
      <c r="E138" s="506">
        <f t="shared" si="35"/>
        <v>1</v>
      </c>
      <c r="F138" s="506">
        <f t="shared" si="35"/>
        <v>1</v>
      </c>
      <c r="G138" s="506">
        <f t="shared" si="35"/>
        <v>1</v>
      </c>
      <c r="H138" s="506">
        <f t="shared" si="35"/>
        <v>1</v>
      </c>
      <c r="I138" s="506">
        <f>SUM(I136:I137)</f>
        <v>1</v>
      </c>
      <c r="J138" s="506">
        <f>SUM(J136:J137)</f>
        <v>1</v>
      </c>
      <c r="K138" s="506">
        <f t="shared" ref="K138:N138" si="36">SUM(K136:K137)</f>
        <v>1</v>
      </c>
      <c r="L138" s="506">
        <f t="shared" si="36"/>
        <v>1</v>
      </c>
      <c r="M138" s="506">
        <f t="shared" si="36"/>
        <v>1</v>
      </c>
      <c r="N138" s="506">
        <f t="shared" si="36"/>
        <v>12</v>
      </c>
    </row>
    <row r="139" spans="1:14" x14ac:dyDescent="0.3">
      <c r="A139" s="513"/>
      <c r="B139" s="506"/>
      <c r="C139" s="506"/>
      <c r="D139" s="506"/>
      <c r="E139" s="506"/>
      <c r="F139" s="506"/>
      <c r="G139" s="506"/>
      <c r="H139" s="506"/>
      <c r="I139" s="506"/>
      <c r="J139" s="506"/>
      <c r="K139" s="506"/>
      <c r="L139" s="506"/>
      <c r="M139" s="506"/>
    </row>
    <row r="140" spans="1:14" x14ac:dyDescent="0.3">
      <c r="A140" s="510" t="s">
        <v>498</v>
      </c>
      <c r="B140" s="506">
        <v>2300</v>
      </c>
      <c r="C140" s="506">
        <v>2100</v>
      </c>
      <c r="D140" s="506">
        <v>2800</v>
      </c>
      <c r="E140" s="506">
        <v>3000</v>
      </c>
      <c r="F140" s="506">
        <v>4700</v>
      </c>
      <c r="G140" s="506">
        <v>0</v>
      </c>
      <c r="H140" s="506">
        <v>0</v>
      </c>
      <c r="I140" s="506">
        <v>0</v>
      </c>
      <c r="J140" s="506">
        <v>3100</v>
      </c>
      <c r="K140" s="506">
        <v>0</v>
      </c>
      <c r="L140" s="506">
        <v>2800</v>
      </c>
      <c r="M140" s="506">
        <v>2600</v>
      </c>
      <c r="N140" s="506">
        <f>SUM(B140:M140)</f>
        <v>23400</v>
      </c>
    </row>
    <row r="141" spans="1:14" ht="15.6" x14ac:dyDescent="0.45">
      <c r="A141" s="510" t="s">
        <v>366</v>
      </c>
      <c r="B141" s="512">
        <v>0</v>
      </c>
      <c r="C141" s="512">
        <v>0</v>
      </c>
      <c r="D141" s="512">
        <v>0</v>
      </c>
      <c r="E141" s="512">
        <v>0</v>
      </c>
      <c r="F141" s="512">
        <v>0</v>
      </c>
      <c r="G141" s="512">
        <v>735200</v>
      </c>
      <c r="H141" s="512">
        <v>483500</v>
      </c>
      <c r="I141" s="512">
        <v>308700</v>
      </c>
      <c r="J141" s="512">
        <v>0</v>
      </c>
      <c r="K141" s="512">
        <v>218800</v>
      </c>
      <c r="L141" s="512">
        <v>0</v>
      </c>
      <c r="M141" s="512">
        <v>0</v>
      </c>
      <c r="N141" s="512">
        <f>SUM(B141:M141)</f>
        <v>1746200</v>
      </c>
    </row>
    <row r="142" spans="1:14" x14ac:dyDescent="0.3">
      <c r="B142" s="504">
        <f>SUM(B140:B141)</f>
        <v>2300</v>
      </c>
      <c r="C142" s="504">
        <f t="shared" ref="C142:N142" si="37">SUM(C140:C141)</f>
        <v>2100</v>
      </c>
      <c r="D142" s="504">
        <f t="shared" si="37"/>
        <v>2800</v>
      </c>
      <c r="E142" s="504">
        <f t="shared" si="37"/>
        <v>3000</v>
      </c>
      <c r="F142" s="504">
        <f t="shared" si="37"/>
        <v>4700</v>
      </c>
      <c r="G142" s="504">
        <f t="shared" si="37"/>
        <v>735200</v>
      </c>
      <c r="H142" s="504">
        <f t="shared" si="37"/>
        <v>483500</v>
      </c>
      <c r="I142" s="504">
        <f t="shared" si="37"/>
        <v>308700</v>
      </c>
      <c r="J142" s="504">
        <f t="shared" si="37"/>
        <v>3100</v>
      </c>
      <c r="K142" s="504">
        <f t="shared" si="37"/>
        <v>218800</v>
      </c>
      <c r="L142" s="504">
        <f t="shared" si="37"/>
        <v>2800</v>
      </c>
      <c r="M142" s="504">
        <f t="shared" si="37"/>
        <v>2600</v>
      </c>
      <c r="N142" s="506">
        <f t="shared" si="37"/>
        <v>1769600</v>
      </c>
    </row>
    <row r="145" spans="1:14" ht="16.2" x14ac:dyDescent="0.45">
      <c r="A145" s="632" t="s">
        <v>589</v>
      </c>
      <c r="B145" s="632"/>
    </row>
    <row r="146" spans="1:14" ht="15.6" x14ac:dyDescent="0.45">
      <c r="B146" s="508" t="s">
        <v>486</v>
      </c>
      <c r="C146" s="508" t="s">
        <v>487</v>
      </c>
      <c r="D146" s="508" t="s">
        <v>488</v>
      </c>
      <c r="E146" s="508" t="s">
        <v>489</v>
      </c>
      <c r="F146" s="508" t="s">
        <v>490</v>
      </c>
      <c r="G146" s="508" t="s">
        <v>491</v>
      </c>
      <c r="H146" s="508" t="s">
        <v>492</v>
      </c>
      <c r="I146" s="508" t="s">
        <v>493</v>
      </c>
      <c r="J146" s="508" t="s">
        <v>494</v>
      </c>
      <c r="K146" s="508" t="s">
        <v>495</v>
      </c>
      <c r="L146" s="508" t="s">
        <v>496</v>
      </c>
      <c r="M146" s="508" t="s">
        <v>497</v>
      </c>
      <c r="N146" s="509" t="s">
        <v>14</v>
      </c>
    </row>
    <row r="147" spans="1:14" x14ac:dyDescent="0.3">
      <c r="A147" s="510" t="s">
        <v>498</v>
      </c>
      <c r="B147" s="506">
        <v>0</v>
      </c>
      <c r="C147" s="506">
        <v>0</v>
      </c>
      <c r="D147" s="506">
        <v>0</v>
      </c>
      <c r="E147" s="506">
        <v>0</v>
      </c>
      <c r="F147" s="506">
        <v>0</v>
      </c>
      <c r="G147" s="506">
        <v>0</v>
      </c>
      <c r="H147" s="506">
        <v>0</v>
      </c>
      <c r="I147" s="506">
        <v>0</v>
      </c>
      <c r="J147" s="506">
        <v>0</v>
      </c>
      <c r="K147" s="506">
        <v>0</v>
      </c>
      <c r="L147" s="506">
        <v>0</v>
      </c>
      <c r="M147" s="506">
        <v>0</v>
      </c>
      <c r="N147" s="506">
        <f>SUM(B147:M147)</f>
        <v>0</v>
      </c>
    </row>
    <row r="148" spans="1:14" ht="15.6" x14ac:dyDescent="0.45">
      <c r="A148" s="510" t="s">
        <v>366</v>
      </c>
      <c r="B148" s="512">
        <v>1</v>
      </c>
      <c r="C148" s="512">
        <v>1</v>
      </c>
      <c r="D148" s="512">
        <v>1</v>
      </c>
      <c r="E148" s="512">
        <v>1</v>
      </c>
      <c r="F148" s="512">
        <v>1</v>
      </c>
      <c r="G148" s="512">
        <v>1</v>
      </c>
      <c r="H148" s="512">
        <v>1</v>
      </c>
      <c r="I148" s="512">
        <v>1</v>
      </c>
      <c r="J148" s="512">
        <v>1</v>
      </c>
      <c r="K148" s="512">
        <v>1</v>
      </c>
      <c r="L148" s="512">
        <v>1</v>
      </c>
      <c r="M148" s="512">
        <v>1</v>
      </c>
      <c r="N148" s="512">
        <f>SUM(B148:M148)</f>
        <v>12</v>
      </c>
    </row>
    <row r="149" spans="1:14" x14ac:dyDescent="0.3">
      <c r="A149" s="513"/>
      <c r="B149" s="506">
        <f>SUM(B147:B148)</f>
        <v>1</v>
      </c>
      <c r="C149" s="506">
        <f t="shared" ref="C149:H149" si="38">SUM(C147:C148)</f>
        <v>1</v>
      </c>
      <c r="D149" s="506">
        <f t="shared" si="38"/>
        <v>1</v>
      </c>
      <c r="E149" s="506">
        <f t="shared" si="38"/>
        <v>1</v>
      </c>
      <c r="F149" s="506">
        <f t="shared" si="38"/>
        <v>1</v>
      </c>
      <c r="G149" s="506">
        <f t="shared" si="38"/>
        <v>1</v>
      </c>
      <c r="H149" s="506">
        <f t="shared" si="38"/>
        <v>1</v>
      </c>
      <c r="I149" s="506">
        <f>SUM(I147:I148)</f>
        <v>1</v>
      </c>
      <c r="J149" s="506">
        <f>SUM(J147:J148)</f>
        <v>1</v>
      </c>
      <c r="K149" s="506">
        <f t="shared" ref="K149:N149" si="39">SUM(K147:K148)</f>
        <v>1</v>
      </c>
      <c r="L149" s="506">
        <f t="shared" si="39"/>
        <v>1</v>
      </c>
      <c r="M149" s="506">
        <f t="shared" si="39"/>
        <v>1</v>
      </c>
      <c r="N149" s="506">
        <f t="shared" si="39"/>
        <v>12</v>
      </c>
    </row>
    <row r="150" spans="1:14" x14ac:dyDescent="0.3">
      <c r="A150" s="513"/>
      <c r="B150" s="506"/>
      <c r="C150" s="506"/>
      <c r="D150" s="506"/>
      <c r="E150" s="506"/>
      <c r="F150" s="506"/>
      <c r="G150" s="506"/>
      <c r="H150" s="506"/>
      <c r="I150" s="506"/>
      <c r="J150" s="506"/>
      <c r="K150" s="506"/>
      <c r="L150" s="506"/>
      <c r="M150" s="506"/>
    </row>
    <row r="151" spans="1:14" x14ac:dyDescent="0.3">
      <c r="A151" s="510" t="s">
        <v>498</v>
      </c>
      <c r="B151" s="506">
        <v>0</v>
      </c>
      <c r="C151" s="506">
        <v>0</v>
      </c>
      <c r="D151" s="506">
        <v>0</v>
      </c>
      <c r="E151" s="506">
        <v>0</v>
      </c>
      <c r="F151" s="506">
        <v>0</v>
      </c>
      <c r="G151" s="506">
        <v>0</v>
      </c>
      <c r="H151" s="506">
        <v>0</v>
      </c>
      <c r="I151" s="506">
        <v>0</v>
      </c>
      <c r="J151" s="506">
        <v>0</v>
      </c>
      <c r="K151" s="506">
        <v>0</v>
      </c>
      <c r="L151" s="506">
        <v>0</v>
      </c>
      <c r="M151" s="506">
        <v>0</v>
      </c>
      <c r="N151" s="506">
        <f>SUM(B151:M151)</f>
        <v>0</v>
      </c>
    </row>
    <row r="152" spans="1:14" ht="15.6" x14ac:dyDescent="0.45">
      <c r="A152" s="510" t="s">
        <v>366</v>
      </c>
      <c r="B152" s="512">
        <v>14577300</v>
      </c>
      <c r="C152" s="512">
        <v>13662400</v>
      </c>
      <c r="D152" s="512">
        <v>14388600</v>
      </c>
      <c r="E152" s="512">
        <v>15801100</v>
      </c>
      <c r="F152" s="512">
        <v>13499700</v>
      </c>
      <c r="G152" s="512">
        <v>12677400</v>
      </c>
      <c r="H152" s="512">
        <v>12857800</v>
      </c>
      <c r="I152" s="512">
        <v>14983500</v>
      </c>
      <c r="J152" s="512">
        <v>13157800</v>
      </c>
      <c r="K152" s="512">
        <v>14047200</v>
      </c>
      <c r="L152" s="512">
        <v>13132200</v>
      </c>
      <c r="M152" s="512">
        <v>16445300</v>
      </c>
      <c r="N152" s="512">
        <f>SUM(B152:M152)</f>
        <v>169230300</v>
      </c>
    </row>
    <row r="153" spans="1:14" x14ac:dyDescent="0.3">
      <c r="B153" s="504">
        <f>SUM(B151:B152)</f>
        <v>14577300</v>
      </c>
      <c r="C153" s="504">
        <f t="shared" ref="C153:N153" si="40">SUM(C151:C152)</f>
        <v>13662400</v>
      </c>
      <c r="D153" s="504">
        <f t="shared" si="40"/>
        <v>14388600</v>
      </c>
      <c r="E153" s="504">
        <f t="shared" si="40"/>
        <v>15801100</v>
      </c>
      <c r="F153" s="504">
        <f t="shared" si="40"/>
        <v>13499700</v>
      </c>
      <c r="G153" s="504">
        <f t="shared" si="40"/>
        <v>12677400</v>
      </c>
      <c r="H153" s="504">
        <f t="shared" si="40"/>
        <v>12857800</v>
      </c>
      <c r="I153" s="504">
        <f t="shared" si="40"/>
        <v>14983500</v>
      </c>
      <c r="J153" s="504">
        <f t="shared" si="40"/>
        <v>13157800</v>
      </c>
      <c r="K153" s="504">
        <f t="shared" si="40"/>
        <v>14047200</v>
      </c>
      <c r="L153" s="504">
        <f t="shared" si="40"/>
        <v>13132200</v>
      </c>
      <c r="M153" s="504">
        <f t="shared" si="40"/>
        <v>16445300</v>
      </c>
      <c r="N153" s="506">
        <f t="shared" si="40"/>
        <v>169230300</v>
      </c>
    </row>
    <row r="156" spans="1:14" ht="16.2" x14ac:dyDescent="0.45">
      <c r="A156" s="632" t="s">
        <v>590</v>
      </c>
      <c r="B156" s="632"/>
      <c r="C156" s="507"/>
    </row>
    <row r="157" spans="1:14" ht="15.6" x14ac:dyDescent="0.45">
      <c r="B157" s="508" t="s">
        <v>486</v>
      </c>
      <c r="C157" s="508" t="s">
        <v>487</v>
      </c>
      <c r="D157" s="508" t="s">
        <v>488</v>
      </c>
      <c r="E157" s="508" t="s">
        <v>489</v>
      </c>
      <c r="F157" s="508" t="s">
        <v>490</v>
      </c>
      <c r="G157" s="508" t="s">
        <v>491</v>
      </c>
      <c r="H157" s="508" t="s">
        <v>492</v>
      </c>
      <c r="I157" s="508" t="s">
        <v>493</v>
      </c>
      <c r="J157" s="508" t="s">
        <v>494</v>
      </c>
      <c r="K157" s="508" t="s">
        <v>495</v>
      </c>
      <c r="L157" s="508" t="s">
        <v>496</v>
      </c>
      <c r="M157" s="508" t="s">
        <v>497</v>
      </c>
      <c r="N157" s="509" t="s">
        <v>14</v>
      </c>
    </row>
    <row r="158" spans="1:14" x14ac:dyDescent="0.3">
      <c r="A158" s="510" t="s">
        <v>498</v>
      </c>
      <c r="B158" s="506">
        <f>75+5</f>
        <v>80</v>
      </c>
      <c r="C158" s="506">
        <f>76+3</f>
        <v>79</v>
      </c>
      <c r="D158" s="506">
        <f>73+7</f>
        <v>80</v>
      </c>
      <c r="E158" s="506">
        <f>53+28</f>
        <v>81</v>
      </c>
      <c r="F158" s="506">
        <f>32+50</f>
        <v>82</v>
      </c>
      <c r="G158" s="506">
        <f>12+66</f>
        <v>78</v>
      </c>
      <c r="H158" s="506">
        <f>8+69</f>
        <v>77</v>
      </c>
      <c r="I158" s="506">
        <f>10+67</f>
        <v>77</v>
      </c>
      <c r="J158" s="506">
        <f>13+68</f>
        <v>81</v>
      </c>
      <c r="K158" s="506">
        <f>19+61</f>
        <v>80</v>
      </c>
      <c r="L158" s="506">
        <f>64+23</f>
        <v>87</v>
      </c>
      <c r="M158" s="506">
        <f>83+4</f>
        <v>87</v>
      </c>
      <c r="N158" s="506">
        <f>SUM(B158:M158)</f>
        <v>969</v>
      </c>
    </row>
    <row r="159" spans="1:14" ht="15.6" x14ac:dyDescent="0.45">
      <c r="A159" s="510" t="s">
        <v>366</v>
      </c>
      <c r="B159" s="512">
        <v>0</v>
      </c>
      <c r="C159" s="512">
        <v>0</v>
      </c>
      <c r="D159" s="512">
        <v>0</v>
      </c>
      <c r="E159" s="512">
        <v>0</v>
      </c>
      <c r="F159" s="512">
        <v>1</v>
      </c>
      <c r="G159" s="512">
        <v>5</v>
      </c>
      <c r="H159" s="512">
        <v>6</v>
      </c>
      <c r="I159" s="512">
        <v>7</v>
      </c>
      <c r="J159" s="512">
        <v>5</v>
      </c>
      <c r="K159" s="512">
        <v>6</v>
      </c>
      <c r="L159" s="512">
        <v>0</v>
      </c>
      <c r="M159" s="512">
        <v>0</v>
      </c>
      <c r="N159" s="512">
        <f>SUM(B159:M159)</f>
        <v>30</v>
      </c>
    </row>
    <row r="160" spans="1:14" x14ac:dyDescent="0.3">
      <c r="A160" s="513"/>
      <c r="B160" s="506">
        <f>SUM(B158:B159)</f>
        <v>80</v>
      </c>
      <c r="C160" s="506">
        <f t="shared" ref="C160:H160" si="41">SUM(C158:C159)</f>
        <v>79</v>
      </c>
      <c r="D160" s="506">
        <f t="shared" si="41"/>
        <v>80</v>
      </c>
      <c r="E160" s="506">
        <f t="shared" si="41"/>
        <v>81</v>
      </c>
      <c r="F160" s="506">
        <f t="shared" si="41"/>
        <v>83</v>
      </c>
      <c r="G160" s="506">
        <f t="shared" si="41"/>
        <v>83</v>
      </c>
      <c r="H160" s="506">
        <f t="shared" si="41"/>
        <v>83</v>
      </c>
      <c r="I160" s="506">
        <f>SUM(I158:I159)</f>
        <v>84</v>
      </c>
      <c r="J160" s="506">
        <f>SUM(J158:J159)</f>
        <v>86</v>
      </c>
      <c r="K160" s="506">
        <f t="shared" ref="K160:N160" si="42">SUM(K158:K159)</f>
        <v>86</v>
      </c>
      <c r="L160" s="506">
        <f t="shared" si="42"/>
        <v>87</v>
      </c>
      <c r="M160" s="506">
        <f t="shared" si="42"/>
        <v>87</v>
      </c>
      <c r="N160" s="506">
        <f t="shared" si="42"/>
        <v>999</v>
      </c>
    </row>
    <row r="161" spans="1:14" x14ac:dyDescent="0.3">
      <c r="A161" s="513"/>
      <c r="B161" s="506"/>
      <c r="C161" s="506"/>
      <c r="D161" s="506"/>
      <c r="E161" s="506"/>
      <c r="F161" s="506"/>
      <c r="G161" s="506"/>
      <c r="H161" s="506"/>
      <c r="I161" s="506"/>
      <c r="J161" s="506"/>
      <c r="K161" s="506"/>
      <c r="L161" s="506"/>
      <c r="M161" s="506"/>
    </row>
    <row r="162" spans="1:14" x14ac:dyDescent="0.3">
      <c r="A162" s="510" t="s">
        <v>498</v>
      </c>
      <c r="B162" s="506">
        <v>6400</v>
      </c>
      <c r="C162" s="506">
        <v>9900</v>
      </c>
      <c r="D162" s="506">
        <v>2000</v>
      </c>
      <c r="E162" s="506">
        <v>36100</v>
      </c>
      <c r="F162" s="506">
        <v>435100</v>
      </c>
      <c r="G162" s="506">
        <v>1106500</v>
      </c>
      <c r="H162" s="506">
        <v>1114100</v>
      </c>
      <c r="I162" s="506">
        <v>921600</v>
      </c>
      <c r="J162" s="506">
        <v>869800</v>
      </c>
      <c r="K162" s="506">
        <v>796200</v>
      </c>
      <c r="L162" s="506">
        <v>91500</v>
      </c>
      <c r="M162" s="506">
        <v>8400</v>
      </c>
      <c r="N162" s="506">
        <f>SUM(B162:M162)</f>
        <v>5397600</v>
      </c>
    </row>
    <row r="163" spans="1:14" ht="15.6" x14ac:dyDescent="0.45">
      <c r="A163" s="510" t="s">
        <v>366</v>
      </c>
      <c r="B163" s="512">
        <v>0</v>
      </c>
      <c r="C163" s="512">
        <v>0</v>
      </c>
      <c r="D163" s="512">
        <v>0</v>
      </c>
      <c r="E163" s="512">
        <v>0</v>
      </c>
      <c r="F163" s="512">
        <v>76900</v>
      </c>
      <c r="G163" s="512">
        <v>264100</v>
      </c>
      <c r="H163" s="512">
        <v>354300</v>
      </c>
      <c r="I163" s="512">
        <v>520700</v>
      </c>
      <c r="J163" s="512">
        <v>246800</v>
      </c>
      <c r="K163" s="512">
        <v>288400</v>
      </c>
      <c r="L163" s="512">
        <v>0</v>
      </c>
      <c r="M163" s="512">
        <v>0</v>
      </c>
      <c r="N163" s="512">
        <f>SUM(B163:M163)</f>
        <v>1751200</v>
      </c>
    </row>
    <row r="164" spans="1:14" x14ac:dyDescent="0.3">
      <c r="B164" s="504">
        <f>SUM(B162:B163)</f>
        <v>6400</v>
      </c>
      <c r="C164" s="504">
        <f t="shared" ref="C164:N164" si="43">SUM(C162:C163)</f>
        <v>9900</v>
      </c>
      <c r="D164" s="504">
        <f t="shared" si="43"/>
        <v>2000</v>
      </c>
      <c r="E164" s="504">
        <f t="shared" si="43"/>
        <v>36100</v>
      </c>
      <c r="F164" s="504">
        <f t="shared" si="43"/>
        <v>512000</v>
      </c>
      <c r="G164" s="504">
        <f t="shared" si="43"/>
        <v>1370600</v>
      </c>
      <c r="H164" s="504">
        <f t="shared" si="43"/>
        <v>1468400</v>
      </c>
      <c r="I164" s="504">
        <f t="shared" si="43"/>
        <v>1442300</v>
      </c>
      <c r="J164" s="504">
        <f t="shared" si="43"/>
        <v>1116600</v>
      </c>
      <c r="K164" s="504">
        <f t="shared" si="43"/>
        <v>1084600</v>
      </c>
      <c r="L164" s="504">
        <f t="shared" si="43"/>
        <v>91500</v>
      </c>
      <c r="M164" s="504">
        <f t="shared" si="43"/>
        <v>8400</v>
      </c>
      <c r="N164" s="506">
        <f t="shared" si="43"/>
        <v>7148800</v>
      </c>
    </row>
    <row r="167" spans="1:14" ht="16.2" x14ac:dyDescent="0.45">
      <c r="A167" s="633" t="s">
        <v>591</v>
      </c>
      <c r="B167" s="633"/>
      <c r="C167" s="507"/>
    </row>
    <row r="168" spans="1:14" ht="15.6" x14ac:dyDescent="0.45">
      <c r="B168" s="508" t="s">
        <v>486</v>
      </c>
      <c r="C168" s="508" t="s">
        <v>487</v>
      </c>
      <c r="D168" s="508" t="s">
        <v>488</v>
      </c>
      <c r="E168" s="508" t="s">
        <v>489</v>
      </c>
      <c r="F168" s="508" t="s">
        <v>490</v>
      </c>
      <c r="G168" s="508" t="s">
        <v>491</v>
      </c>
      <c r="H168" s="508" t="s">
        <v>492</v>
      </c>
      <c r="I168" s="508" t="s">
        <v>493</v>
      </c>
      <c r="J168" s="508" t="s">
        <v>494</v>
      </c>
      <c r="K168" s="508" t="s">
        <v>495</v>
      </c>
      <c r="L168" s="508" t="s">
        <v>496</v>
      </c>
      <c r="M168" s="508" t="s">
        <v>497</v>
      </c>
      <c r="N168" s="509" t="s">
        <v>14</v>
      </c>
    </row>
    <row r="169" spans="1:14" x14ac:dyDescent="0.3">
      <c r="A169" s="510" t="s">
        <v>498</v>
      </c>
      <c r="B169" s="506">
        <v>2</v>
      </c>
      <c r="C169" s="506">
        <v>2</v>
      </c>
      <c r="D169" s="506">
        <v>2</v>
      </c>
      <c r="E169" s="506">
        <v>2</v>
      </c>
      <c r="F169" s="506">
        <v>2</v>
      </c>
      <c r="G169" s="506">
        <v>2</v>
      </c>
      <c r="H169" s="506">
        <v>2</v>
      </c>
      <c r="I169" s="506">
        <v>2</v>
      </c>
      <c r="J169" s="506">
        <v>2</v>
      </c>
      <c r="K169" s="506">
        <v>4</v>
      </c>
      <c r="L169" s="506">
        <v>4</v>
      </c>
      <c r="M169" s="506">
        <v>4</v>
      </c>
      <c r="N169" s="506">
        <f>SUM(B169:M169)</f>
        <v>30</v>
      </c>
    </row>
    <row r="170" spans="1:14" ht="15.6" x14ac:dyDescent="0.45">
      <c r="A170" s="510" t="s">
        <v>366</v>
      </c>
      <c r="B170" s="512">
        <v>0</v>
      </c>
      <c r="C170" s="512">
        <v>0</v>
      </c>
      <c r="D170" s="512">
        <v>0</v>
      </c>
      <c r="E170" s="512">
        <v>0</v>
      </c>
      <c r="F170" s="512">
        <v>1</v>
      </c>
      <c r="G170" s="512">
        <v>1</v>
      </c>
      <c r="H170" s="512">
        <v>1</v>
      </c>
      <c r="I170" s="512">
        <v>1</v>
      </c>
      <c r="J170" s="512">
        <v>1</v>
      </c>
      <c r="K170" s="512">
        <v>0</v>
      </c>
      <c r="L170" s="512">
        <v>0</v>
      </c>
      <c r="M170" s="512">
        <v>0</v>
      </c>
      <c r="N170" s="512">
        <f>SUM(B170:M170)</f>
        <v>5</v>
      </c>
    </row>
    <row r="171" spans="1:14" x14ac:dyDescent="0.3">
      <c r="A171" s="513"/>
      <c r="B171" s="506">
        <f>SUM(B169:B170)</f>
        <v>2</v>
      </c>
      <c r="C171" s="506">
        <f t="shared" ref="C171:H171" si="44">SUM(C169:C170)</f>
        <v>2</v>
      </c>
      <c r="D171" s="506">
        <f t="shared" si="44"/>
        <v>2</v>
      </c>
      <c r="E171" s="506">
        <f t="shared" si="44"/>
        <v>2</v>
      </c>
      <c r="F171" s="506">
        <f t="shared" si="44"/>
        <v>3</v>
      </c>
      <c r="G171" s="506">
        <f t="shared" si="44"/>
        <v>3</v>
      </c>
      <c r="H171" s="506">
        <f t="shared" si="44"/>
        <v>3</v>
      </c>
      <c r="I171" s="506">
        <f>SUM(I169:I170)</f>
        <v>3</v>
      </c>
      <c r="J171" s="506">
        <f>SUM(J169:J170)</f>
        <v>3</v>
      </c>
      <c r="K171" s="506">
        <f t="shared" ref="K171:N171" si="45">SUM(K169:K170)</f>
        <v>4</v>
      </c>
      <c r="L171" s="506">
        <f t="shared" si="45"/>
        <v>4</v>
      </c>
      <c r="M171" s="506">
        <f t="shared" si="45"/>
        <v>4</v>
      </c>
      <c r="N171" s="506">
        <f t="shared" si="45"/>
        <v>35</v>
      </c>
    </row>
    <row r="172" spans="1:14" x14ac:dyDescent="0.3">
      <c r="A172" s="513"/>
      <c r="B172" s="506"/>
      <c r="C172" s="506"/>
      <c r="D172" s="506"/>
      <c r="E172" s="506"/>
      <c r="F172" s="506"/>
      <c r="G172" s="506"/>
      <c r="H172" s="506"/>
      <c r="I172" s="506"/>
      <c r="J172" s="506"/>
      <c r="K172" s="506"/>
      <c r="L172" s="506"/>
      <c r="M172" s="506"/>
    </row>
    <row r="173" spans="1:14" x14ac:dyDescent="0.3">
      <c r="A173" s="510" t="s">
        <v>498</v>
      </c>
      <c r="B173" s="506">
        <v>0</v>
      </c>
      <c r="C173" s="506">
        <v>900</v>
      </c>
      <c r="D173" s="506">
        <v>800</v>
      </c>
      <c r="E173" s="506">
        <v>0</v>
      </c>
      <c r="F173" s="506">
        <v>3700</v>
      </c>
      <c r="G173" s="506">
        <v>21100</v>
      </c>
      <c r="H173" s="506">
        <v>6300</v>
      </c>
      <c r="I173" s="506">
        <v>3000</v>
      </c>
      <c r="J173" s="506">
        <v>2600</v>
      </c>
      <c r="K173" s="506">
        <v>40400</v>
      </c>
      <c r="L173" s="506">
        <v>0</v>
      </c>
      <c r="M173" s="506">
        <v>300</v>
      </c>
      <c r="N173" s="506">
        <f>SUM(B173:M173)</f>
        <v>79100</v>
      </c>
    </row>
    <row r="174" spans="1:14" ht="15.6" x14ac:dyDescent="0.45">
      <c r="A174" s="510" t="s">
        <v>366</v>
      </c>
      <c r="B174" s="512">
        <v>0</v>
      </c>
      <c r="C174" s="512">
        <v>0</v>
      </c>
      <c r="D174" s="512">
        <v>0</v>
      </c>
      <c r="E174" s="512">
        <v>0</v>
      </c>
      <c r="F174" s="512">
        <v>74300</v>
      </c>
      <c r="G174" s="512">
        <v>74500</v>
      </c>
      <c r="H174" s="512">
        <v>89300</v>
      </c>
      <c r="I174" s="512">
        <v>152500</v>
      </c>
      <c r="J174" s="512">
        <v>118000</v>
      </c>
      <c r="K174" s="512">
        <v>0</v>
      </c>
      <c r="L174" s="512">
        <v>0</v>
      </c>
      <c r="M174" s="512">
        <v>0</v>
      </c>
      <c r="N174" s="512">
        <f>SUM(B174:M174)</f>
        <v>508600</v>
      </c>
    </row>
    <row r="175" spans="1:14" x14ac:dyDescent="0.3">
      <c r="B175" s="504">
        <f>SUM(B173:B174)</f>
        <v>0</v>
      </c>
      <c r="C175" s="504">
        <f t="shared" ref="C175:N175" si="46">SUM(C173:C174)</f>
        <v>900</v>
      </c>
      <c r="D175" s="504">
        <f t="shared" si="46"/>
        <v>800</v>
      </c>
      <c r="E175" s="504">
        <f t="shared" si="46"/>
        <v>0</v>
      </c>
      <c r="F175" s="504">
        <f t="shared" si="46"/>
        <v>78000</v>
      </c>
      <c r="G175" s="504">
        <f t="shared" si="46"/>
        <v>95600</v>
      </c>
      <c r="H175" s="504">
        <f t="shared" si="46"/>
        <v>95600</v>
      </c>
      <c r="I175" s="504">
        <f t="shared" si="46"/>
        <v>155500</v>
      </c>
      <c r="J175" s="504">
        <f t="shared" si="46"/>
        <v>120600</v>
      </c>
      <c r="K175" s="504">
        <f t="shared" si="46"/>
        <v>40400</v>
      </c>
      <c r="L175" s="504">
        <f t="shared" si="46"/>
        <v>0</v>
      </c>
      <c r="M175" s="504">
        <f t="shared" si="46"/>
        <v>300</v>
      </c>
      <c r="N175" s="506">
        <f t="shared" si="46"/>
        <v>587700</v>
      </c>
    </row>
    <row r="178" spans="1:14" ht="16.2" x14ac:dyDescent="0.45">
      <c r="A178" s="632" t="s">
        <v>592</v>
      </c>
      <c r="B178" s="632"/>
    </row>
    <row r="179" spans="1:14" ht="15.6" x14ac:dyDescent="0.45">
      <c r="B179" s="508" t="s">
        <v>486</v>
      </c>
      <c r="C179" s="508" t="s">
        <v>487</v>
      </c>
      <c r="D179" s="508" t="s">
        <v>488</v>
      </c>
      <c r="E179" s="508" t="s">
        <v>489</v>
      </c>
      <c r="F179" s="508" t="s">
        <v>490</v>
      </c>
      <c r="G179" s="508" t="s">
        <v>491</v>
      </c>
      <c r="H179" s="508" t="s">
        <v>492</v>
      </c>
      <c r="I179" s="508" t="s">
        <v>493</v>
      </c>
      <c r="J179" s="508" t="s">
        <v>494</v>
      </c>
      <c r="K179" s="508" t="s">
        <v>495</v>
      </c>
      <c r="L179" s="508" t="s">
        <v>496</v>
      </c>
      <c r="M179" s="508" t="s">
        <v>497</v>
      </c>
      <c r="N179" s="509" t="s">
        <v>14</v>
      </c>
    </row>
    <row r="180" spans="1:14" x14ac:dyDescent="0.3">
      <c r="A180" s="510" t="s">
        <v>498</v>
      </c>
      <c r="B180" s="506">
        <v>1</v>
      </c>
      <c r="C180" s="506">
        <v>1</v>
      </c>
      <c r="D180" s="506">
        <v>1</v>
      </c>
      <c r="E180" s="506">
        <v>1</v>
      </c>
      <c r="F180" s="506">
        <v>0</v>
      </c>
      <c r="G180" s="506">
        <v>0</v>
      </c>
      <c r="H180" s="506">
        <v>0</v>
      </c>
      <c r="I180" s="506">
        <v>0</v>
      </c>
      <c r="J180" s="506">
        <v>0</v>
      </c>
      <c r="K180" s="506">
        <v>0</v>
      </c>
      <c r="L180" s="506">
        <v>1</v>
      </c>
      <c r="M180" s="506">
        <v>1</v>
      </c>
      <c r="N180" s="506">
        <f>SUM(B180:M180)</f>
        <v>6</v>
      </c>
    </row>
    <row r="181" spans="1:14" ht="15.6" x14ac:dyDescent="0.45">
      <c r="A181" s="510" t="s">
        <v>366</v>
      </c>
      <c r="B181" s="512">
        <v>0</v>
      </c>
      <c r="C181" s="512">
        <v>0</v>
      </c>
      <c r="D181" s="512">
        <v>0</v>
      </c>
      <c r="E181" s="512">
        <v>0</v>
      </c>
      <c r="F181" s="512">
        <v>1</v>
      </c>
      <c r="G181" s="512">
        <v>1</v>
      </c>
      <c r="H181" s="512">
        <v>1</v>
      </c>
      <c r="I181" s="512">
        <v>1</v>
      </c>
      <c r="J181" s="512">
        <v>1</v>
      </c>
      <c r="K181" s="512">
        <v>1</v>
      </c>
      <c r="L181" s="512">
        <v>0</v>
      </c>
      <c r="M181" s="512">
        <v>0</v>
      </c>
      <c r="N181" s="512">
        <f>SUM(B181:M181)</f>
        <v>6</v>
      </c>
    </row>
    <row r="182" spans="1:14" x14ac:dyDescent="0.3">
      <c r="A182" s="513"/>
      <c r="B182" s="506">
        <f>SUM(B180:B181)</f>
        <v>1</v>
      </c>
      <c r="C182" s="506">
        <f t="shared" ref="C182:H182" si="47">SUM(C180:C181)</f>
        <v>1</v>
      </c>
      <c r="D182" s="506">
        <f t="shared" si="47"/>
        <v>1</v>
      </c>
      <c r="E182" s="506">
        <f t="shared" si="47"/>
        <v>1</v>
      </c>
      <c r="F182" s="506">
        <f t="shared" si="47"/>
        <v>1</v>
      </c>
      <c r="G182" s="506">
        <f t="shared" si="47"/>
        <v>1</v>
      </c>
      <c r="H182" s="506">
        <f t="shared" si="47"/>
        <v>1</v>
      </c>
      <c r="I182" s="506">
        <f>SUM(I180:I181)</f>
        <v>1</v>
      </c>
      <c r="J182" s="506">
        <f>SUM(J180:J181)</f>
        <v>1</v>
      </c>
      <c r="K182" s="506">
        <f t="shared" ref="K182:N182" si="48">SUM(K180:K181)</f>
        <v>1</v>
      </c>
      <c r="L182" s="506">
        <f t="shared" si="48"/>
        <v>1</v>
      </c>
      <c r="M182" s="506">
        <f t="shared" si="48"/>
        <v>1</v>
      </c>
      <c r="N182" s="506">
        <f t="shared" si="48"/>
        <v>12</v>
      </c>
    </row>
    <row r="183" spans="1:14" x14ac:dyDescent="0.3">
      <c r="A183" s="513"/>
      <c r="B183" s="506"/>
      <c r="C183" s="506"/>
      <c r="D183" s="506"/>
      <c r="E183" s="506"/>
      <c r="F183" s="506"/>
      <c r="G183" s="506"/>
      <c r="H183" s="506"/>
      <c r="I183" s="506"/>
      <c r="J183" s="506"/>
      <c r="K183" s="506"/>
      <c r="L183" s="506"/>
      <c r="M183" s="506"/>
    </row>
    <row r="184" spans="1:14" x14ac:dyDescent="0.3">
      <c r="A184" s="510" t="s">
        <v>498</v>
      </c>
      <c r="B184" s="506">
        <v>0</v>
      </c>
      <c r="C184" s="506">
        <v>0</v>
      </c>
      <c r="D184" s="506">
        <v>0</v>
      </c>
      <c r="E184" s="506">
        <v>0</v>
      </c>
      <c r="F184" s="506">
        <v>0</v>
      </c>
      <c r="G184" s="506">
        <v>0</v>
      </c>
      <c r="H184" s="506">
        <v>0</v>
      </c>
      <c r="I184" s="506">
        <v>0</v>
      </c>
      <c r="J184" s="506">
        <v>0</v>
      </c>
      <c r="K184" s="506">
        <v>0</v>
      </c>
      <c r="L184" s="506">
        <v>200</v>
      </c>
      <c r="M184" s="506">
        <v>0</v>
      </c>
      <c r="N184" s="506">
        <f>SUM(B184:M184)</f>
        <v>200</v>
      </c>
    </row>
    <row r="185" spans="1:14" ht="15.6" x14ac:dyDescent="0.45">
      <c r="A185" s="510" t="s">
        <v>366</v>
      </c>
      <c r="B185" s="512">
        <v>0</v>
      </c>
      <c r="C185" s="512">
        <v>0</v>
      </c>
      <c r="D185" s="512">
        <v>0</v>
      </c>
      <c r="E185" s="512">
        <v>0</v>
      </c>
      <c r="F185" s="512">
        <v>50700</v>
      </c>
      <c r="G185" s="512">
        <v>93700</v>
      </c>
      <c r="H185" s="512">
        <v>121800</v>
      </c>
      <c r="I185" s="512">
        <v>74500</v>
      </c>
      <c r="J185" s="512">
        <v>94800</v>
      </c>
      <c r="K185" s="512">
        <v>48100</v>
      </c>
      <c r="L185" s="512">
        <v>0</v>
      </c>
      <c r="M185" s="512">
        <v>0</v>
      </c>
      <c r="N185" s="512">
        <f>SUM(B185:M185)</f>
        <v>483600</v>
      </c>
    </row>
    <row r="186" spans="1:14" x14ac:dyDescent="0.3">
      <c r="B186" s="504">
        <f>SUM(B184:B185)</f>
        <v>0</v>
      </c>
      <c r="C186" s="504">
        <f t="shared" ref="C186:N186" si="49">SUM(C184:C185)</f>
        <v>0</v>
      </c>
      <c r="D186" s="506">
        <f t="shared" si="49"/>
        <v>0</v>
      </c>
      <c r="E186" s="506">
        <f t="shared" si="49"/>
        <v>0</v>
      </c>
      <c r="F186" s="504">
        <f t="shared" si="49"/>
        <v>50700</v>
      </c>
      <c r="G186" s="504">
        <f t="shared" si="49"/>
        <v>93700</v>
      </c>
      <c r="H186" s="504">
        <f t="shared" si="49"/>
        <v>121800</v>
      </c>
      <c r="I186" s="504">
        <f t="shared" si="49"/>
        <v>74500</v>
      </c>
      <c r="J186" s="504">
        <f t="shared" si="49"/>
        <v>94800</v>
      </c>
      <c r="K186" s="504">
        <f t="shared" si="49"/>
        <v>48100</v>
      </c>
      <c r="L186" s="504">
        <f t="shared" si="49"/>
        <v>200</v>
      </c>
      <c r="M186" s="504">
        <f t="shared" si="49"/>
        <v>0</v>
      </c>
      <c r="N186" s="506">
        <f t="shared" si="49"/>
        <v>483800</v>
      </c>
    </row>
    <row r="187" spans="1:14" x14ac:dyDescent="0.3">
      <c r="E187" s="506"/>
    </row>
    <row r="189" spans="1:14" x14ac:dyDescent="0.3">
      <c r="N189" s="514">
        <f>N6+N17+N28+N39+N50+N61+N72+N83+N94+N105+N116+N127+N138+N149+N160+N171+N182</f>
        <v>108778</v>
      </c>
    </row>
    <row r="193" spans="14:14" x14ac:dyDescent="0.3">
      <c r="N193" s="514">
        <f>N10+N21+N32+N43+N54+N65+N76+N87+N98+N109+N120+N131+N142+N153+N164+N175+N186</f>
        <v>922146600</v>
      </c>
    </row>
  </sheetData>
  <mergeCells count="17">
    <mergeCell ref="A123:B123"/>
    <mergeCell ref="A2:B2"/>
    <mergeCell ref="A13:B13"/>
    <mergeCell ref="A24:B24"/>
    <mergeCell ref="A35:B35"/>
    <mergeCell ref="A46:B46"/>
    <mergeCell ref="A57:B57"/>
    <mergeCell ref="A68:B68"/>
    <mergeCell ref="A79:B79"/>
    <mergeCell ref="A90:B90"/>
    <mergeCell ref="A101:B101"/>
    <mergeCell ref="A112:B112"/>
    <mergeCell ref="A134:B134"/>
    <mergeCell ref="A145:B145"/>
    <mergeCell ref="A156:B156"/>
    <mergeCell ref="A167:B167"/>
    <mergeCell ref="A178:B178"/>
  </mergeCells>
  <pageMargins left="0.7" right="0.7" top="0.75" bottom="0.75" header="0.3" footer="0.3"/>
  <pageSetup scale="48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EP61"/>
  <sheetViews>
    <sheetView workbookViewId="0"/>
  </sheetViews>
  <sheetFormatPr defaultColWidth="8.90625" defaultRowHeight="14.4" x14ac:dyDescent="0.3"/>
  <cols>
    <col min="1" max="2" width="9.6328125" style="97" customWidth="1"/>
    <col min="3" max="3" width="13.1796875" style="97" customWidth="1"/>
    <col min="4" max="4" width="12.36328125" style="97" customWidth="1"/>
    <col min="5" max="5" width="13" style="97" customWidth="1"/>
    <col min="6" max="6" width="0" style="97" hidden="1" customWidth="1"/>
    <col min="7" max="7" width="20.90625" style="97" customWidth="1"/>
    <col min="8" max="8" width="0.6328125" style="97" customWidth="1"/>
    <col min="9" max="9" width="9.6328125" style="97" customWidth="1"/>
    <col min="10" max="10" width="11.453125" style="97" bestFit="1" customWidth="1"/>
    <col min="11" max="146" width="9.6328125" style="97" customWidth="1"/>
    <col min="147" max="16384" width="8.90625" style="31"/>
  </cols>
  <sheetData>
    <row r="2" spans="2:14" x14ac:dyDescent="0.3">
      <c r="B2" s="300"/>
      <c r="C2" s="301"/>
      <c r="D2" s="301"/>
      <c r="E2" s="301"/>
      <c r="F2" s="301"/>
      <c r="G2" s="301"/>
      <c r="H2" s="302"/>
    </row>
    <row r="3" spans="2:14" ht="18" x14ac:dyDescent="0.35">
      <c r="B3" s="619" t="s">
        <v>319</v>
      </c>
      <c r="C3" s="606"/>
      <c r="D3" s="606"/>
      <c r="E3" s="606"/>
      <c r="F3" s="606"/>
      <c r="G3" s="606"/>
      <c r="H3" s="342"/>
      <c r="I3" s="366"/>
      <c r="J3" s="327"/>
    </row>
    <row r="4" spans="2:14" ht="21" x14ac:dyDescent="0.4">
      <c r="B4" s="637" t="s">
        <v>300</v>
      </c>
      <c r="C4" s="638"/>
      <c r="D4" s="638"/>
      <c r="E4" s="638"/>
      <c r="F4" s="638"/>
      <c r="G4" s="638"/>
      <c r="H4" s="367"/>
    </row>
    <row r="5" spans="2:14" ht="18" x14ac:dyDescent="0.3">
      <c r="B5" s="639" t="s">
        <v>331</v>
      </c>
      <c r="C5" s="603"/>
      <c r="D5" s="603"/>
      <c r="E5" s="603"/>
      <c r="F5" s="603"/>
      <c r="G5" s="603"/>
      <c r="H5" s="368"/>
    </row>
    <row r="6" spans="2:14" x14ac:dyDescent="0.3">
      <c r="B6" s="303"/>
      <c r="C6" s="304"/>
      <c r="D6" s="304"/>
      <c r="E6" s="304"/>
      <c r="F6" s="304"/>
      <c r="G6" s="304"/>
      <c r="H6" s="305"/>
    </row>
    <row r="7" spans="2:14" x14ac:dyDescent="0.3">
      <c r="B7" s="300"/>
      <c r="C7" s="301"/>
      <c r="D7" s="301"/>
      <c r="E7" s="301"/>
      <c r="F7" s="301"/>
      <c r="G7" s="301"/>
      <c r="H7" s="302"/>
    </row>
    <row r="8" spans="2:14" ht="21.6" x14ac:dyDescent="0.65">
      <c r="B8" s="635" t="s">
        <v>301</v>
      </c>
      <c r="C8" s="636"/>
      <c r="D8" s="134"/>
      <c r="E8" s="134"/>
      <c r="F8" s="134"/>
      <c r="G8" s="134"/>
      <c r="H8" s="306"/>
    </row>
    <row r="9" spans="2:14" x14ac:dyDescent="0.3">
      <c r="B9" s="99"/>
      <c r="C9" s="322"/>
      <c r="D9" s="641" t="s">
        <v>302</v>
      </c>
      <c r="E9" s="641"/>
      <c r="F9" s="641"/>
      <c r="G9" s="641"/>
      <c r="H9" s="323"/>
    </row>
    <row r="10" spans="2:14" ht="12.6" customHeight="1" x14ac:dyDescent="0.3">
      <c r="B10" s="321"/>
      <c r="C10" s="322"/>
      <c r="D10" s="325" t="s">
        <v>336</v>
      </c>
      <c r="E10" s="322"/>
      <c r="F10" s="322"/>
      <c r="G10" s="322"/>
      <c r="H10" s="323"/>
    </row>
    <row r="11" spans="2:14" ht="6" customHeight="1" x14ac:dyDescent="0.3">
      <c r="B11" s="307"/>
      <c r="C11" s="134"/>
      <c r="D11" s="99"/>
      <c r="E11" s="31"/>
      <c r="F11" s="31"/>
      <c r="G11" s="31"/>
      <c r="H11" s="44"/>
      <c r="I11" s="100"/>
    </row>
    <row r="12" spans="2:14" ht="16.2" x14ac:dyDescent="0.45">
      <c r="B12" s="307"/>
      <c r="C12" s="308" t="s">
        <v>303</v>
      </c>
      <c r="D12" s="329" t="s">
        <v>304</v>
      </c>
      <c r="E12" s="309" t="s">
        <v>10</v>
      </c>
      <c r="F12" s="309"/>
      <c r="G12" s="310" t="s">
        <v>305</v>
      </c>
      <c r="H12" s="44"/>
    </row>
    <row r="13" spans="2:14" x14ac:dyDescent="0.3">
      <c r="B13" s="187"/>
      <c r="C13" s="319" t="s">
        <v>311</v>
      </c>
      <c r="D13" s="330">
        <v>3.7</v>
      </c>
      <c r="E13" s="312">
        <f>CalcRet!D20</f>
        <v>4.2200000000000006</v>
      </c>
      <c r="F13" s="312" t="e">
        <f>#REF!*(1+#REF!)</f>
        <v>#REF!</v>
      </c>
      <c r="G13" s="313">
        <f>E13-D13</f>
        <v>0.52000000000000046</v>
      </c>
      <c r="H13" s="44"/>
      <c r="J13" s="341">
        <f>G13/D13</f>
        <v>0.14054054054054066</v>
      </c>
      <c r="L13" s="341"/>
      <c r="N13" s="341"/>
    </row>
    <row r="14" spans="2:14" x14ac:dyDescent="0.3">
      <c r="B14" s="187"/>
      <c r="C14" s="311" t="s">
        <v>332</v>
      </c>
      <c r="D14" s="187">
        <v>3.35</v>
      </c>
      <c r="E14" s="134">
        <f>CalcRet!F20</f>
        <v>0</v>
      </c>
      <c r="F14" s="134" t="e">
        <f>#REF!*(1+#REF!)</f>
        <v>#REF!</v>
      </c>
      <c r="G14" s="306">
        <f>E14-D14</f>
        <v>-3.35</v>
      </c>
      <c r="H14" s="44"/>
      <c r="J14" s="341">
        <f>G14/D14</f>
        <v>-1</v>
      </c>
      <c r="L14" s="563"/>
      <c r="M14" s="564"/>
      <c r="N14" s="341"/>
    </row>
    <row r="15" spans="2:14" ht="6" customHeight="1" x14ac:dyDescent="0.3">
      <c r="B15" s="187"/>
      <c r="C15" s="311"/>
      <c r="D15" s="307"/>
      <c r="E15" s="134"/>
      <c r="F15" s="134"/>
      <c r="G15" s="134"/>
      <c r="H15" s="306"/>
      <c r="N15" s="341"/>
    </row>
    <row r="16" spans="2:14" x14ac:dyDescent="0.3">
      <c r="B16" s="99"/>
      <c r="C16" s="325"/>
      <c r="D16" s="641" t="s">
        <v>306</v>
      </c>
      <c r="E16" s="641"/>
      <c r="F16" s="641"/>
      <c r="G16" s="641"/>
      <c r="H16" s="326"/>
      <c r="N16" s="341"/>
    </row>
    <row r="17" spans="2:14" ht="6" customHeight="1" x14ac:dyDescent="0.3">
      <c r="B17" s="324"/>
      <c r="C17" s="325"/>
      <c r="D17" s="325"/>
      <c r="E17" s="325"/>
      <c r="F17" s="325"/>
      <c r="G17" s="325"/>
      <c r="H17" s="326"/>
      <c r="N17" s="341"/>
    </row>
    <row r="18" spans="2:14" ht="6" customHeight="1" x14ac:dyDescent="0.3">
      <c r="B18" s="307"/>
      <c r="C18" s="314"/>
      <c r="D18" s="332"/>
      <c r="E18" s="135"/>
      <c r="F18" s="134"/>
      <c r="G18" s="306"/>
      <c r="H18" s="306"/>
      <c r="N18" s="341"/>
    </row>
    <row r="19" spans="2:14" ht="16.2" x14ac:dyDescent="0.45">
      <c r="B19" s="187"/>
      <c r="C19" s="315" t="s">
        <v>9</v>
      </c>
      <c r="D19" s="329" t="s">
        <v>304</v>
      </c>
      <c r="E19" s="309" t="s">
        <v>10</v>
      </c>
      <c r="F19" s="309"/>
      <c r="G19" s="310" t="s">
        <v>305</v>
      </c>
      <c r="H19" s="310"/>
      <c r="N19" s="341"/>
    </row>
    <row r="20" spans="2:14" x14ac:dyDescent="0.3">
      <c r="B20" s="187"/>
      <c r="C20" s="311" t="s">
        <v>333</v>
      </c>
      <c r="D20" s="330">
        <v>8.84</v>
      </c>
      <c r="E20" s="312">
        <f>CalcRet!F32</f>
        <v>9</v>
      </c>
      <c r="F20" s="312" t="e">
        <f>#REF!*(1+#REF!)</f>
        <v>#REF!</v>
      </c>
      <c r="G20" s="313">
        <f>E20-D20</f>
        <v>0.16000000000000014</v>
      </c>
      <c r="H20" s="313"/>
      <c r="J20" s="341">
        <f t="shared" ref="J20:J30" si="0">G20/D20</f>
        <v>1.8099547511312233E-2</v>
      </c>
      <c r="L20" s="341"/>
      <c r="N20" s="341"/>
    </row>
    <row r="21" spans="2:14" x14ac:dyDescent="0.3">
      <c r="B21" s="187"/>
      <c r="C21" s="311" t="s">
        <v>334</v>
      </c>
      <c r="D21" s="330">
        <v>9.73</v>
      </c>
      <c r="E21" s="327">
        <f>CalcRet!F33</f>
        <v>13.5</v>
      </c>
      <c r="F21" s="312"/>
      <c r="G21" s="306">
        <f t="shared" ref="G21:G30" si="1">E21-D21</f>
        <v>3.7699999999999996</v>
      </c>
      <c r="H21" s="313"/>
      <c r="J21" s="341">
        <f t="shared" si="0"/>
        <v>0.38746145940390536</v>
      </c>
      <c r="L21" s="341"/>
      <c r="N21" s="341"/>
    </row>
    <row r="22" spans="2:14" x14ac:dyDescent="0.3">
      <c r="B22" s="187"/>
      <c r="C22" s="311" t="s">
        <v>100</v>
      </c>
      <c r="D22" s="307">
        <v>22.11</v>
      </c>
      <c r="E22" s="327">
        <f>CalcRet!F34</f>
        <v>22.5</v>
      </c>
      <c r="F22" s="134" t="e">
        <f>#REF!*(1+#REF!)</f>
        <v>#REF!</v>
      </c>
      <c r="G22" s="306">
        <f t="shared" si="1"/>
        <v>0.39000000000000057</v>
      </c>
      <c r="H22" s="306"/>
      <c r="J22" s="341">
        <f t="shared" si="0"/>
        <v>1.7639077340569905E-2</v>
      </c>
      <c r="L22" s="341"/>
      <c r="N22" s="341"/>
    </row>
    <row r="23" spans="2:14" x14ac:dyDescent="0.3">
      <c r="B23" s="187"/>
      <c r="C23" s="311" t="s">
        <v>307</v>
      </c>
      <c r="D23" s="307">
        <v>44.22</v>
      </c>
      <c r="E23" s="327">
        <f>CalcRet!F35</f>
        <v>45</v>
      </c>
      <c r="F23" s="134"/>
      <c r="G23" s="306">
        <f t="shared" si="1"/>
        <v>0.78000000000000114</v>
      </c>
      <c r="H23" s="306"/>
      <c r="J23" s="341">
        <f t="shared" si="0"/>
        <v>1.7639077340569905E-2</v>
      </c>
      <c r="L23" s="341"/>
      <c r="N23" s="341"/>
    </row>
    <row r="24" spans="2:14" x14ac:dyDescent="0.3">
      <c r="B24" s="187"/>
      <c r="C24" s="311" t="s">
        <v>101</v>
      </c>
      <c r="D24" s="307">
        <v>88.44</v>
      </c>
      <c r="E24" s="327">
        <f>CalcRet!F36</f>
        <v>72</v>
      </c>
      <c r="F24" s="134" t="e">
        <f>#REF!*(1+#REF!)</f>
        <v>#REF!</v>
      </c>
      <c r="G24" s="306">
        <f t="shared" si="1"/>
        <v>-16.439999999999998</v>
      </c>
      <c r="H24" s="306"/>
      <c r="J24" s="341">
        <f t="shared" si="0"/>
        <v>-0.18588873812754408</v>
      </c>
      <c r="L24" s="341"/>
      <c r="N24" s="341"/>
    </row>
    <row r="25" spans="2:14" x14ac:dyDescent="0.3">
      <c r="B25" s="187"/>
      <c r="C25" s="311" t="s">
        <v>308</v>
      </c>
      <c r="D25" s="187">
        <v>128.05000000000001</v>
      </c>
      <c r="E25" s="327">
        <f>CalcRet!F37</f>
        <v>144</v>
      </c>
      <c r="F25" s="134" t="e">
        <f>#REF!*(1+#REF!)</f>
        <v>#REF!</v>
      </c>
      <c r="G25" s="306">
        <f t="shared" si="1"/>
        <v>15.949999999999989</v>
      </c>
      <c r="H25" s="306"/>
      <c r="J25" s="341">
        <f t="shared" si="0"/>
        <v>0.12456071846934781</v>
      </c>
      <c r="L25" s="341"/>
      <c r="N25" s="341"/>
    </row>
    <row r="26" spans="2:14" x14ac:dyDescent="0.3">
      <c r="B26" s="187"/>
      <c r="C26" s="311" t="s">
        <v>168</v>
      </c>
      <c r="D26" s="307">
        <v>128.05000000000001</v>
      </c>
      <c r="E26" s="327">
        <f>CalcRet!F38</f>
        <v>225</v>
      </c>
      <c r="F26" s="134" t="e">
        <f>#REF!*(1+#REF!)</f>
        <v>#REF!</v>
      </c>
      <c r="G26" s="306">
        <f t="shared" si="1"/>
        <v>96.949999999999989</v>
      </c>
      <c r="H26" s="306"/>
      <c r="J26" s="341">
        <f t="shared" si="0"/>
        <v>0.75712612260835599</v>
      </c>
      <c r="L26" s="341"/>
      <c r="N26" s="341"/>
    </row>
    <row r="27" spans="2:14" x14ac:dyDescent="0.3">
      <c r="B27" s="187"/>
      <c r="C27" s="311" t="s">
        <v>309</v>
      </c>
      <c r="D27" s="307">
        <v>128.05000000000001</v>
      </c>
      <c r="E27" s="327">
        <f>CalcRet!F39</f>
        <v>450</v>
      </c>
      <c r="F27" s="134" t="e">
        <f>#REF!*(1+#REF!)</f>
        <v>#REF!</v>
      </c>
      <c r="G27" s="306">
        <f t="shared" si="1"/>
        <v>321.95</v>
      </c>
      <c r="H27" s="306"/>
      <c r="J27" s="341">
        <f t="shared" si="0"/>
        <v>2.5142522452167118</v>
      </c>
      <c r="L27" s="341"/>
      <c r="N27" s="341"/>
    </row>
    <row r="28" spans="2:14" x14ac:dyDescent="0.3">
      <c r="B28" s="187"/>
      <c r="C28" s="311" t="s">
        <v>310</v>
      </c>
      <c r="D28" s="307">
        <v>128.05000000000001</v>
      </c>
      <c r="E28" s="327">
        <f>CalcRet!F40</f>
        <v>720</v>
      </c>
      <c r="F28" s="134"/>
      <c r="G28" s="306">
        <f t="shared" si="1"/>
        <v>591.95000000000005</v>
      </c>
      <c r="H28" s="306"/>
      <c r="J28" s="341">
        <f t="shared" si="0"/>
        <v>4.6228035923467399</v>
      </c>
      <c r="L28" s="341"/>
      <c r="N28" s="341"/>
    </row>
    <row r="29" spans="2:14" x14ac:dyDescent="0.3">
      <c r="B29" s="187"/>
      <c r="C29" s="311" t="s">
        <v>350</v>
      </c>
      <c r="D29" s="307">
        <v>128.05000000000001</v>
      </c>
      <c r="E29" s="327">
        <f>CalcRet!F41</f>
        <v>1890</v>
      </c>
      <c r="F29" s="134"/>
      <c r="G29" s="306">
        <f t="shared" si="1"/>
        <v>1761.95</v>
      </c>
      <c r="H29" s="306"/>
      <c r="J29" s="341">
        <f t="shared" si="0"/>
        <v>13.75985942991019</v>
      </c>
      <c r="L29" s="341"/>
      <c r="N29" s="341"/>
    </row>
    <row r="30" spans="2:14" x14ac:dyDescent="0.3">
      <c r="B30" s="187"/>
      <c r="C30" s="311" t="s">
        <v>351</v>
      </c>
      <c r="D30" s="307">
        <v>128.05000000000001</v>
      </c>
      <c r="E30" s="327">
        <f>CalcRet!F42</f>
        <v>2385</v>
      </c>
      <c r="F30" s="134"/>
      <c r="G30" s="306">
        <f t="shared" si="1"/>
        <v>2256.9499999999998</v>
      </c>
      <c r="H30" s="306"/>
      <c r="J30" s="341">
        <f t="shared" si="0"/>
        <v>17.625536899648573</v>
      </c>
      <c r="L30" s="341"/>
      <c r="N30" s="341"/>
    </row>
    <row r="31" spans="2:14" x14ac:dyDescent="0.3">
      <c r="B31" s="316"/>
      <c r="C31" s="134"/>
      <c r="D31" s="187"/>
      <c r="E31" s="134"/>
      <c r="F31" s="134"/>
      <c r="G31" s="306"/>
      <c r="H31" s="306"/>
      <c r="N31" s="341"/>
    </row>
    <row r="32" spans="2:14" ht="21.6" x14ac:dyDescent="0.65">
      <c r="B32" s="635" t="s">
        <v>335</v>
      </c>
      <c r="C32" s="636"/>
      <c r="D32" s="134" t="s">
        <v>336</v>
      </c>
      <c r="E32" s="134"/>
      <c r="F32" s="134"/>
      <c r="G32" s="134"/>
      <c r="H32" s="306"/>
      <c r="N32" s="341"/>
    </row>
    <row r="33" spans="2:14" ht="6" customHeight="1" x14ac:dyDescent="0.65">
      <c r="B33" s="317"/>
      <c r="C33" s="318"/>
      <c r="D33" s="134"/>
      <c r="E33" s="134"/>
      <c r="F33" s="134"/>
      <c r="G33" s="134"/>
      <c r="H33" s="306"/>
      <c r="N33" s="341"/>
    </row>
    <row r="34" spans="2:14" ht="15" customHeight="1" x14ac:dyDescent="0.65">
      <c r="B34" s="317"/>
      <c r="C34" s="318"/>
      <c r="D34" s="307"/>
      <c r="E34" s="134"/>
      <c r="F34" s="134"/>
      <c r="G34" s="306"/>
      <c r="H34" s="306"/>
      <c r="N34" s="341"/>
    </row>
    <row r="35" spans="2:14" ht="15" customHeight="1" x14ac:dyDescent="0.65">
      <c r="B35" s="317"/>
      <c r="C35" s="48"/>
      <c r="D35" s="329" t="s">
        <v>304</v>
      </c>
      <c r="E35" s="309" t="s">
        <v>10</v>
      </c>
      <c r="F35" s="134"/>
      <c r="G35" s="310" t="s">
        <v>305</v>
      </c>
      <c r="H35" s="310"/>
      <c r="N35" s="341"/>
    </row>
    <row r="36" spans="2:14" ht="15" customHeight="1" x14ac:dyDescent="0.65">
      <c r="B36" s="317"/>
      <c r="C36" s="319" t="s">
        <v>311</v>
      </c>
      <c r="D36" s="331">
        <v>3.35</v>
      </c>
      <c r="E36" s="320">
        <f>CalcRet!D20</f>
        <v>4.2200000000000006</v>
      </c>
      <c r="F36" s="134"/>
      <c r="G36" s="328">
        <f>E36-D36</f>
        <v>0.87000000000000055</v>
      </c>
      <c r="H36" s="328"/>
      <c r="J36" s="341">
        <f>G36/D36</f>
        <v>0.25970149253731362</v>
      </c>
      <c r="L36" s="341"/>
      <c r="N36" s="341"/>
    </row>
    <row r="37" spans="2:14" ht="15" customHeight="1" x14ac:dyDescent="0.65">
      <c r="B37" s="317"/>
      <c r="C37" s="319"/>
      <c r="D37" s="320"/>
      <c r="E37" s="320"/>
      <c r="F37" s="134"/>
      <c r="G37" s="320"/>
      <c r="H37" s="328"/>
      <c r="J37" s="341"/>
      <c r="L37" s="341"/>
      <c r="N37" s="341"/>
    </row>
    <row r="38" spans="2:14" ht="24" customHeight="1" x14ac:dyDescent="0.65">
      <c r="B38" s="635" t="s">
        <v>560</v>
      </c>
      <c r="C38" s="636"/>
      <c r="D38" s="320"/>
      <c r="E38" s="320"/>
      <c r="F38" s="134"/>
      <c r="G38" s="320"/>
      <c r="H38" s="328"/>
      <c r="J38" s="341"/>
      <c r="L38" s="341"/>
      <c r="N38" s="341"/>
    </row>
    <row r="39" spans="2:14" ht="19.2" customHeight="1" x14ac:dyDescent="0.65">
      <c r="B39" s="317"/>
      <c r="C39" s="315" t="s">
        <v>9</v>
      </c>
      <c r="D39" s="329" t="s">
        <v>304</v>
      </c>
      <c r="E39" s="309" t="s">
        <v>10</v>
      </c>
      <c r="F39" s="309"/>
      <c r="G39" s="310" t="s">
        <v>305</v>
      </c>
      <c r="H39" s="328"/>
      <c r="J39" s="341"/>
      <c r="L39" s="341"/>
      <c r="N39" s="341"/>
    </row>
    <row r="40" spans="2:14" ht="16.95" customHeight="1" x14ac:dyDescent="0.65">
      <c r="B40" s="317"/>
      <c r="C40" s="311" t="s">
        <v>308</v>
      </c>
      <c r="D40" s="187">
        <v>1E-4</v>
      </c>
      <c r="E40" s="327">
        <f>CalcRet!G37</f>
        <v>0</v>
      </c>
      <c r="F40" s="134" t="e">
        <f>#REF!*(1+#REF!)</f>
        <v>#REF!</v>
      </c>
      <c r="G40" s="306">
        <f t="shared" ref="G40:G45" si="2">E40-D40</f>
        <v>-1E-4</v>
      </c>
      <c r="H40" s="328"/>
      <c r="J40" s="341">
        <f t="shared" ref="J40:J44" si="3">G40/D40</f>
        <v>-1</v>
      </c>
      <c r="L40" s="341"/>
      <c r="N40" s="341"/>
    </row>
    <row r="41" spans="2:14" ht="16.95" customHeight="1" x14ac:dyDescent="0.65">
      <c r="B41" s="317"/>
      <c r="C41" s="311" t="s">
        <v>168</v>
      </c>
      <c r="D41" s="307">
        <v>1E-4</v>
      </c>
      <c r="E41" s="327">
        <f>CalcRet!G38</f>
        <v>0</v>
      </c>
      <c r="F41" s="134" t="e">
        <f>#REF!*(1+#REF!)</f>
        <v>#REF!</v>
      </c>
      <c r="G41" s="306">
        <f t="shared" si="2"/>
        <v>-1E-4</v>
      </c>
      <c r="H41" s="328"/>
      <c r="J41" s="341">
        <f t="shared" si="3"/>
        <v>-1</v>
      </c>
      <c r="L41" s="341"/>
      <c r="N41" s="341"/>
    </row>
    <row r="42" spans="2:14" ht="16.95" customHeight="1" x14ac:dyDescent="0.65">
      <c r="B42" s="317"/>
      <c r="C42" s="311" t="s">
        <v>309</v>
      </c>
      <c r="D42" s="307">
        <v>1E-4</v>
      </c>
      <c r="E42" s="327">
        <f>CalcRet!G39</f>
        <v>0</v>
      </c>
      <c r="F42" s="134" t="e">
        <f>#REF!*(1+#REF!)</f>
        <v>#REF!</v>
      </c>
      <c r="G42" s="306">
        <f t="shared" si="2"/>
        <v>-1E-4</v>
      </c>
      <c r="H42" s="328"/>
      <c r="J42" s="341">
        <f t="shared" si="3"/>
        <v>-1</v>
      </c>
      <c r="L42" s="341"/>
      <c r="N42" s="341"/>
    </row>
    <row r="43" spans="2:14" ht="16.95" customHeight="1" x14ac:dyDescent="0.65">
      <c r="B43" s="317"/>
      <c r="C43" s="311" t="s">
        <v>310</v>
      </c>
      <c r="D43" s="307">
        <v>1E-4</v>
      </c>
      <c r="E43" s="327">
        <f>CalcRet!G40</f>
        <v>0</v>
      </c>
      <c r="F43" s="134"/>
      <c r="G43" s="306">
        <f t="shared" si="2"/>
        <v>-1E-4</v>
      </c>
      <c r="H43" s="328"/>
      <c r="J43" s="341">
        <f t="shared" si="3"/>
        <v>-1</v>
      </c>
      <c r="L43" s="341"/>
      <c r="N43" s="341"/>
    </row>
    <row r="44" spans="2:14" ht="16.95" customHeight="1" x14ac:dyDescent="0.65">
      <c r="B44" s="317"/>
      <c r="C44" s="311" t="s">
        <v>350</v>
      </c>
      <c r="D44" s="307">
        <v>1E-4</v>
      </c>
      <c r="E44" s="327">
        <f>CalcRet!G41</f>
        <v>0</v>
      </c>
      <c r="F44" s="134"/>
      <c r="G44" s="306">
        <f t="shared" si="2"/>
        <v>-1E-4</v>
      </c>
      <c r="H44" s="328"/>
      <c r="J44" s="341">
        <f t="shared" si="3"/>
        <v>-1</v>
      </c>
      <c r="L44" s="341"/>
      <c r="N44" s="341"/>
    </row>
    <row r="45" spans="2:14" ht="16.95" customHeight="1" x14ac:dyDescent="0.65">
      <c r="B45" s="317"/>
      <c r="C45" s="311" t="s">
        <v>351</v>
      </c>
      <c r="D45" s="307">
        <v>1E-4</v>
      </c>
      <c r="E45" s="327">
        <f>CalcRet!G42</f>
        <v>0</v>
      </c>
      <c r="F45" s="134"/>
      <c r="G45" s="306">
        <f t="shared" si="2"/>
        <v>-1E-4</v>
      </c>
      <c r="H45" s="328"/>
      <c r="J45" s="341">
        <f>G45/D45</f>
        <v>-1</v>
      </c>
      <c r="L45" s="341"/>
      <c r="N45" s="341"/>
    </row>
    <row r="46" spans="2:14" ht="15" customHeight="1" x14ac:dyDescent="0.65">
      <c r="B46" s="317"/>
      <c r="C46" s="319"/>
      <c r="D46" s="320"/>
      <c r="E46" s="320"/>
      <c r="F46" s="134"/>
      <c r="G46" s="320"/>
      <c r="H46" s="328"/>
      <c r="J46" s="341"/>
      <c r="L46" s="341"/>
      <c r="N46" s="341"/>
    </row>
    <row r="47" spans="2:14" ht="21.6" x14ac:dyDescent="0.65">
      <c r="B47" s="635" t="s">
        <v>312</v>
      </c>
      <c r="C47" s="636"/>
      <c r="D47" s="134" t="s">
        <v>336</v>
      </c>
      <c r="E47" s="134"/>
      <c r="F47" s="134"/>
      <c r="G47" s="134"/>
      <c r="H47" s="306"/>
      <c r="N47" s="341"/>
    </row>
    <row r="48" spans="2:14" ht="6" customHeight="1" x14ac:dyDescent="0.65">
      <c r="B48" s="317"/>
      <c r="C48" s="318"/>
      <c r="D48" s="134"/>
      <c r="E48" s="134"/>
      <c r="F48" s="134"/>
      <c r="G48" s="134"/>
      <c r="H48" s="306"/>
      <c r="N48" s="341"/>
    </row>
    <row r="49" spans="2:14" ht="15" customHeight="1" x14ac:dyDescent="0.65">
      <c r="B49" s="317"/>
      <c r="C49" s="318"/>
      <c r="D49" s="307"/>
      <c r="E49" s="134"/>
      <c r="F49" s="134"/>
      <c r="G49" s="306"/>
      <c r="H49" s="306"/>
      <c r="N49" s="341"/>
    </row>
    <row r="50" spans="2:14" ht="15" customHeight="1" x14ac:dyDescent="0.65">
      <c r="B50" s="317"/>
      <c r="C50" s="48"/>
      <c r="D50" s="329" t="s">
        <v>304</v>
      </c>
      <c r="E50" s="309" t="s">
        <v>10</v>
      </c>
      <c r="F50" s="134"/>
      <c r="G50" s="310" t="s">
        <v>305</v>
      </c>
      <c r="H50" s="310"/>
      <c r="N50" s="341"/>
    </row>
    <row r="51" spans="2:14" ht="15" customHeight="1" x14ac:dyDescent="0.65">
      <c r="B51" s="317"/>
      <c r="C51" s="319" t="s">
        <v>311</v>
      </c>
      <c r="D51" s="331">
        <v>2</v>
      </c>
      <c r="E51" s="320">
        <f>Whol!G96</f>
        <v>2.84</v>
      </c>
      <c r="F51" s="134"/>
      <c r="G51" s="328">
        <f>E51-D51</f>
        <v>0.83999999999999986</v>
      </c>
      <c r="H51" s="328"/>
      <c r="J51" s="341">
        <f>G51/D51</f>
        <v>0.41999999999999993</v>
      </c>
      <c r="L51" s="341"/>
      <c r="N51" s="341"/>
    </row>
    <row r="52" spans="2:14" ht="15" customHeight="1" x14ac:dyDescent="0.65">
      <c r="B52" s="317"/>
      <c r="C52" s="319"/>
      <c r="D52" s="331"/>
      <c r="E52" s="320"/>
      <c r="F52" s="134"/>
      <c r="G52" s="306"/>
      <c r="H52" s="306"/>
    </row>
    <row r="53" spans="2:14" x14ac:dyDescent="0.3">
      <c r="B53" s="303"/>
      <c r="C53" s="369" t="s">
        <v>337</v>
      </c>
      <c r="D53" s="640">
        <v>43371</v>
      </c>
      <c r="E53" s="640"/>
      <c r="F53" s="304"/>
      <c r="G53" s="304"/>
      <c r="H53" s="305"/>
    </row>
    <row r="55" spans="2:14" ht="16.2" x14ac:dyDescent="0.45">
      <c r="C55" s="634" t="s">
        <v>314</v>
      </c>
      <c r="D55" s="634"/>
      <c r="E55" s="634"/>
    </row>
    <row r="56" spans="2:14" ht="6.9" customHeight="1" x14ac:dyDescent="0.3">
      <c r="C56" s="1"/>
    </row>
    <row r="57" spans="2:14" ht="16.2" x14ac:dyDescent="0.45">
      <c r="C57" s="1"/>
      <c r="D57" s="333" t="s">
        <v>98</v>
      </c>
      <c r="E57" s="333" t="s">
        <v>10</v>
      </c>
      <c r="G57" s="333" t="s">
        <v>324</v>
      </c>
    </row>
    <row r="58" spans="2:14" x14ac:dyDescent="0.3">
      <c r="C58" s="1" t="s">
        <v>313</v>
      </c>
      <c r="D58" s="334">
        <f>ExBA!F10</f>
        <v>4331282.7749999994</v>
      </c>
      <c r="E58" s="334">
        <f>PrBA!F10</f>
        <v>4966733.0409150003</v>
      </c>
      <c r="G58" s="338">
        <f>(E58-D58)/D58</f>
        <v>0.14671179392460723</v>
      </c>
      <c r="J58" s="334">
        <f>E58-D58</f>
        <v>635450.26591500081</v>
      </c>
    </row>
    <row r="59" spans="2:14" x14ac:dyDescent="0.3">
      <c r="C59" s="1" t="s">
        <v>188</v>
      </c>
      <c r="D59" s="334">
        <f>ExBA!F12</f>
        <v>0</v>
      </c>
      <c r="E59" s="334">
        <f>PrBA!F12</f>
        <v>0</v>
      </c>
      <c r="G59" s="338" t="e">
        <f>(E59-D59)/D59</f>
        <v>#DIV/0!</v>
      </c>
      <c r="J59" s="334">
        <f>E59-D59</f>
        <v>0</v>
      </c>
    </row>
    <row r="60" spans="2:14" ht="16.2" x14ac:dyDescent="0.45">
      <c r="C60" s="1" t="s">
        <v>33</v>
      </c>
      <c r="D60" s="335">
        <f>ExBA!F14</f>
        <v>732372</v>
      </c>
      <c r="E60" s="335">
        <f>PrBA!F14</f>
        <v>1039968.24</v>
      </c>
      <c r="G60" s="338">
        <f t="shared" ref="G60" si="4">(E60-D60)/D60</f>
        <v>0.42</v>
      </c>
      <c r="J60" s="335">
        <f>E60-D60</f>
        <v>307596.24</v>
      </c>
    </row>
    <row r="61" spans="2:14" x14ac:dyDescent="0.3">
      <c r="D61" s="334">
        <f>SUM(D58:D60)</f>
        <v>5063654.7749999994</v>
      </c>
      <c r="E61" s="334">
        <f>SUM(E58:E60)</f>
        <v>6006701.2809150005</v>
      </c>
      <c r="G61" s="338">
        <f>(E61-D61)/D61</f>
        <v>0.18623830964365085</v>
      </c>
      <c r="J61" s="334">
        <f>E61-D61</f>
        <v>943046.50591500103</v>
      </c>
    </row>
  </sheetData>
  <mergeCells count="11">
    <mergeCell ref="C55:E55"/>
    <mergeCell ref="B8:C8"/>
    <mergeCell ref="B47:C47"/>
    <mergeCell ref="B3:G3"/>
    <mergeCell ref="B4:G4"/>
    <mergeCell ref="B5:G5"/>
    <mergeCell ref="B32:C32"/>
    <mergeCell ref="D53:E53"/>
    <mergeCell ref="D9:G9"/>
    <mergeCell ref="D16:G16"/>
    <mergeCell ref="B38:C38"/>
  </mergeCells>
  <printOptions horizontalCentered="1"/>
  <pageMargins left="1" right="0.8" top="1.25" bottom="0.5" header="0" footer="0"/>
  <pageSetup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58"/>
  <sheetViews>
    <sheetView zoomScale="75" zoomScaleNormal="75" workbookViewId="0">
      <selection activeCell="K23" sqref="K23"/>
    </sheetView>
  </sheetViews>
  <sheetFormatPr defaultColWidth="8.90625" defaultRowHeight="14.4" x14ac:dyDescent="0.3"/>
  <cols>
    <col min="1" max="1" width="2.36328125" style="70" customWidth="1"/>
    <col min="2" max="2" width="10.54296875" style="1" customWidth="1"/>
    <col min="3" max="3" width="10.08984375" style="1" customWidth="1"/>
    <col min="4" max="4" width="10.36328125" style="1" customWidth="1"/>
    <col min="5" max="5" width="10.1796875" style="1" customWidth="1"/>
    <col min="6" max="6" width="12.08984375" style="1" customWidth="1"/>
    <col min="7" max="7" width="9.81640625" style="1" customWidth="1"/>
    <col min="8" max="8" width="8.90625" style="1"/>
    <col min="9" max="9" width="1.90625" style="70" bestFit="1" customWidth="1"/>
    <col min="10" max="10" width="13.453125" style="1" customWidth="1"/>
    <col min="11" max="11" width="9" style="1" bestFit="1" customWidth="1"/>
    <col min="12" max="12" width="8.81640625" style="1" customWidth="1"/>
    <col min="13" max="14" width="10.453125" style="1" customWidth="1"/>
    <col min="15" max="15" width="3.1796875" style="1" customWidth="1"/>
    <col min="16" max="16" width="11.1796875" style="1" customWidth="1"/>
    <col min="17" max="17" width="12" style="1" customWidth="1"/>
    <col min="18" max="16384" width="8.90625" style="1"/>
  </cols>
  <sheetData>
    <row r="2" spans="2:16" ht="18" x14ac:dyDescent="0.3">
      <c r="B2" s="121" t="s">
        <v>331</v>
      </c>
      <c r="E2" s="122"/>
      <c r="F2" s="122"/>
      <c r="G2" s="122"/>
    </row>
    <row r="3" spans="2:16" x14ac:dyDescent="0.3">
      <c r="D3" s="123"/>
      <c r="E3" s="122"/>
      <c r="F3" s="122"/>
      <c r="G3" s="122"/>
    </row>
    <row r="4" spans="2:16" x14ac:dyDescent="0.3">
      <c r="B4" s="202" t="s">
        <v>116</v>
      </c>
      <c r="C4" s="7"/>
      <c r="D4" s="7"/>
      <c r="E4" s="7"/>
      <c r="F4" s="7"/>
      <c r="J4" s="202" t="s">
        <v>129</v>
      </c>
    </row>
    <row r="5" spans="2:16" x14ac:dyDescent="0.3">
      <c r="B5" s="360">
        <v>2022</v>
      </c>
    </row>
    <row r="6" spans="2:16" x14ac:dyDescent="0.3">
      <c r="B6" s="7" t="s">
        <v>117</v>
      </c>
      <c r="C6" s="7"/>
      <c r="D6" s="7">
        <v>1471119</v>
      </c>
      <c r="E6" s="7"/>
      <c r="F6" s="50"/>
      <c r="J6" s="1" t="s">
        <v>210</v>
      </c>
      <c r="K6" s="54"/>
      <c r="L6" s="54"/>
      <c r="M6" s="54"/>
    </row>
    <row r="7" spans="2:16" x14ac:dyDescent="0.3">
      <c r="B7" s="7" t="s">
        <v>118</v>
      </c>
      <c r="C7" s="7"/>
      <c r="D7" s="7">
        <v>1293360</v>
      </c>
      <c r="E7" s="7"/>
      <c r="F7" s="7"/>
      <c r="J7" s="203" t="s">
        <v>211</v>
      </c>
      <c r="K7" s="49"/>
      <c r="L7" s="49"/>
      <c r="M7" s="49"/>
    </row>
    <row r="8" spans="2:16" ht="16.2" x14ac:dyDescent="0.45">
      <c r="B8" s="7" t="s">
        <v>119</v>
      </c>
      <c r="C8" s="7"/>
      <c r="D8" s="7"/>
      <c r="E8" s="7"/>
      <c r="F8" s="7"/>
      <c r="J8" s="204" t="s">
        <v>212</v>
      </c>
      <c r="K8" s="49"/>
      <c r="L8" s="49"/>
      <c r="M8" s="124"/>
    </row>
    <row r="9" spans="2:16" x14ac:dyDescent="0.3">
      <c r="B9" s="1" t="s">
        <v>121</v>
      </c>
      <c r="C9" s="7">
        <v>4656</v>
      </c>
      <c r="D9" s="7"/>
      <c r="E9" s="7"/>
      <c r="F9" s="7"/>
      <c r="L9" s="205"/>
      <c r="M9" s="49"/>
    </row>
    <row r="10" spans="2:16" x14ac:dyDescent="0.3">
      <c r="B10" s="7" t="s">
        <v>120</v>
      </c>
      <c r="C10" s="7">
        <v>12422</v>
      </c>
      <c r="D10" s="7"/>
      <c r="E10" s="7"/>
      <c r="F10" s="7"/>
      <c r="L10" s="205"/>
      <c r="M10" s="49"/>
    </row>
    <row r="11" spans="2:16" x14ac:dyDescent="0.3">
      <c r="B11" s="7" t="s">
        <v>122</v>
      </c>
      <c r="C11" s="7">
        <v>3849</v>
      </c>
      <c r="D11" s="7"/>
      <c r="E11" s="7"/>
      <c r="F11" s="7"/>
      <c r="I11" s="494" t="s">
        <v>250</v>
      </c>
      <c r="J11" s="202" t="s">
        <v>279</v>
      </c>
      <c r="L11" s="205"/>
      <c r="M11" s="49"/>
      <c r="N11" s="202"/>
    </row>
    <row r="12" spans="2:16" x14ac:dyDescent="0.3">
      <c r="B12" s="7" t="s">
        <v>123</v>
      </c>
      <c r="C12" s="55">
        <v>0</v>
      </c>
      <c r="D12" s="7"/>
      <c r="E12" s="7"/>
      <c r="F12" s="7"/>
      <c r="L12" s="205"/>
      <c r="M12" s="49"/>
    </row>
    <row r="13" spans="2:16" ht="16.2" x14ac:dyDescent="0.45">
      <c r="B13" s="7"/>
      <c r="C13" s="7"/>
      <c r="D13" s="7">
        <f>SUM(C9:C12)</f>
        <v>20927</v>
      </c>
      <c r="E13" s="7"/>
      <c r="F13" s="7"/>
      <c r="J13" s="604" t="s">
        <v>278</v>
      </c>
      <c r="K13" s="604"/>
      <c r="L13" s="552" t="s">
        <v>218</v>
      </c>
      <c r="M13" s="1" t="s">
        <v>218</v>
      </c>
      <c r="N13" s="264"/>
      <c r="P13" s="264"/>
    </row>
    <row r="14" spans="2:16" ht="16.2" x14ac:dyDescent="0.45">
      <c r="B14" s="7" t="s">
        <v>124</v>
      </c>
      <c r="C14" s="7">
        <v>0</v>
      </c>
      <c r="D14" s="7"/>
      <c r="E14" s="7"/>
      <c r="F14" s="7"/>
      <c r="J14" s="553">
        <v>15000</v>
      </c>
      <c r="K14" s="1" t="s">
        <v>235</v>
      </c>
      <c r="L14" s="111"/>
      <c r="N14" s="268"/>
      <c r="P14" s="268"/>
    </row>
    <row r="15" spans="2:16" x14ac:dyDescent="0.3">
      <c r="B15" s="7" t="s">
        <v>125</v>
      </c>
      <c r="C15" s="7">
        <v>148333</v>
      </c>
      <c r="D15" s="7"/>
      <c r="E15" s="7"/>
      <c r="F15" s="7"/>
      <c r="I15" s="495"/>
      <c r="J15" s="340">
        <f>J14</f>
        <v>15000</v>
      </c>
      <c r="N15" s="57"/>
      <c r="P15" s="57"/>
    </row>
    <row r="16" spans="2:16" ht="16.2" x14ac:dyDescent="0.45">
      <c r="B16" s="1" t="s">
        <v>213</v>
      </c>
      <c r="C16" s="55">
        <v>8500</v>
      </c>
      <c r="D16" s="7"/>
      <c r="E16" s="7"/>
      <c r="F16" s="7"/>
      <c r="J16" s="266">
        <v>3</v>
      </c>
      <c r="K16" s="1" t="s">
        <v>316</v>
      </c>
    </row>
    <row r="17" spans="1:17" x14ac:dyDescent="0.3">
      <c r="B17" s="7"/>
      <c r="C17" s="7"/>
      <c r="D17" s="7">
        <f>SUM(C14:C16)</f>
        <v>156833</v>
      </c>
      <c r="E17" s="51">
        <f>D17/D6</f>
        <v>0.10660796305397456</v>
      </c>
      <c r="F17" s="7" t="s">
        <v>126</v>
      </c>
      <c r="I17" s="495"/>
      <c r="J17" s="554">
        <f>J15/J16</f>
        <v>5000</v>
      </c>
      <c r="K17" s="111" t="s">
        <v>130</v>
      </c>
    </row>
    <row r="18" spans="1:17" x14ac:dyDescent="0.3">
      <c r="B18" s="52" t="s">
        <v>127</v>
      </c>
      <c r="C18" s="7">
        <f>SUM(D7:D17)</f>
        <v>1471120</v>
      </c>
      <c r="E18" s="125">
        <v>0.15</v>
      </c>
      <c r="F18" s="7" t="s">
        <v>128</v>
      </c>
      <c r="I18" s="495"/>
      <c r="J18" s="554"/>
      <c r="K18" s="111"/>
    </row>
    <row r="19" spans="1:17" x14ac:dyDescent="0.3">
      <c r="B19" s="53"/>
      <c r="C19" s="7"/>
      <c r="D19" s="7"/>
      <c r="E19" s="209">
        <f>E17-E18</f>
        <v>-4.3392036946025433E-2</v>
      </c>
      <c r="F19" s="210" t="s">
        <v>393</v>
      </c>
      <c r="I19" s="495"/>
      <c r="J19" s="265">
        <v>11928</v>
      </c>
      <c r="K19" s="1" t="s">
        <v>598</v>
      </c>
    </row>
    <row r="20" spans="1:17" x14ac:dyDescent="0.3">
      <c r="I20" s="495"/>
      <c r="J20" s="554"/>
      <c r="K20" s="111"/>
    </row>
    <row r="21" spans="1:17" ht="16.2" x14ac:dyDescent="0.45">
      <c r="I21" s="495"/>
      <c r="J21" s="605" t="s">
        <v>551</v>
      </c>
      <c r="K21" s="605"/>
    </row>
    <row r="22" spans="1:17" x14ac:dyDescent="0.3">
      <c r="A22" s="494" t="s">
        <v>247</v>
      </c>
      <c r="B22" s="202" t="s">
        <v>214</v>
      </c>
      <c r="C22" s="48"/>
      <c r="D22" s="48"/>
      <c r="E22" s="49"/>
      <c r="I22" s="495"/>
      <c r="K22" s="1" t="s">
        <v>553</v>
      </c>
      <c r="L22" s="1" t="s">
        <v>554</v>
      </c>
      <c r="M22" s="1" t="s">
        <v>555</v>
      </c>
    </row>
    <row r="23" spans="1:17" x14ac:dyDescent="0.3">
      <c r="B23" s="7"/>
      <c r="C23" s="48"/>
      <c r="D23" s="48"/>
      <c r="E23" s="49"/>
      <c r="H23" s="49"/>
      <c r="I23" s="495"/>
      <c r="J23" s="265" t="s">
        <v>556</v>
      </c>
      <c r="K23" s="466">
        <f>(206.6+86.61+654.85+108.68+373.68)*12</f>
        <v>17165.04</v>
      </c>
      <c r="L23" s="466">
        <f>2166.6+764.04+2156.69+339.39+43.46+43.48+43.82</f>
        <v>5557.48</v>
      </c>
      <c r="M23" s="94">
        <f>K23-L23</f>
        <v>11607.560000000001</v>
      </c>
    </row>
    <row r="24" spans="1:17" ht="16.2" x14ac:dyDescent="0.45">
      <c r="C24" s="214" t="s">
        <v>13</v>
      </c>
      <c r="D24" s="461"/>
      <c r="E24" s="214" t="s">
        <v>209</v>
      </c>
      <c r="H24" s="49"/>
      <c r="I24" s="495"/>
      <c r="J24" s="265" t="s">
        <v>552</v>
      </c>
      <c r="K24" s="558">
        <f>3909.52*12</f>
        <v>46914.239999999998</v>
      </c>
      <c r="L24" s="558">
        <v>36580</v>
      </c>
      <c r="M24" s="559">
        <f t="shared" ref="M24" si="0">K24-L24</f>
        <v>10334.239999999998</v>
      </c>
    </row>
    <row r="25" spans="1:17" ht="16.2" x14ac:dyDescent="0.45">
      <c r="C25" s="214" t="s">
        <v>217</v>
      </c>
      <c r="D25" s="214" t="s">
        <v>443</v>
      </c>
      <c r="E25" s="214" t="s">
        <v>216</v>
      </c>
      <c r="H25" s="49"/>
      <c r="K25" s="466">
        <f>SUM(K23:K24)</f>
        <v>64079.28</v>
      </c>
      <c r="L25" s="466">
        <f>SUM(L23:L24)</f>
        <v>42137.479999999996</v>
      </c>
      <c r="M25" s="94">
        <f>SUM(M23:M24)</f>
        <v>21941.8</v>
      </c>
      <c r="Q25" s="94"/>
    </row>
    <row r="26" spans="1:17" x14ac:dyDescent="0.3">
      <c r="B26" s="7" t="s">
        <v>220</v>
      </c>
      <c r="C26" s="48">
        <f>552+320.83</f>
        <v>872.82999999999993</v>
      </c>
      <c r="D26" s="17">
        <v>5</v>
      </c>
      <c r="E26" s="48">
        <f>C26*D26</f>
        <v>4364.1499999999996</v>
      </c>
      <c r="H26" s="49"/>
      <c r="Q26" s="94"/>
    </row>
    <row r="27" spans="1:17" x14ac:dyDescent="0.3">
      <c r="B27" s="7" t="s">
        <v>234</v>
      </c>
      <c r="C27" s="48">
        <f>1144.16+645.83</f>
        <v>1789.9900000000002</v>
      </c>
      <c r="D27" s="17">
        <v>3</v>
      </c>
      <c r="E27" s="48">
        <f>C27*D27</f>
        <v>5369.9700000000012</v>
      </c>
      <c r="H27" s="49"/>
      <c r="I27" s="494" t="s">
        <v>245</v>
      </c>
      <c r="J27" s="202" t="s">
        <v>359</v>
      </c>
      <c r="Q27" s="2"/>
    </row>
    <row r="28" spans="1:17" x14ac:dyDescent="0.3">
      <c r="B28" s="7" t="s">
        <v>442</v>
      </c>
      <c r="C28" s="48">
        <f>982.67+645.83</f>
        <v>1628.5</v>
      </c>
      <c r="D28" s="17">
        <v>5</v>
      </c>
      <c r="E28" s="48">
        <f>C28*D28</f>
        <v>8142.5</v>
      </c>
      <c r="H28" s="49"/>
      <c r="J28" s="111" t="s">
        <v>355</v>
      </c>
    </row>
    <row r="29" spans="1:17" ht="16.2" x14ac:dyDescent="0.45">
      <c r="B29" s="7" t="s">
        <v>221</v>
      </c>
      <c r="C29" s="48">
        <f>1736.33+645.83</f>
        <v>2382.16</v>
      </c>
      <c r="D29" s="17">
        <v>8</v>
      </c>
      <c r="E29" s="216">
        <f>C29*D29</f>
        <v>19057.28</v>
      </c>
      <c r="H29" s="49"/>
      <c r="J29" s="383">
        <v>44926</v>
      </c>
      <c r="K29" s="1" t="s">
        <v>356</v>
      </c>
      <c r="N29" s="48">
        <v>1375.86</v>
      </c>
    </row>
    <row r="30" spans="1:17" x14ac:dyDescent="0.3">
      <c r="B30" s="7"/>
      <c r="D30" s="217" t="s">
        <v>224</v>
      </c>
      <c r="E30" s="48">
        <f>SUM(E26:E29)</f>
        <v>36933.9</v>
      </c>
      <c r="G30" s="49"/>
      <c r="H30" s="49"/>
      <c r="J30" s="383">
        <v>44926</v>
      </c>
      <c r="K30" s="1" t="s">
        <v>357</v>
      </c>
      <c r="N30" s="48">
        <v>7475.03</v>
      </c>
      <c r="P30" s="17"/>
    </row>
    <row r="31" spans="1:17" x14ac:dyDescent="0.3">
      <c r="B31" s="7"/>
      <c r="C31" s="48"/>
      <c r="D31" s="217" t="s">
        <v>226</v>
      </c>
      <c r="E31" s="48">
        <f>E30*12</f>
        <v>443206.80000000005</v>
      </c>
      <c r="H31" s="49"/>
      <c r="J31" s="383">
        <v>44926</v>
      </c>
      <c r="K31" s="1" t="s">
        <v>358</v>
      </c>
      <c r="N31" s="79">
        <v>42154.06</v>
      </c>
      <c r="P31" s="17"/>
    </row>
    <row r="32" spans="1:17" ht="16.2" x14ac:dyDescent="0.45">
      <c r="B32" s="7"/>
      <c r="C32" s="48"/>
      <c r="D32" s="217" t="s">
        <v>227</v>
      </c>
      <c r="E32" s="216">
        <f>-Adj_Ben!B21-Adj_Ben!H21</f>
        <v>-388543.51</v>
      </c>
      <c r="H32" s="124"/>
      <c r="N32" s="48">
        <f>SUM(N29:N31)</f>
        <v>51004.95</v>
      </c>
      <c r="P32" s="2"/>
    </row>
    <row r="33" spans="1:13" x14ac:dyDescent="0.3">
      <c r="B33" s="7"/>
      <c r="C33" s="48"/>
      <c r="D33" s="205" t="s">
        <v>228</v>
      </c>
      <c r="E33" s="207">
        <f>E31+E32</f>
        <v>54663.290000000037</v>
      </c>
      <c r="H33" s="49"/>
      <c r="K33" s="17"/>
      <c r="L33" s="17"/>
      <c r="M33" s="17"/>
    </row>
    <row r="34" spans="1:13" x14ac:dyDescent="0.3">
      <c r="B34" s="7"/>
      <c r="C34" s="48"/>
      <c r="D34" s="48"/>
      <c r="E34" s="48"/>
      <c r="F34" s="48"/>
      <c r="H34" s="49"/>
      <c r="I34" s="494" t="s">
        <v>246</v>
      </c>
      <c r="J34" s="202" t="s">
        <v>444</v>
      </c>
      <c r="L34" s="17"/>
    </row>
    <row r="35" spans="1:13" x14ac:dyDescent="0.3">
      <c r="B35" s="7"/>
      <c r="C35" s="48"/>
      <c r="D35" s="48"/>
      <c r="E35" s="48"/>
      <c r="F35" s="48"/>
      <c r="H35" s="49"/>
      <c r="J35" s="48">
        <f>-5046.02-2579.29-982.41-409.05-267.93-136.35</f>
        <v>-9421.0500000000011</v>
      </c>
      <c r="L35" s="17"/>
      <c r="M35" s="30"/>
    </row>
    <row r="36" spans="1:13" x14ac:dyDescent="0.3">
      <c r="B36" s="7"/>
      <c r="C36" s="48"/>
      <c r="D36" s="48"/>
      <c r="E36" s="48"/>
      <c r="F36" s="48"/>
      <c r="H36" s="49"/>
    </row>
    <row r="37" spans="1:13" x14ac:dyDescent="0.3">
      <c r="B37" s="202" t="s">
        <v>451</v>
      </c>
      <c r="C37" s="48"/>
      <c r="D37" s="48"/>
      <c r="E37" s="48"/>
      <c r="F37" s="48"/>
      <c r="H37" s="49"/>
      <c r="I37" s="496"/>
    </row>
    <row r="38" spans="1:13" x14ac:dyDescent="0.3">
      <c r="B38" s="1">
        <v>2022</v>
      </c>
      <c r="C38" s="1" t="s">
        <v>472</v>
      </c>
      <c r="D38" s="486">
        <v>160166.37</v>
      </c>
      <c r="F38" s="48"/>
      <c r="H38" s="49"/>
      <c r="I38" s="494" t="s">
        <v>430</v>
      </c>
      <c r="J38" s="202" t="s">
        <v>447</v>
      </c>
    </row>
    <row r="39" spans="1:13" ht="16.2" x14ac:dyDescent="0.45">
      <c r="B39" s="1">
        <v>2023</v>
      </c>
      <c r="C39" s="1" t="s">
        <v>472</v>
      </c>
      <c r="D39" s="488">
        <v>161300.35</v>
      </c>
      <c r="F39" s="214"/>
      <c r="H39" s="49"/>
      <c r="J39" s="463">
        <f>-218.9*2</f>
        <v>-437.8</v>
      </c>
      <c r="K39" s="49" t="s">
        <v>445</v>
      </c>
    </row>
    <row r="40" spans="1:13" ht="16.2" x14ac:dyDescent="0.45">
      <c r="C40" s="95"/>
      <c r="D40" s="486">
        <f>D39-D38</f>
        <v>1133.9800000000105</v>
      </c>
      <c r="E40" s="487">
        <f>D40/D38</f>
        <v>7.0800131138641061E-3</v>
      </c>
      <c r="F40" s="210" t="s">
        <v>473</v>
      </c>
      <c r="I40" s="497"/>
      <c r="J40" s="464">
        <f>-1888-354</f>
        <v>-2242</v>
      </c>
      <c r="K40" s="49" t="s">
        <v>446</v>
      </c>
    </row>
    <row r="41" spans="1:13" x14ac:dyDescent="0.3">
      <c r="C41" s="224"/>
      <c r="D41" s="486"/>
      <c r="E41" s="17"/>
      <c r="F41" s="17"/>
      <c r="I41" s="497"/>
      <c r="J41" s="463">
        <f>SUM(J39:J40)</f>
        <v>-2679.8</v>
      </c>
      <c r="K41" s="49"/>
    </row>
    <row r="42" spans="1:13" x14ac:dyDescent="0.3">
      <c r="B42" s="17"/>
      <c r="C42" s="224"/>
      <c r="D42" s="486"/>
      <c r="E42" s="17"/>
      <c r="F42" s="17"/>
      <c r="I42" s="497"/>
      <c r="J42" s="463"/>
      <c r="K42" s="49"/>
    </row>
    <row r="43" spans="1:13" ht="16.2" x14ac:dyDescent="0.45">
      <c r="B43" s="17"/>
      <c r="C43" s="225"/>
      <c r="D43" s="486"/>
      <c r="E43" s="82"/>
      <c r="F43" s="17"/>
      <c r="I43" s="497"/>
      <c r="J43" s="202"/>
      <c r="K43" s="265"/>
    </row>
    <row r="44" spans="1:13" x14ac:dyDescent="0.3">
      <c r="B44" s="17"/>
      <c r="C44" s="17"/>
      <c r="D44" s="486"/>
      <c r="E44" s="17"/>
      <c r="F44" s="17"/>
      <c r="J44" s="202"/>
      <c r="K44" s="465"/>
      <c r="L44" s="54"/>
      <c r="M44" s="54"/>
    </row>
    <row r="45" spans="1:13" ht="16.2" x14ac:dyDescent="0.45">
      <c r="A45" s="494" t="s">
        <v>248</v>
      </c>
      <c r="B45" s="202" t="s">
        <v>450</v>
      </c>
      <c r="C45" s="17"/>
      <c r="D45" s="486"/>
      <c r="E45" s="82"/>
      <c r="F45" s="17"/>
      <c r="K45" s="466"/>
      <c r="L45" s="447"/>
      <c r="M45" s="467"/>
    </row>
    <row r="46" spans="1:13" x14ac:dyDescent="0.3">
      <c r="B46" s="1">
        <v>2022</v>
      </c>
      <c r="C46" s="1" t="s">
        <v>472</v>
      </c>
      <c r="D46" s="486">
        <v>31400.68</v>
      </c>
      <c r="E46" s="17"/>
      <c r="F46" s="17"/>
    </row>
    <row r="47" spans="1:13" x14ac:dyDescent="0.3">
      <c r="B47" s="1">
        <v>2023</v>
      </c>
      <c r="C47" s="1" t="s">
        <v>472</v>
      </c>
      <c r="D47" s="488">
        <v>65121.86</v>
      </c>
      <c r="E47" s="17"/>
      <c r="F47" s="17"/>
      <c r="M47" s="139"/>
    </row>
    <row r="48" spans="1:13" x14ac:dyDescent="0.3">
      <c r="D48" s="486">
        <f>D47-D46</f>
        <v>33721.18</v>
      </c>
      <c r="E48" s="487">
        <f>D48/D46</f>
        <v>1.0738996735102553</v>
      </c>
      <c r="F48" s="1" t="s">
        <v>474</v>
      </c>
    </row>
    <row r="49" spans="1:10" x14ac:dyDescent="0.3">
      <c r="D49" s="486"/>
      <c r="E49" s="488">
        <f>SAO!F24</f>
        <v>184062.09</v>
      </c>
      <c r="F49" s="1" t="s">
        <v>475</v>
      </c>
    </row>
    <row r="50" spans="1:10" x14ac:dyDescent="0.3">
      <c r="D50" s="486"/>
      <c r="E50" s="489">
        <f>E49*E48</f>
        <v>197664.21835661522</v>
      </c>
      <c r="F50" s="111" t="s">
        <v>476</v>
      </c>
    </row>
    <row r="51" spans="1:10" x14ac:dyDescent="0.3">
      <c r="D51" s="486"/>
      <c r="J51" s="202"/>
    </row>
    <row r="52" spans="1:10" x14ac:dyDescent="0.3">
      <c r="D52" s="486"/>
    </row>
    <row r="53" spans="1:10" x14ac:dyDescent="0.3">
      <c r="A53" s="494" t="s">
        <v>249</v>
      </c>
      <c r="B53" s="202" t="s">
        <v>449</v>
      </c>
      <c r="D53" s="486"/>
    </row>
    <row r="54" spans="1:10" x14ac:dyDescent="0.3">
      <c r="B54" s="1">
        <v>2022</v>
      </c>
      <c r="C54" s="1" t="s">
        <v>472</v>
      </c>
      <c r="D54" s="486">
        <v>56328.69</v>
      </c>
    </row>
    <row r="55" spans="1:10" x14ac:dyDescent="0.3">
      <c r="B55" s="1">
        <v>2023</v>
      </c>
      <c r="C55" s="1" t="s">
        <v>472</v>
      </c>
      <c r="D55" s="488">
        <v>76278.570000000007</v>
      </c>
    </row>
    <row r="56" spans="1:10" x14ac:dyDescent="0.3">
      <c r="D56" s="486">
        <f>D55-D54</f>
        <v>19949.880000000005</v>
      </c>
      <c r="E56" s="487">
        <f>D56/D54</f>
        <v>0.35416907440950612</v>
      </c>
      <c r="F56" s="1" t="s">
        <v>474</v>
      </c>
    </row>
    <row r="57" spans="1:10" x14ac:dyDescent="0.3">
      <c r="D57" s="486"/>
      <c r="E57" s="488">
        <f>SAO!F25</f>
        <v>265157.48</v>
      </c>
      <c r="F57" s="1" t="s">
        <v>475</v>
      </c>
    </row>
    <row r="58" spans="1:10" x14ac:dyDescent="0.3">
      <c r="E58" s="489">
        <f>E57*E56</f>
        <v>93910.579264357119</v>
      </c>
      <c r="F58" s="111" t="s">
        <v>477</v>
      </c>
    </row>
  </sheetData>
  <mergeCells count="2">
    <mergeCell ref="J13:K13"/>
    <mergeCell ref="J21:K21"/>
  </mergeCells>
  <pageMargins left="0.7" right="0.7" top="0.75" bottom="0.75" header="0.3" footer="0.3"/>
  <pageSetup scale="53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DB7F4-4876-419C-A81D-FA9A5CC8E62A}">
  <dimension ref="A2:AC38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8.90625" defaultRowHeight="14.4" x14ac:dyDescent="0.3"/>
  <cols>
    <col min="1" max="1" width="11.6328125" style="49" bestFit="1" customWidth="1"/>
    <col min="2" max="2" width="8.90625" style="49"/>
    <col min="3" max="3" width="9.81640625" style="49" bestFit="1" customWidth="1"/>
    <col min="4" max="5" width="9.81640625" style="49" customWidth="1"/>
    <col min="6" max="12" width="8.90625" style="49"/>
    <col min="13" max="13" width="9.81640625" style="49" bestFit="1" customWidth="1"/>
    <col min="14" max="14" width="8.90625" style="49"/>
    <col min="15" max="15" width="10.36328125" style="49" customWidth="1"/>
    <col min="16" max="16" width="2.6328125" style="49" customWidth="1"/>
    <col min="17" max="17" width="11.6328125" style="49" bestFit="1" customWidth="1"/>
    <col min="18" max="18" width="8.36328125" style="49" customWidth="1"/>
    <col min="19" max="19" width="6.90625" style="49" customWidth="1"/>
    <col min="20" max="20" width="11.54296875" style="49" customWidth="1"/>
    <col min="21" max="21" width="6.1796875" style="49" customWidth="1"/>
    <col min="22" max="22" width="8.81640625" style="49" customWidth="1"/>
    <col min="23" max="23" width="8.90625" style="49"/>
    <col min="24" max="24" width="10.6328125" style="49" customWidth="1"/>
    <col min="25" max="25" width="9.81640625" style="49" bestFit="1" customWidth="1"/>
    <col min="26" max="26" width="9.81640625" style="49" customWidth="1"/>
    <col min="27" max="27" width="11" style="49" customWidth="1"/>
    <col min="28" max="28" width="9.81640625" style="49" bestFit="1" customWidth="1"/>
    <col min="29" max="29" width="11.08984375" style="49" customWidth="1"/>
    <col min="30" max="16384" width="8.90625" style="49"/>
  </cols>
  <sheetData>
    <row r="2" spans="1:29" x14ac:dyDescent="0.3">
      <c r="V2" s="265"/>
      <c r="W2" s="265"/>
      <c r="X2" s="265"/>
      <c r="Y2" s="265"/>
      <c r="Z2" s="265"/>
      <c r="AA2" s="265"/>
    </row>
    <row r="3" spans="1:29" ht="16.2" x14ac:dyDescent="0.45">
      <c r="B3" s="645" t="s">
        <v>525</v>
      </c>
      <c r="C3" s="645"/>
      <c r="D3" s="645" t="s">
        <v>524</v>
      </c>
      <c r="E3" s="645"/>
      <c r="F3" s="645" t="s">
        <v>523</v>
      </c>
      <c r="G3" s="645"/>
      <c r="H3" s="645" t="s">
        <v>522</v>
      </c>
      <c r="I3" s="645"/>
      <c r="J3" s="645" t="s">
        <v>521</v>
      </c>
      <c r="K3" s="645"/>
      <c r="L3" s="645" t="s">
        <v>520</v>
      </c>
      <c r="M3" s="645"/>
      <c r="N3" s="642" t="s">
        <v>115</v>
      </c>
      <c r="O3" s="643"/>
      <c r="P3" s="549"/>
      <c r="Q3" s="549"/>
      <c r="R3" s="643" t="s">
        <v>519</v>
      </c>
      <c r="S3" s="643"/>
      <c r="T3" s="643"/>
      <c r="U3" s="643"/>
      <c r="V3" s="549"/>
      <c r="W3" s="644" t="s">
        <v>518</v>
      </c>
      <c r="X3" s="644"/>
      <c r="Y3" s="644"/>
    </row>
    <row r="4" spans="1:29" ht="16.2" x14ac:dyDescent="0.45">
      <c r="A4" s="264" t="s">
        <v>517</v>
      </c>
      <c r="B4" s="548" t="s">
        <v>514</v>
      </c>
      <c r="C4" s="548" t="s">
        <v>196</v>
      </c>
      <c r="D4" s="548" t="s">
        <v>514</v>
      </c>
      <c r="E4" s="548" t="s">
        <v>196</v>
      </c>
      <c r="F4" s="548" t="s">
        <v>514</v>
      </c>
      <c r="G4" s="548" t="s">
        <v>196</v>
      </c>
      <c r="H4" s="548" t="s">
        <v>514</v>
      </c>
      <c r="I4" s="548" t="s">
        <v>196</v>
      </c>
      <c r="J4" s="548" t="s">
        <v>514</v>
      </c>
      <c r="K4" s="548" t="s">
        <v>196</v>
      </c>
      <c r="L4" s="548" t="s">
        <v>514</v>
      </c>
      <c r="M4" s="548" t="s">
        <v>196</v>
      </c>
      <c r="N4" s="502" t="s">
        <v>514</v>
      </c>
      <c r="O4" s="219" t="s">
        <v>196</v>
      </c>
      <c r="P4" s="219"/>
      <c r="Q4" s="219" t="s">
        <v>517</v>
      </c>
      <c r="R4" s="219" t="s">
        <v>514</v>
      </c>
      <c r="S4" s="219"/>
      <c r="T4" s="219" t="s">
        <v>196</v>
      </c>
      <c r="U4" s="219"/>
      <c r="V4" s="219"/>
      <c r="W4" s="219" t="s">
        <v>514</v>
      </c>
      <c r="X4" s="219" t="s">
        <v>196</v>
      </c>
      <c r="Y4" s="219" t="s">
        <v>516</v>
      </c>
    </row>
    <row r="5" spans="1:29" x14ac:dyDescent="0.3">
      <c r="A5" s="49">
        <v>0</v>
      </c>
      <c r="B5" s="49">
        <f>Use_Dtl!B6+Use_Dtl!D6+Use_Dtl!F6+Use_Dtl!H6</f>
        <v>4755</v>
      </c>
      <c r="C5" s="49">
        <f>Use_Dtl!C6+Use_Dtl!E6+Use_Dtl!G6+Use_Dtl!I6</f>
        <v>0</v>
      </c>
      <c r="D5" s="49">
        <f>Use_Dtl!J6+Use_Dtl!L6</f>
        <v>8</v>
      </c>
      <c r="E5" s="49">
        <f>Use_Dtl!K6+Use_Dtl!M6</f>
        <v>0</v>
      </c>
      <c r="F5" s="49">
        <f>Use_Dtl!N6+Use_Dtl!P6+Use_Dtl!R6</f>
        <v>233</v>
      </c>
      <c r="G5" s="49">
        <f>Use_Dtl!O6+Use_Dtl!Q6+Use_Dtl!S6</f>
        <v>0</v>
      </c>
      <c r="H5" s="49">
        <f>Use_Dtl!T6+Use_Dtl!V6</f>
        <v>3</v>
      </c>
      <c r="I5" s="49">
        <f>Use_Dtl!U6+Use_Dtl!W6</f>
        <v>0</v>
      </c>
      <c r="J5" s="49">
        <f>Use_Dtl!X6+Use_Dtl!Z6</f>
        <v>64</v>
      </c>
      <c r="K5" s="49">
        <f>Use_Dtl!Y6+Use_Dtl!AA6</f>
        <v>0</v>
      </c>
      <c r="L5" s="49">
        <f>Use_Dtl!AB6+Use_Dtl!AD6+Use_Dtl!AF6+Use_Dtl!AH6</f>
        <v>45</v>
      </c>
      <c r="M5" s="49">
        <f>Use_Dtl!AC6+Use_Dtl!AE6+Use_Dtl!AG6+Use_Dtl!AI6</f>
        <v>0</v>
      </c>
      <c r="N5" s="67">
        <f t="shared" ref="N5:N20" si="0">B5+D5+F5+H5+J5+L5</f>
        <v>5108</v>
      </c>
      <c r="O5" s="49">
        <f t="shared" ref="O5:O20" si="1">C5+E5+G5+I5+K5+M5</f>
        <v>0</v>
      </c>
      <c r="Q5" s="49">
        <v>0</v>
      </c>
      <c r="R5" s="49">
        <f>N5</f>
        <v>5108</v>
      </c>
      <c r="S5" s="545">
        <f t="shared" ref="S5:S19" si="2">R5/$N$32</f>
        <v>4.6958024600562615E-2</v>
      </c>
      <c r="T5" s="49">
        <f>O5</f>
        <v>0</v>
      </c>
      <c r="U5" s="545">
        <f t="shared" ref="U5:U19" si="3">T5/$O$32</f>
        <v>0</v>
      </c>
      <c r="AB5" s="49">
        <v>0</v>
      </c>
      <c r="AC5" s="265">
        <f>T5</f>
        <v>0</v>
      </c>
    </row>
    <row r="6" spans="1:29" x14ac:dyDescent="0.3">
      <c r="A6" s="49">
        <v>5000</v>
      </c>
      <c r="B6" s="49">
        <f>Use_Dtl!B7+Use_Dtl!D7+Use_Dtl!F7+Use_Dtl!H7</f>
        <v>64267</v>
      </c>
      <c r="C6" s="49">
        <f>Use_Dtl!C7+Use_Dtl!E7+Use_Dtl!G7+Use_Dtl!I7</f>
        <v>187659300</v>
      </c>
      <c r="D6" s="49">
        <f>Use_Dtl!J7+Use_Dtl!L7</f>
        <v>186</v>
      </c>
      <c r="E6" s="49">
        <f>Use_Dtl!K7+Use_Dtl!M7</f>
        <v>570000</v>
      </c>
      <c r="F6" s="49">
        <f>Use_Dtl!N7+Use_Dtl!P7+Use_Dtl!R7</f>
        <v>569</v>
      </c>
      <c r="G6" s="49">
        <f>Use_Dtl!O7+Use_Dtl!Q7+Use_Dtl!S7</f>
        <v>1332700</v>
      </c>
      <c r="H6" s="49">
        <f>Use_Dtl!T7+Use_Dtl!V7</f>
        <v>26</v>
      </c>
      <c r="I6" s="49">
        <f>Use_Dtl!U7+Use_Dtl!W7</f>
        <v>64100</v>
      </c>
      <c r="J6" s="49">
        <f>Use_Dtl!X7+Use_Dtl!Z7</f>
        <v>69</v>
      </c>
      <c r="K6" s="49">
        <f>Use_Dtl!Y7+Use_Dtl!AA7</f>
        <v>153900</v>
      </c>
      <c r="L6" s="49">
        <f>Use_Dtl!AB7+Use_Dtl!AD7+Use_Dtl!AF7+Use_Dtl!AH7</f>
        <v>56</v>
      </c>
      <c r="M6" s="49">
        <f>Use_Dtl!AC7+Use_Dtl!AE7+Use_Dtl!AG7+Use_Dtl!AI7</f>
        <v>99200</v>
      </c>
      <c r="N6" s="67">
        <f t="shared" si="0"/>
        <v>65173</v>
      </c>
      <c r="O6" s="49">
        <f t="shared" si="1"/>
        <v>189879200</v>
      </c>
      <c r="Q6" s="49">
        <v>5000</v>
      </c>
      <c r="R6" s="49">
        <f t="shared" ref="R6:R20" si="4">R5+N6</f>
        <v>70281</v>
      </c>
      <c r="S6" s="545">
        <f t="shared" si="2"/>
        <v>0.646095717884131</v>
      </c>
      <c r="T6" s="49">
        <f t="shared" ref="T6:T20" si="5">T5+O6</f>
        <v>189879200</v>
      </c>
      <c r="U6" s="545">
        <f t="shared" si="3"/>
        <v>0.20590999305316529</v>
      </c>
      <c r="AB6" s="49">
        <v>5000</v>
      </c>
      <c r="AC6" s="265">
        <f>T6</f>
        <v>189879200</v>
      </c>
    </row>
    <row r="7" spans="1:29" x14ac:dyDescent="0.3">
      <c r="A7" s="49">
        <f t="shared" ref="A7:A20" si="6">+A6+5000</f>
        <v>10000</v>
      </c>
      <c r="B7" s="49">
        <f>Use_Dtl!B8+Use_Dtl!D8+Use_Dtl!F8+Use_Dtl!H8</f>
        <v>27756</v>
      </c>
      <c r="C7" s="49">
        <f>Use_Dtl!C8+Use_Dtl!E8+Use_Dtl!G8+Use_Dtl!I8</f>
        <v>188501100</v>
      </c>
      <c r="D7" s="49">
        <f>Use_Dtl!J8+Use_Dtl!L8</f>
        <v>93</v>
      </c>
      <c r="E7" s="49">
        <f>Use_Dtl!K8+Use_Dtl!M8</f>
        <v>655900</v>
      </c>
      <c r="F7" s="49">
        <f>Use_Dtl!N8+Use_Dtl!P8+Use_Dtl!R8</f>
        <v>296</v>
      </c>
      <c r="G7" s="49">
        <f>Use_Dtl!O8+Use_Dtl!Q8+Use_Dtl!S8</f>
        <v>2121600</v>
      </c>
      <c r="H7" s="49">
        <f>Use_Dtl!T8+Use_Dtl!V8</f>
        <v>13</v>
      </c>
      <c r="I7" s="49">
        <f>Use_Dtl!U8+Use_Dtl!W8</f>
        <v>88700</v>
      </c>
      <c r="J7" s="49">
        <f>Use_Dtl!X8+Use_Dtl!Z8</f>
        <v>28</v>
      </c>
      <c r="K7" s="49">
        <f>Use_Dtl!Y8+Use_Dtl!AA8</f>
        <v>205600</v>
      </c>
      <c r="L7" s="49">
        <f>Use_Dtl!AB8+Use_Dtl!AD8+Use_Dtl!AF8+Use_Dtl!AH8</f>
        <v>19</v>
      </c>
      <c r="M7" s="49">
        <f>Use_Dtl!AC8+Use_Dtl!AE8+Use_Dtl!AG8+Use_Dtl!AI8</f>
        <v>146600</v>
      </c>
      <c r="N7" s="67">
        <f t="shared" si="0"/>
        <v>28205</v>
      </c>
      <c r="O7" s="49">
        <f t="shared" si="1"/>
        <v>191719500</v>
      </c>
      <c r="Q7" s="80">
        <v>10000</v>
      </c>
      <c r="R7" s="80">
        <f t="shared" si="4"/>
        <v>98486</v>
      </c>
      <c r="S7" s="546">
        <f t="shared" si="2"/>
        <v>0.90538528011178732</v>
      </c>
      <c r="T7" s="80">
        <f t="shared" si="5"/>
        <v>381598700</v>
      </c>
      <c r="U7" s="546">
        <f t="shared" si="3"/>
        <v>0.41381565577533985</v>
      </c>
      <c r="Z7" s="545"/>
      <c r="AA7" s="545"/>
      <c r="AB7" s="49">
        <v>10000</v>
      </c>
      <c r="AC7" s="265">
        <f t="shared" ref="AC7:AC31" si="7">T7</f>
        <v>381598700</v>
      </c>
    </row>
    <row r="8" spans="1:29" x14ac:dyDescent="0.3">
      <c r="A8" s="49">
        <f t="shared" si="6"/>
        <v>15000</v>
      </c>
      <c r="B8" s="49">
        <f>Use_Dtl!B9+Use_Dtl!D9+Use_Dtl!F9+Use_Dtl!H9</f>
        <v>4785</v>
      </c>
      <c r="C8" s="49">
        <f>Use_Dtl!C9+Use_Dtl!E9+Use_Dtl!G9+Use_Dtl!I9</f>
        <v>57381600</v>
      </c>
      <c r="D8" s="49">
        <f>Use_Dtl!J9+Use_Dtl!L9</f>
        <v>24</v>
      </c>
      <c r="E8" s="49">
        <f>Use_Dtl!K9+Use_Dtl!M9</f>
        <v>314000</v>
      </c>
      <c r="F8" s="49">
        <f>Use_Dtl!N9+Use_Dtl!P9+Use_Dtl!R9</f>
        <v>102</v>
      </c>
      <c r="G8" s="49">
        <f>Use_Dtl!O9+Use_Dtl!Q9+Use_Dtl!S9</f>
        <v>1250600</v>
      </c>
      <c r="H8" s="49">
        <f>Use_Dtl!T9+Use_Dtl!V9</f>
        <v>19</v>
      </c>
      <c r="I8" s="49">
        <f>Use_Dtl!U9+Use_Dtl!W9</f>
        <v>229400</v>
      </c>
      <c r="J8" s="49">
        <f>Use_Dtl!X9+Use_Dtl!Z9</f>
        <v>25</v>
      </c>
      <c r="K8" s="49">
        <f>Use_Dtl!Y9+Use_Dtl!AA9</f>
        <v>312800</v>
      </c>
      <c r="L8" s="49">
        <f>Use_Dtl!AB9+Use_Dtl!AD9+Use_Dtl!AF9+Use_Dtl!AH9</f>
        <v>12</v>
      </c>
      <c r="M8" s="49">
        <f>Use_Dtl!AC9+Use_Dtl!AE9+Use_Dtl!AG9+Use_Dtl!AI9</f>
        <v>152700</v>
      </c>
      <c r="N8" s="67">
        <f t="shared" si="0"/>
        <v>4967</v>
      </c>
      <c r="O8" s="49">
        <f t="shared" si="1"/>
        <v>59641100</v>
      </c>
      <c r="Q8" s="80">
        <v>15000</v>
      </c>
      <c r="R8" s="80">
        <f t="shared" si="4"/>
        <v>103453</v>
      </c>
      <c r="S8" s="546">
        <f t="shared" si="2"/>
        <v>0.95104708672709559</v>
      </c>
      <c r="T8" s="80">
        <f t="shared" si="5"/>
        <v>441239800</v>
      </c>
      <c r="U8" s="546">
        <f t="shared" si="3"/>
        <v>0.47849203152730813</v>
      </c>
      <c r="Z8" s="545"/>
      <c r="AB8" s="49">
        <v>15000</v>
      </c>
      <c r="AC8" s="265">
        <f t="shared" si="7"/>
        <v>441239800</v>
      </c>
    </row>
    <row r="9" spans="1:29" x14ac:dyDescent="0.3">
      <c r="A9" s="49">
        <f t="shared" si="6"/>
        <v>20000</v>
      </c>
      <c r="B9" s="49">
        <f>Use_Dtl!B10+Use_Dtl!D10+Use_Dtl!F10+Use_Dtl!H10</f>
        <v>1648</v>
      </c>
      <c r="C9" s="49">
        <f>Use_Dtl!C10+Use_Dtl!E10+Use_Dtl!G10+Use_Dtl!I10</f>
        <v>28360600</v>
      </c>
      <c r="D9" s="49">
        <f>Use_Dtl!J10+Use_Dtl!L10</f>
        <v>7</v>
      </c>
      <c r="E9" s="49">
        <f>Use_Dtl!K10+Use_Dtl!M10</f>
        <v>125600</v>
      </c>
      <c r="F9" s="49">
        <f>Use_Dtl!N10+Use_Dtl!P10+Use_Dtl!R10</f>
        <v>68</v>
      </c>
      <c r="G9" s="49">
        <f>Use_Dtl!O10+Use_Dtl!Q10+Use_Dtl!S10</f>
        <v>1187500</v>
      </c>
      <c r="H9" s="49">
        <f>Use_Dtl!T10+Use_Dtl!V10</f>
        <v>7</v>
      </c>
      <c r="I9" s="49">
        <f>Use_Dtl!U10+Use_Dtl!W10</f>
        <v>124200</v>
      </c>
      <c r="J9" s="49">
        <f>Use_Dtl!X10+Use_Dtl!Z10</f>
        <v>19</v>
      </c>
      <c r="K9" s="49">
        <f>Use_Dtl!Y10+Use_Dtl!AA10</f>
        <v>331800</v>
      </c>
      <c r="L9" s="49">
        <f>Use_Dtl!AB10+Use_Dtl!AD10+Use_Dtl!AF10+Use_Dtl!AH10</f>
        <v>19</v>
      </c>
      <c r="M9" s="49">
        <f>Use_Dtl!AC10+Use_Dtl!AE10+Use_Dtl!AG10+Use_Dtl!AI10</f>
        <v>327800</v>
      </c>
      <c r="N9" s="67">
        <f t="shared" si="0"/>
        <v>1768</v>
      </c>
      <c r="O9" s="49">
        <f t="shared" si="1"/>
        <v>30457500</v>
      </c>
      <c r="Q9" s="80">
        <v>20000</v>
      </c>
      <c r="R9" s="80">
        <f t="shared" si="4"/>
        <v>105221</v>
      </c>
      <c r="S9" s="546">
        <f t="shared" si="2"/>
        <v>0.9673003732372355</v>
      </c>
      <c r="T9" s="80">
        <f t="shared" si="5"/>
        <v>471697300</v>
      </c>
      <c r="U9" s="546">
        <f t="shared" si="3"/>
        <v>0.51152094471746679</v>
      </c>
      <c r="Z9" s="545"/>
      <c r="AB9" s="49">
        <v>20000</v>
      </c>
      <c r="AC9" s="265">
        <f t="shared" si="7"/>
        <v>471697300</v>
      </c>
    </row>
    <row r="10" spans="1:29" x14ac:dyDescent="0.3">
      <c r="A10" s="49">
        <f t="shared" si="6"/>
        <v>25000</v>
      </c>
      <c r="B10" s="49">
        <f>Use_Dtl!B11+Use_Dtl!D11+Use_Dtl!F11+Use_Dtl!H11</f>
        <v>830</v>
      </c>
      <c r="C10" s="49">
        <f>Use_Dtl!C11+Use_Dtl!E11+Use_Dtl!G11+Use_Dtl!I11</f>
        <v>18616400</v>
      </c>
      <c r="D10" s="49">
        <f>Use_Dtl!J11+Use_Dtl!L11</f>
        <v>3</v>
      </c>
      <c r="E10" s="49">
        <f>Use_Dtl!K11+Use_Dtl!M11</f>
        <v>63900</v>
      </c>
      <c r="F10" s="49">
        <f>Use_Dtl!N11+Use_Dtl!P11+Use_Dtl!R11</f>
        <v>36</v>
      </c>
      <c r="G10" s="49">
        <f>Use_Dtl!O11+Use_Dtl!Q11+Use_Dtl!S11</f>
        <v>815400</v>
      </c>
      <c r="H10" s="49">
        <f>Use_Dtl!T11+Use_Dtl!V11</f>
        <v>14</v>
      </c>
      <c r="I10" s="49">
        <f>Use_Dtl!U11+Use_Dtl!W11</f>
        <v>315300</v>
      </c>
      <c r="J10" s="49">
        <f>Use_Dtl!X11+Use_Dtl!Z11</f>
        <v>12</v>
      </c>
      <c r="K10" s="49">
        <f>Use_Dtl!Y11+Use_Dtl!AA11</f>
        <v>270700</v>
      </c>
      <c r="L10" s="49">
        <f>Use_Dtl!AB11+Use_Dtl!AD11+Use_Dtl!AF11+Use_Dtl!AH11</f>
        <v>13</v>
      </c>
      <c r="M10" s="49">
        <f>Use_Dtl!AC11+Use_Dtl!AE11+Use_Dtl!AG11+Use_Dtl!AI11</f>
        <v>299800</v>
      </c>
      <c r="N10" s="67">
        <f t="shared" si="0"/>
        <v>908</v>
      </c>
      <c r="O10" s="49">
        <f t="shared" si="1"/>
        <v>20381500</v>
      </c>
      <c r="Q10" s="80">
        <v>25000</v>
      </c>
      <c r="R10" s="80">
        <f t="shared" si="4"/>
        <v>106129</v>
      </c>
      <c r="S10" s="546">
        <f t="shared" si="2"/>
        <v>0.97564764934085935</v>
      </c>
      <c r="T10" s="80">
        <f t="shared" si="5"/>
        <v>492078800</v>
      </c>
      <c r="U10" s="546">
        <f t="shared" si="3"/>
        <v>0.5336231787874075</v>
      </c>
      <c r="AB10" s="49">
        <v>25000</v>
      </c>
      <c r="AC10" s="265">
        <f t="shared" si="7"/>
        <v>492078800</v>
      </c>
    </row>
    <row r="11" spans="1:29" x14ac:dyDescent="0.3">
      <c r="A11" s="49">
        <f t="shared" si="6"/>
        <v>30000</v>
      </c>
      <c r="B11" s="49">
        <f>Use_Dtl!B12+Use_Dtl!D12+Use_Dtl!F12+Use_Dtl!H12</f>
        <v>562</v>
      </c>
      <c r="C11" s="49">
        <f>Use_Dtl!C12+Use_Dtl!E12+Use_Dtl!G12+Use_Dtl!I12</f>
        <v>15459000</v>
      </c>
      <c r="D11" s="49">
        <f>Use_Dtl!J12+Use_Dtl!L12</f>
        <v>3</v>
      </c>
      <c r="E11" s="49">
        <f>Use_Dtl!K12+Use_Dtl!M12</f>
        <v>77300</v>
      </c>
      <c r="F11" s="49">
        <f>Use_Dtl!N12+Use_Dtl!P12+Use_Dtl!R12</f>
        <v>36</v>
      </c>
      <c r="G11" s="49">
        <f>Use_Dtl!O12+Use_Dtl!Q12+Use_Dtl!S12</f>
        <v>988600</v>
      </c>
      <c r="H11" s="49">
        <f>Use_Dtl!T12+Use_Dtl!V12</f>
        <v>22</v>
      </c>
      <c r="I11" s="49">
        <f>Use_Dtl!U12+Use_Dtl!W12</f>
        <v>613800</v>
      </c>
      <c r="J11" s="49">
        <f>Use_Dtl!X12+Use_Dtl!Z12</f>
        <v>18</v>
      </c>
      <c r="K11" s="49">
        <f>Use_Dtl!Y12+Use_Dtl!AA12</f>
        <v>499500</v>
      </c>
      <c r="L11" s="49">
        <f>Use_Dtl!AB12+Use_Dtl!AD12+Use_Dtl!AF12+Use_Dtl!AH12</f>
        <v>8</v>
      </c>
      <c r="M11" s="49">
        <f>Use_Dtl!AC12+Use_Dtl!AE12+Use_Dtl!AG12+Use_Dtl!AI12</f>
        <v>225700</v>
      </c>
      <c r="N11" s="67">
        <f t="shared" si="0"/>
        <v>649</v>
      </c>
      <c r="O11" s="49">
        <f t="shared" si="1"/>
        <v>17863900</v>
      </c>
      <c r="Q11" s="80">
        <v>30000</v>
      </c>
      <c r="R11" s="80">
        <f t="shared" si="4"/>
        <v>106778</v>
      </c>
      <c r="S11" s="546">
        <f t="shared" si="2"/>
        <v>0.98161392928717206</v>
      </c>
      <c r="T11" s="80">
        <f t="shared" si="5"/>
        <v>509942700</v>
      </c>
      <c r="U11" s="546">
        <f t="shared" si="3"/>
        <v>0.55299526127407506</v>
      </c>
      <c r="AB11" s="49">
        <v>30000</v>
      </c>
      <c r="AC11" s="265">
        <f t="shared" si="7"/>
        <v>509942700</v>
      </c>
    </row>
    <row r="12" spans="1:29" x14ac:dyDescent="0.3">
      <c r="A12" s="49">
        <f t="shared" si="6"/>
        <v>35000</v>
      </c>
      <c r="B12" s="49">
        <f>Use_Dtl!B13+Use_Dtl!D13+Use_Dtl!F13+Use_Dtl!H13</f>
        <v>356</v>
      </c>
      <c r="C12" s="49">
        <f>Use_Dtl!C13+Use_Dtl!E13+Use_Dtl!G13+Use_Dtl!I13</f>
        <v>11529400</v>
      </c>
      <c r="D12" s="49">
        <f>Use_Dtl!J13+Use_Dtl!L13</f>
        <v>1</v>
      </c>
      <c r="E12" s="49">
        <f>Use_Dtl!K13+Use_Dtl!M13</f>
        <v>33800</v>
      </c>
      <c r="F12" s="49">
        <f>Use_Dtl!N13+Use_Dtl!P13+Use_Dtl!R13</f>
        <v>19</v>
      </c>
      <c r="G12" s="49">
        <f>Use_Dtl!O13+Use_Dtl!Q13+Use_Dtl!S13</f>
        <v>619900</v>
      </c>
      <c r="H12" s="49">
        <f>Use_Dtl!T13+Use_Dtl!V13</f>
        <v>10</v>
      </c>
      <c r="I12" s="49">
        <f>Use_Dtl!U13+Use_Dtl!W13</f>
        <v>330800</v>
      </c>
      <c r="J12" s="49">
        <f>Use_Dtl!X13+Use_Dtl!Z13</f>
        <v>5</v>
      </c>
      <c r="K12" s="49">
        <f>Use_Dtl!Y13+Use_Dtl!AA13</f>
        <v>168600</v>
      </c>
      <c r="L12" s="49">
        <f>Use_Dtl!AB13+Use_Dtl!AD13+Use_Dtl!AF13+Use_Dtl!AH13</f>
        <v>18</v>
      </c>
      <c r="M12" s="49">
        <f>Use_Dtl!AC13+Use_Dtl!AE13+Use_Dtl!AG13+Use_Dtl!AI13</f>
        <v>581300</v>
      </c>
      <c r="N12" s="67">
        <f t="shared" si="0"/>
        <v>409</v>
      </c>
      <c r="O12" s="49">
        <f t="shared" si="1"/>
        <v>13263800</v>
      </c>
      <c r="Q12" s="80">
        <v>35000</v>
      </c>
      <c r="R12" s="80">
        <f t="shared" si="4"/>
        <v>107187</v>
      </c>
      <c r="S12" s="546">
        <f t="shared" si="2"/>
        <v>0.98537388074794541</v>
      </c>
      <c r="T12" s="80">
        <f t="shared" si="5"/>
        <v>523206500</v>
      </c>
      <c r="U12" s="546">
        <f t="shared" si="3"/>
        <v>0.56737887446529656</v>
      </c>
      <c r="AB12" s="49">
        <v>35000</v>
      </c>
      <c r="AC12" s="265">
        <f t="shared" si="7"/>
        <v>523206500</v>
      </c>
    </row>
    <row r="13" spans="1:29" x14ac:dyDescent="0.3">
      <c r="A13" s="49">
        <f t="shared" si="6"/>
        <v>40000</v>
      </c>
      <c r="B13" s="49">
        <f>Use_Dtl!B14+Use_Dtl!D14+Use_Dtl!F14+Use_Dtl!H14</f>
        <v>222</v>
      </c>
      <c r="C13" s="49">
        <f>Use_Dtl!C14+Use_Dtl!E14+Use_Dtl!G14+Use_Dtl!I14</f>
        <v>8295700</v>
      </c>
      <c r="D13" s="49">
        <f>Use_Dtl!J14+Use_Dtl!L14</f>
        <v>1</v>
      </c>
      <c r="E13" s="49">
        <f>Use_Dtl!K14+Use_Dtl!M14</f>
        <v>35300</v>
      </c>
      <c r="F13" s="49">
        <f>Use_Dtl!N14+Use_Dtl!P14+Use_Dtl!R14</f>
        <v>20</v>
      </c>
      <c r="G13" s="49">
        <f>Use_Dtl!O14+Use_Dtl!Q14+Use_Dtl!S14</f>
        <v>743100</v>
      </c>
      <c r="H13" s="49">
        <f>Use_Dtl!T14+Use_Dtl!V14</f>
        <v>5</v>
      </c>
      <c r="I13" s="49">
        <f>Use_Dtl!U14+Use_Dtl!W14</f>
        <v>186800</v>
      </c>
      <c r="J13" s="49">
        <f>Use_Dtl!X14+Use_Dtl!Z14</f>
        <v>3</v>
      </c>
      <c r="K13" s="49">
        <f>Use_Dtl!Y14+Use_Dtl!AA14</f>
        <v>116000</v>
      </c>
      <c r="L13" s="49">
        <f>Use_Dtl!AB14+Use_Dtl!AD14+Use_Dtl!AF14+Use_Dtl!AH14</f>
        <v>5</v>
      </c>
      <c r="M13" s="49">
        <f>Use_Dtl!AC14+Use_Dtl!AE14+Use_Dtl!AG14+Use_Dtl!AI14</f>
        <v>184400</v>
      </c>
      <c r="N13" s="67">
        <f t="shared" si="0"/>
        <v>256</v>
      </c>
      <c r="O13" s="49">
        <f t="shared" si="1"/>
        <v>9561300</v>
      </c>
      <c r="Q13" s="80">
        <v>40000</v>
      </c>
      <c r="R13" s="80">
        <f t="shared" si="4"/>
        <v>107443</v>
      </c>
      <c r="S13" s="546">
        <f t="shared" si="2"/>
        <v>0.98772729779918733</v>
      </c>
      <c r="T13" s="80">
        <f t="shared" si="5"/>
        <v>532767800</v>
      </c>
      <c r="U13" s="546">
        <f t="shared" si="3"/>
        <v>0.57774739938313491</v>
      </c>
      <c r="AB13" s="49">
        <v>40000</v>
      </c>
      <c r="AC13" s="265">
        <f t="shared" si="7"/>
        <v>532767800</v>
      </c>
    </row>
    <row r="14" spans="1:29" x14ac:dyDescent="0.3">
      <c r="A14" s="49">
        <f t="shared" si="6"/>
        <v>45000</v>
      </c>
      <c r="B14" s="49">
        <f>Use_Dtl!B15+Use_Dtl!D15+Use_Dtl!F15+Use_Dtl!H15</f>
        <v>152</v>
      </c>
      <c r="C14" s="49">
        <f>Use_Dtl!C15+Use_Dtl!E15+Use_Dtl!G15+Use_Dtl!I15</f>
        <v>6443800</v>
      </c>
      <c r="D14" s="49">
        <f>Use_Dtl!J15+Use_Dtl!L15</f>
        <v>0</v>
      </c>
      <c r="E14" s="49">
        <f>Use_Dtl!K15+Use_Dtl!M15</f>
        <v>0</v>
      </c>
      <c r="F14" s="49">
        <f>Use_Dtl!N15+Use_Dtl!P15+Use_Dtl!R15</f>
        <v>24</v>
      </c>
      <c r="G14" s="49">
        <f>Use_Dtl!O15+Use_Dtl!Q15+Use_Dtl!S15</f>
        <v>1030100</v>
      </c>
      <c r="H14" s="49">
        <f>Use_Dtl!T15+Use_Dtl!V15</f>
        <v>8</v>
      </c>
      <c r="I14" s="49">
        <f>Use_Dtl!U15+Use_Dtl!W15</f>
        <v>336600</v>
      </c>
      <c r="J14" s="49">
        <f>Use_Dtl!X15+Use_Dtl!Z15</f>
        <v>9</v>
      </c>
      <c r="K14" s="49">
        <f>Use_Dtl!Y15+Use_Dtl!AA15</f>
        <v>378700</v>
      </c>
      <c r="L14" s="49">
        <f>Use_Dtl!AB15+Use_Dtl!AD15+Use_Dtl!AF15+Use_Dtl!AH15</f>
        <v>4</v>
      </c>
      <c r="M14" s="49">
        <f>Use_Dtl!AC15+Use_Dtl!AE15+Use_Dtl!AG15+Use_Dtl!AI15</f>
        <v>165300</v>
      </c>
      <c r="N14" s="67">
        <f t="shared" si="0"/>
        <v>197</v>
      </c>
      <c r="O14" s="49">
        <f t="shared" si="1"/>
        <v>8354500</v>
      </c>
      <c r="Q14" s="80">
        <v>45000</v>
      </c>
      <c r="R14" s="80">
        <f t="shared" si="4"/>
        <v>107640</v>
      </c>
      <c r="S14" s="546">
        <f t="shared" si="2"/>
        <v>0.98953832576440093</v>
      </c>
      <c r="T14" s="80">
        <f t="shared" si="5"/>
        <v>541122300</v>
      </c>
      <c r="U14" s="546">
        <f t="shared" si="3"/>
        <v>0.58680723867549911</v>
      </c>
      <c r="AB14" s="49">
        <v>45000</v>
      </c>
      <c r="AC14" s="265">
        <f t="shared" si="7"/>
        <v>541122300</v>
      </c>
    </row>
    <row r="15" spans="1:29" x14ac:dyDescent="0.3">
      <c r="A15" s="49">
        <f t="shared" si="6"/>
        <v>50000</v>
      </c>
      <c r="B15" s="49">
        <f>Use_Dtl!B16+Use_Dtl!D16+Use_Dtl!F16+Use_Dtl!H16</f>
        <v>123</v>
      </c>
      <c r="C15" s="49">
        <f>Use_Dtl!C16+Use_Dtl!E16+Use_Dtl!G16+Use_Dtl!I16</f>
        <v>5816400</v>
      </c>
      <c r="D15" s="49">
        <f>Use_Dtl!J16+Use_Dtl!L16</f>
        <v>0</v>
      </c>
      <c r="E15" s="49">
        <f>Use_Dtl!K16+Use_Dtl!M16</f>
        <v>0</v>
      </c>
      <c r="F15" s="49">
        <f>Use_Dtl!N16+Use_Dtl!P16+Use_Dtl!R16</f>
        <v>17</v>
      </c>
      <c r="G15" s="49">
        <f>Use_Dtl!O16+Use_Dtl!Q16+Use_Dtl!S16</f>
        <v>807200</v>
      </c>
      <c r="H15" s="49">
        <f>Use_Dtl!T16+Use_Dtl!V16</f>
        <v>5</v>
      </c>
      <c r="I15" s="49">
        <f>Use_Dtl!U16+Use_Dtl!W16</f>
        <v>241100</v>
      </c>
      <c r="J15" s="49">
        <f>Use_Dtl!X16+Use_Dtl!Z16</f>
        <v>5</v>
      </c>
      <c r="K15" s="49">
        <f>Use_Dtl!Y16+Use_Dtl!AA16</f>
        <v>244600</v>
      </c>
      <c r="L15" s="49">
        <f>Use_Dtl!AB16+Use_Dtl!AD16+Use_Dtl!AF16+Use_Dtl!AH16</f>
        <v>2</v>
      </c>
      <c r="M15" s="49">
        <f>Use_Dtl!AC16+Use_Dtl!AE16+Use_Dtl!AG16+Use_Dtl!AI16</f>
        <v>98500</v>
      </c>
      <c r="N15" s="67">
        <f t="shared" si="0"/>
        <v>152</v>
      </c>
      <c r="O15" s="49">
        <f t="shared" si="1"/>
        <v>7207800</v>
      </c>
      <c r="Q15" s="80">
        <v>50000</v>
      </c>
      <c r="R15" s="80">
        <f t="shared" si="4"/>
        <v>107792</v>
      </c>
      <c r="S15" s="546">
        <f t="shared" si="2"/>
        <v>0.99093566713857584</v>
      </c>
      <c r="T15" s="80">
        <f t="shared" si="5"/>
        <v>548330100</v>
      </c>
      <c r="U15" s="546">
        <f t="shared" si="3"/>
        <v>0.59462356636135727</v>
      </c>
      <c r="AB15" s="49">
        <v>50000</v>
      </c>
      <c r="AC15" s="265">
        <f t="shared" si="7"/>
        <v>548330100</v>
      </c>
    </row>
    <row r="16" spans="1:29" x14ac:dyDescent="0.3">
      <c r="A16" s="49">
        <f t="shared" si="6"/>
        <v>55000</v>
      </c>
      <c r="B16" s="49">
        <f>Use_Dtl!B17+Use_Dtl!D17+Use_Dtl!F17+Use_Dtl!H17</f>
        <v>74</v>
      </c>
      <c r="C16" s="49">
        <f>Use_Dtl!C17+Use_Dtl!E17+Use_Dtl!G17+Use_Dtl!I17</f>
        <v>3880400</v>
      </c>
      <c r="D16" s="49">
        <f>Use_Dtl!J17+Use_Dtl!L17</f>
        <v>0</v>
      </c>
      <c r="E16" s="49">
        <f>Use_Dtl!K17+Use_Dtl!M17</f>
        <v>0</v>
      </c>
      <c r="F16" s="49">
        <f>Use_Dtl!N17+Use_Dtl!P17+Use_Dtl!R17</f>
        <v>18</v>
      </c>
      <c r="G16" s="49">
        <f>Use_Dtl!O17+Use_Dtl!Q17+Use_Dtl!S17</f>
        <v>947400</v>
      </c>
      <c r="H16" s="49">
        <f>Use_Dtl!T17+Use_Dtl!V17</f>
        <v>3</v>
      </c>
      <c r="I16" s="49">
        <f>Use_Dtl!U17+Use_Dtl!W17</f>
        <v>159000</v>
      </c>
      <c r="J16" s="49">
        <f>Use_Dtl!X17+Use_Dtl!Z17</f>
        <v>7</v>
      </c>
      <c r="K16" s="49">
        <f>Use_Dtl!Y17+Use_Dtl!AA17</f>
        <v>364700</v>
      </c>
      <c r="L16" s="49">
        <f>Use_Dtl!AB17+Use_Dtl!AD17+Use_Dtl!AF17+Use_Dtl!AH17</f>
        <v>1</v>
      </c>
      <c r="M16" s="49">
        <f>Use_Dtl!AC17+Use_Dtl!AE17+Use_Dtl!AG17+Use_Dtl!AI17</f>
        <v>53700</v>
      </c>
      <c r="N16" s="67">
        <f t="shared" si="0"/>
        <v>103</v>
      </c>
      <c r="O16" s="49">
        <f t="shared" si="1"/>
        <v>5405200</v>
      </c>
      <c r="Q16" s="80">
        <v>55000</v>
      </c>
      <c r="R16" s="80">
        <f t="shared" si="4"/>
        <v>107895</v>
      </c>
      <c r="S16" s="546">
        <f t="shared" si="2"/>
        <v>0.99188254978028645</v>
      </c>
      <c r="T16" s="80">
        <f t="shared" si="5"/>
        <v>553735300</v>
      </c>
      <c r="U16" s="546">
        <f t="shared" si="3"/>
        <v>0.60048510724867388</v>
      </c>
      <c r="AB16" s="49">
        <v>55000</v>
      </c>
      <c r="AC16" s="265">
        <f t="shared" si="7"/>
        <v>553735300</v>
      </c>
    </row>
    <row r="17" spans="1:29" x14ac:dyDescent="0.3">
      <c r="A17" s="49">
        <f t="shared" si="6"/>
        <v>60000</v>
      </c>
      <c r="B17" s="49">
        <f>Use_Dtl!B18+Use_Dtl!D18+Use_Dtl!F18+Use_Dtl!H18</f>
        <v>66</v>
      </c>
      <c r="C17" s="49">
        <f>Use_Dtl!C18+Use_Dtl!E18+Use_Dtl!G18+Use_Dtl!I18</f>
        <v>3799200</v>
      </c>
      <c r="D17" s="49">
        <f>Use_Dtl!J18+Use_Dtl!L18</f>
        <v>0</v>
      </c>
      <c r="E17" s="49">
        <f>Use_Dtl!K18+Use_Dtl!M18</f>
        <v>0</v>
      </c>
      <c r="F17" s="49">
        <f>Use_Dtl!N18+Use_Dtl!P18+Use_Dtl!R18</f>
        <v>15</v>
      </c>
      <c r="G17" s="49">
        <f>Use_Dtl!O18+Use_Dtl!Q18+Use_Dtl!S18</f>
        <v>861500</v>
      </c>
      <c r="H17" s="49">
        <f>Use_Dtl!T18+Use_Dtl!V18</f>
        <v>2</v>
      </c>
      <c r="I17" s="49">
        <f>Use_Dtl!U18+Use_Dtl!W18</f>
        <v>118300</v>
      </c>
      <c r="J17" s="49">
        <f>Use_Dtl!X18+Use_Dtl!Z18</f>
        <v>3</v>
      </c>
      <c r="K17" s="49">
        <f>Use_Dtl!Y18+Use_Dtl!AA18</f>
        <v>169700</v>
      </c>
      <c r="L17" s="49">
        <f>Use_Dtl!AB18+Use_Dtl!AD18+Use_Dtl!AF18+Use_Dtl!AH18</f>
        <v>4</v>
      </c>
      <c r="M17" s="49">
        <f>Use_Dtl!AC18+Use_Dtl!AE18+Use_Dtl!AG18+Use_Dtl!AI18</f>
        <v>228600</v>
      </c>
      <c r="N17" s="67">
        <f t="shared" si="0"/>
        <v>90</v>
      </c>
      <c r="O17" s="49">
        <f t="shared" si="1"/>
        <v>5177300</v>
      </c>
      <c r="Q17" s="80">
        <v>60000</v>
      </c>
      <c r="R17" s="80">
        <f t="shared" si="4"/>
        <v>107985</v>
      </c>
      <c r="S17" s="546">
        <f t="shared" si="2"/>
        <v>0.99270992296236371</v>
      </c>
      <c r="T17" s="80">
        <f t="shared" si="5"/>
        <v>558912600</v>
      </c>
      <c r="U17" s="546">
        <f t="shared" si="3"/>
        <v>0.60609950738852147</v>
      </c>
      <c r="AB17" s="49">
        <v>60000</v>
      </c>
      <c r="AC17" s="265">
        <f t="shared" si="7"/>
        <v>558912600</v>
      </c>
    </row>
    <row r="18" spans="1:29" x14ac:dyDescent="0.3">
      <c r="A18" s="49">
        <f t="shared" si="6"/>
        <v>65000</v>
      </c>
      <c r="B18" s="49">
        <f>Use_Dtl!B19+Use_Dtl!D19+Use_Dtl!F19+Use_Dtl!H19</f>
        <v>40</v>
      </c>
      <c r="C18" s="49">
        <f>Use_Dtl!C19+Use_Dtl!E19+Use_Dtl!G19+Use_Dtl!I19</f>
        <v>2503800</v>
      </c>
      <c r="D18" s="49">
        <f>Use_Dtl!J19+Use_Dtl!L19</f>
        <v>0</v>
      </c>
      <c r="E18" s="49">
        <f>Use_Dtl!K19+Use_Dtl!M19</f>
        <v>0</v>
      </c>
      <c r="F18" s="49">
        <f>Use_Dtl!N19+Use_Dtl!P19+Use_Dtl!R19</f>
        <v>11</v>
      </c>
      <c r="G18" s="49">
        <f>Use_Dtl!O19+Use_Dtl!Q19+Use_Dtl!S19</f>
        <v>684400</v>
      </c>
      <c r="H18" s="49">
        <f>Use_Dtl!T19+Use_Dtl!V19</f>
        <v>2</v>
      </c>
      <c r="I18" s="49">
        <f>Use_Dtl!U19+Use_Dtl!W19</f>
        <v>125300</v>
      </c>
      <c r="J18" s="49">
        <f>Use_Dtl!X19+Use_Dtl!Z19</f>
        <v>1</v>
      </c>
      <c r="K18" s="49">
        <f>Use_Dtl!Y19+Use_Dtl!AA19</f>
        <v>63700</v>
      </c>
      <c r="L18" s="49">
        <f>Use_Dtl!AB19+Use_Dtl!AD19+Use_Dtl!AF19+Use_Dtl!AH19</f>
        <v>4</v>
      </c>
      <c r="M18" s="49">
        <f>Use_Dtl!AC19+Use_Dtl!AE19+Use_Dtl!AG19+Use_Dtl!AI19</f>
        <v>251900</v>
      </c>
      <c r="N18" s="67">
        <f t="shared" si="0"/>
        <v>58</v>
      </c>
      <c r="O18" s="49">
        <f t="shared" si="1"/>
        <v>3629100</v>
      </c>
      <c r="Q18" s="80">
        <v>65000</v>
      </c>
      <c r="R18" s="80">
        <f t="shared" si="4"/>
        <v>108043</v>
      </c>
      <c r="S18" s="546">
        <f t="shared" si="2"/>
        <v>0.99324311901303575</v>
      </c>
      <c r="T18" s="80">
        <f t="shared" si="5"/>
        <v>562541700</v>
      </c>
      <c r="U18" s="546">
        <f t="shared" si="3"/>
        <v>0.61003499877351386</v>
      </c>
      <c r="AB18" s="49">
        <v>65000</v>
      </c>
      <c r="AC18" s="265">
        <f t="shared" si="7"/>
        <v>562541700</v>
      </c>
    </row>
    <row r="19" spans="1:29" x14ac:dyDescent="0.3">
      <c r="A19" s="49">
        <f t="shared" si="6"/>
        <v>70000</v>
      </c>
      <c r="B19" s="49">
        <f>Use_Dtl!B20+Use_Dtl!D20+Use_Dtl!F20+Use_Dtl!H20</f>
        <v>52</v>
      </c>
      <c r="C19" s="49">
        <f>Use_Dtl!C20+Use_Dtl!E20+Use_Dtl!G20+Use_Dtl!I20</f>
        <v>3529300</v>
      </c>
      <c r="D19" s="49">
        <f>Use_Dtl!J20+Use_Dtl!L20</f>
        <v>0</v>
      </c>
      <c r="E19" s="49">
        <f>Use_Dtl!K20+Use_Dtl!M20</f>
        <v>0</v>
      </c>
      <c r="F19" s="49">
        <f>Use_Dtl!N20+Use_Dtl!P20+Use_Dtl!R20</f>
        <v>13</v>
      </c>
      <c r="G19" s="49">
        <f>Use_Dtl!O20+Use_Dtl!Q20+Use_Dtl!S20</f>
        <v>877800</v>
      </c>
      <c r="H19" s="49">
        <f>Use_Dtl!T20+Use_Dtl!V20</f>
        <v>2</v>
      </c>
      <c r="I19" s="49">
        <f>Use_Dtl!U20+Use_Dtl!W20</f>
        <v>131800</v>
      </c>
      <c r="J19" s="49">
        <f>Use_Dtl!X20+Use_Dtl!Z20</f>
        <v>5</v>
      </c>
      <c r="K19" s="49">
        <f>Use_Dtl!Y20+Use_Dtl!AA20</f>
        <v>334000</v>
      </c>
      <c r="L19" s="49">
        <f>Use_Dtl!AB20+Use_Dtl!AD20+Use_Dtl!AF20+Use_Dtl!AH20</f>
        <v>2</v>
      </c>
      <c r="M19" s="49">
        <f>Use_Dtl!AC20+Use_Dtl!AE20+Use_Dtl!AG20+Use_Dtl!AI20</f>
        <v>132500</v>
      </c>
      <c r="N19" s="67">
        <f t="shared" si="0"/>
        <v>74</v>
      </c>
      <c r="O19" s="49">
        <f t="shared" si="1"/>
        <v>5005400</v>
      </c>
      <c r="Q19" s="80">
        <v>70000</v>
      </c>
      <c r="R19" s="80">
        <f t="shared" si="4"/>
        <v>108117</v>
      </c>
      <c r="S19" s="546">
        <f t="shared" si="2"/>
        <v>0.99392340362941034</v>
      </c>
      <c r="T19" s="80">
        <f t="shared" si="5"/>
        <v>567547100</v>
      </c>
      <c r="U19" s="546">
        <f t="shared" si="3"/>
        <v>0.61546298603714422</v>
      </c>
      <c r="AB19" s="49">
        <v>70000</v>
      </c>
      <c r="AC19" s="265">
        <f t="shared" si="7"/>
        <v>567547100</v>
      </c>
    </row>
    <row r="20" spans="1:29" x14ac:dyDescent="0.3">
      <c r="A20" s="49">
        <f t="shared" si="6"/>
        <v>75000</v>
      </c>
      <c r="B20" s="49">
        <f>Use_Dtl!B21+Use_Dtl!D21+Use_Dtl!F21+Use_Dtl!H21</f>
        <v>39</v>
      </c>
      <c r="C20" s="49">
        <f>Use_Dtl!C21+Use_Dtl!E21+Use_Dtl!G21+Use_Dtl!I21</f>
        <v>2823900</v>
      </c>
      <c r="D20" s="49">
        <f>Use_Dtl!J21+Use_Dtl!L21</f>
        <v>0</v>
      </c>
      <c r="E20" s="49">
        <f>Use_Dtl!K21+Use_Dtl!M21</f>
        <v>0</v>
      </c>
      <c r="F20" s="49">
        <f>Use_Dtl!N21+Use_Dtl!P21+Use_Dtl!R21</f>
        <v>10</v>
      </c>
      <c r="G20" s="49">
        <f>Use_Dtl!O21+Use_Dtl!Q21+Use_Dtl!S21</f>
        <v>727900</v>
      </c>
      <c r="H20" s="49">
        <f>Use_Dtl!T21+Use_Dtl!V21</f>
        <v>2</v>
      </c>
      <c r="I20" s="49">
        <f>Use_Dtl!U21+Use_Dtl!W21</f>
        <v>146800</v>
      </c>
      <c r="J20" s="49">
        <f>Use_Dtl!X21+Use_Dtl!Z21</f>
        <v>2</v>
      </c>
      <c r="K20" s="49">
        <f>Use_Dtl!Y21+Use_Dtl!AA21</f>
        <v>146600</v>
      </c>
      <c r="L20" s="49">
        <f>Use_Dtl!AB21+Use_Dtl!AD21+Use_Dtl!AF21+Use_Dtl!AH21</f>
        <v>4</v>
      </c>
      <c r="M20" s="49">
        <f>Use_Dtl!AC21+Use_Dtl!AE21+Use_Dtl!AG21+Use_Dtl!AI21</f>
        <v>287000</v>
      </c>
      <c r="N20" s="67">
        <f t="shared" si="0"/>
        <v>57</v>
      </c>
      <c r="O20" s="49">
        <f t="shared" si="1"/>
        <v>4132200</v>
      </c>
      <c r="Q20" s="80">
        <v>75000</v>
      </c>
      <c r="R20" s="80">
        <f t="shared" si="4"/>
        <v>108174</v>
      </c>
      <c r="S20" s="546">
        <f t="shared" ref="S20:S31" si="8">R20/$N$32</f>
        <v>0.99444740664472597</v>
      </c>
      <c r="T20" s="80">
        <f t="shared" si="5"/>
        <v>571679300</v>
      </c>
      <c r="U20" s="546">
        <f t="shared" ref="U20:U31" si="9">T20/$O$32</f>
        <v>0.6199440522797568</v>
      </c>
      <c r="Z20" s="545"/>
      <c r="AA20" s="545"/>
      <c r="AB20" s="49">
        <v>75000</v>
      </c>
      <c r="AC20" s="265">
        <f t="shared" si="7"/>
        <v>571679300</v>
      </c>
    </row>
    <row r="21" spans="1:29" x14ac:dyDescent="0.3">
      <c r="A21" s="49">
        <v>100000</v>
      </c>
      <c r="B21" s="49">
        <f>Use_Dtl!B22+Use_Dtl!D22+Use_Dtl!F22+Use_Dtl!H22</f>
        <v>92</v>
      </c>
      <c r="C21" s="49">
        <f>Use_Dtl!C22+Use_Dtl!E22+Use_Dtl!G22+Use_Dtl!I22</f>
        <v>7834200</v>
      </c>
      <c r="D21" s="49">
        <f>Use_Dtl!J22+Use_Dtl!L22</f>
        <v>0</v>
      </c>
      <c r="E21" s="49">
        <f>Use_Dtl!K22+Use_Dtl!M22</f>
        <v>0</v>
      </c>
      <c r="F21" s="49">
        <f>Use_Dtl!N22+Use_Dtl!P22+Use_Dtl!R22</f>
        <v>34</v>
      </c>
      <c r="G21" s="49">
        <f>Use_Dtl!O22+Use_Dtl!Q22+Use_Dtl!S22</f>
        <v>2926200</v>
      </c>
      <c r="H21" s="49">
        <f>Use_Dtl!T22+Use_Dtl!V22</f>
        <v>3</v>
      </c>
      <c r="I21" s="49">
        <f>Use_Dtl!U22+Use_Dtl!W22</f>
        <v>283800</v>
      </c>
      <c r="J21" s="49">
        <f>Use_Dtl!X22+Use_Dtl!Z22</f>
        <v>14</v>
      </c>
      <c r="K21" s="49">
        <f>Use_Dtl!Y22+Use_Dtl!AA22</f>
        <v>1255200</v>
      </c>
      <c r="L21" s="49">
        <f>Use_Dtl!AB22+Use_Dtl!AD22+Use_Dtl!AF22+Use_Dtl!AH22</f>
        <v>14</v>
      </c>
      <c r="M21" s="49">
        <f>Use_Dtl!AC22+Use_Dtl!AE22+Use_Dtl!AG22+Use_Dtl!AI22</f>
        <v>1190300</v>
      </c>
      <c r="N21" s="67">
        <f t="shared" ref="N21:N31" si="10">B21+D21+F21+H21+J21+L21</f>
        <v>157</v>
      </c>
      <c r="O21" s="49">
        <f t="shared" ref="O21:O31" si="11">C21+E21+G21+I21+K21+M21</f>
        <v>13489700</v>
      </c>
      <c r="Q21" s="80">
        <v>100000</v>
      </c>
      <c r="R21" s="80">
        <f t="shared" ref="R21:R25" si="12">R20+N21</f>
        <v>108331</v>
      </c>
      <c r="S21" s="546">
        <f t="shared" si="8"/>
        <v>0.9958907131956829</v>
      </c>
      <c r="T21" s="80">
        <f t="shared" ref="T21:T31" si="13">T20+O21</f>
        <v>585169000</v>
      </c>
      <c r="U21" s="546">
        <f t="shared" si="9"/>
        <v>0.63457263736590253</v>
      </c>
      <c r="Z21" s="545"/>
      <c r="AA21" s="545"/>
      <c r="AB21" s="49">
        <v>100000</v>
      </c>
      <c r="AC21" s="265">
        <f t="shared" ref="AC21:AC30" si="14">T21</f>
        <v>585169000</v>
      </c>
    </row>
    <row r="22" spans="1:29" x14ac:dyDescent="0.3">
      <c r="A22" s="49">
        <v>150000</v>
      </c>
      <c r="B22" s="49">
        <f>Use_Dtl!B23+Use_Dtl!D23+Use_Dtl!F23+Use_Dtl!H23</f>
        <v>79</v>
      </c>
      <c r="C22" s="49">
        <f>Use_Dtl!C23+Use_Dtl!E23+Use_Dtl!G23+Use_Dtl!I23</f>
        <v>9617700</v>
      </c>
      <c r="D22" s="49">
        <f>Use_Dtl!J23+Use_Dtl!L23</f>
        <v>0</v>
      </c>
      <c r="E22" s="49">
        <f>Use_Dtl!K23+Use_Dtl!M23</f>
        <v>0</v>
      </c>
      <c r="F22" s="49">
        <f>Use_Dtl!N23+Use_Dtl!P23+Use_Dtl!R23</f>
        <v>33</v>
      </c>
      <c r="G22" s="49">
        <f>Use_Dtl!O23+Use_Dtl!Q23+Use_Dtl!S23</f>
        <v>4021300</v>
      </c>
      <c r="H22" s="49">
        <f>Use_Dtl!T23+Use_Dtl!V23</f>
        <v>6</v>
      </c>
      <c r="I22" s="49">
        <f>Use_Dtl!U23+Use_Dtl!W23</f>
        <v>799400</v>
      </c>
      <c r="J22" s="49">
        <f>Use_Dtl!X23+Use_Dtl!Z23</f>
        <v>12</v>
      </c>
      <c r="K22" s="49">
        <f>Use_Dtl!Y23+Use_Dtl!AA23</f>
        <v>1462300</v>
      </c>
      <c r="L22" s="49">
        <f>Use_Dtl!AB23+Use_Dtl!AD23+Use_Dtl!AF23+Use_Dtl!AH23</f>
        <v>33</v>
      </c>
      <c r="M22" s="49">
        <f>Use_Dtl!AC23+Use_Dtl!AE23+Use_Dtl!AG23+Use_Dtl!AI23</f>
        <v>4142300</v>
      </c>
      <c r="N22" s="67">
        <f t="shared" si="10"/>
        <v>163</v>
      </c>
      <c r="O22" s="49">
        <f t="shared" si="11"/>
        <v>20043000</v>
      </c>
      <c r="Q22" s="80">
        <v>150000</v>
      </c>
      <c r="R22" s="80">
        <f t="shared" si="12"/>
        <v>108494</v>
      </c>
      <c r="S22" s="546">
        <f t="shared" si="8"/>
        <v>0.99738917795877846</v>
      </c>
      <c r="T22" s="80">
        <f t="shared" si="13"/>
        <v>605212000</v>
      </c>
      <c r="U22" s="546">
        <f t="shared" si="9"/>
        <v>0.6563077931426522</v>
      </c>
      <c r="Z22" s="545"/>
      <c r="AA22" s="545"/>
      <c r="AB22" s="49">
        <v>150000</v>
      </c>
      <c r="AC22" s="265">
        <f t="shared" si="14"/>
        <v>605212000</v>
      </c>
    </row>
    <row r="23" spans="1:29" x14ac:dyDescent="0.3">
      <c r="A23" s="49">
        <v>200000</v>
      </c>
      <c r="B23" s="49">
        <f>Use_Dtl!B24+Use_Dtl!D24+Use_Dtl!F24+Use_Dtl!H24</f>
        <v>37</v>
      </c>
      <c r="C23" s="49">
        <f>Use_Dtl!C24+Use_Dtl!E24+Use_Dtl!G24+Use_Dtl!I24</f>
        <v>6371500</v>
      </c>
      <c r="D23" s="49">
        <f>Use_Dtl!J24+Use_Dtl!L24</f>
        <v>0</v>
      </c>
      <c r="E23" s="49">
        <f>Use_Dtl!K24+Use_Dtl!M24</f>
        <v>0</v>
      </c>
      <c r="F23" s="49">
        <f>Use_Dtl!N24+Use_Dtl!P24+Use_Dtl!R24</f>
        <v>25</v>
      </c>
      <c r="G23" s="49">
        <f>Use_Dtl!O24+Use_Dtl!Q24+Use_Dtl!S24</f>
        <v>4274200</v>
      </c>
      <c r="H23" s="49">
        <f>Use_Dtl!T24+Use_Dtl!V24</f>
        <v>4</v>
      </c>
      <c r="I23" s="49">
        <f>Use_Dtl!U24+Use_Dtl!W24</f>
        <v>642200</v>
      </c>
      <c r="J23" s="49">
        <f>Use_Dtl!X24+Use_Dtl!Z24</f>
        <v>2</v>
      </c>
      <c r="K23" s="49">
        <f>Use_Dtl!Y24+Use_Dtl!AA24</f>
        <v>337700</v>
      </c>
      <c r="L23" s="49">
        <f>Use_Dtl!AB24+Use_Dtl!AD24+Use_Dtl!AF24+Use_Dtl!AH24</f>
        <v>22</v>
      </c>
      <c r="M23" s="49">
        <f>Use_Dtl!AC24+Use_Dtl!AE24+Use_Dtl!AG24+Use_Dtl!AI24</f>
        <v>3818200</v>
      </c>
      <c r="N23" s="67">
        <f t="shared" si="10"/>
        <v>90</v>
      </c>
      <c r="O23" s="49">
        <f t="shared" si="11"/>
        <v>15443800</v>
      </c>
      <c r="Q23" s="80">
        <v>200000</v>
      </c>
      <c r="R23" s="80">
        <f t="shared" si="12"/>
        <v>108584</v>
      </c>
      <c r="S23" s="546">
        <f t="shared" si="8"/>
        <v>0.99821655114085572</v>
      </c>
      <c r="T23" s="80">
        <f t="shared" si="13"/>
        <v>620655800</v>
      </c>
      <c r="U23" s="546">
        <f t="shared" si="9"/>
        <v>0.67305545560760083</v>
      </c>
      <c r="Z23" s="545"/>
      <c r="AA23" s="545"/>
      <c r="AB23" s="49">
        <v>200000</v>
      </c>
      <c r="AC23" s="265">
        <f t="shared" si="14"/>
        <v>620655800</v>
      </c>
    </row>
    <row r="24" spans="1:29" x14ac:dyDescent="0.3">
      <c r="A24" s="49">
        <v>250000</v>
      </c>
      <c r="B24" s="49">
        <f>Use_Dtl!B25+Use_Dtl!D25+Use_Dtl!F25+Use_Dtl!H25</f>
        <v>17</v>
      </c>
      <c r="C24" s="49">
        <f>Use_Dtl!C25+Use_Dtl!E25+Use_Dtl!G25+Use_Dtl!I25</f>
        <v>3639600</v>
      </c>
      <c r="D24" s="49">
        <f>Use_Dtl!J25+Use_Dtl!L25</f>
        <v>0</v>
      </c>
      <c r="E24" s="49">
        <f>Use_Dtl!K25+Use_Dtl!M25</f>
        <v>0</v>
      </c>
      <c r="F24" s="49">
        <f>Use_Dtl!N25+Use_Dtl!P25+Use_Dtl!R25</f>
        <v>19</v>
      </c>
      <c r="G24" s="49">
        <f>Use_Dtl!O25+Use_Dtl!Q25+Use_Dtl!S25</f>
        <v>4223600</v>
      </c>
      <c r="H24" s="49">
        <f>Use_Dtl!T25+Use_Dtl!V25</f>
        <v>0</v>
      </c>
      <c r="I24" s="49">
        <f>Use_Dtl!U25+Use_Dtl!W25</f>
        <v>0</v>
      </c>
      <c r="J24" s="49">
        <f>Use_Dtl!X25+Use_Dtl!Z25</f>
        <v>0</v>
      </c>
      <c r="K24" s="49">
        <f>Use_Dtl!Y25+Use_Dtl!AA25</f>
        <v>0</v>
      </c>
      <c r="L24" s="49">
        <f>Use_Dtl!AB25+Use_Dtl!AD25+Use_Dtl!AF25+Use_Dtl!AH25</f>
        <v>10</v>
      </c>
      <c r="M24" s="49">
        <f>Use_Dtl!AC25+Use_Dtl!AE25+Use_Dtl!AG25+Use_Dtl!AI25</f>
        <v>2234600</v>
      </c>
      <c r="N24" s="67">
        <f t="shared" si="10"/>
        <v>46</v>
      </c>
      <c r="O24" s="49">
        <f t="shared" si="11"/>
        <v>10097800</v>
      </c>
      <c r="Q24" s="80">
        <v>250000</v>
      </c>
      <c r="R24" s="80">
        <f t="shared" si="12"/>
        <v>108630</v>
      </c>
      <c r="S24" s="546">
        <f t="shared" si="8"/>
        <v>0.9986394307672507</v>
      </c>
      <c r="T24" s="80">
        <f t="shared" si="13"/>
        <v>630753600</v>
      </c>
      <c r="U24" s="546">
        <f t="shared" si="9"/>
        <v>0.68400577522055606</v>
      </c>
      <c r="Z24" s="545"/>
      <c r="AA24" s="545"/>
      <c r="AB24" s="49">
        <v>250000</v>
      </c>
      <c r="AC24" s="265">
        <f t="shared" si="14"/>
        <v>630753600</v>
      </c>
    </row>
    <row r="25" spans="1:29" x14ac:dyDescent="0.3">
      <c r="A25" s="49">
        <v>500000</v>
      </c>
      <c r="B25" s="49">
        <f>Use_Dtl!B26+Use_Dtl!D26+Use_Dtl!F26+Use_Dtl!H26</f>
        <v>24</v>
      </c>
      <c r="C25" s="49">
        <f>Use_Dtl!C26+Use_Dtl!E26+Use_Dtl!G26+Use_Dtl!I26</f>
        <v>8584000</v>
      </c>
      <c r="D25" s="49">
        <f>Use_Dtl!J26+Use_Dtl!L26</f>
        <v>0</v>
      </c>
      <c r="E25" s="49">
        <f>Use_Dtl!K26+Use_Dtl!M26</f>
        <v>0</v>
      </c>
      <c r="F25" s="49">
        <f>Use_Dtl!N26+Use_Dtl!P26+Use_Dtl!R26</f>
        <v>16</v>
      </c>
      <c r="G25" s="49">
        <f>Use_Dtl!O26+Use_Dtl!Q26+Use_Dtl!S26</f>
        <v>5150500</v>
      </c>
      <c r="H25" s="49">
        <f>Use_Dtl!T26+Use_Dtl!V26</f>
        <v>0</v>
      </c>
      <c r="I25" s="49">
        <f>Use_Dtl!U26+Use_Dtl!W26</f>
        <v>0</v>
      </c>
      <c r="J25" s="49">
        <f>Use_Dtl!X26+Use_Dtl!Z26</f>
        <v>6</v>
      </c>
      <c r="K25" s="49">
        <f>Use_Dtl!Y26+Use_Dtl!AA26</f>
        <v>2345200</v>
      </c>
      <c r="L25" s="49">
        <f>Use_Dtl!AB26+Use_Dtl!AD26+Use_Dtl!AF26+Use_Dtl!AH26</f>
        <v>25</v>
      </c>
      <c r="M25" s="49">
        <f>Use_Dtl!AC26+Use_Dtl!AE26+Use_Dtl!AG26+Use_Dtl!AI26</f>
        <v>7859700</v>
      </c>
      <c r="N25" s="67">
        <f t="shared" si="10"/>
        <v>71</v>
      </c>
      <c r="O25" s="49">
        <f t="shared" si="11"/>
        <v>23939400</v>
      </c>
      <c r="Q25" s="80">
        <v>500000</v>
      </c>
      <c r="R25" s="80">
        <f t="shared" si="12"/>
        <v>108701</v>
      </c>
      <c r="S25" s="546">
        <f t="shared" si="8"/>
        <v>0.99929213627755609</v>
      </c>
      <c r="T25" s="80">
        <f t="shared" si="13"/>
        <v>654693000</v>
      </c>
      <c r="U25" s="546">
        <f t="shared" si="9"/>
        <v>0.70996628952489771</v>
      </c>
      <c r="Z25" s="545"/>
      <c r="AA25" s="545"/>
      <c r="AB25" s="49">
        <v>500000</v>
      </c>
      <c r="AC25" s="265">
        <f t="shared" si="14"/>
        <v>654693000</v>
      </c>
    </row>
    <row r="26" spans="1:29" x14ac:dyDescent="0.3">
      <c r="A26" s="49">
        <v>600000</v>
      </c>
      <c r="B26" s="49">
        <f>Use_Dtl!B27+Use_Dtl!D27+Use_Dtl!F27+Use_Dtl!H27</f>
        <v>0</v>
      </c>
      <c r="C26" s="49">
        <f>Use_Dtl!C27+Use_Dtl!E27+Use_Dtl!G27+Use_Dtl!I27</f>
        <v>0</v>
      </c>
      <c r="D26" s="49">
        <f>Use_Dtl!J27+Use_Dtl!L27</f>
        <v>0</v>
      </c>
      <c r="E26" s="49">
        <f>Use_Dtl!K27+Use_Dtl!M27</f>
        <v>0</v>
      </c>
      <c r="F26" s="49">
        <f>Use_Dtl!N27+Use_Dtl!P27+Use_Dtl!R27</f>
        <v>2</v>
      </c>
      <c r="G26" s="49">
        <f>Use_Dtl!O27+Use_Dtl!Q27+Use_Dtl!S27</f>
        <v>1058100</v>
      </c>
      <c r="H26" s="49">
        <f>Use_Dtl!T27+Use_Dtl!V27</f>
        <v>0</v>
      </c>
      <c r="I26" s="49">
        <f>Use_Dtl!U27+Use_Dtl!W27</f>
        <v>0</v>
      </c>
      <c r="J26" s="49">
        <f>Use_Dtl!X27+Use_Dtl!Z27</f>
        <v>3</v>
      </c>
      <c r="K26" s="49">
        <f>Use_Dtl!Y27+Use_Dtl!AA27</f>
        <v>1757000</v>
      </c>
      <c r="L26" s="49">
        <f>Use_Dtl!AB27+Use_Dtl!AD27+Use_Dtl!AF27+Use_Dtl!AH27</f>
        <v>6</v>
      </c>
      <c r="M26" s="49">
        <f>Use_Dtl!AC27+Use_Dtl!AE27+Use_Dtl!AG27+Use_Dtl!AI27</f>
        <v>3260800</v>
      </c>
      <c r="N26" s="67">
        <f t="shared" si="10"/>
        <v>11</v>
      </c>
      <c r="O26" s="49">
        <f t="shared" si="11"/>
        <v>6075900</v>
      </c>
      <c r="Q26" s="80">
        <v>600000</v>
      </c>
      <c r="R26" s="80">
        <f t="shared" ref="R26:R31" si="15">R25+N26</f>
        <v>108712</v>
      </c>
      <c r="S26" s="546">
        <f t="shared" si="8"/>
        <v>0.99939325966647663</v>
      </c>
      <c r="T26" s="80">
        <f t="shared" si="13"/>
        <v>660768900</v>
      </c>
      <c r="U26" s="546">
        <f t="shared" si="9"/>
        <v>0.71655515511308077</v>
      </c>
      <c r="Z26" s="545"/>
      <c r="AA26" s="545"/>
      <c r="AB26" s="49">
        <v>600000</v>
      </c>
      <c r="AC26" s="265">
        <f t="shared" si="14"/>
        <v>660768900</v>
      </c>
    </row>
    <row r="27" spans="1:29" x14ac:dyDescent="0.3">
      <c r="A27" s="49">
        <v>700000</v>
      </c>
      <c r="B27" s="49">
        <f>Use_Dtl!B28+Use_Dtl!D28+Use_Dtl!F28+Use_Dtl!H28</f>
        <v>0</v>
      </c>
      <c r="C27" s="49">
        <f>Use_Dtl!C28+Use_Dtl!E28+Use_Dtl!G28+Use_Dtl!I28</f>
        <v>0</v>
      </c>
      <c r="D27" s="49">
        <f>Use_Dtl!J28+Use_Dtl!L28</f>
        <v>0</v>
      </c>
      <c r="E27" s="49">
        <f>Use_Dtl!K28+Use_Dtl!M28</f>
        <v>0</v>
      </c>
      <c r="F27" s="49">
        <f>Use_Dtl!N28+Use_Dtl!P28+Use_Dtl!R28</f>
        <v>1</v>
      </c>
      <c r="G27" s="49">
        <f>Use_Dtl!O28+Use_Dtl!Q28+Use_Dtl!S28</f>
        <v>629900</v>
      </c>
      <c r="H27" s="49">
        <f>Use_Dtl!T28+Use_Dtl!V28</f>
        <v>0</v>
      </c>
      <c r="I27" s="49">
        <f>Use_Dtl!U28+Use_Dtl!W28</f>
        <v>0</v>
      </c>
      <c r="J27" s="49">
        <f>Use_Dtl!X28+Use_Dtl!Z28</f>
        <v>3</v>
      </c>
      <c r="K27" s="49">
        <f>Use_Dtl!Y28+Use_Dtl!AA28</f>
        <v>1907900</v>
      </c>
      <c r="L27" s="49">
        <f>Use_Dtl!AB28+Use_Dtl!AD28+Use_Dtl!AF28+Use_Dtl!AH28</f>
        <v>4</v>
      </c>
      <c r="M27" s="49">
        <f>Use_Dtl!AC28+Use_Dtl!AE28+Use_Dtl!AG28+Use_Dtl!AI28</f>
        <v>2570300</v>
      </c>
      <c r="N27" s="67">
        <f t="shared" si="10"/>
        <v>8</v>
      </c>
      <c r="O27" s="49">
        <f t="shared" si="11"/>
        <v>5108100</v>
      </c>
      <c r="Q27" s="80">
        <v>700000</v>
      </c>
      <c r="R27" s="80">
        <f t="shared" si="15"/>
        <v>108720</v>
      </c>
      <c r="S27" s="546">
        <f t="shared" si="8"/>
        <v>0.99946680394932796</v>
      </c>
      <c r="T27" s="80">
        <f t="shared" si="13"/>
        <v>665877000</v>
      </c>
      <c r="U27" s="546">
        <f t="shared" si="9"/>
        <v>0.72209451295488158</v>
      </c>
      <c r="Z27" s="545"/>
      <c r="AA27" s="545"/>
      <c r="AB27" s="49">
        <v>700000</v>
      </c>
      <c r="AC27" s="265">
        <f t="shared" si="14"/>
        <v>665877000</v>
      </c>
    </row>
    <row r="28" spans="1:29" x14ac:dyDescent="0.3">
      <c r="A28" s="49">
        <v>800000</v>
      </c>
      <c r="B28" s="49">
        <f>Use_Dtl!B29+Use_Dtl!D29+Use_Dtl!F29+Use_Dtl!H29</f>
        <v>1</v>
      </c>
      <c r="C28" s="49">
        <f>Use_Dtl!C29+Use_Dtl!E29+Use_Dtl!G29+Use_Dtl!I29</f>
        <v>741300</v>
      </c>
      <c r="D28" s="49">
        <f>Use_Dtl!J29+Use_Dtl!L29</f>
        <v>0</v>
      </c>
      <c r="E28" s="49">
        <f>Use_Dtl!K29+Use_Dtl!M29</f>
        <v>0</v>
      </c>
      <c r="F28" s="49">
        <f>Use_Dtl!N29+Use_Dtl!P29+Use_Dtl!R29</f>
        <v>0</v>
      </c>
      <c r="G28" s="49">
        <f>Use_Dtl!O29+Use_Dtl!Q29+Use_Dtl!S29</f>
        <v>0</v>
      </c>
      <c r="H28" s="49">
        <f>Use_Dtl!T29+Use_Dtl!V29</f>
        <v>0</v>
      </c>
      <c r="I28" s="49">
        <f>Use_Dtl!U29+Use_Dtl!W29</f>
        <v>0</v>
      </c>
      <c r="J28" s="49">
        <f>Use_Dtl!X29+Use_Dtl!Z29</f>
        <v>1</v>
      </c>
      <c r="K28" s="49">
        <f>Use_Dtl!Y29+Use_Dtl!AA29</f>
        <v>726000</v>
      </c>
      <c r="L28" s="49">
        <f>Use_Dtl!AB29+Use_Dtl!AD29+Use_Dtl!AF29+Use_Dtl!AH29</f>
        <v>4</v>
      </c>
      <c r="M28" s="49">
        <f>Use_Dtl!AC29+Use_Dtl!AE29+Use_Dtl!AG29+Use_Dtl!AI29</f>
        <v>2916000</v>
      </c>
      <c r="N28" s="67">
        <f t="shared" si="10"/>
        <v>6</v>
      </c>
      <c r="O28" s="49">
        <f t="shared" si="11"/>
        <v>4383300</v>
      </c>
      <c r="Q28" s="80">
        <v>800000</v>
      </c>
      <c r="R28" s="80">
        <f t="shared" si="15"/>
        <v>108726</v>
      </c>
      <c r="S28" s="546">
        <f t="shared" si="8"/>
        <v>0.99952196216146649</v>
      </c>
      <c r="T28" s="80">
        <f t="shared" si="13"/>
        <v>670260300</v>
      </c>
      <c r="U28" s="546">
        <f t="shared" si="9"/>
        <v>0.72684787863448175</v>
      </c>
      <c r="Z28" s="545"/>
      <c r="AA28" s="545"/>
      <c r="AB28" s="49">
        <v>800000</v>
      </c>
      <c r="AC28" s="265">
        <f t="shared" si="14"/>
        <v>670260300</v>
      </c>
    </row>
    <row r="29" spans="1:29" x14ac:dyDescent="0.3">
      <c r="A29" s="49">
        <v>900000</v>
      </c>
      <c r="B29" s="49">
        <f>Use_Dtl!B30+Use_Dtl!D30+Use_Dtl!F30+Use_Dtl!H30</f>
        <v>3</v>
      </c>
      <c r="C29" s="49">
        <f>Use_Dtl!C30+Use_Dtl!E30+Use_Dtl!G30+Use_Dtl!I30</f>
        <v>2639400</v>
      </c>
      <c r="D29" s="49">
        <f>Use_Dtl!J30+Use_Dtl!L30</f>
        <v>0</v>
      </c>
      <c r="E29" s="49">
        <f>Use_Dtl!K30+Use_Dtl!M30</f>
        <v>0</v>
      </c>
      <c r="F29" s="49">
        <f>Use_Dtl!N30+Use_Dtl!P30+Use_Dtl!R30</f>
        <v>0</v>
      </c>
      <c r="G29" s="49">
        <f>Use_Dtl!O30+Use_Dtl!Q30+Use_Dtl!S30</f>
        <v>0</v>
      </c>
      <c r="H29" s="49">
        <f>Use_Dtl!T30+Use_Dtl!V30</f>
        <v>0</v>
      </c>
      <c r="I29" s="49">
        <f>Use_Dtl!U30+Use_Dtl!W30</f>
        <v>0</v>
      </c>
      <c r="J29" s="49">
        <f>Use_Dtl!X30+Use_Dtl!Z30</f>
        <v>4</v>
      </c>
      <c r="K29" s="49">
        <f>Use_Dtl!Y30+Use_Dtl!AA30</f>
        <v>3466000</v>
      </c>
      <c r="L29" s="49">
        <f>Use_Dtl!AB30+Use_Dtl!AD30+Use_Dtl!AF30+Use_Dtl!AH30</f>
        <v>0</v>
      </c>
      <c r="M29" s="49">
        <f>Use_Dtl!AC30+Use_Dtl!AE30+Use_Dtl!AG30+Use_Dtl!AI30</f>
        <v>0</v>
      </c>
      <c r="N29" s="67">
        <f t="shared" si="10"/>
        <v>7</v>
      </c>
      <c r="O29" s="49">
        <f t="shared" si="11"/>
        <v>6105400</v>
      </c>
      <c r="Q29" s="80">
        <v>900000</v>
      </c>
      <c r="R29" s="80">
        <f t="shared" si="15"/>
        <v>108733</v>
      </c>
      <c r="S29" s="546">
        <f t="shared" si="8"/>
        <v>0.99958631340896142</v>
      </c>
      <c r="T29" s="80">
        <f t="shared" si="13"/>
        <v>676365700</v>
      </c>
      <c r="U29" s="546">
        <f t="shared" si="9"/>
        <v>0.73346873479769914</v>
      </c>
      <c r="Z29" s="545"/>
      <c r="AA29" s="545"/>
      <c r="AB29" s="49">
        <v>900000</v>
      </c>
      <c r="AC29" s="265">
        <f t="shared" si="14"/>
        <v>676365700</v>
      </c>
    </row>
    <row r="30" spans="1:29" x14ac:dyDescent="0.3">
      <c r="A30" s="49">
        <v>1000000</v>
      </c>
      <c r="B30" s="49">
        <f>Use_Dtl!B31+Use_Dtl!D31+Use_Dtl!F31+Use_Dtl!H31</f>
        <v>1</v>
      </c>
      <c r="C30" s="49">
        <f>Use_Dtl!C31+Use_Dtl!E31+Use_Dtl!G31+Use_Dtl!I31</f>
        <v>987000</v>
      </c>
      <c r="D30" s="49">
        <f>Use_Dtl!J31+Use_Dtl!L31</f>
        <v>0</v>
      </c>
      <c r="E30" s="49">
        <f>Use_Dtl!K31+Use_Dtl!M31</f>
        <v>0</v>
      </c>
      <c r="F30" s="49">
        <f>Use_Dtl!N31+Use_Dtl!P31+Use_Dtl!R31</f>
        <v>0</v>
      </c>
      <c r="G30" s="49">
        <f>Use_Dtl!O31+Use_Dtl!Q31+Use_Dtl!S31</f>
        <v>0</v>
      </c>
      <c r="H30" s="49">
        <f>Use_Dtl!T31+Use_Dtl!V31</f>
        <v>0</v>
      </c>
      <c r="I30" s="49">
        <f>Use_Dtl!U31+Use_Dtl!W31</f>
        <v>0</v>
      </c>
      <c r="J30" s="49">
        <f>Use_Dtl!X31+Use_Dtl!Z31</f>
        <v>2</v>
      </c>
      <c r="K30" s="49">
        <f>Use_Dtl!Y31+Use_Dtl!AA31</f>
        <v>1921500</v>
      </c>
      <c r="L30" s="49">
        <f>Use_Dtl!AB31+Use_Dtl!AD31+Use_Dtl!AF31+Use_Dtl!AH31</f>
        <v>3</v>
      </c>
      <c r="M30" s="49">
        <f>Use_Dtl!AC31+Use_Dtl!AE31+Use_Dtl!AG31+Use_Dtl!AI31</f>
        <v>2966900</v>
      </c>
      <c r="N30" s="67">
        <f t="shared" si="10"/>
        <v>6</v>
      </c>
      <c r="O30" s="49">
        <f t="shared" si="11"/>
        <v>5875400</v>
      </c>
      <c r="Q30" s="80">
        <v>1000000</v>
      </c>
      <c r="R30" s="80">
        <f t="shared" si="15"/>
        <v>108739</v>
      </c>
      <c r="S30" s="546">
        <f t="shared" si="8"/>
        <v>0.99964147162109984</v>
      </c>
      <c r="T30" s="80">
        <f t="shared" si="13"/>
        <v>682241100</v>
      </c>
      <c r="U30" s="546">
        <f t="shared" si="9"/>
        <v>0.73984017291827564</v>
      </c>
      <c r="Z30" s="545"/>
      <c r="AA30" s="545"/>
      <c r="AB30" s="49">
        <v>1000000</v>
      </c>
      <c r="AC30" s="265">
        <f t="shared" si="14"/>
        <v>682241100</v>
      </c>
    </row>
    <row r="31" spans="1:29" ht="16.2" x14ac:dyDescent="0.45">
      <c r="A31" s="497" t="s">
        <v>571</v>
      </c>
      <c r="B31" s="124">
        <f>Use_Dtl!B32+Use_Dtl!D32+Use_Dtl!F32+Use_Dtl!H32</f>
        <v>0</v>
      </c>
      <c r="C31" s="124">
        <f>Use_Dtl!C32+Use_Dtl!E32+Use_Dtl!G32+Use_Dtl!I32</f>
        <v>0</v>
      </c>
      <c r="D31" s="124">
        <f>Use_Dtl!J32+Use_Dtl!L32</f>
        <v>0</v>
      </c>
      <c r="E31" s="124">
        <f>Use_Dtl!K32+Use_Dtl!M32</f>
        <v>0</v>
      </c>
      <c r="F31" s="124">
        <f>Use_Dtl!N32+Use_Dtl!P32+Use_Dtl!R32</f>
        <v>0</v>
      </c>
      <c r="G31" s="124">
        <f>Use_Dtl!O32+Use_Dtl!Q32+Use_Dtl!S32</f>
        <v>0</v>
      </c>
      <c r="H31" s="124">
        <f>Use_Dtl!T32+Use_Dtl!V32</f>
        <v>0</v>
      </c>
      <c r="I31" s="124">
        <f>Use_Dtl!U32+Use_Dtl!W32</f>
        <v>0</v>
      </c>
      <c r="J31" s="124">
        <f>Use_Dtl!X32+Use_Dtl!Z32</f>
        <v>1</v>
      </c>
      <c r="K31" s="124">
        <f>Use_Dtl!Y32+Use_Dtl!AA32</f>
        <v>1346300</v>
      </c>
      <c r="L31" s="124">
        <f>Use_Dtl!AB32+Use_Dtl!AD32+Use_Dtl!AF32+Use_Dtl!AH32</f>
        <v>38</v>
      </c>
      <c r="M31" s="124">
        <f>Use_Dtl!AC32+Use_Dtl!AE32+Use_Dtl!AG32+Use_Dtl!AI32</f>
        <v>238559200</v>
      </c>
      <c r="N31" s="547">
        <f t="shared" si="10"/>
        <v>39</v>
      </c>
      <c r="O31" s="124">
        <f t="shared" si="11"/>
        <v>239905500</v>
      </c>
      <c r="P31" s="124"/>
      <c r="Q31" s="80" t="s">
        <v>571</v>
      </c>
      <c r="R31" s="80">
        <f t="shared" si="15"/>
        <v>108778</v>
      </c>
      <c r="S31" s="546">
        <f t="shared" si="8"/>
        <v>1</v>
      </c>
      <c r="T31" s="80">
        <f t="shared" si="13"/>
        <v>922146600</v>
      </c>
      <c r="U31" s="546">
        <f t="shared" si="9"/>
        <v>1</v>
      </c>
      <c r="V31" s="49">
        <f>W31/12</f>
        <v>9064.8333333333339</v>
      </c>
      <c r="W31" s="49">
        <f>SUM(N5:N31)</f>
        <v>108778</v>
      </c>
      <c r="X31" s="49">
        <f>SUM(O5:O31)</f>
        <v>922146600</v>
      </c>
      <c r="Y31" s="49">
        <f>X31/W31</f>
        <v>8477.326297596941</v>
      </c>
      <c r="Z31" s="545">
        <f>X31/$O$32</f>
        <v>1</v>
      </c>
      <c r="AA31" s="545"/>
      <c r="AB31" s="497" t="s">
        <v>571</v>
      </c>
      <c r="AC31" s="265">
        <f t="shared" si="7"/>
        <v>922146600</v>
      </c>
    </row>
    <row r="32" spans="1:29" x14ac:dyDescent="0.3">
      <c r="A32" s="497" t="s">
        <v>14</v>
      </c>
      <c r="B32" s="49">
        <f t="shared" ref="B32:O32" si="16">SUM(B5:B31)</f>
        <v>105981</v>
      </c>
      <c r="C32" s="49">
        <f t="shared" si="16"/>
        <v>585014600</v>
      </c>
      <c r="D32" s="49">
        <f t="shared" si="16"/>
        <v>326</v>
      </c>
      <c r="E32" s="49">
        <f t="shared" si="16"/>
        <v>1875800</v>
      </c>
      <c r="F32" s="49">
        <f t="shared" si="16"/>
        <v>1617</v>
      </c>
      <c r="G32" s="49">
        <f t="shared" si="16"/>
        <v>37279500</v>
      </c>
      <c r="H32" s="49">
        <f t="shared" si="16"/>
        <v>156</v>
      </c>
      <c r="I32" s="49">
        <f t="shared" si="16"/>
        <v>4937400</v>
      </c>
      <c r="J32" s="49">
        <f t="shared" si="16"/>
        <v>323</v>
      </c>
      <c r="K32" s="49">
        <f t="shared" si="16"/>
        <v>20286000</v>
      </c>
      <c r="L32" s="49">
        <f t="shared" si="16"/>
        <v>375</v>
      </c>
      <c r="M32" s="49">
        <f t="shared" si="16"/>
        <v>272753300</v>
      </c>
      <c r="N32" s="67">
        <f t="shared" si="16"/>
        <v>108778</v>
      </c>
      <c r="O32" s="49">
        <f t="shared" si="16"/>
        <v>922146600</v>
      </c>
    </row>
    <row r="33" spans="1:27" x14ac:dyDescent="0.3">
      <c r="N33" s="67"/>
    </row>
    <row r="34" spans="1:27" ht="20.100000000000001" customHeight="1" x14ac:dyDescent="0.45">
      <c r="A34" s="49" t="s">
        <v>573</v>
      </c>
      <c r="C34" s="49">
        <f>C32/B32</f>
        <v>5519.9950934601484</v>
      </c>
      <c r="E34" s="49">
        <f>E32/D32</f>
        <v>5753.9877300613498</v>
      </c>
      <c r="G34" s="49">
        <f>G32/F32</f>
        <v>23054.730983302412</v>
      </c>
      <c r="I34" s="49">
        <f>I32/H32</f>
        <v>31650</v>
      </c>
      <c r="K34" s="49">
        <f>K32/J32</f>
        <v>62804.953560371519</v>
      </c>
      <c r="M34" s="49">
        <f>M32/L32</f>
        <v>727342.1333333333</v>
      </c>
      <c r="N34" s="67"/>
      <c r="U34" s="544"/>
      <c r="V34" s="543"/>
      <c r="W34" s="542" t="s">
        <v>514</v>
      </c>
      <c r="X34" s="542" t="s">
        <v>196</v>
      </c>
      <c r="Y34" s="541" t="s">
        <v>597</v>
      </c>
      <c r="Z34" s="540"/>
      <c r="AA34" s="567"/>
    </row>
    <row r="35" spans="1:27" x14ac:dyDescent="0.3">
      <c r="U35" s="538"/>
      <c r="V35" s="537" t="s">
        <v>597</v>
      </c>
      <c r="W35" s="185">
        <f>W31</f>
        <v>108778</v>
      </c>
      <c r="X35" s="185">
        <f>X31</f>
        <v>922146600</v>
      </c>
      <c r="Y35" s="185">
        <f>X35</f>
        <v>922146600</v>
      </c>
      <c r="Z35" s="539"/>
      <c r="AA35" s="378"/>
    </row>
    <row r="36" spans="1:27" ht="17.399999999999999" x14ac:dyDescent="0.45">
      <c r="B36" s="424"/>
      <c r="C36" s="424"/>
      <c r="D36" s="424"/>
      <c r="E36" s="424"/>
      <c r="F36" s="424"/>
      <c r="G36" s="424"/>
      <c r="U36" s="538"/>
      <c r="V36" s="537"/>
      <c r="W36" s="185"/>
      <c r="X36" s="536"/>
      <c r="Y36" s="536"/>
      <c r="Z36" s="535"/>
      <c r="AA36" s="568"/>
    </row>
    <row r="37" spans="1:27" ht="20.100000000000001" customHeight="1" x14ac:dyDescent="0.3">
      <c r="B37" s="424"/>
      <c r="C37" s="424"/>
      <c r="D37" s="424"/>
      <c r="E37" s="424"/>
      <c r="F37" s="424"/>
      <c r="G37" s="424"/>
      <c r="U37" s="534"/>
      <c r="V37" s="533"/>
      <c r="W37" s="533"/>
      <c r="X37" s="532">
        <f>SUM(X35:X36)</f>
        <v>922146600</v>
      </c>
      <c r="Y37" s="532">
        <f>SUM(Y35:Y36)</f>
        <v>922146600</v>
      </c>
      <c r="Z37" s="531">
        <f>SUM(Z35:Z36)</f>
        <v>0</v>
      </c>
      <c r="AA37" s="569"/>
    </row>
    <row r="38" spans="1:27" x14ac:dyDescent="0.3">
      <c r="C38" s="530"/>
      <c r="D38" s="530"/>
      <c r="E38" s="530"/>
    </row>
  </sheetData>
  <mergeCells count="9">
    <mergeCell ref="N3:O3"/>
    <mergeCell ref="R3:U3"/>
    <mergeCell ref="W3:Y3"/>
    <mergeCell ref="D3:E3"/>
    <mergeCell ref="B3:C3"/>
    <mergeCell ref="F3:G3"/>
    <mergeCell ref="H3:I3"/>
    <mergeCell ref="J3:K3"/>
    <mergeCell ref="L3:M3"/>
  </mergeCells>
  <printOptions horizontalCentered="1"/>
  <pageMargins left="0.7" right="0.7" top="1.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24BA6-F36C-4CAF-96E2-9BF49AF84A38}">
  <sheetPr>
    <pageSetUpPr fitToPage="1"/>
  </sheetPr>
  <dimension ref="A2:AY40"/>
  <sheetViews>
    <sheetView workbookViewId="0">
      <pane xSplit="1" ySplit="5" topLeftCell="B6" activePane="bottomRight" state="frozen"/>
      <selection activeCell="B5" sqref="B5"/>
      <selection pane="topRight" activeCell="B5" sqref="B5"/>
      <selection pane="bottomLeft" activeCell="B5" sqref="B5"/>
      <selection pane="bottomRight" activeCell="B6" sqref="B6"/>
    </sheetView>
  </sheetViews>
  <sheetFormatPr defaultColWidth="8.90625" defaultRowHeight="14.4" x14ac:dyDescent="0.3"/>
  <cols>
    <col min="1" max="1" width="10" style="49" customWidth="1"/>
    <col min="2" max="35" width="9.90625" style="49" customWidth="1"/>
    <col min="36" max="36" width="7" style="49" bestFit="1" customWidth="1"/>
    <col min="37" max="37" width="9.81640625" style="49" bestFit="1" customWidth="1"/>
    <col min="38" max="38" width="2.6328125" style="49" customWidth="1"/>
    <col min="39" max="39" width="9.54296875" style="49" hidden="1" customWidth="1"/>
    <col min="40" max="40" width="6.1796875" style="49" hidden="1" customWidth="1"/>
    <col min="41" max="41" width="5.81640625" style="49" hidden="1" customWidth="1"/>
    <col min="42" max="42" width="9.81640625" style="49" hidden="1" customWidth="1"/>
    <col min="43" max="43" width="5.81640625" style="49" hidden="1" customWidth="1"/>
    <col min="44" max="45" width="6.1796875" style="49" hidden="1" customWidth="1"/>
    <col min="46" max="47" width="9.81640625" style="49" hidden="1" customWidth="1"/>
    <col min="48" max="49" width="9" style="49" hidden="1" customWidth="1"/>
    <col min="50" max="50" width="9.54296875" style="49" hidden="1" customWidth="1"/>
    <col min="51" max="51" width="9.81640625" style="49" hidden="1" customWidth="1"/>
    <col min="52" max="58" width="0" style="49" hidden="1" customWidth="1"/>
    <col min="59" max="16384" width="8.90625" style="49"/>
  </cols>
  <sheetData>
    <row r="2" spans="1:51" x14ac:dyDescent="0.3">
      <c r="B2" s="646" t="s">
        <v>549</v>
      </c>
      <c r="C2" s="646"/>
      <c r="D2" s="646" t="s">
        <v>548</v>
      </c>
      <c r="E2" s="646"/>
      <c r="F2" s="646" t="s">
        <v>547</v>
      </c>
      <c r="G2" s="646"/>
      <c r="H2" s="646" t="s">
        <v>546</v>
      </c>
      <c r="I2" s="646"/>
      <c r="J2" s="646" t="s">
        <v>545</v>
      </c>
      <c r="K2" s="646"/>
      <c r="L2" s="646" t="s">
        <v>544</v>
      </c>
      <c r="M2" s="646"/>
      <c r="N2" s="646" t="s">
        <v>543</v>
      </c>
      <c r="O2" s="646"/>
      <c r="P2" s="646" t="s">
        <v>542</v>
      </c>
      <c r="Q2" s="646"/>
      <c r="R2" s="646" t="s">
        <v>541</v>
      </c>
      <c r="S2" s="646"/>
      <c r="T2" s="646" t="s">
        <v>540</v>
      </c>
      <c r="U2" s="646"/>
      <c r="V2" s="646" t="s">
        <v>539</v>
      </c>
      <c r="W2" s="646"/>
      <c r="X2" s="646" t="s">
        <v>538</v>
      </c>
      <c r="Y2" s="646"/>
      <c r="Z2" s="646" t="s">
        <v>537</v>
      </c>
      <c r="AA2" s="646"/>
      <c r="AB2" s="646" t="s">
        <v>536</v>
      </c>
      <c r="AC2" s="646"/>
      <c r="AD2" s="646" t="s">
        <v>535</v>
      </c>
      <c r="AE2" s="646"/>
      <c r="AF2" s="646" t="s">
        <v>534</v>
      </c>
      <c r="AG2" s="646"/>
      <c r="AH2" s="646" t="s">
        <v>533</v>
      </c>
      <c r="AI2" s="646"/>
    </row>
    <row r="3" spans="1:51" x14ac:dyDescent="0.3">
      <c r="B3" s="646" t="s">
        <v>530</v>
      </c>
      <c r="C3" s="646"/>
      <c r="D3" s="646" t="s">
        <v>529</v>
      </c>
      <c r="E3" s="646"/>
      <c r="F3" s="646" t="s">
        <v>531</v>
      </c>
      <c r="G3" s="646"/>
      <c r="H3" s="646" t="s">
        <v>532</v>
      </c>
      <c r="I3" s="646"/>
      <c r="J3" s="646" t="s">
        <v>530</v>
      </c>
      <c r="K3" s="646"/>
      <c r="L3" s="646" t="s">
        <v>529</v>
      </c>
      <c r="M3" s="646"/>
      <c r="N3" s="646" t="s">
        <v>530</v>
      </c>
      <c r="O3" s="646"/>
      <c r="P3" s="646" t="s">
        <v>529</v>
      </c>
      <c r="Q3" s="646"/>
      <c r="R3" s="646" t="s">
        <v>531</v>
      </c>
      <c r="S3" s="646"/>
      <c r="T3" s="646" t="s">
        <v>530</v>
      </c>
      <c r="U3" s="646"/>
      <c r="V3" s="646" t="s">
        <v>529</v>
      </c>
      <c r="W3" s="646"/>
      <c r="X3" s="646" t="s">
        <v>530</v>
      </c>
      <c r="Y3" s="646"/>
      <c r="Z3" s="646" t="s">
        <v>529</v>
      </c>
      <c r="AA3" s="646"/>
      <c r="AB3" s="646" t="s">
        <v>530</v>
      </c>
      <c r="AC3" s="646"/>
      <c r="AD3" s="646" t="s">
        <v>529</v>
      </c>
      <c r="AE3" s="646"/>
      <c r="AF3" s="646" t="s">
        <v>528</v>
      </c>
      <c r="AG3" s="646"/>
      <c r="AH3" s="646" t="s">
        <v>527</v>
      </c>
      <c r="AI3" s="646"/>
    </row>
    <row r="4" spans="1:51" ht="16.2" x14ac:dyDescent="0.45">
      <c r="B4" s="645" t="s">
        <v>525</v>
      </c>
      <c r="C4" s="645"/>
      <c r="D4" s="645" t="s">
        <v>525</v>
      </c>
      <c r="E4" s="645"/>
      <c r="F4" s="645" t="s">
        <v>525</v>
      </c>
      <c r="G4" s="645"/>
      <c r="H4" s="645" t="s">
        <v>525</v>
      </c>
      <c r="I4" s="645"/>
      <c r="J4" s="645" t="s">
        <v>524</v>
      </c>
      <c r="K4" s="645"/>
      <c r="L4" s="645" t="s">
        <v>524</v>
      </c>
      <c r="M4" s="645"/>
      <c r="N4" s="645" t="s">
        <v>523</v>
      </c>
      <c r="O4" s="645"/>
      <c r="P4" s="645" t="s">
        <v>523</v>
      </c>
      <c r="Q4" s="645"/>
      <c r="R4" s="645" t="s">
        <v>523</v>
      </c>
      <c r="S4" s="645"/>
      <c r="T4" s="645" t="s">
        <v>522</v>
      </c>
      <c r="U4" s="645"/>
      <c r="V4" s="645" t="s">
        <v>522</v>
      </c>
      <c r="W4" s="645"/>
      <c r="X4" s="645" t="s">
        <v>526</v>
      </c>
      <c r="Y4" s="645"/>
      <c r="Z4" s="645" t="s">
        <v>526</v>
      </c>
      <c r="AA4" s="645"/>
      <c r="AB4" s="645" t="s">
        <v>520</v>
      </c>
      <c r="AC4" s="645"/>
      <c r="AD4" s="645" t="s">
        <v>520</v>
      </c>
      <c r="AE4" s="645"/>
      <c r="AF4" s="645" t="s">
        <v>520</v>
      </c>
      <c r="AG4" s="645"/>
      <c r="AH4" s="645" t="s">
        <v>520</v>
      </c>
      <c r="AI4" s="645"/>
      <c r="AJ4" s="642" t="s">
        <v>115</v>
      </c>
      <c r="AK4" s="643"/>
      <c r="AL4" s="549"/>
      <c r="AM4" s="549"/>
      <c r="AN4" s="643" t="s">
        <v>519</v>
      </c>
      <c r="AO4" s="643"/>
      <c r="AP4" s="643"/>
      <c r="AQ4" s="643"/>
      <c r="AR4" s="549"/>
      <c r="AS4" s="644" t="s">
        <v>518</v>
      </c>
      <c r="AT4" s="644"/>
      <c r="AU4" s="644"/>
    </row>
    <row r="5" spans="1:51" ht="16.2" x14ac:dyDescent="0.45">
      <c r="A5" s="264" t="s">
        <v>517</v>
      </c>
      <c r="B5" s="548" t="s">
        <v>514</v>
      </c>
      <c r="C5" s="548" t="s">
        <v>196</v>
      </c>
      <c r="D5" s="548" t="s">
        <v>514</v>
      </c>
      <c r="E5" s="548" t="s">
        <v>196</v>
      </c>
      <c r="F5" s="548" t="s">
        <v>514</v>
      </c>
      <c r="G5" s="548" t="s">
        <v>196</v>
      </c>
      <c r="H5" s="548" t="s">
        <v>514</v>
      </c>
      <c r="I5" s="548" t="s">
        <v>196</v>
      </c>
      <c r="J5" s="548" t="s">
        <v>514</v>
      </c>
      <c r="K5" s="548" t="s">
        <v>196</v>
      </c>
      <c r="L5" s="548" t="s">
        <v>514</v>
      </c>
      <c r="M5" s="548" t="s">
        <v>196</v>
      </c>
      <c r="N5" s="548" t="s">
        <v>514</v>
      </c>
      <c r="O5" s="548" t="s">
        <v>196</v>
      </c>
      <c r="P5" s="548" t="s">
        <v>514</v>
      </c>
      <c r="Q5" s="548" t="s">
        <v>196</v>
      </c>
      <c r="R5" s="548" t="s">
        <v>514</v>
      </c>
      <c r="S5" s="548" t="s">
        <v>196</v>
      </c>
      <c r="T5" s="548" t="s">
        <v>514</v>
      </c>
      <c r="U5" s="548" t="s">
        <v>196</v>
      </c>
      <c r="V5" s="548" t="s">
        <v>514</v>
      </c>
      <c r="W5" s="548" t="s">
        <v>196</v>
      </c>
      <c r="X5" s="548" t="s">
        <v>514</v>
      </c>
      <c r="Y5" s="548" t="s">
        <v>196</v>
      </c>
      <c r="Z5" s="548" t="s">
        <v>514</v>
      </c>
      <c r="AA5" s="548" t="s">
        <v>196</v>
      </c>
      <c r="AB5" s="548" t="s">
        <v>514</v>
      </c>
      <c r="AC5" s="548" t="s">
        <v>196</v>
      </c>
      <c r="AD5" s="548" t="s">
        <v>514</v>
      </c>
      <c r="AE5" s="548" t="s">
        <v>196</v>
      </c>
      <c r="AF5" s="548" t="s">
        <v>514</v>
      </c>
      <c r="AG5" s="548" t="s">
        <v>196</v>
      </c>
      <c r="AH5" s="548" t="s">
        <v>514</v>
      </c>
      <c r="AI5" s="548" t="s">
        <v>196</v>
      </c>
      <c r="AJ5" s="502" t="s">
        <v>514</v>
      </c>
      <c r="AK5" s="219" t="s">
        <v>196</v>
      </c>
      <c r="AL5" s="219"/>
      <c r="AM5" s="219" t="s">
        <v>517</v>
      </c>
      <c r="AN5" s="219" t="s">
        <v>514</v>
      </c>
      <c r="AO5" s="219"/>
      <c r="AP5" s="219" t="s">
        <v>196</v>
      </c>
      <c r="AQ5" s="219"/>
      <c r="AR5" s="219"/>
      <c r="AS5" s="219" t="s">
        <v>514</v>
      </c>
      <c r="AT5" s="219" t="s">
        <v>196</v>
      </c>
      <c r="AU5" s="219" t="s">
        <v>516</v>
      </c>
    </row>
    <row r="6" spans="1:51" x14ac:dyDescent="0.3">
      <c r="A6" s="49">
        <v>0</v>
      </c>
      <c r="B6" s="49">
        <v>2250</v>
      </c>
      <c r="C6" s="49">
        <v>0</v>
      </c>
      <c r="D6" s="49">
        <v>1971</v>
      </c>
      <c r="E6" s="49">
        <v>0</v>
      </c>
      <c r="F6" s="49">
        <v>518</v>
      </c>
      <c r="G6" s="49">
        <v>0</v>
      </c>
      <c r="H6" s="49">
        <v>16</v>
      </c>
      <c r="I6" s="49">
        <v>0</v>
      </c>
      <c r="J6" s="49">
        <v>5</v>
      </c>
      <c r="K6" s="49">
        <v>0</v>
      </c>
      <c r="L6" s="49">
        <v>3</v>
      </c>
      <c r="M6" s="49">
        <v>0</v>
      </c>
      <c r="N6" s="49">
        <v>60</v>
      </c>
      <c r="O6" s="49">
        <v>0</v>
      </c>
      <c r="P6" s="49">
        <v>168</v>
      </c>
      <c r="Q6" s="49">
        <v>0</v>
      </c>
      <c r="R6" s="49">
        <v>5</v>
      </c>
      <c r="S6" s="49">
        <v>0</v>
      </c>
      <c r="T6" s="49">
        <v>0</v>
      </c>
      <c r="U6" s="49">
        <v>0</v>
      </c>
      <c r="V6" s="49">
        <v>3</v>
      </c>
      <c r="W6" s="49">
        <v>0</v>
      </c>
      <c r="X6" s="49">
        <v>0</v>
      </c>
      <c r="Y6" s="49">
        <v>0</v>
      </c>
      <c r="Z6" s="49">
        <v>64</v>
      </c>
      <c r="AA6" s="49">
        <v>0</v>
      </c>
      <c r="AB6" s="49">
        <v>0</v>
      </c>
      <c r="AC6" s="49">
        <v>0</v>
      </c>
      <c r="AD6" s="49">
        <v>45</v>
      </c>
      <c r="AE6" s="49">
        <v>0</v>
      </c>
      <c r="AF6" s="49">
        <v>0</v>
      </c>
      <c r="AG6" s="49">
        <v>0</v>
      </c>
      <c r="AH6" s="49">
        <v>0</v>
      </c>
      <c r="AI6" s="49">
        <v>0</v>
      </c>
      <c r="AJ6" s="67">
        <f>B6+D6+F6+H6+J6+L6+N6+P6+R6+T6+V6+X6+Z6+AB6+AD6+AF6+AH6</f>
        <v>5108</v>
      </c>
      <c r="AK6" s="49">
        <f>C6+E6+G6+I6+K6+M6+O6+Q6+S6++W6+U6+Y6+AA6+AC6+AE6+AG6+AI6</f>
        <v>0</v>
      </c>
      <c r="AM6" s="49">
        <v>0</v>
      </c>
      <c r="AN6" s="49">
        <f>AJ6</f>
        <v>5108</v>
      </c>
      <c r="AO6" s="545">
        <f t="shared" ref="AO6:AO21" si="0">AN6/$AJ$33</f>
        <v>4.6958024600562615E-2</v>
      </c>
      <c r="AP6" s="49">
        <f>AK6</f>
        <v>0</v>
      </c>
      <c r="AQ6" s="545">
        <f t="shared" ref="AQ6:AQ21" si="1">AP6/$AK$33</f>
        <v>0</v>
      </c>
      <c r="AX6" s="49">
        <v>0</v>
      </c>
      <c r="AY6" s="443">
        <v>0</v>
      </c>
    </row>
    <row r="7" spans="1:51" x14ac:dyDescent="0.3">
      <c r="A7" s="49">
        <v>5000</v>
      </c>
      <c r="B7" s="49">
        <v>60860</v>
      </c>
      <c r="C7" s="49">
        <v>182042900</v>
      </c>
      <c r="D7" s="49">
        <v>3254</v>
      </c>
      <c r="E7" s="49">
        <v>5371500</v>
      </c>
      <c r="F7" s="49">
        <v>142</v>
      </c>
      <c r="G7" s="49">
        <v>231600</v>
      </c>
      <c r="H7" s="49">
        <v>11</v>
      </c>
      <c r="I7" s="49">
        <v>13300</v>
      </c>
      <c r="J7" s="49">
        <v>159</v>
      </c>
      <c r="K7" s="49">
        <v>524400</v>
      </c>
      <c r="L7" s="49">
        <v>27</v>
      </c>
      <c r="M7" s="49">
        <v>45600</v>
      </c>
      <c r="N7" s="80">
        <v>267</v>
      </c>
      <c r="O7" s="80">
        <v>729500</v>
      </c>
      <c r="P7" s="80">
        <v>301</v>
      </c>
      <c r="Q7" s="80">
        <v>603000</v>
      </c>
      <c r="R7" s="80">
        <v>1</v>
      </c>
      <c r="S7" s="80">
        <v>200</v>
      </c>
      <c r="T7" s="80">
        <v>18</v>
      </c>
      <c r="U7" s="80">
        <v>37000</v>
      </c>
      <c r="V7" s="80">
        <v>8</v>
      </c>
      <c r="W7" s="80">
        <v>27100</v>
      </c>
      <c r="X7" s="80">
        <v>3</v>
      </c>
      <c r="Y7" s="80">
        <v>12600</v>
      </c>
      <c r="Z7" s="80">
        <v>66</v>
      </c>
      <c r="AA7" s="80">
        <v>141300</v>
      </c>
      <c r="AB7" s="80">
        <v>0</v>
      </c>
      <c r="AC7" s="80">
        <v>0</v>
      </c>
      <c r="AD7" s="80">
        <v>48</v>
      </c>
      <c r="AE7" s="80">
        <v>75800</v>
      </c>
      <c r="AF7" s="80">
        <v>8</v>
      </c>
      <c r="AG7" s="80">
        <v>23400</v>
      </c>
      <c r="AH7" s="80">
        <v>0</v>
      </c>
      <c r="AI7" s="419">
        <v>0</v>
      </c>
      <c r="AJ7" s="67">
        <f t="shared" ref="AJ7:AJ32" si="2">B7+D7+F7+H7+J7+L7+N7+P7+R7+T7+V7+X7+Z7+AB7+AD7+AF7+AH7</f>
        <v>65173</v>
      </c>
      <c r="AK7" s="49">
        <f t="shared" ref="AK7:AK32" si="3">C7+E7+G7+I7+K7+M7+O7+Q7+S7++W7+U7+Y7+AA7+AC7+AE7+AG7+AI7</f>
        <v>189879200</v>
      </c>
      <c r="AL7" s="80"/>
      <c r="AM7" s="80">
        <v>5000</v>
      </c>
      <c r="AN7" s="80">
        <f t="shared" ref="AN7:AN21" si="4">AN6+AJ7</f>
        <v>70281</v>
      </c>
      <c r="AO7" s="546">
        <f t="shared" si="0"/>
        <v>0.646095717884131</v>
      </c>
      <c r="AP7" s="80">
        <f t="shared" ref="AP7:AP21" si="5">AP6+AK7</f>
        <v>189879200</v>
      </c>
      <c r="AQ7" s="546">
        <f t="shared" si="1"/>
        <v>0.20590999305316529</v>
      </c>
      <c r="AX7" s="49">
        <v>5000</v>
      </c>
      <c r="AY7" s="443">
        <v>109043600</v>
      </c>
    </row>
    <row r="8" spans="1:51" x14ac:dyDescent="0.3">
      <c r="A8" s="49">
        <f t="shared" ref="A8:A21" si="6">+A7+5000</f>
        <v>10000</v>
      </c>
      <c r="B8" s="49">
        <v>27031</v>
      </c>
      <c r="C8" s="49">
        <v>183376600</v>
      </c>
      <c r="D8" s="49">
        <v>643</v>
      </c>
      <c r="E8" s="49">
        <v>4528300</v>
      </c>
      <c r="F8" s="49">
        <v>81</v>
      </c>
      <c r="G8" s="49">
        <v>590800</v>
      </c>
      <c r="H8" s="49">
        <v>1</v>
      </c>
      <c r="I8" s="49">
        <v>5400</v>
      </c>
      <c r="J8" s="49">
        <v>88</v>
      </c>
      <c r="K8" s="49">
        <v>623200</v>
      </c>
      <c r="L8" s="49">
        <v>5</v>
      </c>
      <c r="M8" s="49">
        <v>32700</v>
      </c>
      <c r="N8" s="80">
        <v>209</v>
      </c>
      <c r="O8" s="80">
        <v>1497200</v>
      </c>
      <c r="P8" s="80">
        <v>87</v>
      </c>
      <c r="Q8" s="80">
        <v>624400</v>
      </c>
      <c r="R8" s="80">
        <v>0</v>
      </c>
      <c r="S8" s="80">
        <v>0</v>
      </c>
      <c r="T8" s="80">
        <v>12</v>
      </c>
      <c r="U8" s="80">
        <v>79000</v>
      </c>
      <c r="V8" s="80">
        <v>1</v>
      </c>
      <c r="W8" s="80">
        <v>9700</v>
      </c>
      <c r="X8" s="80">
        <v>3</v>
      </c>
      <c r="Y8" s="80">
        <v>20100</v>
      </c>
      <c r="Z8" s="80">
        <v>25</v>
      </c>
      <c r="AA8" s="80">
        <v>185500</v>
      </c>
      <c r="AB8" s="80">
        <v>0</v>
      </c>
      <c r="AC8" s="80">
        <v>0</v>
      </c>
      <c r="AD8" s="80">
        <v>19</v>
      </c>
      <c r="AE8" s="80">
        <v>146600</v>
      </c>
      <c r="AF8" s="80">
        <v>0</v>
      </c>
      <c r="AG8" s="80">
        <v>0</v>
      </c>
      <c r="AH8" s="80">
        <v>0</v>
      </c>
      <c r="AI8" s="419">
        <v>0</v>
      </c>
      <c r="AJ8" s="67">
        <f t="shared" si="2"/>
        <v>28205</v>
      </c>
      <c r="AK8" s="49">
        <f t="shared" si="3"/>
        <v>191719500</v>
      </c>
      <c r="AL8" s="80"/>
      <c r="AM8" s="80">
        <v>10000</v>
      </c>
      <c r="AN8" s="80">
        <f t="shared" si="4"/>
        <v>98486</v>
      </c>
      <c r="AO8" s="546">
        <f t="shared" si="0"/>
        <v>0.90538528011178732</v>
      </c>
      <c r="AP8" s="80">
        <f t="shared" si="5"/>
        <v>381598700</v>
      </c>
      <c r="AQ8" s="546">
        <f t="shared" si="1"/>
        <v>0.41381565577533985</v>
      </c>
      <c r="AS8" s="49">
        <f>SUM(AJ6:AJ8)</f>
        <v>98486</v>
      </c>
      <c r="AT8" s="49">
        <f>SUM(AK6:AK8)</f>
        <v>381598700</v>
      </c>
      <c r="AU8" s="49">
        <f>AT8/AS8</f>
        <v>3874.6491887171783</v>
      </c>
      <c r="AV8" s="545">
        <f>AT8/$AK$33</f>
        <v>0.41381565577533985</v>
      </c>
      <c r="AW8" s="545"/>
      <c r="AX8" s="49">
        <v>10000</v>
      </c>
      <c r="AY8" s="443">
        <v>181646000</v>
      </c>
    </row>
    <row r="9" spans="1:51" x14ac:dyDescent="0.3">
      <c r="A9" s="49">
        <f t="shared" si="6"/>
        <v>15000</v>
      </c>
      <c r="B9" s="49">
        <v>4507</v>
      </c>
      <c r="C9" s="49">
        <v>53990700</v>
      </c>
      <c r="D9" s="49">
        <v>203</v>
      </c>
      <c r="E9" s="49">
        <v>2473000</v>
      </c>
      <c r="F9" s="49">
        <v>75</v>
      </c>
      <c r="G9" s="49">
        <v>917900</v>
      </c>
      <c r="H9" s="49">
        <v>0</v>
      </c>
      <c r="I9" s="49">
        <v>0</v>
      </c>
      <c r="J9" s="49">
        <v>23</v>
      </c>
      <c r="K9" s="49">
        <v>275600</v>
      </c>
      <c r="L9" s="49">
        <v>1</v>
      </c>
      <c r="M9" s="49">
        <v>38400</v>
      </c>
      <c r="N9" s="80">
        <v>52</v>
      </c>
      <c r="O9" s="80">
        <v>647100</v>
      </c>
      <c r="P9" s="80">
        <v>50</v>
      </c>
      <c r="Q9" s="80">
        <v>603500</v>
      </c>
      <c r="R9" s="80">
        <v>0</v>
      </c>
      <c r="S9" s="80">
        <v>0</v>
      </c>
      <c r="T9" s="80">
        <v>5</v>
      </c>
      <c r="U9" s="80">
        <v>62300</v>
      </c>
      <c r="V9" s="80">
        <v>14</v>
      </c>
      <c r="W9" s="80">
        <v>167100</v>
      </c>
      <c r="X9" s="80">
        <v>3</v>
      </c>
      <c r="Y9" s="80">
        <v>35200</v>
      </c>
      <c r="Z9" s="80">
        <v>22</v>
      </c>
      <c r="AA9" s="80">
        <v>277600</v>
      </c>
      <c r="AB9" s="80">
        <v>3</v>
      </c>
      <c r="AC9" s="80">
        <v>41300</v>
      </c>
      <c r="AD9" s="80">
        <v>9</v>
      </c>
      <c r="AE9" s="80">
        <v>111400</v>
      </c>
      <c r="AF9" s="80">
        <v>0</v>
      </c>
      <c r="AG9" s="80">
        <v>0</v>
      </c>
      <c r="AH9" s="80">
        <v>0</v>
      </c>
      <c r="AI9" s="419">
        <v>0</v>
      </c>
      <c r="AJ9" s="67">
        <f t="shared" si="2"/>
        <v>4967</v>
      </c>
      <c r="AK9" s="49">
        <f t="shared" si="3"/>
        <v>59641100</v>
      </c>
      <c r="AL9" s="80"/>
      <c r="AM9" s="80">
        <v>15000</v>
      </c>
      <c r="AN9" s="80">
        <f t="shared" si="4"/>
        <v>103453</v>
      </c>
      <c r="AO9" s="546">
        <f t="shared" si="0"/>
        <v>0.95104708672709559</v>
      </c>
      <c r="AP9" s="80">
        <f t="shared" si="5"/>
        <v>441239800</v>
      </c>
      <c r="AQ9" s="546">
        <f t="shared" si="1"/>
        <v>0.47849203152730813</v>
      </c>
      <c r="AX9" s="49">
        <v>15000</v>
      </c>
      <c r="AY9" s="443">
        <v>205996700</v>
      </c>
    </row>
    <row r="10" spans="1:51" x14ac:dyDescent="0.3">
      <c r="A10" s="49">
        <f t="shared" si="6"/>
        <v>20000</v>
      </c>
      <c r="B10" s="49">
        <v>1465</v>
      </c>
      <c r="C10" s="49">
        <v>25195900</v>
      </c>
      <c r="D10" s="49">
        <v>131</v>
      </c>
      <c r="E10" s="49">
        <v>2261900</v>
      </c>
      <c r="F10" s="49">
        <v>52</v>
      </c>
      <c r="G10" s="49">
        <v>902800</v>
      </c>
      <c r="H10" s="49">
        <v>0</v>
      </c>
      <c r="I10" s="49">
        <v>0</v>
      </c>
      <c r="J10" s="49">
        <v>7</v>
      </c>
      <c r="K10" s="49">
        <v>125600</v>
      </c>
      <c r="L10" s="49">
        <v>0</v>
      </c>
      <c r="M10" s="49">
        <v>0</v>
      </c>
      <c r="N10" s="80">
        <v>37</v>
      </c>
      <c r="O10" s="80">
        <v>641000</v>
      </c>
      <c r="P10" s="80">
        <v>31</v>
      </c>
      <c r="Q10" s="80">
        <v>546500</v>
      </c>
      <c r="R10" s="80">
        <v>0</v>
      </c>
      <c r="S10" s="80">
        <v>0</v>
      </c>
      <c r="T10" s="80">
        <v>4</v>
      </c>
      <c r="U10" s="80">
        <v>71700</v>
      </c>
      <c r="V10" s="80">
        <v>3</v>
      </c>
      <c r="W10" s="80">
        <v>52500</v>
      </c>
      <c r="X10" s="80">
        <v>0</v>
      </c>
      <c r="Y10" s="80">
        <v>0</v>
      </c>
      <c r="Z10" s="80">
        <v>19</v>
      </c>
      <c r="AA10" s="80">
        <v>331800</v>
      </c>
      <c r="AB10" s="80">
        <v>6</v>
      </c>
      <c r="AC10" s="80">
        <v>101500</v>
      </c>
      <c r="AD10" s="80">
        <v>13</v>
      </c>
      <c r="AE10" s="80">
        <v>226300</v>
      </c>
      <c r="AF10" s="80">
        <v>0</v>
      </c>
      <c r="AG10" s="80">
        <v>0</v>
      </c>
      <c r="AH10" s="80">
        <v>0</v>
      </c>
      <c r="AI10" s="419">
        <v>0</v>
      </c>
      <c r="AJ10" s="67">
        <f t="shared" si="2"/>
        <v>1768</v>
      </c>
      <c r="AK10" s="49">
        <f t="shared" si="3"/>
        <v>30457500</v>
      </c>
      <c r="AL10" s="80"/>
      <c r="AM10" s="80">
        <v>20000</v>
      </c>
      <c r="AN10" s="80">
        <f t="shared" si="4"/>
        <v>105221</v>
      </c>
      <c r="AO10" s="546">
        <f t="shared" si="0"/>
        <v>0.9673003732372355</v>
      </c>
      <c r="AP10" s="80">
        <f t="shared" si="5"/>
        <v>471697300</v>
      </c>
      <c r="AQ10" s="546">
        <f t="shared" si="1"/>
        <v>0.51152094471746679</v>
      </c>
      <c r="AX10" s="49">
        <v>20000</v>
      </c>
      <c r="AY10" s="443">
        <v>216942600</v>
      </c>
    </row>
    <row r="11" spans="1:51" x14ac:dyDescent="0.3">
      <c r="A11" s="49">
        <f t="shared" si="6"/>
        <v>25000</v>
      </c>
      <c r="B11" s="49">
        <v>706</v>
      </c>
      <c r="C11" s="49">
        <v>15852600</v>
      </c>
      <c r="D11" s="49">
        <v>81</v>
      </c>
      <c r="E11" s="49">
        <v>1795900</v>
      </c>
      <c r="F11" s="49">
        <v>42</v>
      </c>
      <c r="G11" s="49">
        <v>947100</v>
      </c>
      <c r="H11" s="49">
        <v>1</v>
      </c>
      <c r="I11" s="49">
        <v>20800</v>
      </c>
      <c r="J11" s="49">
        <v>3</v>
      </c>
      <c r="K11" s="49">
        <v>63900</v>
      </c>
      <c r="L11" s="49">
        <v>0</v>
      </c>
      <c r="M11" s="49">
        <v>0</v>
      </c>
      <c r="N11" s="80">
        <v>21</v>
      </c>
      <c r="O11" s="80">
        <v>470800</v>
      </c>
      <c r="P11" s="80">
        <v>15</v>
      </c>
      <c r="Q11" s="80">
        <v>344600</v>
      </c>
      <c r="R11" s="80">
        <v>0</v>
      </c>
      <c r="S11" s="80">
        <v>0</v>
      </c>
      <c r="T11" s="80">
        <v>4</v>
      </c>
      <c r="U11" s="80">
        <v>90400</v>
      </c>
      <c r="V11" s="80">
        <v>10</v>
      </c>
      <c r="W11" s="80">
        <v>224900</v>
      </c>
      <c r="X11" s="80">
        <v>0</v>
      </c>
      <c r="Y11" s="80">
        <v>0</v>
      </c>
      <c r="Z11" s="80">
        <v>12</v>
      </c>
      <c r="AA11" s="80">
        <v>270700</v>
      </c>
      <c r="AB11" s="80">
        <v>3</v>
      </c>
      <c r="AC11" s="80">
        <v>68900</v>
      </c>
      <c r="AD11" s="80">
        <v>10</v>
      </c>
      <c r="AE11" s="80">
        <v>230900</v>
      </c>
      <c r="AF11" s="80">
        <v>0</v>
      </c>
      <c r="AG11" s="80">
        <v>0</v>
      </c>
      <c r="AH11" s="80">
        <v>0</v>
      </c>
      <c r="AI11" s="419">
        <v>0</v>
      </c>
      <c r="AJ11" s="67">
        <f t="shared" si="2"/>
        <v>908</v>
      </c>
      <c r="AK11" s="49">
        <f t="shared" si="3"/>
        <v>20381500</v>
      </c>
      <c r="AL11" s="80"/>
      <c r="AM11" s="80">
        <v>25000</v>
      </c>
      <c r="AN11" s="80">
        <f t="shared" si="4"/>
        <v>106129</v>
      </c>
      <c r="AO11" s="546">
        <f t="shared" si="0"/>
        <v>0.97564764934085935</v>
      </c>
      <c r="AP11" s="80">
        <f t="shared" si="5"/>
        <v>492078800</v>
      </c>
      <c r="AQ11" s="546">
        <f t="shared" si="1"/>
        <v>0.5336231787874075</v>
      </c>
      <c r="AX11" s="49">
        <v>25000</v>
      </c>
      <c r="AY11" s="443">
        <v>223114900</v>
      </c>
    </row>
    <row r="12" spans="1:51" x14ac:dyDescent="0.3">
      <c r="A12" s="49">
        <f t="shared" si="6"/>
        <v>30000</v>
      </c>
      <c r="B12" s="49">
        <v>482</v>
      </c>
      <c r="C12" s="49">
        <v>13269200</v>
      </c>
      <c r="D12" s="49">
        <v>49</v>
      </c>
      <c r="E12" s="49">
        <v>1349000</v>
      </c>
      <c r="F12" s="49">
        <v>31</v>
      </c>
      <c r="G12" s="49">
        <v>840800</v>
      </c>
      <c r="H12" s="49">
        <v>0</v>
      </c>
      <c r="I12" s="49">
        <v>0</v>
      </c>
      <c r="J12" s="49">
        <v>3</v>
      </c>
      <c r="K12" s="49">
        <v>77300</v>
      </c>
      <c r="L12" s="49">
        <v>0</v>
      </c>
      <c r="M12" s="49">
        <v>0</v>
      </c>
      <c r="N12" s="80">
        <v>21</v>
      </c>
      <c r="O12" s="80">
        <v>577700</v>
      </c>
      <c r="P12" s="80">
        <v>15</v>
      </c>
      <c r="Q12" s="80">
        <v>410900</v>
      </c>
      <c r="R12" s="80">
        <v>0</v>
      </c>
      <c r="S12" s="80">
        <v>0</v>
      </c>
      <c r="T12" s="80">
        <v>3</v>
      </c>
      <c r="U12" s="80">
        <v>86900</v>
      </c>
      <c r="V12" s="80">
        <v>19</v>
      </c>
      <c r="W12" s="80">
        <v>526900</v>
      </c>
      <c r="X12" s="80">
        <v>1</v>
      </c>
      <c r="Y12" s="80">
        <v>27900</v>
      </c>
      <c r="Z12" s="80">
        <v>17</v>
      </c>
      <c r="AA12" s="80">
        <v>471600</v>
      </c>
      <c r="AB12" s="80">
        <v>0</v>
      </c>
      <c r="AC12" s="80">
        <v>0</v>
      </c>
      <c r="AD12" s="80">
        <v>8</v>
      </c>
      <c r="AE12" s="80">
        <v>225700</v>
      </c>
      <c r="AF12" s="80">
        <v>0</v>
      </c>
      <c r="AG12" s="80">
        <v>0</v>
      </c>
      <c r="AH12" s="80">
        <v>0</v>
      </c>
      <c r="AI12" s="419">
        <v>0</v>
      </c>
      <c r="AJ12" s="67">
        <f t="shared" si="2"/>
        <v>649</v>
      </c>
      <c r="AK12" s="49">
        <f t="shared" si="3"/>
        <v>17863900</v>
      </c>
      <c r="AM12" s="49">
        <v>30000</v>
      </c>
      <c r="AN12" s="49">
        <f t="shared" si="4"/>
        <v>106778</v>
      </c>
      <c r="AO12" s="545">
        <f t="shared" si="0"/>
        <v>0.98161392928717206</v>
      </c>
      <c r="AP12" s="49">
        <f t="shared" si="5"/>
        <v>509942700</v>
      </c>
      <c r="AQ12" s="545">
        <f t="shared" si="1"/>
        <v>0.55299526127407506</v>
      </c>
      <c r="AX12" s="49">
        <v>30000</v>
      </c>
      <c r="AY12" s="443">
        <v>227462200</v>
      </c>
    </row>
    <row r="13" spans="1:51" x14ac:dyDescent="0.3">
      <c r="A13" s="49">
        <f t="shared" si="6"/>
        <v>35000</v>
      </c>
      <c r="B13" s="49">
        <v>301</v>
      </c>
      <c r="C13" s="49">
        <v>9754800</v>
      </c>
      <c r="D13" s="49">
        <v>41</v>
      </c>
      <c r="E13" s="49">
        <v>1325700</v>
      </c>
      <c r="F13" s="49">
        <v>14</v>
      </c>
      <c r="G13" s="49">
        <v>448900</v>
      </c>
      <c r="H13" s="49">
        <v>0</v>
      </c>
      <c r="I13" s="49">
        <v>0</v>
      </c>
      <c r="J13" s="49">
        <v>1</v>
      </c>
      <c r="K13" s="49">
        <v>33800</v>
      </c>
      <c r="L13" s="49">
        <v>0</v>
      </c>
      <c r="M13" s="49">
        <v>0</v>
      </c>
      <c r="N13" s="80">
        <v>8</v>
      </c>
      <c r="O13" s="80">
        <v>260300</v>
      </c>
      <c r="P13" s="80">
        <v>11</v>
      </c>
      <c r="Q13" s="80">
        <v>359600</v>
      </c>
      <c r="R13" s="80">
        <v>0</v>
      </c>
      <c r="S13" s="80">
        <v>0</v>
      </c>
      <c r="T13" s="80">
        <v>3</v>
      </c>
      <c r="U13" s="80">
        <v>102700</v>
      </c>
      <c r="V13" s="80">
        <v>7</v>
      </c>
      <c r="W13" s="80">
        <v>228100</v>
      </c>
      <c r="X13" s="80">
        <v>0</v>
      </c>
      <c r="Y13" s="80">
        <v>0</v>
      </c>
      <c r="Z13" s="80">
        <v>5</v>
      </c>
      <c r="AA13" s="80">
        <v>168600</v>
      </c>
      <c r="AB13" s="80">
        <v>0</v>
      </c>
      <c r="AC13" s="80">
        <v>0</v>
      </c>
      <c r="AD13" s="80">
        <v>18</v>
      </c>
      <c r="AE13" s="80">
        <v>581300</v>
      </c>
      <c r="AF13" s="80">
        <v>0</v>
      </c>
      <c r="AG13" s="80">
        <v>0</v>
      </c>
      <c r="AH13" s="80">
        <v>0</v>
      </c>
      <c r="AI13" s="419">
        <v>0</v>
      </c>
      <c r="AJ13" s="67">
        <f t="shared" si="2"/>
        <v>409</v>
      </c>
      <c r="AK13" s="49">
        <f t="shared" si="3"/>
        <v>13263800</v>
      </c>
      <c r="AM13" s="49">
        <v>35000</v>
      </c>
      <c r="AN13" s="49">
        <f t="shared" si="4"/>
        <v>107187</v>
      </c>
      <c r="AO13" s="545">
        <f t="shared" si="0"/>
        <v>0.98537388074794541</v>
      </c>
      <c r="AP13" s="49">
        <f t="shared" si="5"/>
        <v>523206500</v>
      </c>
      <c r="AQ13" s="545">
        <f t="shared" si="1"/>
        <v>0.56737887446529656</v>
      </c>
      <c r="AX13" s="49">
        <v>35000</v>
      </c>
      <c r="AY13" s="443">
        <v>231556000</v>
      </c>
    </row>
    <row r="14" spans="1:51" x14ac:dyDescent="0.3">
      <c r="A14" s="49">
        <f t="shared" si="6"/>
        <v>40000</v>
      </c>
      <c r="B14" s="49">
        <v>174</v>
      </c>
      <c r="C14" s="49">
        <v>6505800</v>
      </c>
      <c r="D14" s="49">
        <v>33</v>
      </c>
      <c r="E14" s="49">
        <v>1232600</v>
      </c>
      <c r="F14" s="49">
        <v>14</v>
      </c>
      <c r="G14" s="49">
        <v>517700</v>
      </c>
      <c r="H14" s="49">
        <v>1</v>
      </c>
      <c r="I14" s="49">
        <v>39600</v>
      </c>
      <c r="J14" s="49">
        <v>1</v>
      </c>
      <c r="K14" s="49">
        <v>35300</v>
      </c>
      <c r="L14" s="49">
        <v>0</v>
      </c>
      <c r="M14" s="49">
        <v>0</v>
      </c>
      <c r="N14" s="80">
        <v>11</v>
      </c>
      <c r="O14" s="80">
        <v>412600</v>
      </c>
      <c r="P14" s="80">
        <v>9</v>
      </c>
      <c r="Q14" s="80">
        <v>330500</v>
      </c>
      <c r="R14" s="80">
        <v>0</v>
      </c>
      <c r="S14" s="80">
        <v>0</v>
      </c>
      <c r="T14" s="80">
        <v>1</v>
      </c>
      <c r="U14" s="80">
        <v>36900</v>
      </c>
      <c r="V14" s="80">
        <v>4</v>
      </c>
      <c r="W14" s="80">
        <v>149900</v>
      </c>
      <c r="X14" s="80">
        <v>0</v>
      </c>
      <c r="Y14" s="80">
        <v>0</v>
      </c>
      <c r="Z14" s="80">
        <v>3</v>
      </c>
      <c r="AA14" s="80">
        <v>116000</v>
      </c>
      <c r="AB14" s="80">
        <v>0</v>
      </c>
      <c r="AC14" s="80">
        <v>0</v>
      </c>
      <c r="AD14" s="80">
        <v>5</v>
      </c>
      <c r="AE14" s="80">
        <v>184400</v>
      </c>
      <c r="AF14" s="80">
        <v>0</v>
      </c>
      <c r="AG14" s="80">
        <v>0</v>
      </c>
      <c r="AH14" s="80">
        <v>0</v>
      </c>
      <c r="AI14" s="419">
        <v>0</v>
      </c>
      <c r="AJ14" s="67">
        <f t="shared" si="2"/>
        <v>256</v>
      </c>
      <c r="AK14" s="49">
        <f t="shared" si="3"/>
        <v>9561300</v>
      </c>
      <c r="AM14" s="49">
        <v>40000</v>
      </c>
      <c r="AN14" s="49">
        <f t="shared" si="4"/>
        <v>107443</v>
      </c>
      <c r="AO14" s="545">
        <f t="shared" si="0"/>
        <v>0.98772729779918733</v>
      </c>
      <c r="AP14" s="49">
        <f t="shared" si="5"/>
        <v>532767800</v>
      </c>
      <c r="AQ14" s="545">
        <f t="shared" si="1"/>
        <v>0.57774739938313491</v>
      </c>
      <c r="AX14" s="49">
        <v>40000</v>
      </c>
      <c r="AY14" s="443">
        <v>234764700</v>
      </c>
    </row>
    <row r="15" spans="1:51" x14ac:dyDescent="0.3">
      <c r="A15" s="49">
        <f t="shared" si="6"/>
        <v>45000</v>
      </c>
      <c r="B15" s="49">
        <v>117</v>
      </c>
      <c r="C15" s="49">
        <v>4960700</v>
      </c>
      <c r="D15" s="49">
        <v>28</v>
      </c>
      <c r="E15" s="49">
        <v>1185200</v>
      </c>
      <c r="F15" s="49">
        <v>7</v>
      </c>
      <c r="G15" s="49">
        <v>297900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80">
        <v>8</v>
      </c>
      <c r="O15" s="80">
        <v>344800</v>
      </c>
      <c r="P15" s="80">
        <v>16</v>
      </c>
      <c r="Q15" s="80">
        <v>685300</v>
      </c>
      <c r="R15" s="80">
        <v>0</v>
      </c>
      <c r="S15" s="80">
        <v>0</v>
      </c>
      <c r="T15" s="80">
        <v>2</v>
      </c>
      <c r="U15" s="80">
        <v>82100</v>
      </c>
      <c r="V15" s="80">
        <v>6</v>
      </c>
      <c r="W15" s="80">
        <v>254500</v>
      </c>
      <c r="X15" s="80">
        <v>0</v>
      </c>
      <c r="Y15" s="80">
        <v>0</v>
      </c>
      <c r="Z15" s="80">
        <v>9</v>
      </c>
      <c r="AA15" s="80">
        <v>378700</v>
      </c>
      <c r="AB15" s="80">
        <v>0</v>
      </c>
      <c r="AC15" s="80">
        <v>0</v>
      </c>
      <c r="AD15" s="80">
        <v>4</v>
      </c>
      <c r="AE15" s="80">
        <v>165300</v>
      </c>
      <c r="AF15" s="80">
        <v>0</v>
      </c>
      <c r="AG15" s="80">
        <v>0</v>
      </c>
      <c r="AH15" s="80">
        <v>0</v>
      </c>
      <c r="AI15" s="419">
        <v>0</v>
      </c>
      <c r="AJ15" s="67">
        <f t="shared" si="2"/>
        <v>197</v>
      </c>
      <c r="AK15" s="49">
        <f t="shared" si="3"/>
        <v>8354500</v>
      </c>
      <c r="AM15" s="49">
        <v>45000</v>
      </c>
      <c r="AN15" s="49">
        <f t="shared" si="4"/>
        <v>107640</v>
      </c>
      <c r="AO15" s="545">
        <f t="shared" si="0"/>
        <v>0.98953832576440093</v>
      </c>
      <c r="AP15" s="49">
        <f t="shared" si="5"/>
        <v>541122300</v>
      </c>
      <c r="AQ15" s="545">
        <f t="shared" si="1"/>
        <v>0.58680723867549911</v>
      </c>
      <c r="AX15" s="49">
        <v>45000</v>
      </c>
      <c r="AY15" s="443">
        <v>238229200</v>
      </c>
    </row>
    <row r="16" spans="1:51" x14ac:dyDescent="0.3">
      <c r="A16" s="49">
        <f t="shared" si="6"/>
        <v>50000</v>
      </c>
      <c r="B16" s="49">
        <v>84</v>
      </c>
      <c r="C16" s="49">
        <v>3960500</v>
      </c>
      <c r="D16" s="49">
        <v>30</v>
      </c>
      <c r="E16" s="49">
        <v>1434600</v>
      </c>
      <c r="F16" s="49">
        <v>9</v>
      </c>
      <c r="G16" s="49">
        <v>421300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80">
        <v>6</v>
      </c>
      <c r="O16" s="80">
        <v>286200</v>
      </c>
      <c r="P16" s="80">
        <v>10</v>
      </c>
      <c r="Q16" s="80">
        <v>472900</v>
      </c>
      <c r="R16" s="80">
        <v>1</v>
      </c>
      <c r="S16" s="80">
        <v>48100</v>
      </c>
      <c r="T16" s="80">
        <v>3</v>
      </c>
      <c r="U16" s="80">
        <v>141800</v>
      </c>
      <c r="V16" s="80">
        <v>2</v>
      </c>
      <c r="W16" s="80">
        <v>99300</v>
      </c>
      <c r="X16" s="80">
        <v>1</v>
      </c>
      <c r="Y16" s="80">
        <v>49400</v>
      </c>
      <c r="Z16" s="80">
        <v>4</v>
      </c>
      <c r="AA16" s="80">
        <v>195200</v>
      </c>
      <c r="AB16" s="80">
        <v>0</v>
      </c>
      <c r="AC16" s="80">
        <v>0</v>
      </c>
      <c r="AD16" s="80">
        <v>2</v>
      </c>
      <c r="AE16" s="80">
        <v>98500</v>
      </c>
      <c r="AF16" s="80">
        <v>0</v>
      </c>
      <c r="AG16" s="80">
        <v>0</v>
      </c>
      <c r="AH16" s="80">
        <v>0</v>
      </c>
      <c r="AI16" s="419">
        <v>0</v>
      </c>
      <c r="AJ16" s="67">
        <f t="shared" si="2"/>
        <v>152</v>
      </c>
      <c r="AK16" s="49">
        <f t="shared" si="3"/>
        <v>7207800</v>
      </c>
      <c r="AM16" s="49">
        <v>50000</v>
      </c>
      <c r="AN16" s="49">
        <f t="shared" si="4"/>
        <v>107792</v>
      </c>
      <c r="AO16" s="545">
        <f t="shared" si="0"/>
        <v>0.99093566713857584</v>
      </c>
      <c r="AP16" s="49">
        <f t="shared" si="5"/>
        <v>548330100</v>
      </c>
      <c r="AQ16" s="545">
        <f t="shared" si="1"/>
        <v>0.59462356636135727</v>
      </c>
      <c r="AX16" s="49">
        <v>50000</v>
      </c>
      <c r="AY16" s="443">
        <v>240711700</v>
      </c>
    </row>
    <row r="17" spans="1:51" x14ac:dyDescent="0.3">
      <c r="A17" s="49">
        <f t="shared" si="6"/>
        <v>55000</v>
      </c>
      <c r="B17" s="49">
        <v>54</v>
      </c>
      <c r="C17" s="49">
        <v>2829800</v>
      </c>
      <c r="D17" s="49">
        <v>16</v>
      </c>
      <c r="E17" s="49">
        <v>844400</v>
      </c>
      <c r="F17" s="49">
        <v>4</v>
      </c>
      <c r="G17" s="49">
        <v>206200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3</v>
      </c>
      <c r="O17" s="49">
        <v>155700</v>
      </c>
      <c r="P17" s="49">
        <v>14</v>
      </c>
      <c r="Q17" s="49">
        <v>741000</v>
      </c>
      <c r="R17" s="49">
        <v>1</v>
      </c>
      <c r="S17" s="49">
        <v>50700</v>
      </c>
      <c r="T17" s="49">
        <v>2</v>
      </c>
      <c r="U17" s="49">
        <v>107200</v>
      </c>
      <c r="V17" s="49">
        <v>1</v>
      </c>
      <c r="W17" s="49">
        <v>51800</v>
      </c>
      <c r="X17" s="49">
        <v>0</v>
      </c>
      <c r="Y17" s="49">
        <v>0</v>
      </c>
      <c r="Z17" s="49">
        <v>7</v>
      </c>
      <c r="AA17" s="49">
        <v>364700</v>
      </c>
      <c r="AB17" s="49">
        <v>0</v>
      </c>
      <c r="AC17" s="49">
        <v>0</v>
      </c>
      <c r="AD17" s="49">
        <v>1</v>
      </c>
      <c r="AE17" s="49">
        <v>53700</v>
      </c>
      <c r="AF17" s="49">
        <v>0</v>
      </c>
      <c r="AG17" s="49">
        <v>0</v>
      </c>
      <c r="AH17" s="49">
        <v>0</v>
      </c>
      <c r="AI17" s="419">
        <v>0</v>
      </c>
      <c r="AJ17" s="67">
        <f t="shared" si="2"/>
        <v>103</v>
      </c>
      <c r="AK17" s="49">
        <f t="shared" si="3"/>
        <v>5405200</v>
      </c>
      <c r="AM17" s="49">
        <v>55000</v>
      </c>
      <c r="AN17" s="49">
        <f t="shared" si="4"/>
        <v>107895</v>
      </c>
      <c r="AO17" s="545">
        <f t="shared" si="0"/>
        <v>0.99188254978028645</v>
      </c>
      <c r="AP17" s="49">
        <f t="shared" si="5"/>
        <v>553735300</v>
      </c>
      <c r="AQ17" s="545">
        <f t="shared" si="1"/>
        <v>0.60048510724867388</v>
      </c>
      <c r="AX17" s="49">
        <v>55000</v>
      </c>
      <c r="AY17" s="443">
        <v>242652800</v>
      </c>
    </row>
    <row r="18" spans="1:51" x14ac:dyDescent="0.3">
      <c r="A18" s="49">
        <f t="shared" si="6"/>
        <v>60000</v>
      </c>
      <c r="B18" s="49">
        <v>49</v>
      </c>
      <c r="C18" s="49">
        <v>2804000</v>
      </c>
      <c r="D18" s="49">
        <v>16</v>
      </c>
      <c r="E18" s="49">
        <v>937400</v>
      </c>
      <c r="F18" s="49">
        <v>1</v>
      </c>
      <c r="G18" s="49">
        <v>57800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3</v>
      </c>
      <c r="O18" s="49">
        <v>172100</v>
      </c>
      <c r="P18" s="49">
        <v>12</v>
      </c>
      <c r="Q18" s="49">
        <v>689400</v>
      </c>
      <c r="R18" s="49">
        <v>0</v>
      </c>
      <c r="S18" s="49">
        <v>0</v>
      </c>
      <c r="T18" s="49">
        <v>2</v>
      </c>
      <c r="U18" s="49">
        <v>118300</v>
      </c>
      <c r="V18" s="49">
        <v>0</v>
      </c>
      <c r="W18" s="49">
        <v>0</v>
      </c>
      <c r="X18" s="49">
        <v>0</v>
      </c>
      <c r="Y18" s="49">
        <v>0</v>
      </c>
      <c r="Z18" s="49">
        <v>3</v>
      </c>
      <c r="AA18" s="49">
        <v>169700</v>
      </c>
      <c r="AB18" s="49">
        <v>0</v>
      </c>
      <c r="AC18" s="49">
        <v>0</v>
      </c>
      <c r="AD18" s="49">
        <v>4</v>
      </c>
      <c r="AE18" s="49">
        <v>228600</v>
      </c>
      <c r="AF18" s="49">
        <v>0</v>
      </c>
      <c r="AG18" s="49">
        <v>0</v>
      </c>
      <c r="AH18" s="49">
        <v>0</v>
      </c>
      <c r="AI18" s="419">
        <v>0</v>
      </c>
      <c r="AJ18" s="67">
        <f t="shared" si="2"/>
        <v>90</v>
      </c>
      <c r="AK18" s="49">
        <f t="shared" si="3"/>
        <v>5177300</v>
      </c>
      <c r="AM18" s="49">
        <v>60000</v>
      </c>
      <c r="AN18" s="49">
        <f t="shared" si="4"/>
        <v>107985</v>
      </c>
      <c r="AO18" s="545">
        <f t="shared" si="0"/>
        <v>0.99270992296236371</v>
      </c>
      <c r="AP18" s="49">
        <f t="shared" si="5"/>
        <v>558912600</v>
      </c>
      <c r="AQ18" s="545">
        <f t="shared" si="1"/>
        <v>0.60609950738852147</v>
      </c>
      <c r="AX18" s="49">
        <v>60000</v>
      </c>
      <c r="AY18" s="443">
        <v>244557900</v>
      </c>
    </row>
    <row r="19" spans="1:51" x14ac:dyDescent="0.3">
      <c r="A19" s="49">
        <f t="shared" si="6"/>
        <v>65000</v>
      </c>
      <c r="B19" s="49">
        <v>31</v>
      </c>
      <c r="C19" s="49">
        <v>1942600</v>
      </c>
      <c r="D19" s="49">
        <v>6</v>
      </c>
      <c r="E19" s="49">
        <v>374100</v>
      </c>
      <c r="F19" s="49">
        <v>3</v>
      </c>
      <c r="G19" s="49">
        <v>187100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3</v>
      </c>
      <c r="O19" s="49">
        <v>186500</v>
      </c>
      <c r="P19" s="49">
        <v>8</v>
      </c>
      <c r="Q19" s="49">
        <v>497900</v>
      </c>
      <c r="R19" s="49">
        <v>0</v>
      </c>
      <c r="S19" s="49">
        <v>0</v>
      </c>
      <c r="T19" s="49">
        <v>0</v>
      </c>
      <c r="U19" s="49">
        <v>0</v>
      </c>
      <c r="V19" s="49">
        <v>2</v>
      </c>
      <c r="W19" s="49">
        <v>125300</v>
      </c>
      <c r="X19" s="49">
        <v>0</v>
      </c>
      <c r="Y19" s="49">
        <v>0</v>
      </c>
      <c r="Z19" s="49">
        <v>1</v>
      </c>
      <c r="AA19" s="49">
        <v>63700</v>
      </c>
      <c r="AB19" s="49">
        <v>0</v>
      </c>
      <c r="AC19" s="49">
        <v>0</v>
      </c>
      <c r="AD19" s="49">
        <v>4</v>
      </c>
      <c r="AE19" s="49">
        <v>251900</v>
      </c>
      <c r="AF19" s="49">
        <v>0</v>
      </c>
      <c r="AG19" s="49">
        <v>0</v>
      </c>
      <c r="AH19" s="49">
        <v>0</v>
      </c>
      <c r="AI19" s="419">
        <v>0</v>
      </c>
      <c r="AJ19" s="67">
        <f t="shared" si="2"/>
        <v>58</v>
      </c>
      <c r="AK19" s="49">
        <f t="shared" si="3"/>
        <v>3629100</v>
      </c>
      <c r="AM19" s="49">
        <v>65000</v>
      </c>
      <c r="AN19" s="49">
        <f t="shared" si="4"/>
        <v>108043</v>
      </c>
      <c r="AO19" s="545">
        <f t="shared" si="0"/>
        <v>0.99324311901303575</v>
      </c>
      <c r="AP19" s="49">
        <f t="shared" si="5"/>
        <v>562541700</v>
      </c>
      <c r="AQ19" s="545">
        <f t="shared" si="1"/>
        <v>0.61003499877351386</v>
      </c>
      <c r="AX19" s="49">
        <v>65000</v>
      </c>
      <c r="AY19" s="443">
        <v>246004600</v>
      </c>
    </row>
    <row r="20" spans="1:51" x14ac:dyDescent="0.3">
      <c r="A20" s="49">
        <f t="shared" si="6"/>
        <v>70000</v>
      </c>
      <c r="B20" s="49">
        <v>34</v>
      </c>
      <c r="C20" s="49">
        <v>2312300</v>
      </c>
      <c r="D20" s="49">
        <v>18</v>
      </c>
      <c r="E20" s="49">
        <v>1217000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5</v>
      </c>
      <c r="O20" s="49">
        <v>336600</v>
      </c>
      <c r="P20" s="49">
        <v>8</v>
      </c>
      <c r="Q20" s="49">
        <v>541200</v>
      </c>
      <c r="R20" s="49">
        <v>0</v>
      </c>
      <c r="S20" s="49">
        <v>0</v>
      </c>
      <c r="T20" s="49">
        <v>0</v>
      </c>
      <c r="U20" s="49">
        <v>0</v>
      </c>
      <c r="V20" s="49">
        <v>2</v>
      </c>
      <c r="W20" s="49">
        <v>131800</v>
      </c>
      <c r="X20" s="49">
        <v>1</v>
      </c>
      <c r="Y20" s="49">
        <v>65300</v>
      </c>
      <c r="Z20" s="49">
        <v>4</v>
      </c>
      <c r="AA20" s="49">
        <v>268700</v>
      </c>
      <c r="AB20" s="49">
        <v>0</v>
      </c>
      <c r="AC20" s="49">
        <v>0</v>
      </c>
      <c r="AD20" s="49">
        <v>2</v>
      </c>
      <c r="AE20" s="49">
        <v>132500</v>
      </c>
      <c r="AF20" s="49">
        <v>0</v>
      </c>
      <c r="AG20" s="49">
        <v>0</v>
      </c>
      <c r="AH20" s="49">
        <v>0</v>
      </c>
      <c r="AI20" s="419">
        <v>0</v>
      </c>
      <c r="AJ20" s="67">
        <f t="shared" si="2"/>
        <v>74</v>
      </c>
      <c r="AK20" s="49">
        <f t="shared" si="3"/>
        <v>5005400</v>
      </c>
      <c r="AM20" s="49">
        <v>70000</v>
      </c>
      <c r="AN20" s="49">
        <f t="shared" si="4"/>
        <v>108117</v>
      </c>
      <c r="AO20" s="545">
        <f t="shared" si="0"/>
        <v>0.99392340362941034</v>
      </c>
      <c r="AP20" s="49">
        <f t="shared" si="5"/>
        <v>567547100</v>
      </c>
      <c r="AQ20" s="545">
        <f t="shared" si="1"/>
        <v>0.61546298603714422</v>
      </c>
      <c r="AX20" s="49">
        <v>70000</v>
      </c>
      <c r="AY20" s="443">
        <v>247082700</v>
      </c>
    </row>
    <row r="21" spans="1:51" x14ac:dyDescent="0.3">
      <c r="A21" s="49">
        <f t="shared" si="6"/>
        <v>75000</v>
      </c>
      <c r="B21" s="49">
        <v>22</v>
      </c>
      <c r="C21" s="49">
        <v>1596200</v>
      </c>
      <c r="D21" s="49">
        <v>12</v>
      </c>
      <c r="E21" s="49">
        <v>865700</v>
      </c>
      <c r="F21" s="49">
        <v>3</v>
      </c>
      <c r="G21" s="49">
        <v>213200</v>
      </c>
      <c r="H21" s="49">
        <v>2</v>
      </c>
      <c r="I21" s="49">
        <v>148800</v>
      </c>
      <c r="J21" s="49">
        <v>0</v>
      </c>
      <c r="K21" s="49">
        <v>0</v>
      </c>
      <c r="L21" s="49">
        <v>0</v>
      </c>
      <c r="M21" s="49">
        <v>0</v>
      </c>
      <c r="N21" s="49">
        <v>2</v>
      </c>
      <c r="O21" s="49">
        <v>144300</v>
      </c>
      <c r="P21" s="49">
        <v>7</v>
      </c>
      <c r="Q21" s="49">
        <v>509100</v>
      </c>
      <c r="R21" s="49">
        <v>1</v>
      </c>
      <c r="S21" s="49">
        <v>74500</v>
      </c>
      <c r="T21" s="49">
        <v>0</v>
      </c>
      <c r="U21" s="49">
        <v>0</v>
      </c>
      <c r="V21" s="49">
        <v>2</v>
      </c>
      <c r="W21" s="49">
        <v>146800</v>
      </c>
      <c r="X21" s="49">
        <v>0</v>
      </c>
      <c r="Y21" s="49">
        <v>0</v>
      </c>
      <c r="Z21" s="49">
        <v>2</v>
      </c>
      <c r="AA21" s="49">
        <v>146600</v>
      </c>
      <c r="AB21" s="49">
        <v>0</v>
      </c>
      <c r="AC21" s="49">
        <v>0</v>
      </c>
      <c r="AD21" s="49">
        <v>4</v>
      </c>
      <c r="AE21" s="49">
        <v>287000</v>
      </c>
      <c r="AF21" s="49">
        <v>0</v>
      </c>
      <c r="AG21" s="49">
        <v>0</v>
      </c>
      <c r="AH21" s="49">
        <v>0</v>
      </c>
      <c r="AI21" s="80">
        <v>0</v>
      </c>
      <c r="AJ21" s="67">
        <f t="shared" si="2"/>
        <v>57</v>
      </c>
      <c r="AK21" s="49">
        <f t="shared" si="3"/>
        <v>4132200</v>
      </c>
      <c r="AM21" s="76">
        <v>75000</v>
      </c>
      <c r="AN21" s="76">
        <f t="shared" si="4"/>
        <v>108174</v>
      </c>
      <c r="AO21" s="551">
        <f t="shared" si="0"/>
        <v>0.99444740664472597</v>
      </c>
      <c r="AP21" s="76">
        <f t="shared" si="5"/>
        <v>571679300</v>
      </c>
      <c r="AQ21" s="551">
        <f t="shared" si="1"/>
        <v>0.6199440522797568</v>
      </c>
      <c r="AR21" s="49">
        <f>AS21/12</f>
        <v>807.33333333333337</v>
      </c>
      <c r="AS21" s="49">
        <f>SUM(AJ9:AJ21)</f>
        <v>9688</v>
      </c>
      <c r="AT21" s="49">
        <f>SUM(AK9:AK21)</f>
        <v>190080600</v>
      </c>
      <c r="AU21" s="49">
        <f>AT21/AS21</f>
        <v>19620.210569777042</v>
      </c>
      <c r="AV21" s="545">
        <f>AT21/$AK$33</f>
        <v>0.20612839650441697</v>
      </c>
      <c r="AW21" s="545"/>
      <c r="AX21" s="49">
        <v>75000</v>
      </c>
      <c r="AY21" s="443">
        <v>248252100</v>
      </c>
    </row>
    <row r="22" spans="1:51" x14ac:dyDescent="0.3">
      <c r="A22" s="49">
        <v>100000</v>
      </c>
      <c r="B22" s="49">
        <f>18+9+8+7+8</f>
        <v>50</v>
      </c>
      <c r="C22" s="49">
        <f>1403700+736900+698400+641300+781400</f>
        <v>4261700</v>
      </c>
      <c r="D22" s="49">
        <f>13+7+7+7+5</f>
        <v>39</v>
      </c>
      <c r="E22" s="49">
        <f>1002200+576700+613900+643700+487800</f>
        <v>3324300</v>
      </c>
      <c r="F22" s="49">
        <f>1+1</f>
        <v>2</v>
      </c>
      <c r="G22" s="49">
        <f>76900+82000</f>
        <v>158900</v>
      </c>
      <c r="H22" s="49">
        <v>1</v>
      </c>
      <c r="I22" s="49">
        <v>89300</v>
      </c>
      <c r="J22" s="49">
        <v>0</v>
      </c>
      <c r="K22" s="49">
        <v>0</v>
      </c>
      <c r="L22" s="49">
        <v>0</v>
      </c>
      <c r="M22" s="49">
        <v>0</v>
      </c>
      <c r="N22" s="49">
        <f>1+1+1</f>
        <v>3</v>
      </c>
      <c r="O22" s="49">
        <f>79000+85300+98400</f>
        <v>262700</v>
      </c>
      <c r="P22" s="49">
        <f>9+6+6+4+4</f>
        <v>29</v>
      </c>
      <c r="Q22" s="49">
        <f>691900+501000+520600+369900+391600</f>
        <v>2475000</v>
      </c>
      <c r="R22" s="49">
        <v>2</v>
      </c>
      <c r="S22" s="49">
        <v>188500</v>
      </c>
      <c r="T22" s="49">
        <v>0</v>
      </c>
      <c r="U22" s="49">
        <v>0</v>
      </c>
      <c r="V22" s="49">
        <f>1+2</f>
        <v>3</v>
      </c>
      <c r="W22" s="49">
        <f>87000+196800</f>
        <v>283800</v>
      </c>
      <c r="X22" s="49">
        <v>0</v>
      </c>
      <c r="Y22" s="49">
        <v>0</v>
      </c>
      <c r="Z22" s="49">
        <f>2+3+4+5</f>
        <v>14</v>
      </c>
      <c r="AA22" s="49">
        <f>160000+246100+352100+497000</f>
        <v>1255200</v>
      </c>
      <c r="AB22" s="49">
        <v>0</v>
      </c>
      <c r="AC22" s="49">
        <v>0</v>
      </c>
      <c r="AD22" s="49">
        <f>3+5+3+2+1</f>
        <v>14</v>
      </c>
      <c r="AE22" s="49">
        <f>227900+413400+265100+185300+98600</f>
        <v>1190300</v>
      </c>
      <c r="AF22" s="49">
        <v>0</v>
      </c>
      <c r="AG22" s="49">
        <v>0</v>
      </c>
      <c r="AH22" s="49">
        <v>0</v>
      </c>
      <c r="AI22" s="419">
        <v>0</v>
      </c>
      <c r="AJ22" s="67">
        <f t="shared" si="2"/>
        <v>157</v>
      </c>
      <c r="AK22" s="49">
        <f t="shared" si="3"/>
        <v>13489700</v>
      </c>
      <c r="AM22" s="80"/>
      <c r="AN22" s="80"/>
      <c r="AO22" s="546"/>
      <c r="AP22" s="80"/>
      <c r="AQ22" s="546"/>
      <c r="AV22" s="545"/>
      <c r="AW22" s="545"/>
      <c r="AY22" s="443"/>
    </row>
    <row r="23" spans="1:51" x14ac:dyDescent="0.3">
      <c r="A23" s="49">
        <v>150000</v>
      </c>
      <c r="B23" s="49">
        <f>6+6+3+10+6+5+4+2+4+3</f>
        <v>49</v>
      </c>
      <c r="C23" s="49">
        <f>613700+644000+334400+1168000+739100+637500+535100+276500+568700+442600</f>
        <v>5959600</v>
      </c>
      <c r="D23" s="49">
        <f>3+5+5+3+1+2+3+1+3+2</f>
        <v>28</v>
      </c>
      <c r="E23" s="49">
        <f>302200+536600+553800+354900+122100+258600+398600+138500+428100+294200</f>
        <v>3387600</v>
      </c>
      <c r="F23" s="49">
        <v>0</v>
      </c>
      <c r="G23" s="49">
        <v>0</v>
      </c>
      <c r="H23" s="49">
        <f>1+1</f>
        <v>2</v>
      </c>
      <c r="I23" s="49">
        <f>118000+152500</f>
        <v>270500</v>
      </c>
      <c r="J23" s="49">
        <v>0</v>
      </c>
      <c r="K23" s="49">
        <v>0</v>
      </c>
      <c r="L23" s="49">
        <v>0</v>
      </c>
      <c r="M23" s="49">
        <v>0</v>
      </c>
      <c r="N23" s="49">
        <f>2+1+1+1+1</f>
        <v>6</v>
      </c>
      <c r="O23" s="49">
        <f>202300+118700+122000+132000+139900</f>
        <v>714900</v>
      </c>
      <c r="P23" s="49">
        <f>4+3+2+2+3+4+1+4+2+1</f>
        <v>26</v>
      </c>
      <c r="Q23" s="49">
        <f>407600+326100+225100+231800+368800+509100+133100+550600+285600+146800</f>
        <v>3184600</v>
      </c>
      <c r="R23" s="49">
        <v>1</v>
      </c>
      <c r="S23" s="49">
        <v>121800</v>
      </c>
      <c r="T23" s="49">
        <v>0</v>
      </c>
      <c r="U23" s="49">
        <v>0</v>
      </c>
      <c r="V23" s="49">
        <f>1+1+1+1+2</f>
        <v>6</v>
      </c>
      <c r="W23" s="49">
        <f>115800+123000+128700+137800+294100</f>
        <v>799400</v>
      </c>
      <c r="X23" s="49">
        <v>0</v>
      </c>
      <c r="Y23" s="49">
        <v>0</v>
      </c>
      <c r="Z23" s="49">
        <f>3+2+1+3+1+2</f>
        <v>12</v>
      </c>
      <c r="AA23" s="49">
        <f>330000+224200+118100+383900+133600+272500</f>
        <v>1462300</v>
      </c>
      <c r="AB23" s="49">
        <v>0</v>
      </c>
      <c r="AC23" s="49">
        <v>0</v>
      </c>
      <c r="AD23" s="49">
        <f>5+5+1+4+4+2+4+5+3</f>
        <v>33</v>
      </c>
      <c r="AE23" s="49">
        <f>510600+533000+119000+493600+513900+267700+551400+708600+444500</f>
        <v>4142300</v>
      </c>
      <c r="AF23" s="49">
        <v>0</v>
      </c>
      <c r="AG23" s="49">
        <v>0</v>
      </c>
      <c r="AH23" s="49">
        <v>0</v>
      </c>
      <c r="AI23" s="419">
        <v>0</v>
      </c>
      <c r="AJ23" s="67">
        <f t="shared" si="2"/>
        <v>163</v>
      </c>
      <c r="AK23" s="49">
        <f t="shared" si="3"/>
        <v>20043000</v>
      </c>
      <c r="AM23" s="80"/>
      <c r="AN23" s="80"/>
      <c r="AO23" s="546"/>
      <c r="AP23" s="80"/>
      <c r="AQ23" s="546"/>
      <c r="AV23" s="545"/>
      <c r="AW23" s="545"/>
      <c r="AY23" s="443"/>
    </row>
    <row r="24" spans="1:51" x14ac:dyDescent="0.3">
      <c r="A24" s="49">
        <v>200000</v>
      </c>
      <c r="B24" s="49">
        <f>1+1+1+4+2+5+1+3+2</f>
        <v>20</v>
      </c>
      <c r="C24" s="49">
        <f>153500+158400+164400+671100+344700+885700+184400+562000+396100</f>
        <v>3520300</v>
      </c>
      <c r="D24" s="49">
        <f>2+3+2+2+5+1+2</f>
        <v>17</v>
      </c>
      <c r="E24" s="49">
        <f>302500+476200+324400+332200+860900+180100+374900</f>
        <v>2851200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>1</f>
        <v>1</v>
      </c>
      <c r="O24" s="49">
        <f>170400</f>
        <v>170400</v>
      </c>
      <c r="P24" s="49">
        <f>2+4+4+1+4+4+1+2+1+1</f>
        <v>24</v>
      </c>
      <c r="Q24" s="49">
        <f>308000+627200+651600+166600+691300+709000+184200+378300+190700+196900</f>
        <v>4103800</v>
      </c>
      <c r="R24" s="49">
        <v>0</v>
      </c>
      <c r="S24" s="49">
        <v>0</v>
      </c>
      <c r="T24" s="49">
        <v>1</v>
      </c>
      <c r="U24" s="49">
        <v>151100</v>
      </c>
      <c r="V24" s="49">
        <f>1+1+1</f>
        <v>3</v>
      </c>
      <c r="W24" s="49">
        <f>154300+155700+181100</f>
        <v>491100</v>
      </c>
      <c r="X24" s="49">
        <v>0</v>
      </c>
      <c r="Y24" s="49">
        <v>0</v>
      </c>
      <c r="Z24" s="49">
        <f>1+1</f>
        <v>2</v>
      </c>
      <c r="AA24" s="49">
        <f>152700+185000</f>
        <v>337700</v>
      </c>
      <c r="AB24" s="49">
        <v>0</v>
      </c>
      <c r="AC24" s="49">
        <v>0</v>
      </c>
      <c r="AD24" s="49">
        <f>3+1+4+1+3+2+2+4+1+1</f>
        <v>22</v>
      </c>
      <c r="AE24" s="49">
        <f>458100+159500+649800+169900+519700+352800+366800+748200+193800+199600</f>
        <v>3818200</v>
      </c>
      <c r="AF24" s="49">
        <v>0</v>
      </c>
      <c r="AG24" s="49">
        <v>0</v>
      </c>
      <c r="AH24" s="49">
        <v>0</v>
      </c>
      <c r="AI24" s="419">
        <v>0</v>
      </c>
      <c r="AJ24" s="67">
        <f t="shared" si="2"/>
        <v>90</v>
      </c>
      <c r="AK24" s="49">
        <f t="shared" si="3"/>
        <v>15443800</v>
      </c>
      <c r="AM24" s="80"/>
      <c r="AN24" s="80"/>
      <c r="AO24" s="546"/>
      <c r="AP24" s="80"/>
      <c r="AQ24" s="546"/>
      <c r="AV24" s="545"/>
      <c r="AW24" s="545"/>
      <c r="AY24" s="443"/>
    </row>
    <row r="25" spans="1:51" x14ac:dyDescent="0.3">
      <c r="A25" s="49">
        <v>250000</v>
      </c>
      <c r="B25" s="49">
        <f>3+2+2+2+1+1</f>
        <v>11</v>
      </c>
      <c r="C25" s="49">
        <f>603400+414700+436300+442800+233300+239000</f>
        <v>2369500</v>
      </c>
      <c r="D25" s="49">
        <f>1+2+1+1</f>
        <v>5</v>
      </c>
      <c r="E25" s="49">
        <f>201800+413000+217400+229100</f>
        <v>1061300</v>
      </c>
      <c r="F25" s="49">
        <v>1</v>
      </c>
      <c r="G25" s="49">
        <v>208800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f>2+3+2+2+4+1+4+1</f>
        <v>19</v>
      </c>
      <c r="Q25" s="49">
        <f>400900+618800+423600+434500+887900+239400+971700+246800</f>
        <v>4223600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f>1+1+2+2+2+1</f>
        <v>9</v>
      </c>
      <c r="AE25" s="49">
        <f>210000+214900+437100+444000+466200+243600</f>
        <v>2015800</v>
      </c>
      <c r="AF25" s="49">
        <v>1</v>
      </c>
      <c r="AG25" s="49">
        <v>218800</v>
      </c>
      <c r="AH25" s="49">
        <v>0</v>
      </c>
      <c r="AI25" s="419">
        <v>0</v>
      </c>
      <c r="AJ25" s="67">
        <f t="shared" si="2"/>
        <v>46</v>
      </c>
      <c r="AK25" s="49">
        <f t="shared" si="3"/>
        <v>10097800</v>
      </c>
      <c r="AM25" s="80"/>
      <c r="AN25" s="80"/>
      <c r="AO25" s="546"/>
      <c r="AP25" s="80"/>
      <c r="AQ25" s="546"/>
      <c r="AV25" s="545"/>
      <c r="AW25" s="545"/>
      <c r="AY25" s="443"/>
    </row>
    <row r="26" spans="1:51" x14ac:dyDescent="0.3">
      <c r="A26" s="49">
        <v>500000</v>
      </c>
      <c r="B26" s="49">
        <f>1+1+1+1+1+1</f>
        <v>6</v>
      </c>
      <c r="C26" s="49">
        <f>266900+293000+318100+324600+448200+469300</f>
        <v>2120100</v>
      </c>
      <c r="D26" s="49">
        <f>1+1+1+1+1+1+1+1+1+2+1+3+1+2</f>
        <v>18</v>
      </c>
      <c r="E26" s="49">
        <f>276000+280100+287800+321600+335700+341700+347600+366400+371700+754900+384300+1174300+404600+817200</f>
        <v>6463900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>1</f>
        <v>1</v>
      </c>
      <c r="O26" s="49">
        <v>432800</v>
      </c>
      <c r="P26" s="49">
        <f>3+1+2+1+1+1+1+2+1+1+1</f>
        <v>15</v>
      </c>
      <c r="Q26" s="49">
        <f>771900+263600+543600+282800+293100+301000+308300+623500+371300+478400+480200</f>
        <v>4717700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f>1+1+1+1+1+1</f>
        <v>6</v>
      </c>
      <c r="AA26" s="49">
        <f>273000+337000+355000+435000+469000+476200</f>
        <v>2345200</v>
      </c>
      <c r="AB26" s="49">
        <v>0</v>
      </c>
      <c r="AC26" s="49">
        <v>0</v>
      </c>
      <c r="AD26" s="49">
        <f>3+2+2+2+2+1+1+2+1+1+1+1+1+1+1+1</f>
        <v>23</v>
      </c>
      <c r="AE26" s="49">
        <f>760500+516000+528200+535900+556200+284700+291300+613400+326100+331100+335300+370100+379400+402000+412400+424900</f>
        <v>7067500</v>
      </c>
      <c r="AF26" s="49">
        <f>1+1</f>
        <v>2</v>
      </c>
      <c r="AG26" s="49">
        <f>308700+483500</f>
        <v>792200</v>
      </c>
      <c r="AH26" s="49">
        <v>0</v>
      </c>
      <c r="AI26" s="419">
        <v>0</v>
      </c>
      <c r="AJ26" s="67">
        <f t="shared" si="2"/>
        <v>71</v>
      </c>
      <c r="AK26" s="49">
        <f t="shared" si="3"/>
        <v>23939400</v>
      </c>
      <c r="AM26" s="80"/>
      <c r="AN26" s="80"/>
      <c r="AO26" s="546"/>
      <c r="AP26" s="80"/>
      <c r="AQ26" s="546"/>
      <c r="AV26" s="545"/>
      <c r="AW26" s="545"/>
      <c r="AY26" s="443"/>
    </row>
    <row r="27" spans="1:51" x14ac:dyDescent="0.3">
      <c r="A27" s="49">
        <v>600000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f>1+1</f>
        <v>2</v>
      </c>
      <c r="Q27" s="49">
        <f>500500+557600</f>
        <v>1058100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f>1+2</f>
        <v>3</v>
      </c>
      <c r="AA27" s="49">
        <f>568000+1189000</f>
        <v>1757000</v>
      </c>
      <c r="AB27" s="49">
        <v>0</v>
      </c>
      <c r="AC27" s="49">
        <v>0</v>
      </c>
      <c r="AD27" s="49">
        <f>1+1+1+1+2</f>
        <v>6</v>
      </c>
      <c r="AE27" s="49">
        <f>500400+515100+534900+535100+1175300</f>
        <v>3260800</v>
      </c>
      <c r="AF27" s="49">
        <v>0</v>
      </c>
      <c r="AG27" s="49">
        <v>0</v>
      </c>
      <c r="AH27" s="49">
        <v>0</v>
      </c>
      <c r="AI27" s="419">
        <v>0</v>
      </c>
      <c r="AJ27" s="67">
        <f t="shared" si="2"/>
        <v>11</v>
      </c>
      <c r="AK27" s="49">
        <f t="shared" si="3"/>
        <v>6075900</v>
      </c>
      <c r="AM27" s="80"/>
      <c r="AN27" s="80"/>
      <c r="AO27" s="546"/>
      <c r="AP27" s="80"/>
      <c r="AQ27" s="546"/>
      <c r="AV27" s="545"/>
      <c r="AW27" s="545"/>
      <c r="AY27" s="443"/>
    </row>
    <row r="28" spans="1:51" x14ac:dyDescent="0.3">
      <c r="A28" s="49">
        <v>700000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f>1</f>
        <v>1</v>
      </c>
      <c r="Q28" s="49">
        <v>629900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f>1+1+1</f>
        <v>3</v>
      </c>
      <c r="AA28" s="49">
        <f>617000+635300+655600</f>
        <v>1907900</v>
      </c>
      <c r="AB28" s="49">
        <v>0</v>
      </c>
      <c r="AC28" s="49">
        <v>0</v>
      </c>
      <c r="AD28" s="49">
        <f>1+1+1+1</f>
        <v>4</v>
      </c>
      <c r="AE28" s="49">
        <f>603800+646000+651300+669200</f>
        <v>2570300</v>
      </c>
      <c r="AF28" s="49">
        <v>0</v>
      </c>
      <c r="AG28" s="49">
        <v>0</v>
      </c>
      <c r="AH28" s="49">
        <v>0</v>
      </c>
      <c r="AI28" s="419">
        <v>0</v>
      </c>
      <c r="AJ28" s="67">
        <f t="shared" si="2"/>
        <v>8</v>
      </c>
      <c r="AK28" s="49">
        <f t="shared" si="3"/>
        <v>5108100</v>
      </c>
      <c r="AM28" s="80"/>
      <c r="AN28" s="80"/>
      <c r="AO28" s="546"/>
      <c r="AP28" s="80"/>
      <c r="AQ28" s="546"/>
      <c r="AV28" s="545"/>
      <c r="AW28" s="545"/>
      <c r="AY28" s="443"/>
    </row>
    <row r="29" spans="1:51" x14ac:dyDescent="0.3">
      <c r="A29" s="49">
        <v>800000</v>
      </c>
      <c r="B29" s="49">
        <v>1</v>
      </c>
      <c r="C29" s="49">
        <v>741300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f>1</f>
        <v>1</v>
      </c>
      <c r="AA29" s="49">
        <v>726000</v>
      </c>
      <c r="AB29" s="49">
        <v>0</v>
      </c>
      <c r="AC29" s="49">
        <v>0</v>
      </c>
      <c r="AD29" s="49">
        <f>1+1+1</f>
        <v>3</v>
      </c>
      <c r="AE29" s="49">
        <f>710100+733900+736800</f>
        <v>2180800</v>
      </c>
      <c r="AF29" s="49">
        <v>1</v>
      </c>
      <c r="AG29" s="49">
        <v>735200</v>
      </c>
      <c r="AH29" s="49">
        <v>0</v>
      </c>
      <c r="AI29" s="419">
        <v>0</v>
      </c>
      <c r="AJ29" s="67">
        <f t="shared" si="2"/>
        <v>6</v>
      </c>
      <c r="AK29" s="49">
        <f t="shared" si="3"/>
        <v>4383300</v>
      </c>
      <c r="AM29" s="80"/>
      <c r="AN29" s="80"/>
      <c r="AO29" s="546"/>
      <c r="AP29" s="80"/>
      <c r="AQ29" s="546"/>
      <c r="AV29" s="545"/>
      <c r="AW29" s="545"/>
      <c r="AY29" s="443"/>
    </row>
    <row r="30" spans="1:51" x14ac:dyDescent="0.3">
      <c r="A30" s="49">
        <v>900000</v>
      </c>
      <c r="B30" s="49">
        <f>1+1+1</f>
        <v>3</v>
      </c>
      <c r="C30" s="49">
        <f>872800+881300+885300</f>
        <v>2639400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f>1+1+2</f>
        <v>4</v>
      </c>
      <c r="AA30" s="49">
        <f>840600+872000+1753400</f>
        <v>3466000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H30" s="49">
        <v>0</v>
      </c>
      <c r="AI30" s="419">
        <v>0</v>
      </c>
      <c r="AJ30" s="67">
        <f t="shared" si="2"/>
        <v>7</v>
      </c>
      <c r="AK30" s="49">
        <f t="shared" si="3"/>
        <v>6105400</v>
      </c>
      <c r="AM30" s="80"/>
      <c r="AN30" s="80"/>
      <c r="AO30" s="546"/>
      <c r="AP30" s="80"/>
      <c r="AQ30" s="546"/>
      <c r="AV30" s="545"/>
      <c r="AW30" s="545"/>
      <c r="AY30" s="443"/>
    </row>
    <row r="31" spans="1:51" x14ac:dyDescent="0.3">
      <c r="A31" s="49">
        <v>1000000</v>
      </c>
      <c r="B31" s="49">
        <v>0</v>
      </c>
      <c r="C31" s="49">
        <v>0</v>
      </c>
      <c r="D31" s="49">
        <v>1</v>
      </c>
      <c r="E31" s="49">
        <v>987000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f>1+1</f>
        <v>2</v>
      </c>
      <c r="AA31" s="49">
        <f>951500+970000</f>
        <v>1921500</v>
      </c>
      <c r="AB31" s="49">
        <v>0</v>
      </c>
      <c r="AC31" s="49">
        <v>0</v>
      </c>
      <c r="AD31" s="49">
        <f>2+1</f>
        <v>3</v>
      </c>
      <c r="AE31" s="49">
        <f>1971900+995000</f>
        <v>2966900</v>
      </c>
      <c r="AF31" s="49">
        <v>0</v>
      </c>
      <c r="AG31" s="49">
        <v>0</v>
      </c>
      <c r="AH31" s="49">
        <v>0</v>
      </c>
      <c r="AI31" s="419">
        <v>0</v>
      </c>
      <c r="AJ31" s="67">
        <f t="shared" si="2"/>
        <v>6</v>
      </c>
      <c r="AK31" s="49">
        <f t="shared" si="3"/>
        <v>5875400</v>
      </c>
      <c r="AM31" s="80"/>
      <c r="AN31" s="80"/>
      <c r="AO31" s="546"/>
      <c r="AP31" s="80"/>
      <c r="AQ31" s="546"/>
      <c r="AV31" s="545"/>
      <c r="AW31" s="545"/>
      <c r="AY31" s="443"/>
    </row>
    <row r="32" spans="1:51" ht="16.2" x14ac:dyDescent="0.45">
      <c r="A32" s="497" t="s">
        <v>571</v>
      </c>
      <c r="B32" s="124">
        <v>0</v>
      </c>
      <c r="C32" s="124">
        <v>0</v>
      </c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>
        <v>0</v>
      </c>
      <c r="X32" s="124">
        <v>0</v>
      </c>
      <c r="Y32" s="124">
        <v>0</v>
      </c>
      <c r="Z32" s="124">
        <f>1</f>
        <v>1</v>
      </c>
      <c r="AA32" s="124">
        <v>1346300</v>
      </c>
      <c r="AB32" s="124">
        <v>0</v>
      </c>
      <c r="AC32" s="124">
        <v>0</v>
      </c>
      <c r="AD32" s="124">
        <f>2+1+1+3+1+1+1+1+1+1+1+1+1+1+1+1+1+1+1+2+1+1</f>
        <v>26</v>
      </c>
      <c r="AE32" s="124">
        <f>2035800+1049300+1069000+3217500+1087200+1097800+1105700+1127200+1143000+1197200+1238800+3257400+3599500+3819000+4170700+4178300+4351400+4472500+4868600+9993400+5531500+5718100</f>
        <v>69328900</v>
      </c>
      <c r="AF32" s="124">
        <v>0</v>
      </c>
      <c r="AG32" s="124">
        <v>0</v>
      </c>
      <c r="AH32" s="124">
        <f>1+1+1+1+1+1+1+1+1+1+1+1</f>
        <v>12</v>
      </c>
      <c r="AI32" s="550">
        <f>12677400+12857800+13132200+13157800+13499700+13662400+14047200+14388600+14577300+14983500+15801100+16445300</f>
        <v>169230300</v>
      </c>
      <c r="AJ32" s="193">
        <f t="shared" si="2"/>
        <v>39</v>
      </c>
      <c r="AK32" s="193">
        <f t="shared" si="3"/>
        <v>239905500</v>
      </c>
      <c r="AL32" s="124"/>
      <c r="AM32" s="49" t="s">
        <v>515</v>
      </c>
      <c r="AN32" s="49">
        <f>AN21+AJ32</f>
        <v>108213</v>
      </c>
      <c r="AO32" s="545">
        <f>AN32/$AJ$33</f>
        <v>0.99480593502362613</v>
      </c>
      <c r="AP32" s="49">
        <f>AP21+AK32</f>
        <v>811584800</v>
      </c>
      <c r="AQ32" s="545">
        <f>AP32/$AK$33</f>
        <v>0.88010387936148116</v>
      </c>
      <c r="AR32" s="49">
        <f>AS32/12</f>
        <v>3.25</v>
      </c>
      <c r="AS32" s="49">
        <f>AJ32</f>
        <v>39</v>
      </c>
      <c r="AT32" s="49">
        <f>AK32</f>
        <v>239905500</v>
      </c>
      <c r="AU32" s="49">
        <f>AT32/AS32</f>
        <v>6151423.076923077</v>
      </c>
      <c r="AV32" s="545">
        <f>AT32/$AK$33</f>
        <v>0.2601598270817243</v>
      </c>
      <c r="AW32" s="545"/>
      <c r="AX32" s="49" t="s">
        <v>515</v>
      </c>
      <c r="AY32" s="443">
        <v>350348600</v>
      </c>
    </row>
    <row r="33" spans="1:49" x14ac:dyDescent="0.3">
      <c r="A33" s="49" t="s">
        <v>14</v>
      </c>
      <c r="B33" s="49">
        <f t="shared" ref="B33:AJ33" si="7">SUM(B6:B32)</f>
        <v>98307</v>
      </c>
      <c r="C33" s="49">
        <f t="shared" si="7"/>
        <v>532006500</v>
      </c>
      <c r="D33" s="49">
        <f t="shared" si="7"/>
        <v>6640</v>
      </c>
      <c r="E33" s="49">
        <f>SUM(E6:E32)</f>
        <v>45271600</v>
      </c>
      <c r="F33" s="49">
        <f t="shared" si="7"/>
        <v>999</v>
      </c>
      <c r="G33" s="49">
        <f t="shared" si="7"/>
        <v>7148800</v>
      </c>
      <c r="H33" s="49">
        <f t="shared" si="7"/>
        <v>35</v>
      </c>
      <c r="I33" s="49">
        <f t="shared" si="7"/>
        <v>587700</v>
      </c>
      <c r="J33" s="49">
        <f t="shared" si="7"/>
        <v>290</v>
      </c>
      <c r="K33" s="49">
        <f t="shared" si="7"/>
        <v>1759100</v>
      </c>
      <c r="L33" s="49">
        <f t="shared" si="7"/>
        <v>36</v>
      </c>
      <c r="M33" s="49">
        <f t="shared" si="7"/>
        <v>116700</v>
      </c>
      <c r="N33" s="49">
        <f t="shared" si="7"/>
        <v>727</v>
      </c>
      <c r="O33" s="49">
        <f t="shared" si="7"/>
        <v>8443200</v>
      </c>
      <c r="P33" s="49">
        <f t="shared" si="7"/>
        <v>878</v>
      </c>
      <c r="Q33" s="49">
        <f t="shared" si="7"/>
        <v>28352500</v>
      </c>
      <c r="R33" s="49">
        <f t="shared" si="7"/>
        <v>12</v>
      </c>
      <c r="S33" s="49">
        <f t="shared" si="7"/>
        <v>483800</v>
      </c>
      <c r="T33" s="49">
        <f t="shared" si="7"/>
        <v>60</v>
      </c>
      <c r="U33" s="49">
        <f t="shared" si="7"/>
        <v>1167400</v>
      </c>
      <c r="V33" s="49">
        <f t="shared" si="7"/>
        <v>96</v>
      </c>
      <c r="W33" s="49">
        <f t="shared" si="7"/>
        <v>3770000</v>
      </c>
      <c r="X33" s="49">
        <f t="shared" si="7"/>
        <v>12</v>
      </c>
      <c r="Y33" s="49">
        <f t="shared" si="7"/>
        <v>210500</v>
      </c>
      <c r="Z33" s="49">
        <f t="shared" si="7"/>
        <v>311</v>
      </c>
      <c r="AA33" s="49">
        <f t="shared" si="7"/>
        <v>20075500</v>
      </c>
      <c r="AB33" s="49">
        <f t="shared" si="7"/>
        <v>12</v>
      </c>
      <c r="AC33" s="49">
        <f t="shared" si="7"/>
        <v>211700</v>
      </c>
      <c r="AD33" s="49">
        <f t="shared" si="7"/>
        <v>339</v>
      </c>
      <c r="AE33" s="49">
        <f t="shared" si="7"/>
        <v>101541700</v>
      </c>
      <c r="AF33" s="49">
        <f t="shared" si="7"/>
        <v>12</v>
      </c>
      <c r="AG33" s="49">
        <f t="shared" si="7"/>
        <v>1769600</v>
      </c>
      <c r="AH33" s="49">
        <f t="shared" si="7"/>
        <v>12</v>
      </c>
      <c r="AI33" s="419">
        <f t="shared" si="7"/>
        <v>169230300</v>
      </c>
      <c r="AJ33" s="49">
        <f t="shared" si="7"/>
        <v>108778</v>
      </c>
      <c r="AK33" s="49">
        <f>SUM(AK6:AK32)</f>
        <v>922146600</v>
      </c>
    </row>
    <row r="34" spans="1:49" x14ac:dyDescent="0.3">
      <c r="AI34" s="419"/>
      <c r="AJ34" s="80"/>
    </row>
    <row r="35" spans="1:49" ht="20.100000000000001" customHeight="1" x14ac:dyDescent="0.45">
      <c r="AI35" s="419"/>
      <c r="AJ35" s="80"/>
      <c r="AQ35" s="544"/>
      <c r="AR35" s="543"/>
      <c r="AS35" s="542" t="s">
        <v>514</v>
      </c>
      <c r="AT35" s="542" t="s">
        <v>196</v>
      </c>
      <c r="AU35" s="541" t="s">
        <v>513</v>
      </c>
      <c r="AV35" s="541" t="s">
        <v>512</v>
      </c>
      <c r="AW35" s="540" t="s">
        <v>511</v>
      </c>
    </row>
    <row r="36" spans="1:49" x14ac:dyDescent="0.3">
      <c r="AQ36" s="538"/>
      <c r="AR36" s="537" t="s">
        <v>513</v>
      </c>
      <c r="AS36" s="185">
        <f>AS8</f>
        <v>98486</v>
      </c>
      <c r="AT36" s="185">
        <f>AT8</f>
        <v>381598700</v>
      </c>
      <c r="AU36" s="185">
        <f>AT36</f>
        <v>381598700</v>
      </c>
      <c r="AV36" s="185"/>
      <c r="AW36" s="539"/>
    </row>
    <row r="37" spans="1:49" ht="15.6" x14ac:dyDescent="0.3"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AQ37" s="538"/>
      <c r="AR37" s="537" t="s">
        <v>512</v>
      </c>
      <c r="AS37" s="185">
        <f>AS21</f>
        <v>9688</v>
      </c>
      <c r="AT37" s="185">
        <f>AT21</f>
        <v>190080600</v>
      </c>
      <c r="AU37" s="185">
        <f>AS37*10000</f>
        <v>96880000</v>
      </c>
      <c r="AV37" s="185">
        <f>AT37-AU37</f>
        <v>93200600</v>
      </c>
      <c r="AW37" s="539"/>
    </row>
    <row r="38" spans="1:49" ht="17.399999999999999" x14ac:dyDescent="0.45"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AQ38" s="538"/>
      <c r="AR38" s="537" t="s">
        <v>511</v>
      </c>
      <c r="AS38" s="185">
        <f>AS32</f>
        <v>39</v>
      </c>
      <c r="AT38" s="536">
        <f>AT32</f>
        <v>239905500</v>
      </c>
      <c r="AU38" s="536">
        <f>AS38*10000</f>
        <v>390000</v>
      </c>
      <c r="AV38" s="536">
        <f>AS38*65000</f>
        <v>2535000</v>
      </c>
      <c r="AW38" s="535">
        <f>AT38-AU38-AV38</f>
        <v>236980500</v>
      </c>
    </row>
    <row r="39" spans="1:49" ht="20.100000000000001" customHeight="1" x14ac:dyDescent="0.3"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AQ39" s="534"/>
      <c r="AR39" s="533"/>
      <c r="AS39" s="533"/>
      <c r="AT39" s="532">
        <f>SUM(AT36:AT38)</f>
        <v>811584800</v>
      </c>
      <c r="AU39" s="532">
        <f>SUM(AU36:AU38)</f>
        <v>478868700</v>
      </c>
      <c r="AV39" s="532">
        <f>SUM(AV36:AV38)</f>
        <v>95735600</v>
      </c>
      <c r="AW39" s="531">
        <f>SUM(AW36:AW38)</f>
        <v>236980500</v>
      </c>
    </row>
    <row r="40" spans="1:49" x14ac:dyDescent="0.3">
      <c r="C40" s="530"/>
      <c r="E40" s="530"/>
      <c r="G40" s="530"/>
      <c r="I40" s="530"/>
      <c r="J40" s="530"/>
      <c r="K40" s="530"/>
      <c r="L40" s="530"/>
      <c r="M40" s="530"/>
    </row>
  </sheetData>
  <mergeCells count="54">
    <mergeCell ref="J4:K4"/>
    <mergeCell ref="N4:O4"/>
    <mergeCell ref="T4:U4"/>
    <mergeCell ref="X4:Y4"/>
    <mergeCell ref="AJ4:AK4"/>
    <mergeCell ref="AN4:AQ4"/>
    <mergeCell ref="AS4:AU4"/>
    <mergeCell ref="B2:C2"/>
    <mergeCell ref="D2:E2"/>
    <mergeCell ref="D4:E4"/>
    <mergeCell ref="J2:K2"/>
    <mergeCell ref="L2:M2"/>
    <mergeCell ref="L4:M4"/>
    <mergeCell ref="N2:O2"/>
    <mergeCell ref="P2:Q2"/>
    <mergeCell ref="P4:Q4"/>
    <mergeCell ref="T2:U2"/>
    <mergeCell ref="V2:W2"/>
    <mergeCell ref="V4:W4"/>
    <mergeCell ref="B4:C4"/>
    <mergeCell ref="X2:Y2"/>
    <mergeCell ref="R3:S3"/>
    <mergeCell ref="T3:U3"/>
    <mergeCell ref="V3:W3"/>
    <mergeCell ref="X3:Y3"/>
    <mergeCell ref="AB3:AC3"/>
    <mergeCell ref="AD3:AE3"/>
    <mergeCell ref="Z2:AA2"/>
    <mergeCell ref="Z4:AA4"/>
    <mergeCell ref="AB2:AC2"/>
    <mergeCell ref="AD2:AE2"/>
    <mergeCell ref="AD4:AE4"/>
    <mergeCell ref="AB4:AC4"/>
    <mergeCell ref="AH2:AI2"/>
    <mergeCell ref="AH4:AI4"/>
    <mergeCell ref="F2:G2"/>
    <mergeCell ref="F4:G4"/>
    <mergeCell ref="R2:S2"/>
    <mergeCell ref="R4:S4"/>
    <mergeCell ref="H2:I2"/>
    <mergeCell ref="H4:I4"/>
    <mergeCell ref="N3:O3"/>
    <mergeCell ref="P3:Q3"/>
    <mergeCell ref="AF3:AG3"/>
    <mergeCell ref="AH3:AI3"/>
    <mergeCell ref="L3:M3"/>
    <mergeCell ref="AF2:AG2"/>
    <mergeCell ref="AF4:AG4"/>
    <mergeCell ref="Z3:AA3"/>
    <mergeCell ref="B3:C3"/>
    <mergeCell ref="D3:E3"/>
    <mergeCell ref="F3:G3"/>
    <mergeCell ref="H3:I3"/>
    <mergeCell ref="J3:K3"/>
  </mergeCells>
  <printOptions horizontalCentered="1"/>
  <pageMargins left="0.7" right="0.7" top="1.5" bottom="0.75" header="0.3" footer="0.3"/>
  <pageSetup scale="2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8D71D-18F4-47FE-973B-B4F3CA389542}">
  <sheetPr>
    <pageSetUpPr fitToPage="1"/>
  </sheetPr>
  <dimension ref="B2:H15"/>
  <sheetViews>
    <sheetView workbookViewId="0"/>
  </sheetViews>
  <sheetFormatPr defaultColWidth="8.81640625" defaultRowHeight="14.4" x14ac:dyDescent="0.3"/>
  <cols>
    <col min="1" max="1" width="8.81640625" style="1"/>
    <col min="2" max="2" width="8.81640625" style="360"/>
    <col min="3" max="3" width="10.54296875" style="17" bestFit="1" customWidth="1"/>
    <col min="4" max="4" width="10" style="1" customWidth="1"/>
    <col min="5" max="6" width="10.1796875" style="31" bestFit="1" customWidth="1"/>
    <col min="7" max="7" width="9.54296875" style="31" bestFit="1" customWidth="1"/>
    <col min="8" max="16384" width="8.81640625" style="1"/>
  </cols>
  <sheetData>
    <row r="2" spans="2:8" x14ac:dyDescent="0.3">
      <c r="C2" s="340"/>
    </row>
    <row r="4" spans="2:8" x14ac:dyDescent="0.3">
      <c r="B4" s="360" t="s">
        <v>9</v>
      </c>
      <c r="C4" s="17" t="s">
        <v>339</v>
      </c>
      <c r="D4" s="1" t="s">
        <v>340</v>
      </c>
      <c r="E4" s="31" t="s">
        <v>304</v>
      </c>
      <c r="F4" s="31" t="s">
        <v>10</v>
      </c>
      <c r="G4" s="31" t="s">
        <v>341</v>
      </c>
      <c r="H4" s="1" t="s">
        <v>342</v>
      </c>
    </row>
    <row r="5" spans="2:8" x14ac:dyDescent="0.3">
      <c r="B5" s="359" t="s">
        <v>328</v>
      </c>
      <c r="C5" s="340">
        <f>Usage!C34</f>
        <v>5519.9950934601484</v>
      </c>
      <c r="D5" s="578">
        <f>C5/1000</f>
        <v>5.5199950934601487</v>
      </c>
      <c r="E5" s="31">
        <f>D5*Rates!D13+Rates!D20</f>
        <v>29.263981845802551</v>
      </c>
      <c r="F5" s="31">
        <f>D5*Rates!E13+Rates!E20</f>
        <v>32.294379294401836</v>
      </c>
      <c r="G5" s="31">
        <f>F5-E5</f>
        <v>3.0303974485992846</v>
      </c>
      <c r="H5" s="30">
        <f>G5/E5</f>
        <v>0.10355383162028398</v>
      </c>
    </row>
    <row r="6" spans="2:8" x14ac:dyDescent="0.3">
      <c r="B6" s="370" t="s">
        <v>338</v>
      </c>
      <c r="C6" s="340">
        <f>Usage!E34</f>
        <v>5753.9877300613498</v>
      </c>
      <c r="D6" s="578">
        <f>C6/1000</f>
        <v>5.7539877300613496</v>
      </c>
      <c r="E6" s="31">
        <f>D6*Rates!D14+Rates!D21</f>
        <v>29.005858895705522</v>
      </c>
      <c r="F6" s="31">
        <f>D6*Rates!E14+Rates!E21</f>
        <v>13.5</v>
      </c>
      <c r="G6" s="31">
        <f>F6-E6</f>
        <v>-15.505858895705522</v>
      </c>
      <c r="H6" s="30">
        <f>G6/E6</f>
        <v>-0.53457678848466195</v>
      </c>
    </row>
    <row r="7" spans="2:8" x14ac:dyDescent="0.3">
      <c r="B7" s="360">
        <v>1</v>
      </c>
      <c r="C7" s="340">
        <f>Usage!G34</f>
        <v>23054.730983302412</v>
      </c>
      <c r="D7" s="578">
        <f t="shared" ref="D7:D10" si="0">C7/1000</f>
        <v>23.054730983302413</v>
      </c>
      <c r="E7" s="31">
        <f>D7*Rates!D13+Rates!D22</f>
        <v>107.41250463821893</v>
      </c>
      <c r="F7" s="31">
        <f>D7*Rates!E13+Rates!E22</f>
        <v>119.7909647495362</v>
      </c>
      <c r="G7" s="31">
        <f t="shared" ref="G7:G10" si="1">F7-E7</f>
        <v>12.378460111317267</v>
      </c>
      <c r="H7" s="30">
        <f t="shared" ref="H7:H10" si="2">G7/E7</f>
        <v>0.11524226302151445</v>
      </c>
    </row>
    <row r="8" spans="2:8" x14ac:dyDescent="0.3">
      <c r="B8" s="361" t="s">
        <v>329</v>
      </c>
      <c r="C8" s="340">
        <f>Usage!I34</f>
        <v>31650</v>
      </c>
      <c r="D8" s="578">
        <f t="shared" si="0"/>
        <v>31.65</v>
      </c>
      <c r="E8" s="31">
        <f>40*Rates!D13+(D8-40)*Rates!D14+Rates!D23</f>
        <v>164.2475</v>
      </c>
      <c r="F8" s="31">
        <f>40*Rates!E13+(D8-40)*Rates!E14+Rates!E23</f>
        <v>213.8</v>
      </c>
      <c r="G8" s="31">
        <f t="shared" si="1"/>
        <v>49.552500000000009</v>
      </c>
      <c r="H8" s="30">
        <f t="shared" si="2"/>
        <v>0.30169408971217221</v>
      </c>
    </row>
    <row r="9" spans="2:8" x14ac:dyDescent="0.3">
      <c r="B9" s="360">
        <v>2</v>
      </c>
      <c r="C9" s="340">
        <f>Usage!K34</f>
        <v>62804.953560371519</v>
      </c>
      <c r="D9" s="578">
        <f t="shared" si="0"/>
        <v>62.804953560371523</v>
      </c>
      <c r="E9" s="31">
        <f>40*Rates!D13+(D9-40)*Rates!D14+Rates!D24</f>
        <v>312.83659442724462</v>
      </c>
      <c r="F9" s="31">
        <f>40*Rates!E13+(D9-40)*Rates!E14+Rates!E24</f>
        <v>240.8</v>
      </c>
      <c r="G9" s="31">
        <f t="shared" si="1"/>
        <v>-72.036594427244609</v>
      </c>
      <c r="H9" s="30">
        <f t="shared" si="2"/>
        <v>-0.23026907884332543</v>
      </c>
    </row>
    <row r="10" spans="2:8" x14ac:dyDescent="0.3">
      <c r="B10" s="360">
        <v>3</v>
      </c>
      <c r="C10" s="340">
        <f>Usage!M34</f>
        <v>727342.1333333333</v>
      </c>
      <c r="D10" s="578">
        <f t="shared" si="0"/>
        <v>727.34213333333332</v>
      </c>
      <c r="E10" s="31">
        <f>40*Rates!D13+(D10-40)*Rates!D14+Rates!D25</f>
        <v>2578.6461466666669</v>
      </c>
      <c r="F10" s="31">
        <f>40*Rates!E13+(D10-40)*Rates!E14+Rates!E25</f>
        <v>312.8</v>
      </c>
      <c r="G10" s="31">
        <f t="shared" si="1"/>
        <v>-2265.8461466666668</v>
      </c>
      <c r="H10" s="30">
        <f t="shared" si="2"/>
        <v>-0.87869603574559985</v>
      </c>
    </row>
    <row r="11" spans="2:8" x14ac:dyDescent="0.3">
      <c r="D11" s="2"/>
      <c r="H11" s="30"/>
    </row>
    <row r="12" spans="2:8" x14ac:dyDescent="0.3">
      <c r="D12" s="2"/>
      <c r="H12" s="30"/>
    </row>
    <row r="13" spans="2:8" x14ac:dyDescent="0.3">
      <c r="D13" s="2"/>
    </row>
    <row r="14" spans="2:8" x14ac:dyDescent="0.3">
      <c r="D14" s="2"/>
    </row>
    <row r="15" spans="2:8" x14ac:dyDescent="0.3">
      <c r="D15" s="2"/>
    </row>
  </sheetData>
  <pageMargins left="0.7" right="0.7" top="0.75" bottom="0.75" header="0.3" footer="0.3"/>
  <pageSetup scale="8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O28"/>
  <sheetViews>
    <sheetView workbookViewId="0"/>
  </sheetViews>
  <sheetFormatPr defaultColWidth="8.90625" defaultRowHeight="14.4" x14ac:dyDescent="0.3"/>
  <cols>
    <col min="1" max="1" width="9" style="1" customWidth="1"/>
    <col min="2" max="2" width="1.81640625" style="1" customWidth="1"/>
    <col min="3" max="7" width="9.81640625" style="1" customWidth="1"/>
    <col min="8" max="8" width="0.90625" style="1" customWidth="1"/>
    <col min="9" max="16384" width="8.90625" style="1"/>
  </cols>
  <sheetData>
    <row r="2" spans="1:15" x14ac:dyDescent="0.3">
      <c r="A2" s="49"/>
      <c r="B2" s="63"/>
      <c r="C2" s="520"/>
      <c r="D2" s="520"/>
      <c r="E2" s="520"/>
      <c r="F2" s="64"/>
      <c r="G2" s="64"/>
      <c r="H2" s="65"/>
      <c r="I2" s="49"/>
      <c r="J2" s="49"/>
    </row>
    <row r="3" spans="1:15" ht="18" x14ac:dyDescent="0.35">
      <c r="A3" s="49"/>
      <c r="B3" s="67"/>
      <c r="C3" s="606" t="s">
        <v>510</v>
      </c>
      <c r="D3" s="606"/>
      <c r="E3" s="606"/>
      <c r="F3" s="606"/>
      <c r="G3" s="606"/>
      <c r="H3" s="342"/>
      <c r="I3" s="49"/>
      <c r="J3" s="49"/>
    </row>
    <row r="4" spans="1:15" ht="18" x14ac:dyDescent="0.35">
      <c r="A4" s="49"/>
      <c r="B4" s="67"/>
      <c r="C4" s="627" t="s">
        <v>315</v>
      </c>
      <c r="D4" s="627"/>
      <c r="E4" s="627"/>
      <c r="F4" s="627"/>
      <c r="G4" s="627"/>
      <c r="H4" s="371"/>
      <c r="I4" s="49"/>
      <c r="J4" s="49"/>
    </row>
    <row r="5" spans="1:15" ht="15.6" x14ac:dyDescent="0.3">
      <c r="A5" s="49"/>
      <c r="B5" s="67"/>
      <c r="C5" s="621" t="s">
        <v>331</v>
      </c>
      <c r="D5" s="621"/>
      <c r="E5" s="621"/>
      <c r="F5" s="621"/>
      <c r="G5" s="621"/>
      <c r="H5" s="372"/>
      <c r="I5" s="49"/>
      <c r="J5" s="49"/>
    </row>
    <row r="6" spans="1:15" x14ac:dyDescent="0.3">
      <c r="A6" s="49"/>
      <c r="B6" s="188"/>
      <c r="C6" s="76"/>
      <c r="D6" s="76"/>
      <c r="E6" s="76"/>
      <c r="F6" s="76"/>
      <c r="G6" s="76"/>
      <c r="H6" s="66"/>
      <c r="I6" s="49"/>
      <c r="J6" s="49"/>
    </row>
    <row r="7" spans="1:15" ht="16.2" x14ac:dyDescent="0.45">
      <c r="A7" s="49"/>
      <c r="B7" s="67"/>
      <c r="C7" s="285" t="s">
        <v>15</v>
      </c>
      <c r="D7" s="183" t="s">
        <v>293</v>
      </c>
      <c r="E7" s="184" t="s">
        <v>98</v>
      </c>
      <c r="F7" s="285" t="s">
        <v>10</v>
      </c>
      <c r="G7" s="285"/>
      <c r="H7" s="183"/>
      <c r="I7" s="49"/>
      <c r="J7" s="49"/>
    </row>
    <row r="8" spans="1:15" ht="16.2" x14ac:dyDescent="0.45">
      <c r="A8" s="49"/>
      <c r="B8" s="67"/>
      <c r="C8" s="285" t="s">
        <v>187</v>
      </c>
      <c r="D8" s="183" t="s">
        <v>61</v>
      </c>
      <c r="E8" s="184" t="s">
        <v>185</v>
      </c>
      <c r="F8" s="285" t="s">
        <v>185</v>
      </c>
      <c r="G8" s="285" t="s">
        <v>99</v>
      </c>
      <c r="H8" s="183"/>
      <c r="I8" s="49"/>
      <c r="J8" s="49"/>
    </row>
    <row r="9" spans="1:15" x14ac:dyDescent="0.3">
      <c r="A9" s="49"/>
      <c r="B9" s="67"/>
      <c r="C9" s="135">
        <v>0</v>
      </c>
      <c r="D9" s="296" t="s">
        <v>352</v>
      </c>
      <c r="E9" s="187">
        <f>Rates!D20</f>
        <v>8.84</v>
      </c>
      <c r="F9" s="135">
        <f>Rates!E20</f>
        <v>9</v>
      </c>
      <c r="G9" s="112">
        <f>F9-E9</f>
        <v>0.16000000000000014</v>
      </c>
      <c r="H9" s="113"/>
      <c r="I9" s="49"/>
      <c r="J9" s="120">
        <f t="shared" ref="J9:J25" si="0">G9/E9</f>
        <v>1.8099547511312233E-2</v>
      </c>
      <c r="M9" s="120"/>
      <c r="O9" s="120"/>
    </row>
    <row r="10" spans="1:15" x14ac:dyDescent="0.3">
      <c r="A10" s="49"/>
      <c r="B10" s="67"/>
      <c r="C10" s="80">
        <v>2000</v>
      </c>
      <c r="D10" s="296" t="s">
        <v>352</v>
      </c>
      <c r="E10" s="187">
        <f>Rates!$D$20+((C10/1000)*Rates!D$13)</f>
        <v>16.240000000000002</v>
      </c>
      <c r="F10" s="135">
        <f>Rates!$E$20+(C10/1000)*Rates!$E$13</f>
        <v>17.440000000000001</v>
      </c>
      <c r="G10" s="135">
        <f t="shared" ref="G10:G25" si="1">F10-E10</f>
        <v>1.1999999999999993</v>
      </c>
      <c r="H10" s="298"/>
      <c r="I10" s="49"/>
      <c r="J10" s="120">
        <f t="shared" si="0"/>
        <v>7.3891625615763498E-2</v>
      </c>
      <c r="M10" s="120"/>
      <c r="O10" s="120"/>
    </row>
    <row r="11" spans="1:15" x14ac:dyDescent="0.3">
      <c r="A11" s="49"/>
      <c r="B11" s="67"/>
      <c r="C11" s="378">
        <v>4000</v>
      </c>
      <c r="D11" s="521" t="s">
        <v>352</v>
      </c>
      <c r="E11" s="522">
        <f>Rates!$D$20+((C11/1000)*Rates!D$13)</f>
        <v>23.64</v>
      </c>
      <c r="F11" s="523">
        <f>Rates!$E$20+(C11/1000)*Rates!$E$13</f>
        <v>25.880000000000003</v>
      </c>
      <c r="G11" s="523">
        <f t="shared" si="1"/>
        <v>2.240000000000002</v>
      </c>
      <c r="H11" s="524"/>
      <c r="I11" s="49"/>
      <c r="J11" s="120">
        <f t="shared" si="0"/>
        <v>9.4754653130287733E-2</v>
      </c>
      <c r="M11" s="120"/>
      <c r="O11" s="120"/>
    </row>
    <row r="12" spans="1:15" x14ac:dyDescent="0.3">
      <c r="A12" s="49"/>
      <c r="B12" s="67"/>
      <c r="C12" s="378">
        <v>5000</v>
      </c>
      <c r="D12" s="521" t="s">
        <v>352</v>
      </c>
      <c r="E12" s="522">
        <f>Rates!$D$20+((C12/1000)*Rates!D$13)</f>
        <v>27.34</v>
      </c>
      <c r="F12" s="523">
        <f>Rates!$E$20+(C12/1000)*Rates!$E$13</f>
        <v>30.1</v>
      </c>
      <c r="G12" s="523">
        <f t="shared" ref="G12" si="2">F12-E12</f>
        <v>2.7600000000000016</v>
      </c>
      <c r="H12" s="524"/>
      <c r="I12" s="49"/>
      <c r="J12" s="120">
        <f t="shared" si="0"/>
        <v>0.10095098756400883</v>
      </c>
      <c r="M12" s="120"/>
      <c r="O12" s="120"/>
    </row>
    <row r="13" spans="1:15" x14ac:dyDescent="0.3">
      <c r="A13" s="49"/>
      <c r="B13" s="67"/>
      <c r="C13" s="185">
        <v>6000</v>
      </c>
      <c r="D13" s="297" t="s">
        <v>352</v>
      </c>
      <c r="E13" s="339">
        <f>Rates!$D$20+((C13/1000)*Rates!D$13)</f>
        <v>31.040000000000003</v>
      </c>
      <c r="F13" s="186">
        <f>Rates!$E$20+(C13/1000)*Rates!$E$13</f>
        <v>34.320000000000007</v>
      </c>
      <c r="G13" s="186">
        <f t="shared" si="1"/>
        <v>3.2800000000000047</v>
      </c>
      <c r="H13" s="298"/>
      <c r="I13" s="49"/>
      <c r="J13" s="120">
        <f t="shared" si="0"/>
        <v>0.10567010309278364</v>
      </c>
      <c r="M13" s="120"/>
      <c r="O13" s="120"/>
    </row>
    <row r="14" spans="1:15" x14ac:dyDescent="0.3">
      <c r="A14" s="49"/>
      <c r="B14" s="67"/>
      <c r="C14" s="80">
        <v>8000</v>
      </c>
      <c r="D14" s="296" t="s">
        <v>352</v>
      </c>
      <c r="E14" s="187">
        <f>Rates!$D$20+(C14/1000)*Rates!D$13</f>
        <v>38.44</v>
      </c>
      <c r="F14" s="135">
        <f>Rates!$E$20+(C14/1000)*Rates!$E$13</f>
        <v>42.760000000000005</v>
      </c>
      <c r="G14" s="135">
        <f t="shared" si="1"/>
        <v>4.3200000000000074</v>
      </c>
      <c r="H14" s="298"/>
      <c r="I14" s="49"/>
      <c r="J14" s="120">
        <f t="shared" si="0"/>
        <v>0.11238293444328844</v>
      </c>
      <c r="M14" s="120"/>
      <c r="O14" s="120"/>
    </row>
    <row r="15" spans="1:15" x14ac:dyDescent="0.3">
      <c r="A15" s="49"/>
      <c r="B15" s="67"/>
      <c r="C15" s="80">
        <v>10000</v>
      </c>
      <c r="D15" s="296" t="s">
        <v>352</v>
      </c>
      <c r="E15" s="187">
        <f>Rates!$D$20+(C15/1000)*Rates!D$13</f>
        <v>45.84</v>
      </c>
      <c r="F15" s="135">
        <f>Rates!$E$20+(C15/1000)*Rates!$E$13</f>
        <v>51.2</v>
      </c>
      <c r="G15" s="135">
        <f t="shared" si="1"/>
        <v>5.3599999999999994</v>
      </c>
      <c r="H15" s="298"/>
      <c r="I15" s="49"/>
      <c r="J15" s="120">
        <f t="shared" si="0"/>
        <v>0.11692844677137869</v>
      </c>
      <c r="M15" s="120"/>
      <c r="O15" s="120"/>
    </row>
    <row r="16" spans="1:15" x14ac:dyDescent="0.3">
      <c r="A16" s="49"/>
      <c r="B16" s="67"/>
      <c r="C16" s="80">
        <v>15000</v>
      </c>
      <c r="D16" s="296" t="s">
        <v>352</v>
      </c>
      <c r="E16" s="187">
        <f>Rates!$D$20+(C16/1000)*Rates!D$13</f>
        <v>64.34</v>
      </c>
      <c r="F16" s="135">
        <f>Rates!$E$20+(C16/1000)*Rates!$E$13</f>
        <v>72.300000000000011</v>
      </c>
      <c r="G16" s="135">
        <f t="shared" si="1"/>
        <v>7.960000000000008</v>
      </c>
      <c r="H16" s="298"/>
      <c r="I16" s="49"/>
      <c r="J16" s="120">
        <f t="shared" si="0"/>
        <v>0.12371774945601503</v>
      </c>
      <c r="M16" s="120"/>
      <c r="O16" s="120"/>
    </row>
    <row r="17" spans="1:15" x14ac:dyDescent="0.3">
      <c r="A17" s="49"/>
      <c r="B17" s="67"/>
      <c r="C17" s="80">
        <v>20000</v>
      </c>
      <c r="D17" s="296" t="s">
        <v>352</v>
      </c>
      <c r="E17" s="187">
        <f>Rates!$D$20+(C17/1000)*Rates!D$13</f>
        <v>82.84</v>
      </c>
      <c r="F17" s="135">
        <f>Rates!$E$20+(C17/1000)*Rates!$E$13</f>
        <v>93.4</v>
      </c>
      <c r="G17" s="135">
        <f t="shared" si="1"/>
        <v>10.560000000000002</v>
      </c>
      <c r="H17" s="298"/>
      <c r="I17" s="49"/>
      <c r="J17" s="120">
        <f t="shared" si="0"/>
        <v>0.12747464992757124</v>
      </c>
      <c r="M17" s="120"/>
      <c r="O17" s="120"/>
    </row>
    <row r="18" spans="1:15" x14ac:dyDescent="0.3">
      <c r="A18" s="49"/>
      <c r="B18" s="67"/>
      <c r="C18" s="80">
        <v>25000</v>
      </c>
      <c r="D18" s="286" t="s">
        <v>201</v>
      </c>
      <c r="E18" s="187">
        <f>Rates!$D$22+40*Rates!$D$13+((C18/1000)-40)*Rates!$D$14</f>
        <v>119.86000000000001</v>
      </c>
      <c r="F18" s="135">
        <f>Rates!$E$22+(40*Rates!$E$13)+((C18/1000)-40)*Rates!$E$14</f>
        <v>191.3</v>
      </c>
      <c r="G18" s="135">
        <f t="shared" si="1"/>
        <v>71.44</v>
      </c>
      <c r="H18" s="298"/>
      <c r="I18" s="49"/>
      <c r="J18" s="120">
        <f t="shared" si="0"/>
        <v>0.59602870015017517</v>
      </c>
      <c r="M18" s="120"/>
      <c r="O18" s="120"/>
    </row>
    <row r="19" spans="1:15" x14ac:dyDescent="0.3">
      <c r="A19" s="49"/>
      <c r="B19" s="67"/>
      <c r="C19" s="80">
        <v>30000</v>
      </c>
      <c r="D19" s="286" t="s">
        <v>201</v>
      </c>
      <c r="E19" s="187">
        <f>Rates!$D$22+40*Rates!$D$13+((C19/1000)-40)*Rates!$D$14</f>
        <v>136.61000000000001</v>
      </c>
      <c r="F19" s="135">
        <f>Rates!$E$22+(40*Rates!$E$13)+((C19/1000)-40)*Rates!$E$14</f>
        <v>191.3</v>
      </c>
      <c r="G19" s="135">
        <f t="shared" si="1"/>
        <v>54.69</v>
      </c>
      <c r="H19" s="298"/>
      <c r="I19" s="49"/>
      <c r="J19" s="120">
        <f t="shared" si="0"/>
        <v>0.40033672498352968</v>
      </c>
      <c r="M19" s="120"/>
      <c r="O19" s="120"/>
    </row>
    <row r="20" spans="1:15" x14ac:dyDescent="0.3">
      <c r="A20" s="49"/>
      <c r="B20" s="67"/>
      <c r="C20" s="80">
        <v>40000</v>
      </c>
      <c r="D20" s="286" t="s">
        <v>201</v>
      </c>
      <c r="E20" s="187">
        <f>Rates!$D$22+40*Rates!$D$13+((C20/1000)-40)*Rates!$D$14</f>
        <v>170.11</v>
      </c>
      <c r="F20" s="135">
        <f>Rates!$E$22+(40*Rates!$E$13)+((C20/1000)-40)*Rates!$E$14</f>
        <v>191.3</v>
      </c>
      <c r="G20" s="135">
        <f t="shared" si="1"/>
        <v>21.189999999999998</v>
      </c>
      <c r="H20" s="298"/>
      <c r="I20" s="49"/>
      <c r="J20" s="120">
        <f t="shared" si="0"/>
        <v>0.12456645699841278</v>
      </c>
      <c r="M20" s="120"/>
      <c r="O20" s="120"/>
    </row>
    <row r="21" spans="1:15" x14ac:dyDescent="0.3">
      <c r="A21" s="49"/>
      <c r="B21" s="67"/>
      <c r="C21" s="80">
        <v>50000</v>
      </c>
      <c r="D21" s="286" t="s">
        <v>201</v>
      </c>
      <c r="E21" s="187">
        <f>Rates!$D$22+40*Rates!$D$13+((C21/1000)-40)*Rates!$D$14</f>
        <v>203.61</v>
      </c>
      <c r="F21" s="135">
        <f>Rates!$E$22+(40*Rates!$E$13)+((C21/1000)-40)*Rates!$E$14</f>
        <v>191.3</v>
      </c>
      <c r="G21" s="135">
        <f t="shared" si="1"/>
        <v>-12.310000000000002</v>
      </c>
      <c r="H21" s="298"/>
      <c r="I21" s="49"/>
      <c r="J21" s="120">
        <f t="shared" si="0"/>
        <v>-6.045872010215609E-2</v>
      </c>
      <c r="M21" s="120"/>
      <c r="O21" s="120"/>
    </row>
    <row r="22" spans="1:15" x14ac:dyDescent="0.3">
      <c r="A22" s="49"/>
      <c r="B22" s="67"/>
      <c r="C22" s="80">
        <v>75000</v>
      </c>
      <c r="D22" s="286" t="s">
        <v>203</v>
      </c>
      <c r="E22" s="187">
        <f>Rates!$D$24+40*Rates!$D$13+((C22/1000)-40)*Rates!$D$14</f>
        <v>353.69</v>
      </c>
      <c r="F22" s="135">
        <f>Rates!$E$24+(40*Rates!$E$13)+((C22/1000)-40)*Rates!$E$14</f>
        <v>240.8</v>
      </c>
      <c r="G22" s="135">
        <f t="shared" si="1"/>
        <v>-112.88999999999999</v>
      </c>
      <c r="H22" s="298"/>
      <c r="I22" s="49"/>
      <c r="J22" s="120">
        <f t="shared" si="0"/>
        <v>-0.31917781107749721</v>
      </c>
      <c r="M22" s="120"/>
      <c r="O22" s="120"/>
    </row>
    <row r="23" spans="1:15" x14ac:dyDescent="0.3">
      <c r="A23" s="49"/>
      <c r="B23" s="67"/>
      <c r="C23" s="80">
        <v>100000</v>
      </c>
      <c r="D23" s="286" t="s">
        <v>203</v>
      </c>
      <c r="E23" s="187">
        <f>Rates!$D$24+40*Rates!$D$13+((C23/1000)-40)*Rates!$D$14</f>
        <v>437.44</v>
      </c>
      <c r="F23" s="135">
        <f>Rates!$E$24+(40*Rates!$E$13)+((C23/1000)-40)*Rates!$E$14</f>
        <v>240.8</v>
      </c>
      <c r="G23" s="135">
        <f t="shared" si="1"/>
        <v>-196.64</v>
      </c>
      <c r="H23" s="298"/>
      <c r="I23" s="49"/>
      <c r="J23" s="120">
        <f t="shared" si="0"/>
        <v>-0.44952450621799556</v>
      </c>
      <c r="M23" s="120"/>
      <c r="O23" s="120"/>
    </row>
    <row r="24" spans="1:15" x14ac:dyDescent="0.3">
      <c r="A24" s="49"/>
      <c r="B24" s="67"/>
      <c r="C24" s="80">
        <v>200000</v>
      </c>
      <c r="D24" s="286" t="s">
        <v>203</v>
      </c>
      <c r="E24" s="187">
        <f>Rates!$D$24+40*Rates!$D$13+((C24/1000)-40)*Rates!$D$14</f>
        <v>772.44</v>
      </c>
      <c r="F24" s="135">
        <f>Rates!$E$24+(40*Rates!$E$13)+((C24/1000)-40)*Rates!$E$14</f>
        <v>240.8</v>
      </c>
      <c r="G24" s="135">
        <f t="shared" si="1"/>
        <v>-531.6400000000001</v>
      </c>
      <c r="H24" s="298"/>
      <c r="I24" s="49"/>
      <c r="J24" s="120">
        <f t="shared" si="0"/>
        <v>-0.68826057687328479</v>
      </c>
      <c r="M24" s="120"/>
      <c r="O24" s="120"/>
    </row>
    <row r="25" spans="1:15" x14ac:dyDescent="0.3">
      <c r="A25" s="49"/>
      <c r="B25" s="67"/>
      <c r="C25" s="80">
        <v>500000</v>
      </c>
      <c r="D25" s="286" t="s">
        <v>203</v>
      </c>
      <c r="E25" s="187">
        <f>Rates!$D$24+40*Rates!$D$13+((C25/1000)-40)*Rates!$D$14</f>
        <v>1777.44</v>
      </c>
      <c r="F25" s="135">
        <f>Rates!$E$24+(40*Rates!$E$13)+((C25/1000)-40)*Rates!$E$14</f>
        <v>240.8</v>
      </c>
      <c r="G25" s="135">
        <f t="shared" si="1"/>
        <v>-1536.64</v>
      </c>
      <c r="H25" s="298"/>
      <c r="I25" s="49"/>
      <c r="J25" s="120">
        <f t="shared" si="0"/>
        <v>-0.86452425960932577</v>
      </c>
      <c r="M25" s="120"/>
      <c r="O25" s="120"/>
    </row>
    <row r="26" spans="1:15" ht="15.6" x14ac:dyDescent="0.3">
      <c r="A26" s="49"/>
      <c r="B26" s="188"/>
      <c r="C26" s="76"/>
      <c r="D26" s="11"/>
      <c r="E26" s="189"/>
      <c r="F26" s="79"/>
      <c r="G26" s="79"/>
      <c r="H26" s="299"/>
      <c r="I26" s="49"/>
      <c r="J26" s="49"/>
    </row>
    <row r="27" spans="1:15" x14ac:dyDescent="0.3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5" x14ac:dyDescent="0.3">
      <c r="A28" s="49"/>
      <c r="B28" s="49"/>
      <c r="C28" s="49"/>
      <c r="D28" s="192" t="s">
        <v>186</v>
      </c>
      <c r="E28" s="49"/>
      <c r="F28" s="49"/>
      <c r="G28" s="49"/>
      <c r="H28" s="49"/>
      <c r="I28" s="49"/>
      <c r="J28" s="49"/>
    </row>
  </sheetData>
  <mergeCells count="3">
    <mergeCell ref="C3:G3"/>
    <mergeCell ref="C4:G4"/>
    <mergeCell ref="C5:G5"/>
  </mergeCells>
  <printOptions horizontalCentered="1"/>
  <pageMargins left="0.95" right="0.7" top="1.2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G51"/>
  <sheetViews>
    <sheetView workbookViewId="0"/>
  </sheetViews>
  <sheetFormatPr defaultRowHeight="15" x14ac:dyDescent="0.25"/>
  <cols>
    <col min="1" max="1" width="22.1796875" bestFit="1" customWidth="1"/>
    <col min="2" max="2" width="28" bestFit="1" customWidth="1"/>
    <col min="3" max="3" width="1" customWidth="1"/>
    <col min="4" max="4" width="14.81640625" bestFit="1" customWidth="1"/>
    <col min="5" max="5" width="1.90625" bestFit="1" customWidth="1"/>
    <col min="6" max="6" width="10.1796875" bestFit="1" customWidth="1"/>
  </cols>
  <sheetData>
    <row r="2" spans="1:7" x14ac:dyDescent="0.25">
      <c r="A2" s="474" t="s">
        <v>466</v>
      </c>
      <c r="B2" s="475" t="s">
        <v>464</v>
      </c>
      <c r="C2" s="476"/>
      <c r="D2" s="480">
        <v>11789100</v>
      </c>
      <c r="E2" s="478" t="s">
        <v>80</v>
      </c>
      <c r="F2" s="481">
        <f>D2/D3</f>
        <v>1301.5124751600795</v>
      </c>
      <c r="G2" s="478" t="s">
        <v>483</v>
      </c>
    </row>
    <row r="3" spans="1:7" x14ac:dyDescent="0.25">
      <c r="A3" s="474" t="s">
        <v>467</v>
      </c>
      <c r="B3" s="476" t="s">
        <v>465</v>
      </c>
      <c r="C3" s="476"/>
      <c r="D3" s="477">
        <v>9058</v>
      </c>
      <c r="F3" s="481"/>
    </row>
    <row r="4" spans="1:7" ht="15" customHeight="1" x14ac:dyDescent="0.25">
      <c r="F4" s="481"/>
    </row>
    <row r="5" spans="1:7" ht="15" customHeight="1" x14ac:dyDescent="0.25">
      <c r="F5" s="481"/>
    </row>
    <row r="6" spans="1:7" ht="15" customHeight="1" x14ac:dyDescent="0.25">
      <c r="F6" s="481"/>
    </row>
    <row r="7" spans="1:7" ht="15" customHeight="1" x14ac:dyDescent="0.25">
      <c r="A7" s="474" t="s">
        <v>466</v>
      </c>
      <c r="B7" s="475" t="s">
        <v>464</v>
      </c>
      <c r="C7" s="476"/>
      <c r="D7" s="480">
        <v>11789100</v>
      </c>
      <c r="E7" s="478" t="s">
        <v>80</v>
      </c>
      <c r="F7" s="482">
        <f>D7/D8</f>
        <v>9.1150955650398959</v>
      </c>
      <c r="G7" s="478" t="s">
        <v>336</v>
      </c>
    </row>
    <row r="8" spans="1:7" ht="15" customHeight="1" x14ac:dyDescent="0.25">
      <c r="A8" s="474" t="s">
        <v>468</v>
      </c>
      <c r="B8" s="479" t="s">
        <v>484</v>
      </c>
      <c r="C8" s="476"/>
      <c r="D8" s="477">
        <v>1293360</v>
      </c>
    </row>
    <row r="9" spans="1:7" ht="15" customHeight="1" x14ac:dyDescent="0.25"/>
    <row r="10" spans="1:7" ht="15" customHeight="1" x14ac:dyDescent="0.25"/>
    <row r="11" spans="1:7" ht="15" customHeight="1" x14ac:dyDescent="0.25"/>
    <row r="12" spans="1:7" ht="15" customHeight="1" x14ac:dyDescent="0.25"/>
    <row r="13" spans="1:7" ht="15" customHeight="1" x14ac:dyDescent="0.25"/>
    <row r="14" spans="1:7" ht="15" customHeight="1" x14ac:dyDescent="0.25"/>
    <row r="15" spans="1:7" ht="15" customHeight="1" x14ac:dyDescent="0.25"/>
    <row r="16" spans="1:7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</sheetData>
  <pageMargins left="0.7" right="0.7" top="0.75" bottom="0.75" header="0.3" footer="0.3"/>
  <pageSetup scale="7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07592-0E58-47D8-97DA-ACE3735CD9A4}">
  <sheetPr>
    <pageSetUpPr fitToPage="1"/>
  </sheetPr>
  <dimension ref="B1:H21"/>
  <sheetViews>
    <sheetView workbookViewId="0">
      <selection activeCell="F23" sqref="F23"/>
    </sheetView>
  </sheetViews>
  <sheetFormatPr defaultRowHeight="15" x14ac:dyDescent="0.25"/>
  <cols>
    <col min="3" max="3" width="31.1796875" customWidth="1"/>
    <col min="4" max="4" width="11.453125" customWidth="1"/>
    <col min="5" max="5" width="12.36328125" bestFit="1" customWidth="1"/>
    <col min="6" max="6" width="13.81640625" customWidth="1"/>
    <col min="7" max="7" width="1.54296875" customWidth="1"/>
  </cols>
  <sheetData>
    <row r="1" spans="2:8" ht="15.6" x14ac:dyDescent="0.3">
      <c r="B1" s="20"/>
      <c r="C1" s="21"/>
      <c r="D1" s="21"/>
      <c r="E1" s="21"/>
      <c r="F1" s="21"/>
      <c r="G1" s="21"/>
      <c r="H1" s="22"/>
    </row>
    <row r="2" spans="2:8" ht="18" x14ac:dyDescent="0.35">
      <c r="B2" s="23"/>
      <c r="C2" s="620"/>
      <c r="D2" s="620"/>
      <c r="E2" s="620"/>
      <c r="F2" s="620"/>
      <c r="G2" s="620"/>
      <c r="H2" s="345"/>
    </row>
    <row r="3" spans="2:8" ht="18" x14ac:dyDescent="0.35">
      <c r="B3" s="23"/>
      <c r="C3" s="627" t="s">
        <v>469</v>
      </c>
      <c r="D3" s="627"/>
      <c r="E3" s="627"/>
      <c r="F3" s="627"/>
      <c r="G3" s="627"/>
      <c r="H3" s="33"/>
    </row>
    <row r="4" spans="2:8" ht="15.6" x14ac:dyDescent="0.3">
      <c r="B4" s="23"/>
      <c r="C4" s="621" t="s">
        <v>331</v>
      </c>
      <c r="D4" s="621"/>
      <c r="E4" s="621"/>
      <c r="F4" s="621"/>
      <c r="G4" s="621"/>
      <c r="H4" s="220"/>
    </row>
    <row r="5" spans="2:8" ht="15.6" x14ac:dyDescent="0.3">
      <c r="B5" s="27"/>
      <c r="C5" s="349"/>
      <c r="D5" s="349"/>
      <c r="E5" s="349"/>
      <c r="F5" s="349"/>
      <c r="G5" s="349"/>
      <c r="H5" s="351"/>
    </row>
    <row r="6" spans="2:8" ht="18" x14ac:dyDescent="0.3">
      <c r="B6" s="23"/>
      <c r="C6" s="16"/>
      <c r="D6" s="16"/>
      <c r="E6" s="16"/>
      <c r="F6" s="16"/>
      <c r="G6" s="16"/>
      <c r="H6" s="5"/>
    </row>
    <row r="7" spans="2:8" ht="18" x14ac:dyDescent="0.3">
      <c r="B7" s="23"/>
      <c r="C7" s="483">
        <v>2022</v>
      </c>
      <c r="D7" s="444"/>
      <c r="E7" s="16"/>
      <c r="F7" s="16"/>
      <c r="G7" s="16"/>
      <c r="H7" s="5"/>
    </row>
    <row r="8" spans="2:8" ht="15.6" x14ac:dyDescent="0.3">
      <c r="B8" s="23"/>
      <c r="C8" s="15"/>
      <c r="D8" s="37"/>
      <c r="E8" s="37"/>
      <c r="F8" s="37"/>
      <c r="G8" s="37"/>
      <c r="H8" s="38"/>
    </row>
    <row r="9" spans="2:8" ht="46.95" customHeight="1" x14ac:dyDescent="0.45">
      <c r="B9" s="23"/>
      <c r="C9" s="581" t="s">
        <v>470</v>
      </c>
      <c r="D9" s="582" t="s">
        <v>594</v>
      </c>
      <c r="E9" s="581" t="s">
        <v>471</v>
      </c>
      <c r="F9" s="582" t="s">
        <v>595</v>
      </c>
      <c r="G9" s="37"/>
      <c r="H9" s="38"/>
    </row>
    <row r="10" spans="2:8" ht="17.399999999999999" x14ac:dyDescent="0.45">
      <c r="B10" s="23">
        <v>1</v>
      </c>
      <c r="C10" s="515" t="s">
        <v>499</v>
      </c>
      <c r="D10" s="516">
        <v>169230300</v>
      </c>
      <c r="E10" s="517">
        <v>568458.13</v>
      </c>
      <c r="F10" s="516">
        <f>D10/12</f>
        <v>14102525</v>
      </c>
      <c r="G10" s="40"/>
      <c r="H10" s="41"/>
    </row>
    <row r="11" spans="2:8" ht="15.6" x14ac:dyDescent="0.3">
      <c r="B11" s="23">
        <v>2</v>
      </c>
      <c r="C11" s="515" t="s">
        <v>500</v>
      </c>
      <c r="D11" s="518">
        <v>53960400</v>
      </c>
      <c r="E11" s="517">
        <v>252949.79</v>
      </c>
      <c r="F11" s="518">
        <f t="shared" ref="F11:F18" si="0">D11/12</f>
        <v>4496700</v>
      </c>
      <c r="G11" s="15"/>
      <c r="H11" s="24"/>
    </row>
    <row r="12" spans="2:8" ht="15.6" x14ac:dyDescent="0.3">
      <c r="B12" s="23">
        <v>3</v>
      </c>
      <c r="C12" s="515" t="s">
        <v>501</v>
      </c>
      <c r="D12" s="519">
        <v>8336000</v>
      </c>
      <c r="E12" s="517">
        <v>39718</v>
      </c>
      <c r="F12" s="519">
        <f t="shared" si="0"/>
        <v>694666.66666666663</v>
      </c>
      <c r="G12" s="26"/>
      <c r="H12" s="42"/>
    </row>
    <row r="13" spans="2:8" ht="15.6" x14ac:dyDescent="0.3">
      <c r="B13" s="23">
        <v>4</v>
      </c>
      <c r="C13" s="515" t="s">
        <v>502</v>
      </c>
      <c r="D13" s="519">
        <v>5966500</v>
      </c>
      <c r="E13" s="517">
        <v>21692.41</v>
      </c>
      <c r="F13" s="519">
        <f t="shared" si="0"/>
        <v>497208.33333333331</v>
      </c>
      <c r="G13" s="15"/>
      <c r="H13" s="24"/>
    </row>
    <row r="14" spans="2:8" ht="15.6" x14ac:dyDescent="0.3">
      <c r="B14" s="23">
        <v>5</v>
      </c>
      <c r="C14" s="515" t="s">
        <v>503</v>
      </c>
      <c r="D14" s="519">
        <v>5931100</v>
      </c>
      <c r="E14" s="517">
        <v>22266.3</v>
      </c>
      <c r="F14" s="519">
        <f t="shared" si="0"/>
        <v>494258.33333333331</v>
      </c>
      <c r="G14" s="43"/>
      <c r="H14" s="44"/>
    </row>
    <row r="15" spans="2:8" ht="15.6" x14ac:dyDescent="0.3">
      <c r="B15" s="23">
        <v>6</v>
      </c>
      <c r="C15" s="515" t="s">
        <v>504</v>
      </c>
      <c r="D15" s="519">
        <v>5722300</v>
      </c>
      <c r="E15" s="517">
        <v>22006.010000000002</v>
      </c>
      <c r="F15" s="519">
        <f t="shared" si="0"/>
        <v>476858.33333333331</v>
      </c>
      <c r="G15" s="15"/>
      <c r="H15" s="24"/>
    </row>
    <row r="16" spans="2:8" ht="15.6" x14ac:dyDescent="0.3">
      <c r="B16" s="23">
        <v>7</v>
      </c>
      <c r="C16" s="515" t="s">
        <v>505</v>
      </c>
      <c r="D16" s="519">
        <v>4591000</v>
      </c>
      <c r="E16" s="517">
        <v>17190.55</v>
      </c>
      <c r="F16" s="519">
        <f t="shared" si="0"/>
        <v>382583.33333333331</v>
      </c>
      <c r="G16" s="26"/>
      <c r="H16" s="42"/>
    </row>
    <row r="17" spans="2:8" ht="15.6" x14ac:dyDescent="0.3">
      <c r="B17" s="23">
        <v>8</v>
      </c>
      <c r="C17" s="515" t="s">
        <v>506</v>
      </c>
      <c r="D17" s="519">
        <v>4357800</v>
      </c>
      <c r="E17" s="517">
        <v>18787.97</v>
      </c>
      <c r="F17" s="519">
        <f t="shared" si="0"/>
        <v>363150</v>
      </c>
      <c r="G17" s="26"/>
      <c r="H17" s="42"/>
    </row>
    <row r="18" spans="2:8" ht="15.6" x14ac:dyDescent="0.3">
      <c r="B18" s="23">
        <v>9</v>
      </c>
      <c r="C18" s="515" t="s">
        <v>507</v>
      </c>
      <c r="D18" s="519">
        <v>4057000</v>
      </c>
      <c r="E18" s="517">
        <v>14391.02</v>
      </c>
      <c r="F18" s="519">
        <f t="shared" si="0"/>
        <v>338083.33333333331</v>
      </c>
      <c r="G18" s="15"/>
      <c r="H18" s="24"/>
    </row>
    <row r="19" spans="2:8" ht="15.6" x14ac:dyDescent="0.3">
      <c r="B19" s="23">
        <v>10</v>
      </c>
      <c r="C19" s="515" t="s">
        <v>593</v>
      </c>
      <c r="D19" s="519">
        <v>3917500</v>
      </c>
      <c r="E19" s="517">
        <v>14435.12</v>
      </c>
      <c r="F19" s="519">
        <f>D19/5.5</f>
        <v>712272.72727272729</v>
      </c>
      <c r="G19" s="15" t="s">
        <v>414</v>
      </c>
      <c r="H19" s="24"/>
    </row>
    <row r="20" spans="2:8" ht="17.399999999999999" x14ac:dyDescent="0.45">
      <c r="B20" s="23"/>
      <c r="C20" s="15"/>
      <c r="D20" s="25"/>
      <c r="E20" s="25"/>
      <c r="F20" s="25"/>
      <c r="G20" s="25"/>
      <c r="H20" s="24"/>
    </row>
    <row r="21" spans="2:8" ht="15.6" x14ac:dyDescent="0.3">
      <c r="B21" s="27" t="s">
        <v>596</v>
      </c>
      <c r="C21" s="14"/>
      <c r="D21" s="14"/>
      <c r="E21" s="484"/>
      <c r="F21" s="484"/>
      <c r="G21" s="484"/>
      <c r="H21" s="485"/>
    </row>
  </sheetData>
  <mergeCells count="3">
    <mergeCell ref="C2:G2"/>
    <mergeCell ref="C3:G3"/>
    <mergeCell ref="C4:G4"/>
  </mergeCells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C8638-C40C-4EEB-A322-A83358B22788}">
  <sheetPr>
    <pageSetUpPr fitToPage="1"/>
  </sheetPr>
  <dimension ref="A1:K51"/>
  <sheetViews>
    <sheetView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L45" sqref="L45"/>
    </sheetView>
  </sheetViews>
  <sheetFormatPr defaultColWidth="7.453125" defaultRowHeight="14.4" x14ac:dyDescent="0.3"/>
  <cols>
    <col min="1" max="1" width="10.54296875" style="449" customWidth="1"/>
    <col min="2" max="2" width="7.08984375" style="449" bestFit="1" customWidth="1"/>
    <col min="3" max="3" width="9.1796875" style="449" customWidth="1"/>
    <col min="4" max="4" width="7.08984375" style="449" customWidth="1"/>
    <col min="5" max="5" width="6.08984375" style="449" customWidth="1"/>
    <col min="6" max="6" width="5.81640625" style="449" customWidth="1"/>
    <col min="7" max="7" width="11.54296875" style="449" customWidth="1"/>
    <col min="8" max="8" width="10.36328125" style="449" customWidth="1"/>
    <col min="9" max="9" width="10.6328125" style="449" customWidth="1"/>
    <col min="10" max="10" width="10.36328125" style="449" customWidth="1"/>
    <col min="11" max="11" width="12.81640625" style="449" customWidth="1"/>
    <col min="12" max="16384" width="7.453125" style="449"/>
  </cols>
  <sheetData>
    <row r="1" spans="1:11" x14ac:dyDescent="0.3">
      <c r="A1" s="490" t="s">
        <v>246</v>
      </c>
      <c r="C1" s="500" t="s">
        <v>482</v>
      </c>
      <c r="D1" s="501"/>
      <c r="J1" s="456"/>
    </row>
    <row r="2" spans="1:11" x14ac:dyDescent="0.3">
      <c r="C2" s="499" t="s">
        <v>481</v>
      </c>
      <c r="D2" s="498"/>
      <c r="G2" s="459">
        <v>8.6999999999999994E-2</v>
      </c>
      <c r="I2" s="456"/>
      <c r="J2" s="493"/>
    </row>
    <row r="3" spans="1:11" ht="58.2" x14ac:dyDescent="0.3">
      <c r="A3" s="448" t="s">
        <v>610</v>
      </c>
      <c r="B3" s="448" t="s">
        <v>429</v>
      </c>
      <c r="C3" s="448" t="s">
        <v>435</v>
      </c>
      <c r="D3" s="448" t="s">
        <v>431</v>
      </c>
      <c r="E3" s="448" t="s">
        <v>432</v>
      </c>
      <c r="F3" s="448" t="s">
        <v>433</v>
      </c>
      <c r="G3" s="448" t="s">
        <v>434</v>
      </c>
      <c r="H3" s="448" t="s">
        <v>436</v>
      </c>
      <c r="I3" s="448" t="s">
        <v>437</v>
      </c>
      <c r="J3" s="448" t="s">
        <v>439</v>
      </c>
      <c r="K3" s="448" t="s">
        <v>438</v>
      </c>
    </row>
    <row r="4" spans="1:11" x14ac:dyDescent="0.3">
      <c r="A4" s="585" t="s">
        <v>601</v>
      </c>
      <c r="B4" s="450">
        <v>37011</v>
      </c>
      <c r="C4" s="492">
        <v>45046</v>
      </c>
      <c r="D4" s="451" t="s">
        <v>430</v>
      </c>
      <c r="E4" s="455">
        <v>2080</v>
      </c>
      <c r="F4" s="458">
        <f>46.25*2</f>
        <v>92.5</v>
      </c>
      <c r="G4" s="452">
        <v>37.658799999999999</v>
      </c>
      <c r="H4" s="457">
        <f>G4*E4</f>
        <v>78330.304000000004</v>
      </c>
      <c r="I4" s="453">
        <f>(G4*1.5)*F4</f>
        <v>5225.1584999999995</v>
      </c>
      <c r="J4" s="525">
        <f>1385.79+3429.83</f>
        <v>4815.62</v>
      </c>
      <c r="K4" s="453">
        <f>SUM(H4:J4)</f>
        <v>88371.082500000004</v>
      </c>
    </row>
    <row r="5" spans="1:11" x14ac:dyDescent="0.3">
      <c r="A5" s="585" t="s">
        <v>605</v>
      </c>
      <c r="B5" s="450">
        <v>37826</v>
      </c>
      <c r="C5" s="492">
        <v>45131</v>
      </c>
      <c r="D5" s="451" t="s">
        <v>430</v>
      </c>
      <c r="E5" s="455">
        <v>2080</v>
      </c>
      <c r="F5" s="458">
        <f>20.75*2</f>
        <v>41.5</v>
      </c>
      <c r="G5" s="452">
        <f>29.7976*(1+$G$2)</f>
        <v>32.389991199999997</v>
      </c>
      <c r="H5" s="457">
        <f>G5*E5</f>
        <v>67371.181696</v>
      </c>
      <c r="I5" s="453">
        <f>(G5*1.5)*F5</f>
        <v>2016.2769521999999</v>
      </c>
      <c r="J5" s="525">
        <v>446.96</v>
      </c>
      <c r="K5" s="453">
        <f t="shared" ref="K5:K26" si="0">SUM(H5:J5)</f>
        <v>69834.418648200008</v>
      </c>
    </row>
    <row r="6" spans="1:11" x14ac:dyDescent="0.3">
      <c r="A6" s="585" t="s">
        <v>612</v>
      </c>
      <c r="B6" s="450">
        <v>37466</v>
      </c>
      <c r="C6" s="492">
        <v>45136</v>
      </c>
      <c r="D6" s="451" t="s">
        <v>430</v>
      </c>
      <c r="E6" s="455">
        <v>2080</v>
      </c>
      <c r="F6" s="458">
        <f>0.25*2</f>
        <v>0.5</v>
      </c>
      <c r="G6" s="452">
        <v>32.0075</v>
      </c>
      <c r="H6" s="457">
        <f>G6*E6</f>
        <v>66575.600000000006</v>
      </c>
      <c r="I6" s="453">
        <f>(G6*1.5)*F6</f>
        <v>24.005625000000002</v>
      </c>
      <c r="J6" s="525">
        <v>2013.23</v>
      </c>
      <c r="K6" s="453">
        <f t="shared" si="0"/>
        <v>68612.835625000007</v>
      </c>
    </row>
    <row r="7" spans="1:11" x14ac:dyDescent="0.3">
      <c r="A7" s="585" t="s">
        <v>615</v>
      </c>
      <c r="B7" s="450">
        <v>37935</v>
      </c>
      <c r="C7" s="450">
        <v>45240</v>
      </c>
      <c r="D7" s="451" t="s">
        <v>430</v>
      </c>
      <c r="E7" s="455">
        <v>2080</v>
      </c>
      <c r="F7" s="458">
        <f>8.5*2</f>
        <v>17</v>
      </c>
      <c r="G7" s="491">
        <f>35.061*(1+$G$2)</f>
        <v>38.111306999999996</v>
      </c>
      <c r="H7" s="457">
        <f>G7*E7</f>
        <v>79271.518559999997</v>
      </c>
      <c r="I7" s="453">
        <f>(G7*1.5)*F7</f>
        <v>971.83832849999988</v>
      </c>
      <c r="J7" s="453"/>
      <c r="K7" s="453">
        <f t="shared" si="0"/>
        <v>80243.356888499999</v>
      </c>
    </row>
    <row r="8" spans="1:11" x14ac:dyDescent="0.3">
      <c r="A8" s="585" t="s">
        <v>618</v>
      </c>
      <c r="B8" s="450">
        <v>36055</v>
      </c>
      <c r="C8" s="450">
        <v>45186</v>
      </c>
      <c r="D8" s="451" t="s">
        <v>430</v>
      </c>
      <c r="E8" s="455">
        <v>2080</v>
      </c>
      <c r="F8" s="458">
        <f>33*2</f>
        <v>66</v>
      </c>
      <c r="G8" s="491">
        <f>44.5144*(1+$G$2)</f>
        <v>48.387152800000003</v>
      </c>
      <c r="H8" s="457">
        <f>G8*E8</f>
        <v>100645.277824</v>
      </c>
      <c r="I8" s="453">
        <f>(G8*1.5)*F8</f>
        <v>4790.3281272000004</v>
      </c>
      <c r="J8" s="526">
        <f>(541-480)*G8</f>
        <v>2951.6163208000003</v>
      </c>
      <c r="K8" s="453">
        <f t="shared" si="0"/>
        <v>108387.22227200001</v>
      </c>
    </row>
    <row r="9" spans="1:11" x14ac:dyDescent="0.3">
      <c r="A9" s="585" t="s">
        <v>621</v>
      </c>
      <c r="B9" s="450">
        <v>39027</v>
      </c>
      <c r="C9" s="450">
        <v>45236</v>
      </c>
      <c r="D9" s="451" t="s">
        <v>183</v>
      </c>
      <c r="E9" s="455" t="s">
        <v>233</v>
      </c>
      <c r="F9" s="458"/>
      <c r="G9" s="491">
        <f>H9/2080</f>
        <v>88.548692307692306</v>
      </c>
      <c r="H9" s="454">
        <f>169440*(1+$G$2)</f>
        <v>184181.28</v>
      </c>
      <c r="I9" s="453"/>
      <c r="J9" s="526">
        <f>((541-480))*G9</f>
        <v>5401.4702307692305</v>
      </c>
      <c r="K9" s="453">
        <f t="shared" si="0"/>
        <v>189582.75023076922</v>
      </c>
    </row>
    <row r="10" spans="1:11" x14ac:dyDescent="0.3">
      <c r="A10" s="585" t="s">
        <v>606</v>
      </c>
      <c r="B10" s="450">
        <v>40990</v>
      </c>
      <c r="C10" s="492">
        <v>45007</v>
      </c>
      <c r="D10" s="451" t="s">
        <v>430</v>
      </c>
      <c r="E10" s="455">
        <v>2080</v>
      </c>
      <c r="F10" s="458">
        <f>55.75*2</f>
        <v>111.5</v>
      </c>
      <c r="G10" s="452">
        <v>43.508299999999998</v>
      </c>
      <c r="H10" s="457">
        <f>G10*E10</f>
        <v>90497.263999999996</v>
      </c>
      <c r="I10" s="453">
        <f>(G10*1.5)*F10</f>
        <v>7276.763175</v>
      </c>
      <c r="J10" s="525">
        <v>674.24</v>
      </c>
      <c r="K10" s="453">
        <f t="shared" si="0"/>
        <v>98448.267175000001</v>
      </c>
    </row>
    <row r="11" spans="1:11" x14ac:dyDescent="0.3">
      <c r="A11" s="585" t="s">
        <v>623</v>
      </c>
      <c r="B11" s="450">
        <v>41211</v>
      </c>
      <c r="C11" s="450">
        <v>45228</v>
      </c>
      <c r="D11" s="451" t="s">
        <v>430</v>
      </c>
      <c r="E11" s="455">
        <v>2080</v>
      </c>
      <c r="F11" s="458">
        <f>2.25*2</f>
        <v>4.5</v>
      </c>
      <c r="G11" s="491">
        <f>25.8235*(1+$G$2)</f>
        <v>28.070144499999998</v>
      </c>
      <c r="H11" s="457">
        <f>G11*E11</f>
        <v>58385.900559999995</v>
      </c>
      <c r="I11" s="453">
        <f>(G11*1.5)*F11</f>
        <v>189.47347537499999</v>
      </c>
      <c r="J11" s="453"/>
      <c r="K11" s="453">
        <f t="shared" si="0"/>
        <v>58575.374035374996</v>
      </c>
    </row>
    <row r="12" spans="1:11" x14ac:dyDescent="0.3">
      <c r="A12" s="585" t="s">
        <v>619</v>
      </c>
      <c r="B12" s="450">
        <v>42562</v>
      </c>
      <c r="C12" s="450">
        <v>45189</v>
      </c>
      <c r="D12" s="451" t="s">
        <v>430</v>
      </c>
      <c r="E12" s="455">
        <v>2080</v>
      </c>
      <c r="F12" s="458">
        <f>39*2</f>
        <v>78</v>
      </c>
      <c r="G12" s="491">
        <f>31.6893*(1+$G$2)</f>
        <v>34.446269099999995</v>
      </c>
      <c r="H12" s="457">
        <f>G12*E12</f>
        <v>71648.239727999986</v>
      </c>
      <c r="I12" s="453">
        <f>(G12*1.5)*F12</f>
        <v>4030.2134846999993</v>
      </c>
      <c r="J12" s="453"/>
      <c r="K12" s="453">
        <f t="shared" si="0"/>
        <v>75678.453212699984</v>
      </c>
    </row>
    <row r="13" spans="1:11" x14ac:dyDescent="0.3">
      <c r="A13" s="585" t="s">
        <v>620</v>
      </c>
      <c r="B13" s="450">
        <v>42564</v>
      </c>
      <c r="C13" s="492">
        <v>45120</v>
      </c>
      <c r="D13" s="451" t="s">
        <v>430</v>
      </c>
      <c r="E13" s="455">
        <v>2080</v>
      </c>
      <c r="F13" s="458">
        <f>26.5*2</f>
        <v>53</v>
      </c>
      <c r="G13" s="452">
        <v>42.764699999999998</v>
      </c>
      <c r="H13" s="457">
        <f>G13*E13</f>
        <v>88950.576000000001</v>
      </c>
      <c r="I13" s="453">
        <f>(G13*1.5)*F13</f>
        <v>3399.7936499999996</v>
      </c>
      <c r="J13" s="525">
        <v>3742.39</v>
      </c>
      <c r="K13" s="453">
        <f t="shared" si="0"/>
        <v>96092.759650000007</v>
      </c>
    </row>
    <row r="14" spans="1:11" x14ac:dyDescent="0.3">
      <c r="A14" s="598" t="s">
        <v>614</v>
      </c>
      <c r="B14" s="450">
        <v>42604</v>
      </c>
      <c r="C14" s="450">
        <v>45160</v>
      </c>
      <c r="D14" s="451" t="s">
        <v>183</v>
      </c>
      <c r="E14" s="455" t="s">
        <v>233</v>
      </c>
      <c r="F14" s="458"/>
      <c r="G14" s="491">
        <f>H14/2080</f>
        <v>58.883641831730763</v>
      </c>
      <c r="H14" s="454">
        <f>112675.23*(1+$G$2)</f>
        <v>122477.97500999999</v>
      </c>
      <c r="I14" s="453"/>
      <c r="J14" s="526">
        <f>(568-480)*G14</f>
        <v>5181.7604811923075</v>
      </c>
      <c r="K14" s="453">
        <f t="shared" si="0"/>
        <v>127659.7354911923</v>
      </c>
    </row>
    <row r="15" spans="1:11" x14ac:dyDescent="0.3">
      <c r="A15" s="585" t="s">
        <v>613</v>
      </c>
      <c r="B15" s="450">
        <v>42793</v>
      </c>
      <c r="C15" s="492">
        <v>45078</v>
      </c>
      <c r="D15" s="451" t="s">
        <v>183</v>
      </c>
      <c r="E15" s="455" t="s">
        <v>233</v>
      </c>
      <c r="F15" s="458"/>
      <c r="G15" s="452">
        <f>H15/2080</f>
        <v>59.967057692307691</v>
      </c>
      <c r="H15" s="454">
        <v>124731.48</v>
      </c>
      <c r="I15" s="453"/>
      <c r="J15" s="525">
        <v>5281.65</v>
      </c>
      <c r="K15" s="453">
        <f t="shared" si="0"/>
        <v>130013.12999999999</v>
      </c>
    </row>
    <row r="16" spans="1:11" x14ac:dyDescent="0.3">
      <c r="A16" s="585" t="s">
        <v>616</v>
      </c>
      <c r="B16" s="450">
        <v>43164</v>
      </c>
      <c r="C16" s="492">
        <v>44990</v>
      </c>
      <c r="D16" s="451" t="s">
        <v>430</v>
      </c>
      <c r="E16" s="455">
        <v>2080</v>
      </c>
      <c r="F16" s="458">
        <f>2*2</f>
        <v>4</v>
      </c>
      <c r="G16" s="452">
        <v>21.725100000000001</v>
      </c>
      <c r="H16" s="457">
        <f t="shared" ref="H16:H25" si="1">G16*E16</f>
        <v>45188.208000000006</v>
      </c>
      <c r="I16" s="453">
        <f t="shared" ref="I16:I25" si="2">(G16*1.5)*F16</f>
        <v>130.35060000000001</v>
      </c>
      <c r="J16" s="453"/>
      <c r="K16" s="453">
        <f t="shared" si="0"/>
        <v>45318.558600000004</v>
      </c>
    </row>
    <row r="17" spans="1:11" x14ac:dyDescent="0.3">
      <c r="A17" s="585" t="s">
        <v>603</v>
      </c>
      <c r="B17" s="450">
        <v>43397</v>
      </c>
      <c r="C17" s="450">
        <v>45223</v>
      </c>
      <c r="D17" s="451" t="s">
        <v>430</v>
      </c>
      <c r="E17" s="455">
        <v>2080</v>
      </c>
      <c r="F17" s="458">
        <f>110.5*2</f>
        <v>221</v>
      </c>
      <c r="G17" s="491">
        <f>24.855*(1+$G$2)</f>
        <v>27.017385000000001</v>
      </c>
      <c r="H17" s="457">
        <f t="shared" si="1"/>
        <v>56196.160800000005</v>
      </c>
      <c r="I17" s="453">
        <f t="shared" si="2"/>
        <v>8956.2631275000003</v>
      </c>
      <c r="J17" s="453"/>
      <c r="K17" s="453">
        <f t="shared" si="0"/>
        <v>65152.423927500007</v>
      </c>
    </row>
    <row r="18" spans="1:11" x14ac:dyDescent="0.3">
      <c r="A18" s="585" t="s">
        <v>608</v>
      </c>
      <c r="B18" s="450">
        <v>43465</v>
      </c>
      <c r="C18" s="450">
        <v>45291</v>
      </c>
      <c r="D18" s="451" t="s">
        <v>430</v>
      </c>
      <c r="E18" s="455">
        <v>2080</v>
      </c>
      <c r="F18" s="458">
        <f>12*2</f>
        <v>24</v>
      </c>
      <c r="G18" s="491">
        <f>36.9705*(1+$G$2)</f>
        <v>40.186933500000002</v>
      </c>
      <c r="H18" s="457">
        <f t="shared" si="1"/>
        <v>83588.821680000008</v>
      </c>
      <c r="I18" s="453">
        <f t="shared" si="2"/>
        <v>1446.7296059999999</v>
      </c>
      <c r="J18" s="453"/>
      <c r="K18" s="453">
        <f t="shared" si="0"/>
        <v>85035.551286000002</v>
      </c>
    </row>
    <row r="19" spans="1:11" x14ac:dyDescent="0.3">
      <c r="A19" s="598" t="s">
        <v>602</v>
      </c>
      <c r="B19" s="450">
        <v>43682</v>
      </c>
      <c r="C19" s="492">
        <v>45143</v>
      </c>
      <c r="D19" s="451" t="s">
        <v>430</v>
      </c>
      <c r="E19" s="455">
        <v>2080</v>
      </c>
      <c r="F19" s="458">
        <f>55.25*2</f>
        <v>110.5</v>
      </c>
      <c r="G19" s="452">
        <v>24.91</v>
      </c>
      <c r="H19" s="457">
        <f t="shared" si="1"/>
        <v>51812.800000000003</v>
      </c>
      <c r="I19" s="453">
        <f t="shared" si="2"/>
        <v>4128.8325000000004</v>
      </c>
      <c r="J19" s="453"/>
      <c r="K19" s="453">
        <f t="shared" si="0"/>
        <v>55941.632500000007</v>
      </c>
    </row>
    <row r="20" spans="1:11" x14ac:dyDescent="0.3">
      <c r="A20" s="585" t="s">
        <v>617</v>
      </c>
      <c r="B20" s="450">
        <v>43788</v>
      </c>
      <c r="C20" s="450">
        <v>45249</v>
      </c>
      <c r="D20" s="451" t="s">
        <v>430</v>
      </c>
      <c r="E20" s="455">
        <f>52*12</f>
        <v>624</v>
      </c>
      <c r="F20" s="458"/>
      <c r="G20" s="491">
        <f>25.43*(1+$G$2)</f>
        <v>27.642409999999998</v>
      </c>
      <c r="H20" s="457">
        <f t="shared" si="1"/>
        <v>17248.863839999998</v>
      </c>
      <c r="I20" s="453">
        <f t="shared" si="2"/>
        <v>0</v>
      </c>
      <c r="J20" s="453"/>
      <c r="K20" s="453">
        <f t="shared" si="0"/>
        <v>17248.863839999998</v>
      </c>
    </row>
    <row r="21" spans="1:11" x14ac:dyDescent="0.3">
      <c r="A21" s="585" t="s">
        <v>611</v>
      </c>
      <c r="B21" s="450">
        <v>44270</v>
      </c>
      <c r="C21" s="492">
        <v>45035</v>
      </c>
      <c r="D21" s="451" t="s">
        <v>430</v>
      </c>
      <c r="E21" s="455">
        <v>2080</v>
      </c>
      <c r="F21" s="458">
        <f>103*2</f>
        <v>206</v>
      </c>
      <c r="G21" s="452">
        <v>23.023700000000002</v>
      </c>
      <c r="H21" s="457">
        <f t="shared" si="1"/>
        <v>47889.296000000002</v>
      </c>
      <c r="I21" s="453">
        <f t="shared" si="2"/>
        <v>7114.3233</v>
      </c>
      <c r="J21" s="453"/>
      <c r="K21" s="453">
        <f t="shared" si="0"/>
        <v>55003.619300000006</v>
      </c>
    </row>
    <row r="22" spans="1:11" x14ac:dyDescent="0.3">
      <c r="A22" s="585" t="s">
        <v>607</v>
      </c>
      <c r="B22" s="450">
        <v>44651</v>
      </c>
      <c r="C22" s="492">
        <v>45016</v>
      </c>
      <c r="D22" s="451" t="s">
        <v>430</v>
      </c>
      <c r="E22" s="455">
        <v>2080</v>
      </c>
      <c r="F22" s="458">
        <f>12.25*2</f>
        <v>24.5</v>
      </c>
      <c r="G22" s="452">
        <v>24.6966</v>
      </c>
      <c r="H22" s="457">
        <f t="shared" si="1"/>
        <v>51368.928</v>
      </c>
      <c r="I22" s="453">
        <f t="shared" si="2"/>
        <v>907.60005000000001</v>
      </c>
      <c r="J22" s="453"/>
      <c r="K22" s="453">
        <f t="shared" si="0"/>
        <v>52276.528050000001</v>
      </c>
    </row>
    <row r="23" spans="1:11" x14ac:dyDescent="0.3">
      <c r="A23" s="585" t="s">
        <v>609</v>
      </c>
      <c r="B23" s="450">
        <v>44680</v>
      </c>
      <c r="C23" s="492">
        <v>45045</v>
      </c>
      <c r="D23" s="451" t="s">
        <v>430</v>
      </c>
      <c r="E23" s="455">
        <v>2080</v>
      </c>
      <c r="F23" s="458">
        <f>38.25*2</f>
        <v>76.5</v>
      </c>
      <c r="G23" s="452">
        <v>28.4452</v>
      </c>
      <c r="H23" s="457">
        <f t="shared" si="1"/>
        <v>59166.016000000003</v>
      </c>
      <c r="I23" s="453">
        <f t="shared" si="2"/>
        <v>3264.0866999999998</v>
      </c>
      <c r="J23" s="453"/>
      <c r="K23" s="453">
        <f t="shared" si="0"/>
        <v>62430.102700000003</v>
      </c>
    </row>
    <row r="24" spans="1:11" x14ac:dyDescent="0.3">
      <c r="A24" s="585" t="s">
        <v>604</v>
      </c>
      <c r="B24" s="450">
        <v>44704</v>
      </c>
      <c r="C24" s="492">
        <v>45069</v>
      </c>
      <c r="D24" s="451" t="s">
        <v>430</v>
      </c>
      <c r="E24" s="455">
        <v>2080</v>
      </c>
      <c r="F24" s="458">
        <f>140.75*2</f>
        <v>281.5</v>
      </c>
      <c r="G24" s="452">
        <v>21.94</v>
      </c>
      <c r="H24" s="457">
        <f t="shared" si="1"/>
        <v>45635.200000000004</v>
      </c>
      <c r="I24" s="453">
        <f t="shared" si="2"/>
        <v>9264.1650000000009</v>
      </c>
      <c r="J24" s="453"/>
      <c r="K24" s="453">
        <f t="shared" si="0"/>
        <v>54899.365000000005</v>
      </c>
    </row>
    <row r="25" spans="1:11" x14ac:dyDescent="0.3">
      <c r="A25" s="585" t="s">
        <v>624</v>
      </c>
      <c r="B25" s="450">
        <v>44830</v>
      </c>
      <c r="C25" s="450">
        <v>45195</v>
      </c>
      <c r="D25" s="451" t="s">
        <v>430</v>
      </c>
      <c r="E25" s="455">
        <v>2080</v>
      </c>
      <c r="F25" s="458">
        <f>11*2</f>
        <v>22</v>
      </c>
      <c r="G25" s="491">
        <f>18*(1+$G$2)</f>
        <v>19.565999999999999</v>
      </c>
      <c r="H25" s="457">
        <f t="shared" si="1"/>
        <v>40697.279999999999</v>
      </c>
      <c r="I25" s="453">
        <f t="shared" si="2"/>
        <v>645.67799999999988</v>
      </c>
      <c r="J25" s="453"/>
      <c r="K25" s="453">
        <f t="shared" si="0"/>
        <v>41342.957999999999</v>
      </c>
    </row>
    <row r="26" spans="1:11" x14ac:dyDescent="0.3">
      <c r="A26" s="585" t="s">
        <v>622</v>
      </c>
      <c r="B26" s="460">
        <v>44957</v>
      </c>
      <c r="C26" s="450"/>
      <c r="D26" s="451" t="s">
        <v>183</v>
      </c>
      <c r="E26" s="455" t="s">
        <v>233</v>
      </c>
      <c r="F26" s="458"/>
      <c r="G26" s="452">
        <f>H26/2080</f>
        <v>48.07692307692308</v>
      </c>
      <c r="H26" s="454">
        <v>100000</v>
      </c>
      <c r="I26" s="453"/>
      <c r="J26" s="453"/>
      <c r="K26" s="453">
        <f t="shared" si="0"/>
        <v>100000</v>
      </c>
    </row>
    <row r="27" spans="1:11" x14ac:dyDescent="0.3">
      <c r="J27" s="73" t="s">
        <v>508</v>
      </c>
      <c r="K27" s="453">
        <f>SUM(K4:K26)</f>
        <v>1826148.9889322366</v>
      </c>
    </row>
    <row r="29" spans="1:11" x14ac:dyDescent="0.3">
      <c r="H29" s="1"/>
      <c r="I29" s="1"/>
      <c r="J29" s="1"/>
      <c r="K29" s="211" t="s">
        <v>109</v>
      </c>
    </row>
    <row r="30" spans="1:11" x14ac:dyDescent="0.3">
      <c r="H30" s="1" t="s">
        <v>440</v>
      </c>
      <c r="I30" s="1"/>
      <c r="J30" s="1"/>
      <c r="K30" s="208">
        <f>K27</f>
        <v>1826148.9889322366</v>
      </c>
    </row>
    <row r="31" spans="1:11" ht="16.2" x14ac:dyDescent="0.45">
      <c r="H31" s="1" t="s">
        <v>215</v>
      </c>
      <c r="I31" s="1"/>
      <c r="J31" s="1"/>
      <c r="K31" s="124">
        <f>-SAO!F20</f>
        <v>-1504974.13</v>
      </c>
    </row>
    <row r="32" spans="1:11" ht="15" thickBot="1" x14ac:dyDescent="0.35">
      <c r="H32" s="212" t="s">
        <v>626</v>
      </c>
      <c r="I32" s="212"/>
      <c r="J32" s="212"/>
      <c r="K32" s="213">
        <f>K30+K31</f>
        <v>321174.85893223668</v>
      </c>
    </row>
    <row r="33" spans="8:11" ht="15" thickTop="1" x14ac:dyDescent="0.3">
      <c r="H33" s="1"/>
      <c r="I33" s="1"/>
      <c r="J33" s="1"/>
      <c r="K33" s="1" t="s">
        <v>218</v>
      </c>
    </row>
    <row r="34" spans="8:11" x14ac:dyDescent="0.3">
      <c r="H34" s="1" t="s">
        <v>219</v>
      </c>
      <c r="I34" s="1"/>
      <c r="J34" s="1"/>
      <c r="K34" s="69">
        <f>K30</f>
        <v>1826148.9889322366</v>
      </c>
    </row>
    <row r="35" spans="8:11" x14ac:dyDescent="0.3">
      <c r="H35" s="1" t="s">
        <v>327</v>
      </c>
      <c r="I35" s="1"/>
      <c r="J35" s="1"/>
      <c r="K35" s="215">
        <f>7.65%</f>
        <v>7.6499999999999999E-2</v>
      </c>
    </row>
    <row r="36" spans="8:11" x14ac:dyDescent="0.3">
      <c r="H36" s="1" t="s">
        <v>222</v>
      </c>
      <c r="I36" s="1"/>
      <c r="J36" s="1"/>
      <c r="K36" s="49">
        <f>+K34*K35</f>
        <v>139700.39765331609</v>
      </c>
    </row>
    <row r="37" spans="8:11" x14ac:dyDescent="0.3">
      <c r="H37" s="1" t="s">
        <v>223</v>
      </c>
      <c r="I37" s="1"/>
      <c r="J37" s="1"/>
      <c r="K37" s="14">
        <f>-116704.56</f>
        <v>-116704.56</v>
      </c>
    </row>
    <row r="38" spans="8:11" ht="15" thickBot="1" x14ac:dyDescent="0.35">
      <c r="H38" s="111" t="s">
        <v>225</v>
      </c>
      <c r="I38" s="1"/>
      <c r="J38" s="1"/>
      <c r="K38" s="226">
        <f>+K36+K37</f>
        <v>22995.837653316092</v>
      </c>
    </row>
    <row r="39" spans="8:11" ht="15" thickTop="1" x14ac:dyDescent="0.3">
      <c r="H39" s="1"/>
      <c r="I39" s="1"/>
      <c r="J39" s="1"/>
      <c r="K39" s="1"/>
    </row>
    <row r="40" spans="8:11" x14ac:dyDescent="0.3">
      <c r="H40" s="1" t="s">
        <v>219</v>
      </c>
      <c r="I40" s="1"/>
      <c r="J40" s="1"/>
      <c r="K40" s="69">
        <f>K30</f>
        <v>1826148.9889322366</v>
      </c>
    </row>
    <row r="41" spans="8:11" x14ac:dyDescent="0.3">
      <c r="H41" s="1" t="s">
        <v>229</v>
      </c>
      <c r="I41" s="1"/>
      <c r="J41" s="1"/>
      <c r="K41" s="215">
        <v>0.23230000000000001</v>
      </c>
    </row>
    <row r="42" spans="8:11" x14ac:dyDescent="0.3">
      <c r="H42" s="1" t="s">
        <v>230</v>
      </c>
      <c r="I42" s="1"/>
      <c r="J42" s="1"/>
      <c r="K42" s="49">
        <f>+K40*K41</f>
        <v>424214.41012895858</v>
      </c>
    </row>
    <row r="43" spans="8:11" x14ac:dyDescent="0.3">
      <c r="H43" s="1" t="s">
        <v>231</v>
      </c>
      <c r="I43" s="1"/>
      <c r="J43" s="1"/>
      <c r="K43" s="76">
        <f>-389642.99</f>
        <v>-389642.99</v>
      </c>
    </row>
    <row r="44" spans="8:11" ht="15" thickBot="1" x14ac:dyDescent="0.35">
      <c r="H44" s="212" t="s">
        <v>232</v>
      </c>
      <c r="I44" s="212"/>
      <c r="J44" s="212"/>
      <c r="K44" s="213">
        <f>+K42+K43</f>
        <v>34571.420128958591</v>
      </c>
    </row>
    <row r="45" spans="8:11" ht="15" thickTop="1" x14ac:dyDescent="0.3"/>
    <row r="46" spans="8:11" x14ac:dyDescent="0.3">
      <c r="H46" s="1" t="s">
        <v>219</v>
      </c>
      <c r="I46" s="1"/>
      <c r="J46" s="1"/>
      <c r="K46" s="69">
        <f>K27</f>
        <v>1826148.9889322366</v>
      </c>
    </row>
    <row r="47" spans="8:11" x14ac:dyDescent="0.3">
      <c r="H47" s="1" t="s">
        <v>441</v>
      </c>
      <c r="I47" s="1"/>
      <c r="J47" s="1"/>
      <c r="K47" s="215">
        <v>0.05</v>
      </c>
    </row>
    <row r="48" spans="8:11" x14ac:dyDescent="0.3">
      <c r="H48" s="1" t="s">
        <v>230</v>
      </c>
      <c r="I48" s="1"/>
      <c r="J48" s="1"/>
      <c r="K48" s="49">
        <f>+K46*K47</f>
        <v>91307.449446611834</v>
      </c>
    </row>
    <row r="49" spans="8:11" x14ac:dyDescent="0.3">
      <c r="H49" s="1" t="s">
        <v>231</v>
      </c>
      <c r="I49" s="1"/>
      <c r="J49" s="1"/>
      <c r="K49" s="76">
        <f>-53081.05</f>
        <v>-53081.05</v>
      </c>
    </row>
    <row r="50" spans="8:11" ht="15" thickBot="1" x14ac:dyDescent="0.35">
      <c r="H50" s="212" t="s">
        <v>232</v>
      </c>
      <c r="I50" s="212"/>
      <c r="J50" s="212"/>
      <c r="K50" s="213">
        <f>+K48+K49</f>
        <v>38226.399446611831</v>
      </c>
    </row>
    <row r="51" spans="8:11" ht="15" thickTop="1" x14ac:dyDescent="0.3"/>
  </sheetData>
  <sortState xmlns:xlrd2="http://schemas.microsoft.com/office/spreadsheetml/2017/richdata2" ref="A4:K26">
    <sortCondition ref="A4:A26"/>
  </sortState>
  <pageMargins left="0.7" right="0.7" top="0.75" bottom="0.75" header="0.3" footer="0.3"/>
  <pageSetup scale="6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3E209-5527-43D3-8CE0-E59EECA802C7}">
  <sheetPr>
    <pageSetUpPr fitToPage="1"/>
  </sheetPr>
  <dimension ref="A1:Q24"/>
  <sheetViews>
    <sheetView workbookViewId="0">
      <selection activeCell="G24" sqref="G24"/>
    </sheetView>
  </sheetViews>
  <sheetFormatPr defaultRowHeight="15" x14ac:dyDescent="0.25"/>
  <cols>
    <col min="1" max="1" width="11.453125" customWidth="1"/>
    <col min="2" max="2" width="12.08984375" customWidth="1"/>
    <col min="3" max="3" width="11.54296875" bestFit="1" customWidth="1"/>
    <col min="4" max="4" width="10" bestFit="1" customWidth="1"/>
    <col min="5" max="6" width="9" bestFit="1" customWidth="1"/>
    <col min="8" max="8" width="11" bestFit="1" customWidth="1"/>
    <col min="9" max="9" width="10" bestFit="1" customWidth="1"/>
    <col min="10" max="10" width="11" bestFit="1" customWidth="1"/>
    <col min="14" max="14" width="11.1796875" bestFit="1" customWidth="1"/>
    <col min="15" max="15" width="10.1796875" bestFit="1" customWidth="1"/>
    <col min="16" max="16" width="8.81640625" bestFit="1" customWidth="1"/>
    <col min="17" max="17" width="10.1796875" bestFit="1" customWidth="1"/>
  </cols>
  <sheetData>
    <row r="1" spans="1:17" ht="15.6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7" ht="15.6" x14ac:dyDescent="0.3">
      <c r="A2" s="599">
        <v>2022</v>
      </c>
      <c r="B2" s="1"/>
      <c r="C2" s="1"/>
      <c r="D2" s="1"/>
      <c r="E2" s="1"/>
      <c r="F2" s="1"/>
      <c r="G2" s="1"/>
      <c r="H2" s="1"/>
      <c r="I2" s="1"/>
      <c r="J2" s="1"/>
    </row>
    <row r="3" spans="1:17" ht="16.2" thickBot="1" x14ac:dyDescent="0.35">
      <c r="A3" s="600" t="s">
        <v>627</v>
      </c>
      <c r="B3" s="586" t="s">
        <v>628</v>
      </c>
      <c r="C3" s="587" t="s">
        <v>629</v>
      </c>
      <c r="D3" s="587" t="s">
        <v>630</v>
      </c>
      <c r="E3" s="587" t="s">
        <v>631</v>
      </c>
      <c r="F3" s="587" t="s">
        <v>632</v>
      </c>
      <c r="G3" s="586" t="s">
        <v>633</v>
      </c>
      <c r="H3" s="586" t="s">
        <v>634</v>
      </c>
      <c r="I3" s="586" t="s">
        <v>635</v>
      </c>
      <c r="J3" s="1"/>
    </row>
    <row r="4" spans="1:17" ht="15.6" x14ac:dyDescent="0.3">
      <c r="A4" s="601"/>
      <c r="B4" s="48"/>
      <c r="C4" s="1"/>
      <c r="D4" s="1"/>
      <c r="E4" s="1"/>
      <c r="F4" s="1"/>
      <c r="G4" s="48"/>
      <c r="H4" s="1"/>
      <c r="I4" s="48"/>
      <c r="J4" s="1"/>
    </row>
    <row r="5" spans="1:17" ht="15.6" x14ac:dyDescent="0.3">
      <c r="A5" s="601" t="s">
        <v>636</v>
      </c>
      <c r="B5" s="48">
        <v>26309.91</v>
      </c>
      <c r="C5" s="48">
        <v>750.3</v>
      </c>
      <c r="D5" s="48">
        <v>1357.62</v>
      </c>
      <c r="E5" s="48">
        <v>301.99</v>
      </c>
      <c r="F5" s="48">
        <v>854.18</v>
      </c>
      <c r="G5" s="48">
        <v>0</v>
      </c>
      <c r="H5" s="48">
        <v>72000</v>
      </c>
      <c r="I5" s="48">
        <v>879.72</v>
      </c>
      <c r="J5" s="1"/>
    </row>
    <row r="6" spans="1:17" ht="15.6" x14ac:dyDescent="0.3">
      <c r="A6" s="601" t="s">
        <v>637</v>
      </c>
      <c r="B6" s="48">
        <v>26309.91</v>
      </c>
      <c r="C6" s="48">
        <v>750.3</v>
      </c>
      <c r="D6" s="48">
        <v>1357.62</v>
      </c>
      <c r="E6" s="48">
        <v>301.99</v>
      </c>
      <c r="F6" s="48">
        <v>854.18</v>
      </c>
      <c r="G6" s="588">
        <v>53.44</v>
      </c>
      <c r="H6" s="48">
        <v>0</v>
      </c>
      <c r="I6" s="48">
        <v>908.33</v>
      </c>
      <c r="J6" s="1"/>
    </row>
    <row r="7" spans="1:17" ht="15.6" x14ac:dyDescent="0.3">
      <c r="A7" s="601" t="s">
        <v>638</v>
      </c>
      <c r="B7" s="48">
        <v>26309.91</v>
      </c>
      <c r="C7" s="48">
        <v>750.3</v>
      </c>
      <c r="D7" s="48">
        <v>1357.62</v>
      </c>
      <c r="E7" s="48">
        <v>301.99</v>
      </c>
      <c r="F7" s="48">
        <v>854.18</v>
      </c>
      <c r="G7" s="588">
        <v>53.71</v>
      </c>
      <c r="H7" s="48">
        <v>0</v>
      </c>
      <c r="I7" s="48">
        <v>908.33</v>
      </c>
      <c r="J7" s="1"/>
    </row>
    <row r="8" spans="1:17" ht="15.6" x14ac:dyDescent="0.3">
      <c r="A8" s="601" t="s">
        <v>639</v>
      </c>
      <c r="B8" s="48">
        <v>26309.91</v>
      </c>
      <c r="C8" s="48">
        <v>750.3</v>
      </c>
      <c r="D8" s="48">
        <v>1357.62</v>
      </c>
      <c r="E8" s="48">
        <v>301.99</v>
      </c>
      <c r="F8" s="48">
        <v>854.18</v>
      </c>
      <c r="G8" s="588">
        <v>52.03</v>
      </c>
      <c r="H8" s="48">
        <v>900</v>
      </c>
      <c r="I8" s="48">
        <v>908.33</v>
      </c>
      <c r="J8" s="1"/>
    </row>
    <row r="9" spans="1:17" ht="15.6" x14ac:dyDescent="0.3">
      <c r="A9" s="601" t="s">
        <v>640</v>
      </c>
      <c r="B9" s="48">
        <v>27319.75</v>
      </c>
      <c r="C9" s="48">
        <v>750.3</v>
      </c>
      <c r="D9" s="48">
        <v>1404.22</v>
      </c>
      <c r="E9" s="48">
        <v>313.11</v>
      </c>
      <c r="F9" s="48">
        <v>864.18</v>
      </c>
      <c r="G9" s="588">
        <f>53.44-59</f>
        <v>-5.5600000000000023</v>
      </c>
      <c r="H9" s="48">
        <v>1200</v>
      </c>
      <c r="I9" s="48">
        <v>907.67</v>
      </c>
      <c r="J9" s="1"/>
    </row>
    <row r="10" spans="1:17" ht="15.6" x14ac:dyDescent="0.3">
      <c r="A10" s="601" t="s">
        <v>641</v>
      </c>
      <c r="B10" s="48">
        <v>28977.57</v>
      </c>
      <c r="C10" s="48">
        <v>750.3</v>
      </c>
      <c r="D10" s="48">
        <v>1482.66</v>
      </c>
      <c r="E10" s="48">
        <v>328.93</v>
      </c>
      <c r="F10" s="48">
        <v>853.98</v>
      </c>
      <c r="G10" s="588">
        <v>345.72</v>
      </c>
      <c r="H10" s="48">
        <v>300</v>
      </c>
      <c r="I10" s="48">
        <v>907.67</v>
      </c>
      <c r="J10" s="1"/>
    </row>
    <row r="11" spans="1:17" ht="15.6" x14ac:dyDescent="0.3">
      <c r="A11" s="601" t="s">
        <v>642</v>
      </c>
      <c r="B11" s="48">
        <v>30397.65</v>
      </c>
      <c r="C11" s="48">
        <v>750.3</v>
      </c>
      <c r="D11" s="48">
        <v>1478.39</v>
      </c>
      <c r="E11" s="48">
        <v>383.05</v>
      </c>
      <c r="F11" s="48">
        <v>917.08</v>
      </c>
      <c r="G11" s="588">
        <v>71.66</v>
      </c>
      <c r="H11" s="48">
        <v>75850</v>
      </c>
      <c r="I11" s="48">
        <f>1244.42</f>
        <v>1244.42</v>
      </c>
      <c r="J11" s="1"/>
    </row>
    <row r="12" spans="1:17" ht="15.6" x14ac:dyDescent="0.3">
      <c r="A12" s="601" t="s">
        <v>643</v>
      </c>
      <c r="B12" s="48">
        <v>29361.69</v>
      </c>
      <c r="C12" s="48">
        <v>750.3</v>
      </c>
      <c r="D12" s="48">
        <v>1431.79</v>
      </c>
      <c r="E12" s="48">
        <v>371.62</v>
      </c>
      <c r="F12" s="48">
        <v>907.08</v>
      </c>
      <c r="G12" s="588">
        <v>562.13</v>
      </c>
      <c r="H12" s="48">
        <v>0</v>
      </c>
      <c r="I12" s="48">
        <v>1216.8499999999999</v>
      </c>
      <c r="J12" s="1"/>
    </row>
    <row r="13" spans="1:17" ht="15.6" x14ac:dyDescent="0.3">
      <c r="A13" s="601" t="s">
        <v>644</v>
      </c>
      <c r="B13" s="48">
        <v>29361.69</v>
      </c>
      <c r="C13" s="48">
        <v>750.3</v>
      </c>
      <c r="D13" s="48">
        <v>1431.79</v>
      </c>
      <c r="E13" s="48">
        <v>371.62</v>
      </c>
      <c r="F13" s="48">
        <v>907.08</v>
      </c>
      <c r="G13" s="588">
        <v>89.93</v>
      </c>
      <c r="H13" s="48">
        <v>0</v>
      </c>
      <c r="I13" s="48">
        <v>1264.5</v>
      </c>
      <c r="J13" s="1"/>
    </row>
    <row r="14" spans="1:17" ht="15.6" x14ac:dyDescent="0.3">
      <c r="A14" s="601" t="s">
        <v>645</v>
      </c>
      <c r="B14" s="48">
        <v>24398.400000000001</v>
      </c>
      <c r="C14" s="48">
        <v>750.3</v>
      </c>
      <c r="D14" s="48">
        <v>1246.99</v>
      </c>
      <c r="E14" s="48">
        <v>341.58</v>
      </c>
      <c r="F14" s="48">
        <v>907.08</v>
      </c>
      <c r="G14" s="588">
        <v>195.1</v>
      </c>
      <c r="H14" s="48">
        <v>912.5</v>
      </c>
      <c r="I14" s="48">
        <v>1216.8499999999999</v>
      </c>
      <c r="J14" s="1"/>
    </row>
    <row r="15" spans="1:17" ht="15.6" x14ac:dyDescent="0.3">
      <c r="A15" s="601" t="s">
        <v>646</v>
      </c>
      <c r="B15" s="48">
        <v>29699.06</v>
      </c>
      <c r="C15" s="48">
        <v>750.3</v>
      </c>
      <c r="D15" s="48">
        <v>1451.99</v>
      </c>
      <c r="E15" s="48">
        <v>375.85</v>
      </c>
      <c r="F15" s="48">
        <v>922.38</v>
      </c>
      <c r="G15" s="588">
        <v>90.35</v>
      </c>
      <c r="H15" s="48">
        <v>0</v>
      </c>
      <c r="I15" s="48">
        <v>1249.92</v>
      </c>
      <c r="J15" s="1"/>
      <c r="N15" s="589"/>
      <c r="O15" s="589"/>
      <c r="P15" s="589"/>
      <c r="Q15" s="589"/>
    </row>
    <row r="16" spans="1:17" ht="15.6" x14ac:dyDescent="0.3">
      <c r="A16" s="601" t="s">
        <v>647</v>
      </c>
      <c r="B16" s="79">
        <v>29168.02</v>
      </c>
      <c r="C16" s="79">
        <v>750.3</v>
      </c>
      <c r="D16" s="79">
        <v>1428.69</v>
      </c>
      <c r="E16" s="79">
        <v>369.98</v>
      </c>
      <c r="F16" s="79">
        <v>922.38</v>
      </c>
      <c r="G16" s="590">
        <f>128.05+54.69</f>
        <v>182.74</v>
      </c>
      <c r="H16" s="79">
        <v>0</v>
      </c>
      <c r="I16" s="79">
        <f>1249.92-20.16</f>
        <v>1229.76</v>
      </c>
      <c r="J16" s="1"/>
      <c r="N16" s="589"/>
      <c r="O16" s="589"/>
      <c r="P16" s="589"/>
      <c r="Q16" s="589"/>
    </row>
    <row r="17" spans="1:17" ht="15.6" x14ac:dyDescent="0.3">
      <c r="A17" s="601"/>
      <c r="B17" s="48"/>
      <c r="C17" s="70"/>
      <c r="D17" s="70"/>
      <c r="E17" s="48"/>
      <c r="F17" s="48"/>
      <c r="G17" s="48"/>
      <c r="H17" s="1"/>
      <c r="I17" s="48"/>
      <c r="J17" s="1"/>
      <c r="N17" s="589"/>
      <c r="O17" s="589"/>
      <c r="P17" s="589"/>
      <c r="Q17" s="589"/>
    </row>
    <row r="18" spans="1:17" ht="16.2" thickBot="1" x14ac:dyDescent="0.35">
      <c r="A18" s="601" t="s">
        <v>148</v>
      </c>
      <c r="B18" s="591">
        <f>SUM(B5:B16)</f>
        <v>333923.47000000003</v>
      </c>
      <c r="C18" s="592">
        <f>SUM(C5:C17)</f>
        <v>9003.6</v>
      </c>
      <c r="D18" s="592">
        <f>SUM(D5:D17)</f>
        <v>16787</v>
      </c>
      <c r="E18" s="592">
        <f>SUM(E5:E16)</f>
        <v>4063.7</v>
      </c>
      <c r="F18" s="592">
        <f>SUM(F5:F16)</f>
        <v>10617.959999999997</v>
      </c>
      <c r="G18" s="591">
        <f>SUM(G5:G16)</f>
        <v>1691.25</v>
      </c>
      <c r="H18" s="591">
        <f>SUM(H5:H16)</f>
        <v>151162.5</v>
      </c>
      <c r="I18" s="591">
        <f>SUM(I5:I16)</f>
        <v>12842.35</v>
      </c>
      <c r="J18" s="94">
        <f>SUM(B18:I18)</f>
        <v>540091.82999999996</v>
      </c>
      <c r="N18" s="589"/>
      <c r="O18" s="589"/>
      <c r="P18" s="589"/>
      <c r="Q18" s="589"/>
    </row>
    <row r="19" spans="1:17" ht="16.2" thickTop="1" x14ac:dyDescent="0.3">
      <c r="A19" s="1"/>
      <c r="B19" s="48"/>
      <c r="C19" s="1"/>
      <c r="D19" s="1"/>
      <c r="E19" s="1"/>
      <c r="F19" s="1"/>
      <c r="G19" s="48"/>
      <c r="H19" s="1"/>
      <c r="I19" s="48"/>
      <c r="J19" s="1"/>
      <c r="N19" s="589"/>
      <c r="O19" s="589"/>
      <c r="P19" s="589"/>
      <c r="Q19" s="589"/>
    </row>
    <row r="20" spans="1:17" ht="15.6" x14ac:dyDescent="0.3">
      <c r="A20" s="601" t="s">
        <v>648</v>
      </c>
      <c r="B20" s="588">
        <v>71042.460000000006</v>
      </c>
      <c r="C20" s="588">
        <v>0</v>
      </c>
      <c r="D20" s="588">
        <v>3105.24</v>
      </c>
      <c r="E20" s="588">
        <v>766.08</v>
      </c>
      <c r="F20" s="588">
        <v>4403.76</v>
      </c>
      <c r="G20" s="588">
        <f>G18</f>
        <v>1691.25</v>
      </c>
      <c r="H20" s="588">
        <v>25500</v>
      </c>
      <c r="I20" s="588">
        <v>0</v>
      </c>
      <c r="J20" s="207">
        <f>SUM(B20:I20)</f>
        <v>106508.79000000001</v>
      </c>
      <c r="N20" s="593"/>
      <c r="O20" s="593"/>
      <c r="P20" s="593"/>
      <c r="Q20" s="593"/>
    </row>
    <row r="21" spans="1:17" ht="16.2" thickBot="1" x14ac:dyDescent="0.35">
      <c r="A21" s="1"/>
      <c r="B21" s="594">
        <f>B18-B20</f>
        <v>262881.01</v>
      </c>
      <c r="C21" s="594">
        <f t="shared" ref="C21:I21" si="0">C18-C20</f>
        <v>9003.6</v>
      </c>
      <c r="D21" s="594">
        <f t="shared" si="0"/>
        <v>13681.76</v>
      </c>
      <c r="E21" s="594">
        <f t="shared" si="0"/>
        <v>3297.62</v>
      </c>
      <c r="F21" s="594">
        <f t="shared" si="0"/>
        <v>6214.1999999999971</v>
      </c>
      <c r="G21" s="594">
        <f t="shared" si="0"/>
        <v>0</v>
      </c>
      <c r="H21" s="594">
        <f t="shared" si="0"/>
        <v>125662.5</v>
      </c>
      <c r="I21" s="594">
        <f t="shared" si="0"/>
        <v>12842.35</v>
      </c>
      <c r="J21" s="94">
        <f>SUM(B21:I21)</f>
        <v>433583.04</v>
      </c>
      <c r="N21" s="595"/>
      <c r="O21" s="595"/>
      <c r="P21" s="595"/>
      <c r="Q21" s="595"/>
    </row>
    <row r="22" spans="1:17" ht="16.2" thickTop="1" x14ac:dyDescent="0.3">
      <c r="A22" s="1"/>
      <c r="B22" s="48"/>
      <c r="C22" s="1"/>
      <c r="D22" s="1"/>
      <c r="E22" s="1"/>
      <c r="F22" s="1"/>
      <c r="G22" s="48"/>
      <c r="H22" s="1"/>
      <c r="I22" s="48"/>
      <c r="J22" s="1"/>
      <c r="N22" s="593"/>
      <c r="O22" s="593"/>
      <c r="P22" s="593"/>
      <c r="Q22" s="593"/>
    </row>
    <row r="23" spans="1:17" ht="15.6" x14ac:dyDescent="0.3">
      <c r="A23" s="1" t="s">
        <v>649</v>
      </c>
      <c r="B23" s="48"/>
      <c r="C23" s="1"/>
      <c r="D23" s="1"/>
      <c r="E23" s="1"/>
      <c r="F23" s="1"/>
      <c r="G23" s="48"/>
      <c r="H23" s="1"/>
      <c r="I23" s="48"/>
      <c r="J23" s="1"/>
    </row>
    <row r="24" spans="1:17" ht="15.6" x14ac:dyDescent="0.3">
      <c r="A24" s="1"/>
      <c r="B24" s="48"/>
      <c r="C24" s="1"/>
      <c r="D24" s="1"/>
      <c r="E24" s="1"/>
      <c r="F24" s="1"/>
      <c r="G24" s="48"/>
      <c r="H24" s="1"/>
      <c r="I24" s="48"/>
      <c r="J24" s="1"/>
      <c r="N24" s="589"/>
      <c r="O24" s="589"/>
      <c r="P24" s="589"/>
      <c r="Q24" s="589"/>
    </row>
  </sheetData>
  <pageMargins left="0.7" right="0.7" top="0.75" bottom="0.75" header="0.3" footer="0.3"/>
  <pageSetup scale="9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EF027-46EF-40BC-81BE-0FF80083A380}">
  <dimension ref="B3:G7"/>
  <sheetViews>
    <sheetView workbookViewId="0">
      <selection activeCell="D4" sqref="D4"/>
    </sheetView>
  </sheetViews>
  <sheetFormatPr defaultColWidth="8.90625" defaultRowHeight="14.4" x14ac:dyDescent="0.3"/>
  <cols>
    <col min="1" max="1" width="2.81640625" style="17" customWidth="1"/>
    <col min="2" max="2" width="1.81640625" style="17" customWidth="1"/>
    <col min="3" max="3" width="12.81640625" style="17" customWidth="1"/>
    <col min="4" max="4" width="10.1796875" style="17" bestFit="1" customWidth="1"/>
    <col min="5" max="5" width="9.81640625" style="17" bestFit="1" customWidth="1"/>
    <col min="6" max="6" width="10.1796875" style="17" customWidth="1"/>
    <col min="7" max="7" width="10.08984375" style="17" customWidth="1"/>
    <col min="8" max="16384" width="8.90625" style="17"/>
  </cols>
  <sheetData>
    <row r="3" spans="2:7" x14ac:dyDescent="0.3">
      <c r="B3" s="263" t="s">
        <v>363</v>
      </c>
    </row>
    <row r="4" spans="2:7" x14ac:dyDescent="0.3">
      <c r="C4" s="17" t="s">
        <v>364</v>
      </c>
      <c r="D4" s="17">
        <v>366186000</v>
      </c>
      <c r="F4" s="337" t="s">
        <v>365</v>
      </c>
      <c r="G4" s="17">
        <v>36000</v>
      </c>
    </row>
    <row r="5" spans="2:7" x14ac:dyDescent="0.3">
      <c r="F5" s="56" t="s">
        <v>366</v>
      </c>
      <c r="G5" s="17">
        <v>366650300</v>
      </c>
    </row>
    <row r="7" spans="2:7" ht="16.2" x14ac:dyDescent="0.45">
      <c r="D7" s="82"/>
      <c r="G7" s="17">
        <f>SUM(G3:G5)</f>
        <v>366686300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E5F1B-5906-4C7B-B575-F6BF19583D29}">
  <sheetPr>
    <pageSetUpPr fitToPage="1"/>
  </sheetPr>
  <dimension ref="B1:IV39"/>
  <sheetViews>
    <sheetView showGridLines="0" workbookViewId="0">
      <selection activeCell="I8" sqref="I8"/>
    </sheetView>
  </sheetViews>
  <sheetFormatPr defaultColWidth="8.90625" defaultRowHeight="14.4" x14ac:dyDescent="0.3"/>
  <cols>
    <col min="1" max="1" width="1.90625" style="49" customWidth="1"/>
    <col min="2" max="2" width="1.81640625" style="49" customWidth="1"/>
    <col min="3" max="3" width="1.6328125" style="423" customWidth="1"/>
    <col min="4" max="4" width="6.54296875" style="423" customWidth="1"/>
    <col min="5" max="5" width="25.90625" style="423" customWidth="1"/>
    <col min="6" max="6" width="10.1796875" style="423" customWidth="1"/>
    <col min="7" max="7" width="6.6328125" style="423" bestFit="1" customWidth="1"/>
    <col min="8" max="8" width="9.36328125" style="423" bestFit="1" customWidth="1"/>
    <col min="9" max="9" width="5.36328125" style="423" customWidth="1"/>
    <col min="10" max="10" width="9.36328125" style="423" bestFit="1" customWidth="1"/>
    <col min="11" max="11" width="10.453125" style="423" customWidth="1"/>
    <col min="12" max="12" width="1.81640625" style="423" customWidth="1"/>
    <col min="13" max="13" width="2.36328125" style="423" customWidth="1"/>
    <col min="14" max="256" width="9.6328125" style="423" customWidth="1"/>
    <col min="257" max="16384" width="8.90625" style="49"/>
  </cols>
  <sheetData>
    <row r="1" spans="2:14" ht="15.6" x14ac:dyDescent="0.3">
      <c r="N1" s="424"/>
    </row>
    <row r="2" spans="2:14" ht="6" customHeight="1" x14ac:dyDescent="0.3">
      <c r="B2" s="63"/>
      <c r="C2" s="64"/>
      <c r="D2" s="64"/>
      <c r="E2" s="64"/>
      <c r="F2" s="64"/>
      <c r="G2" s="64"/>
      <c r="H2" s="64"/>
      <c r="I2" s="64"/>
      <c r="J2" s="64"/>
      <c r="K2" s="64"/>
      <c r="L2" s="65"/>
      <c r="M2" s="80"/>
    </row>
    <row r="3" spans="2:14" ht="18" x14ac:dyDescent="0.35">
      <c r="B3" s="67"/>
      <c r="C3" s="606" t="s">
        <v>103</v>
      </c>
      <c r="D3" s="606"/>
      <c r="E3" s="606"/>
      <c r="F3" s="606"/>
      <c r="G3" s="606"/>
      <c r="H3" s="606"/>
      <c r="I3" s="606"/>
      <c r="J3" s="606"/>
      <c r="K3" s="606"/>
      <c r="L3" s="425"/>
      <c r="M3" s="80"/>
    </row>
    <row r="4" spans="2:14" ht="18" x14ac:dyDescent="0.35">
      <c r="B4" s="67"/>
      <c r="C4" s="607" t="s">
        <v>133</v>
      </c>
      <c r="D4" s="607"/>
      <c r="E4" s="607"/>
      <c r="F4" s="607"/>
      <c r="G4" s="607"/>
      <c r="H4" s="607"/>
      <c r="I4" s="607"/>
      <c r="J4" s="607"/>
      <c r="K4" s="607"/>
      <c r="L4" s="425"/>
      <c r="M4" s="80"/>
    </row>
    <row r="5" spans="2:14" ht="15.6" x14ac:dyDescent="0.3">
      <c r="B5" s="67"/>
      <c r="C5" s="608" t="s">
        <v>331</v>
      </c>
      <c r="D5" s="608"/>
      <c r="E5" s="608"/>
      <c r="F5" s="608"/>
      <c r="G5" s="608"/>
      <c r="H5" s="608"/>
      <c r="I5" s="608"/>
      <c r="J5" s="608"/>
      <c r="K5" s="608"/>
      <c r="L5" s="425"/>
      <c r="M5" s="80"/>
    </row>
    <row r="6" spans="2:14" x14ac:dyDescent="0.3">
      <c r="B6" s="67"/>
      <c r="C6" s="133"/>
      <c r="D6" s="133"/>
      <c r="E6" s="133"/>
      <c r="F6" s="133"/>
      <c r="G6" s="133"/>
      <c r="H6" s="133"/>
      <c r="I6" s="133"/>
      <c r="J6" s="133"/>
      <c r="K6" s="172" t="s">
        <v>134</v>
      </c>
      <c r="L6" s="425"/>
      <c r="M6" s="80"/>
    </row>
    <row r="7" spans="2:14" ht="16.2" x14ac:dyDescent="0.45">
      <c r="B7" s="67"/>
      <c r="C7" s="83"/>
      <c r="D7" s="609" t="s">
        <v>135</v>
      </c>
      <c r="E7" s="609"/>
      <c r="F7" s="83" t="s">
        <v>136</v>
      </c>
      <c r="G7" s="392" t="s">
        <v>394</v>
      </c>
      <c r="H7" s="392"/>
      <c r="I7" s="392" t="s">
        <v>653</v>
      </c>
      <c r="J7" s="392"/>
      <c r="K7" s="172" t="s">
        <v>137</v>
      </c>
      <c r="L7" s="425"/>
      <c r="M7" s="80"/>
      <c r="N7" s="426"/>
    </row>
    <row r="8" spans="2:14" x14ac:dyDescent="0.3">
      <c r="B8" s="67"/>
      <c r="C8" s="172"/>
      <c r="D8" s="172" t="s">
        <v>138</v>
      </c>
      <c r="E8" s="172" t="s">
        <v>139</v>
      </c>
      <c r="F8" s="172" t="s">
        <v>256</v>
      </c>
      <c r="G8" s="172" t="s">
        <v>141</v>
      </c>
      <c r="H8" s="172" t="s">
        <v>142</v>
      </c>
      <c r="I8" s="172" t="s">
        <v>141</v>
      </c>
      <c r="J8" s="172" t="s">
        <v>142</v>
      </c>
      <c r="K8" s="172" t="s">
        <v>130</v>
      </c>
      <c r="L8" s="425"/>
      <c r="M8" s="80"/>
      <c r="N8" s="426"/>
    </row>
    <row r="9" spans="2:14" ht="15" customHeight="1" x14ac:dyDescent="0.3">
      <c r="B9" s="67"/>
      <c r="C9" s="172"/>
      <c r="D9" s="427">
        <v>304.02</v>
      </c>
      <c r="E9" s="428" t="s">
        <v>395</v>
      </c>
      <c r="F9" s="69">
        <v>301458</v>
      </c>
      <c r="G9" s="377">
        <f>F9/H9</f>
        <v>33.60615897760615</v>
      </c>
      <c r="H9" s="69">
        <v>8970.32</v>
      </c>
      <c r="I9" s="377">
        <v>37.5</v>
      </c>
      <c r="J9" s="49">
        <f>F9/I9</f>
        <v>8038.88</v>
      </c>
      <c r="K9" s="69">
        <f>J9-H9</f>
        <v>-931.4399999999996</v>
      </c>
      <c r="L9" s="425"/>
      <c r="M9" s="80"/>
      <c r="N9" s="429"/>
    </row>
    <row r="10" spans="2:14" ht="15" customHeight="1" x14ac:dyDescent="0.3">
      <c r="B10" s="67"/>
      <c r="C10" s="172"/>
      <c r="D10" s="427">
        <v>304.02999999999997</v>
      </c>
      <c r="E10" s="428" t="s">
        <v>396</v>
      </c>
      <c r="F10" s="49">
        <f>3861426.71-175507</f>
        <v>3685919.71</v>
      </c>
      <c r="G10" s="377">
        <f t="shared" ref="G10:G28" si="0">F10/H10</f>
        <v>31.264308419027198</v>
      </c>
      <c r="H10" s="49">
        <v>117895.45</v>
      </c>
      <c r="I10" s="377">
        <v>37.5</v>
      </c>
      <c r="J10" s="49">
        <f t="shared" ref="J10:J28" si="1">F10/I10</f>
        <v>98291.192266666665</v>
      </c>
      <c r="K10" s="49">
        <f t="shared" ref="K10:K28" si="2">J10-H10</f>
        <v>-19604.257733333332</v>
      </c>
      <c r="L10" s="425"/>
      <c r="M10" s="80"/>
      <c r="N10" s="426"/>
    </row>
    <row r="11" spans="2:14" ht="15" customHeight="1" x14ac:dyDescent="0.3">
      <c r="B11" s="67"/>
      <c r="C11" s="172"/>
      <c r="D11" s="427">
        <v>304.05</v>
      </c>
      <c r="E11" s="428" t="s">
        <v>397</v>
      </c>
      <c r="F11" s="49">
        <v>1512342</v>
      </c>
      <c r="G11" s="377">
        <f t="shared" si="0"/>
        <v>34.999993057127348</v>
      </c>
      <c r="H11" s="49">
        <v>43209.78</v>
      </c>
      <c r="I11" s="377">
        <v>37.5</v>
      </c>
      <c r="J11" s="49">
        <f t="shared" si="1"/>
        <v>40329.120000000003</v>
      </c>
      <c r="K11" s="49">
        <f t="shared" si="2"/>
        <v>-2880.6599999999962</v>
      </c>
      <c r="L11" s="425"/>
      <c r="M11" s="80"/>
      <c r="N11" s="426"/>
    </row>
    <row r="12" spans="2:14" ht="15" customHeight="1" x14ac:dyDescent="0.3">
      <c r="B12" s="67"/>
      <c r="C12" s="172"/>
      <c r="D12" s="427">
        <v>307.02</v>
      </c>
      <c r="E12" s="428" t="s">
        <v>398</v>
      </c>
      <c r="F12" s="49">
        <f>1933611.71-9503-197787-5805-5812-35000-3200-10100-195136-85295-85295</f>
        <v>1300678.71</v>
      </c>
      <c r="G12" s="377">
        <f t="shared" si="0"/>
        <v>31.231517527946625</v>
      </c>
      <c r="H12" s="49">
        <v>41646.35</v>
      </c>
      <c r="I12" s="377">
        <v>30</v>
      </c>
      <c r="J12" s="49">
        <f t="shared" si="1"/>
        <v>43355.957000000002</v>
      </c>
      <c r="K12" s="49">
        <f t="shared" si="2"/>
        <v>1709.6070000000036</v>
      </c>
      <c r="L12" s="425"/>
      <c r="M12" s="80"/>
      <c r="N12" s="426"/>
    </row>
    <row r="13" spans="2:14" ht="15" customHeight="1" x14ac:dyDescent="0.3">
      <c r="B13" s="67"/>
      <c r="C13" s="172"/>
      <c r="D13" s="427">
        <v>309.02</v>
      </c>
      <c r="E13" s="428" t="s">
        <v>399</v>
      </c>
      <c r="F13" s="49">
        <v>1056517.2</v>
      </c>
      <c r="G13" s="377">
        <f>F13/H13</f>
        <v>74.499206365435754</v>
      </c>
      <c r="H13" s="49">
        <v>14181.59</v>
      </c>
      <c r="I13" s="377">
        <v>62.5</v>
      </c>
      <c r="J13" s="49">
        <f>F13/I13</f>
        <v>16904.2752</v>
      </c>
      <c r="K13" s="49">
        <f t="shared" si="2"/>
        <v>2722.6851999999999</v>
      </c>
      <c r="L13" s="425"/>
      <c r="M13" s="80"/>
      <c r="N13" s="426"/>
    </row>
    <row r="14" spans="2:14" ht="15" customHeight="1" x14ac:dyDescent="0.3">
      <c r="B14" s="67"/>
      <c r="C14" s="172"/>
      <c r="D14" s="427">
        <v>310.02</v>
      </c>
      <c r="E14" s="428" t="s">
        <v>400</v>
      </c>
      <c r="F14" s="49">
        <v>505488</v>
      </c>
      <c r="G14" s="377">
        <f t="shared" si="0"/>
        <v>19.993062578782645</v>
      </c>
      <c r="H14" s="49">
        <v>25283.17</v>
      </c>
      <c r="I14" s="377">
        <v>25</v>
      </c>
      <c r="J14" s="49">
        <f t="shared" si="1"/>
        <v>20219.52</v>
      </c>
      <c r="K14" s="49">
        <f t="shared" si="2"/>
        <v>-5063.6499999999978</v>
      </c>
      <c r="L14" s="425"/>
      <c r="M14" s="80"/>
      <c r="N14" s="426"/>
    </row>
    <row r="15" spans="2:14" ht="15" customHeight="1" x14ac:dyDescent="0.3">
      <c r="B15" s="67"/>
      <c r="C15" s="172"/>
      <c r="D15" s="427">
        <v>311.02</v>
      </c>
      <c r="E15" s="428" t="s">
        <v>401</v>
      </c>
      <c r="F15" s="49">
        <v>200656.61</v>
      </c>
      <c r="G15" s="377">
        <f t="shared" si="0"/>
        <v>60.488112284424936</v>
      </c>
      <c r="H15" s="49">
        <v>3317.29</v>
      </c>
      <c r="I15" s="377">
        <v>20</v>
      </c>
      <c r="J15" s="49">
        <f t="shared" si="1"/>
        <v>10032.8305</v>
      </c>
      <c r="K15" s="49">
        <f t="shared" si="2"/>
        <v>6715.5405000000001</v>
      </c>
      <c r="L15" s="425"/>
      <c r="M15" s="80"/>
      <c r="N15" s="426"/>
    </row>
    <row r="16" spans="2:14" ht="15" customHeight="1" x14ac:dyDescent="0.3">
      <c r="B16" s="67"/>
      <c r="C16" s="172"/>
      <c r="D16" s="427">
        <v>320.02999999999997</v>
      </c>
      <c r="E16" s="428" t="s">
        <v>402</v>
      </c>
      <c r="F16" s="49">
        <v>1281235</v>
      </c>
      <c r="G16" s="377">
        <f t="shared" si="0"/>
        <v>26.076411241369751</v>
      </c>
      <c r="H16" s="49">
        <v>49133.87</v>
      </c>
      <c r="I16" s="377">
        <v>27.5</v>
      </c>
      <c r="J16" s="49">
        <f t="shared" si="1"/>
        <v>46590.36363636364</v>
      </c>
      <c r="K16" s="49">
        <f t="shared" si="2"/>
        <v>-2543.5063636363629</v>
      </c>
      <c r="L16" s="425"/>
      <c r="M16" s="80"/>
      <c r="N16" s="426"/>
    </row>
    <row r="17" spans="2:14" ht="15" customHeight="1" x14ac:dyDescent="0.3">
      <c r="B17" s="67"/>
      <c r="C17" s="172"/>
      <c r="D17" s="427">
        <v>330.04</v>
      </c>
      <c r="E17" s="428" t="s">
        <v>403</v>
      </c>
      <c r="F17" s="49">
        <f>6854484.22-76681-6691-217-5127</f>
        <v>6765768.2199999997</v>
      </c>
      <c r="G17" s="377">
        <f t="shared" si="0"/>
        <v>36.777105331748622</v>
      </c>
      <c r="H17" s="49">
        <v>183966.85</v>
      </c>
      <c r="I17" s="377">
        <v>45</v>
      </c>
      <c r="J17" s="49">
        <f>F17/I17</f>
        <v>150350.40488888888</v>
      </c>
      <c r="K17" s="49">
        <f t="shared" si="2"/>
        <v>-33616.445111111127</v>
      </c>
      <c r="L17" s="425"/>
      <c r="M17" s="80"/>
      <c r="N17" s="426"/>
    </row>
    <row r="18" spans="2:14" ht="15" customHeight="1" x14ac:dyDescent="0.3">
      <c r="B18" s="67"/>
      <c r="C18" s="172"/>
      <c r="D18" s="427">
        <v>331.04</v>
      </c>
      <c r="E18" s="428" t="s">
        <v>404</v>
      </c>
      <c r="F18" s="49">
        <v>24198621</v>
      </c>
      <c r="G18" s="377">
        <f t="shared" si="0"/>
        <v>71.392871694093031</v>
      </c>
      <c r="H18" s="49">
        <v>338950.1</v>
      </c>
      <c r="I18" s="377">
        <v>62.5</v>
      </c>
      <c r="J18" s="49">
        <f>F18/I18</f>
        <v>387177.93599999999</v>
      </c>
      <c r="K18" s="49">
        <f t="shared" si="2"/>
        <v>48227.83600000001</v>
      </c>
      <c r="L18" s="425"/>
      <c r="M18" s="80"/>
      <c r="N18" s="426"/>
    </row>
    <row r="19" spans="2:14" ht="15" customHeight="1" x14ac:dyDescent="0.3">
      <c r="B19" s="67"/>
      <c r="C19" s="172"/>
      <c r="D19" s="427">
        <v>334.04</v>
      </c>
      <c r="E19" s="428" t="s">
        <v>244</v>
      </c>
      <c r="F19" s="49">
        <v>4035993</v>
      </c>
      <c r="G19" s="377">
        <f t="shared" si="0"/>
        <v>39.561321428844487</v>
      </c>
      <c r="H19" s="49">
        <v>102018.66</v>
      </c>
      <c r="I19" s="377">
        <v>40</v>
      </c>
      <c r="J19" s="49">
        <f t="shared" si="1"/>
        <v>100899.825</v>
      </c>
      <c r="K19" s="49">
        <f t="shared" si="2"/>
        <v>-1118.8350000000064</v>
      </c>
      <c r="L19" s="425"/>
      <c r="M19" s="80"/>
      <c r="N19" s="426"/>
    </row>
    <row r="20" spans="2:14" ht="15" customHeight="1" x14ac:dyDescent="0.3">
      <c r="B20" s="67"/>
      <c r="C20" s="172"/>
      <c r="D20" s="427">
        <v>335.04</v>
      </c>
      <c r="E20" s="428" t="s">
        <v>177</v>
      </c>
      <c r="F20" s="49">
        <v>136703</v>
      </c>
      <c r="G20" s="377">
        <f t="shared" si="0"/>
        <v>62.3926864779257</v>
      </c>
      <c r="H20" s="49">
        <v>2191.0100000000002</v>
      </c>
      <c r="I20" s="377">
        <v>50</v>
      </c>
      <c r="J20" s="49">
        <f t="shared" si="1"/>
        <v>2734.06</v>
      </c>
      <c r="K20" s="49">
        <f t="shared" si="2"/>
        <v>543.04999999999973</v>
      </c>
      <c r="L20" s="425"/>
      <c r="M20" s="80"/>
      <c r="N20" s="426"/>
    </row>
    <row r="21" spans="2:14" ht="15" customHeight="1" x14ac:dyDescent="0.3">
      <c r="B21" s="67"/>
      <c r="C21" s="172"/>
      <c r="D21" s="427">
        <v>339.04</v>
      </c>
      <c r="E21" s="428" t="s">
        <v>405</v>
      </c>
      <c r="F21" s="49">
        <v>48727</v>
      </c>
      <c r="G21" s="377">
        <f t="shared" si="0"/>
        <v>13.971659268944476</v>
      </c>
      <c r="H21" s="49">
        <v>3487.56</v>
      </c>
      <c r="I21" s="377">
        <v>15</v>
      </c>
      <c r="J21" s="49">
        <f t="shared" si="1"/>
        <v>3248.4666666666667</v>
      </c>
      <c r="K21" s="49">
        <f t="shared" si="2"/>
        <v>-239.09333333333325</v>
      </c>
      <c r="L21" s="425"/>
      <c r="M21" s="80"/>
      <c r="N21" s="426"/>
    </row>
    <row r="22" spans="2:14" ht="15" customHeight="1" x14ac:dyDescent="0.3">
      <c r="B22" s="67"/>
      <c r="C22" s="172"/>
      <c r="D22" s="427">
        <v>340.05</v>
      </c>
      <c r="E22" s="428" t="s">
        <v>237</v>
      </c>
      <c r="F22" s="49">
        <v>99544</v>
      </c>
      <c r="G22" s="377">
        <f t="shared" si="0"/>
        <v>11.879609518581283</v>
      </c>
      <c r="H22" s="49">
        <v>8379.4</v>
      </c>
      <c r="I22" s="377">
        <v>10</v>
      </c>
      <c r="J22" s="49">
        <f t="shared" si="1"/>
        <v>9954.4</v>
      </c>
      <c r="K22" s="49">
        <f t="shared" si="2"/>
        <v>1575</v>
      </c>
      <c r="L22" s="425"/>
      <c r="M22" s="80"/>
      <c r="N22" s="426"/>
    </row>
    <row r="23" spans="2:14" ht="15" customHeight="1" x14ac:dyDescent="0.3">
      <c r="B23" s="67"/>
      <c r="C23" s="172"/>
      <c r="D23" s="427">
        <v>341.05</v>
      </c>
      <c r="E23" s="428" t="s">
        <v>406</v>
      </c>
      <c r="F23" s="49">
        <v>376290</v>
      </c>
      <c r="G23" s="377">
        <f>F23/H23</f>
        <v>5.8115488413196505</v>
      </c>
      <c r="H23" s="49">
        <v>64748.66</v>
      </c>
      <c r="I23" s="377">
        <v>7</v>
      </c>
      <c r="J23" s="49">
        <f>F23/I23</f>
        <v>53755.714285714283</v>
      </c>
      <c r="K23" s="49">
        <f t="shared" si="2"/>
        <v>-10992.945714285721</v>
      </c>
      <c r="L23" s="425"/>
      <c r="M23" s="80"/>
      <c r="N23" s="426"/>
    </row>
    <row r="24" spans="2:14" ht="15" hidden="1" customHeight="1" x14ac:dyDescent="0.3">
      <c r="B24" s="67"/>
      <c r="C24" s="172"/>
      <c r="D24" s="427">
        <v>344.05</v>
      </c>
      <c r="E24" s="428" t="s">
        <v>407</v>
      </c>
      <c r="F24" s="49">
        <v>0</v>
      </c>
      <c r="G24" s="377" t="e">
        <f t="shared" si="0"/>
        <v>#DIV/0!</v>
      </c>
      <c r="H24" s="49">
        <v>0</v>
      </c>
      <c r="I24" s="377">
        <v>17.5</v>
      </c>
      <c r="J24" s="49">
        <f t="shared" si="1"/>
        <v>0</v>
      </c>
      <c r="K24" s="49">
        <f t="shared" si="2"/>
        <v>0</v>
      </c>
      <c r="L24" s="425"/>
      <c r="M24" s="80"/>
      <c r="N24" s="426"/>
    </row>
    <row r="25" spans="2:14" ht="15" hidden="1" customHeight="1" x14ac:dyDescent="0.3">
      <c r="B25" s="67"/>
      <c r="C25" s="172"/>
      <c r="D25" s="430" t="s">
        <v>408</v>
      </c>
      <c r="E25" s="428" t="s">
        <v>409</v>
      </c>
      <c r="F25" s="49">
        <v>0</v>
      </c>
      <c r="G25" s="377" t="e">
        <f t="shared" si="0"/>
        <v>#DIV/0!</v>
      </c>
      <c r="H25" s="49">
        <v>0</v>
      </c>
      <c r="I25" s="377">
        <v>45</v>
      </c>
      <c r="J25" s="49">
        <f t="shared" si="1"/>
        <v>0</v>
      </c>
      <c r="K25" s="49">
        <f t="shared" si="2"/>
        <v>0</v>
      </c>
      <c r="L25" s="425"/>
      <c r="M25" s="80"/>
      <c r="N25" s="426"/>
    </row>
    <row r="26" spans="2:14" ht="15" customHeight="1" x14ac:dyDescent="0.3">
      <c r="B26" s="67"/>
      <c r="C26" s="172"/>
      <c r="D26" s="427">
        <v>346.05</v>
      </c>
      <c r="E26" s="428" t="s">
        <v>410</v>
      </c>
      <c r="F26" s="49">
        <v>9054.3700000000008</v>
      </c>
      <c r="G26" s="377">
        <f t="shared" si="0"/>
        <v>9.9997459854659514</v>
      </c>
      <c r="H26" s="49">
        <v>905.46</v>
      </c>
      <c r="I26" s="377">
        <v>10</v>
      </c>
      <c r="J26" s="49">
        <f t="shared" si="1"/>
        <v>905.43700000000013</v>
      </c>
      <c r="K26" s="49">
        <f t="shared" si="2"/>
        <v>-2.299999999991087E-2</v>
      </c>
      <c r="L26" s="425"/>
      <c r="M26" s="80"/>
      <c r="N26" s="426"/>
    </row>
    <row r="27" spans="2:14" ht="15" customHeight="1" x14ac:dyDescent="0.3">
      <c r="B27" s="67"/>
      <c r="C27" s="172"/>
      <c r="D27" s="427">
        <v>347.05</v>
      </c>
      <c r="E27" s="428" t="s">
        <v>411</v>
      </c>
      <c r="F27" s="49">
        <v>33490</v>
      </c>
      <c r="G27" s="377">
        <f t="shared" si="0"/>
        <v>9.9999402810374374</v>
      </c>
      <c r="H27" s="49">
        <v>3349.02</v>
      </c>
      <c r="I27" s="377">
        <v>10</v>
      </c>
      <c r="J27" s="49">
        <f t="shared" si="1"/>
        <v>3349</v>
      </c>
      <c r="K27" s="49">
        <f t="shared" si="2"/>
        <v>-1.999999999998181E-2</v>
      </c>
      <c r="L27" s="425"/>
      <c r="M27" s="80"/>
      <c r="N27" s="426"/>
    </row>
    <row r="28" spans="2:14" ht="15" customHeight="1" x14ac:dyDescent="0.3">
      <c r="B28" s="67"/>
      <c r="C28" s="172"/>
      <c r="D28" s="427">
        <v>347.09</v>
      </c>
      <c r="E28" s="428" t="s">
        <v>412</v>
      </c>
      <c r="F28" s="49">
        <v>883844</v>
      </c>
      <c r="G28" s="377">
        <f t="shared" si="0"/>
        <v>14.192560886234576</v>
      </c>
      <c r="H28" s="49">
        <v>62275.16</v>
      </c>
      <c r="I28" s="377">
        <v>17.5</v>
      </c>
      <c r="J28" s="49">
        <f t="shared" si="1"/>
        <v>50505.37142857143</v>
      </c>
      <c r="K28" s="49">
        <f t="shared" si="2"/>
        <v>-11769.788571428573</v>
      </c>
      <c r="L28" s="425"/>
      <c r="M28" s="80"/>
      <c r="N28" s="426"/>
    </row>
    <row r="29" spans="2:14" ht="6" customHeight="1" x14ac:dyDescent="0.3">
      <c r="B29" s="67"/>
      <c r="C29" s="133"/>
      <c r="D29" s="133"/>
      <c r="E29" s="431"/>
      <c r="F29" s="431"/>
      <c r="G29" s="431"/>
      <c r="H29" s="432"/>
      <c r="I29" s="432"/>
      <c r="J29" s="432"/>
      <c r="K29" s="432"/>
      <c r="L29" s="425"/>
    </row>
    <row r="30" spans="2:14" ht="15.6" x14ac:dyDescent="0.3">
      <c r="B30" s="67"/>
      <c r="C30" s="49"/>
      <c r="D30" s="49"/>
      <c r="E30" s="433" t="s">
        <v>413</v>
      </c>
      <c r="F30" s="431"/>
      <c r="G30" s="431"/>
      <c r="H30" s="432">
        <f>SUM(H9:H29)</f>
        <v>1073909.7000000002</v>
      </c>
      <c r="I30" s="432"/>
      <c r="J30" s="432">
        <f t="shared" ref="J30:K30" si="3">SUM(J9:J29)</f>
        <v>1046642.7538728716</v>
      </c>
      <c r="K30" s="432">
        <f t="shared" si="3"/>
        <v>-27266.946127128431</v>
      </c>
      <c r="L30" s="425"/>
    </row>
    <row r="31" spans="2:14" x14ac:dyDescent="0.3">
      <c r="B31" s="188"/>
      <c r="C31" s="434"/>
      <c r="D31" s="434"/>
      <c r="E31" s="434"/>
      <c r="F31" s="434"/>
      <c r="G31" s="434"/>
      <c r="H31" s="434"/>
      <c r="I31" s="435"/>
      <c r="J31" s="434"/>
      <c r="K31" s="434"/>
      <c r="L31" s="436"/>
    </row>
    <row r="33" spans="4:8" x14ac:dyDescent="0.3">
      <c r="D33" s="175" t="s">
        <v>414</v>
      </c>
      <c r="E33" s="423" t="s">
        <v>415</v>
      </c>
    </row>
    <row r="34" spans="4:8" x14ac:dyDescent="0.3">
      <c r="D34" s="175" t="s">
        <v>416</v>
      </c>
      <c r="E34" s="423" t="s">
        <v>417</v>
      </c>
    </row>
    <row r="38" spans="4:8" x14ac:dyDescent="0.3">
      <c r="E38" s="175" t="s">
        <v>418</v>
      </c>
      <c r="F38" s="423">
        <f>SUM(F9:F28)</f>
        <v>46432329.82</v>
      </c>
    </row>
    <row r="39" spans="4:8" x14ac:dyDescent="0.3">
      <c r="E39" s="423" t="s">
        <v>419</v>
      </c>
      <c r="F39" s="423">
        <f>F10+F12+F16+F24</f>
        <v>6267833.4199999999</v>
      </c>
      <c r="H39" s="437">
        <f>F39/F38</f>
        <v>0.13498856172623561</v>
      </c>
    </row>
  </sheetData>
  <mergeCells count="4">
    <mergeCell ref="C3:K3"/>
    <mergeCell ref="C4:K4"/>
    <mergeCell ref="C5:K5"/>
    <mergeCell ref="D7:E7"/>
  </mergeCells>
  <printOptions horizontalCentered="1"/>
  <pageMargins left="0.55000000000000004" right="0.55000000000000004" top="0.7" bottom="0.6" header="0" footer="0"/>
  <pageSetup scale="86" fitToHeight="2" orientation="portrait" r:id="rId1"/>
  <headerFooter alignWithMargins="0">
    <oddHeader>&amp;R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507C2-8512-40B0-A7C5-05C2D0C0A18D}">
  <sheetPr>
    <pageSetUpPr fitToPage="1"/>
  </sheetPr>
  <dimension ref="A1:V38"/>
  <sheetViews>
    <sheetView showGridLines="0" workbookViewId="0">
      <selection activeCell="N42" sqref="N42"/>
    </sheetView>
  </sheetViews>
  <sheetFormatPr defaultColWidth="8.90625" defaultRowHeight="14.4" x14ac:dyDescent="0.3"/>
  <cols>
    <col min="1" max="1" width="1.6328125" style="49" customWidth="1"/>
    <col min="2" max="2" width="12.90625" style="49" customWidth="1"/>
    <col min="3" max="4" width="7.81640625" style="49" customWidth="1"/>
    <col min="5" max="5" width="7.6328125" style="49" customWidth="1"/>
    <col min="6" max="7" width="7.81640625" style="49" customWidth="1"/>
    <col min="8" max="8" width="5.81640625" style="49" customWidth="1"/>
    <col min="9" max="10" width="7.81640625" style="49" customWidth="1"/>
    <col min="11" max="11" width="5.81640625" style="49" customWidth="1"/>
    <col min="12" max="13" width="7.81640625" style="49" customWidth="1"/>
    <col min="14" max="14" width="5.81640625" style="49" customWidth="1"/>
    <col min="15" max="16" width="7.81640625" style="49" customWidth="1"/>
    <col min="17" max="17" width="5.81640625" style="49" customWidth="1"/>
    <col min="18" max="19" width="9.81640625" style="49" bestFit="1" customWidth="1"/>
    <col min="20" max="20" width="1.08984375" style="49" customWidth="1"/>
    <col min="21" max="16384" width="8.90625" style="49"/>
  </cols>
  <sheetData>
    <row r="1" spans="1:22" ht="15.6" x14ac:dyDescent="0.3"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10"/>
      <c r="S1" s="104"/>
      <c r="T1" s="105"/>
      <c r="U1" s="1"/>
    </row>
    <row r="2" spans="1:22" ht="15.6" customHeight="1" x14ac:dyDescent="0.35">
      <c r="B2" s="619" t="s">
        <v>252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584"/>
      <c r="U2" s="1"/>
    </row>
    <row r="3" spans="1:22" ht="18" x14ac:dyDescent="0.35">
      <c r="B3" s="610" t="s">
        <v>652</v>
      </c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11"/>
      <c r="U3" s="1"/>
    </row>
    <row r="4" spans="1:22" ht="18" x14ac:dyDescent="0.3">
      <c r="B4" s="612" t="s">
        <v>331</v>
      </c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4"/>
      <c r="U4" s="1"/>
    </row>
    <row r="5" spans="1:22" ht="15.6" x14ac:dyDescent="0.3">
      <c r="B5" s="615" t="s">
        <v>367</v>
      </c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7"/>
      <c r="U5" s="1"/>
    </row>
    <row r="6" spans="1:22" ht="15.6" x14ac:dyDescent="0.3">
      <c r="B6" s="384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/>
      <c r="S6" s="1"/>
      <c r="T6" s="144"/>
      <c r="U6" s="1"/>
    </row>
    <row r="7" spans="1:22" x14ac:dyDescent="0.3">
      <c r="B7" s="386"/>
      <c r="C7" s="387"/>
      <c r="D7" s="388"/>
      <c r="E7" s="389"/>
      <c r="F7" s="388"/>
      <c r="G7" s="388"/>
      <c r="H7" s="389"/>
      <c r="I7" s="388"/>
      <c r="J7" s="388"/>
      <c r="K7" s="389"/>
      <c r="L7" s="388"/>
      <c r="M7" s="388"/>
      <c r="N7" s="389"/>
      <c r="O7" s="388"/>
      <c r="P7" s="388"/>
      <c r="Q7" s="389"/>
      <c r="R7" s="388"/>
      <c r="S7" s="388"/>
      <c r="T7" s="389"/>
      <c r="U7" s="1"/>
    </row>
    <row r="8" spans="1:22" ht="16.2" x14ac:dyDescent="0.45">
      <c r="B8" s="390"/>
      <c r="C8" s="391" t="s">
        <v>368</v>
      </c>
      <c r="D8" s="392"/>
      <c r="E8" s="393"/>
      <c r="F8" s="391" t="s">
        <v>369</v>
      </c>
      <c r="G8" s="392"/>
      <c r="H8" s="393"/>
      <c r="I8" s="391" t="s">
        <v>370</v>
      </c>
      <c r="J8" s="392"/>
      <c r="K8" s="393"/>
      <c r="L8" s="391" t="s">
        <v>371</v>
      </c>
      <c r="M8" s="392"/>
      <c r="N8" s="393"/>
      <c r="O8" s="391" t="s">
        <v>372</v>
      </c>
      <c r="P8" s="392"/>
      <c r="Q8" s="393"/>
      <c r="R8" s="618" t="s">
        <v>373</v>
      </c>
      <c r="S8" s="609"/>
      <c r="T8" s="394"/>
      <c r="U8" s="1"/>
    </row>
    <row r="9" spans="1:22" ht="16.2" x14ac:dyDescent="0.45">
      <c r="B9" s="390"/>
      <c r="C9" s="395" t="s">
        <v>374</v>
      </c>
      <c r="D9" s="395" t="s">
        <v>375</v>
      </c>
      <c r="E9" s="396" t="s">
        <v>376</v>
      </c>
      <c r="F9" s="395" t="s">
        <v>374</v>
      </c>
      <c r="G9" s="395" t="s">
        <v>375</v>
      </c>
      <c r="H9" s="396" t="s">
        <v>376</v>
      </c>
      <c r="I9" s="395" t="s">
        <v>374</v>
      </c>
      <c r="J9" s="395" t="s">
        <v>375</v>
      </c>
      <c r="K9" s="396" t="s">
        <v>376</v>
      </c>
      <c r="L9" s="395" t="s">
        <v>374</v>
      </c>
      <c r="M9" s="395" t="s">
        <v>375</v>
      </c>
      <c r="N9" s="396" t="s">
        <v>376</v>
      </c>
      <c r="O9" s="395" t="s">
        <v>374</v>
      </c>
      <c r="P9" s="395" t="s">
        <v>375</v>
      </c>
      <c r="Q9" s="396" t="s">
        <v>376</v>
      </c>
      <c r="R9" s="219" t="s">
        <v>655</v>
      </c>
      <c r="S9" s="219" t="s">
        <v>377</v>
      </c>
      <c r="T9" s="396"/>
      <c r="U9" s="1"/>
    </row>
    <row r="10" spans="1:22" ht="15.6" x14ac:dyDescent="0.3">
      <c r="B10" s="397" t="s">
        <v>378</v>
      </c>
      <c r="C10" s="398">
        <v>71000</v>
      </c>
      <c r="D10" s="398">
        <f>66482.17+67584.08-((23268.76+23654.43)*0.93)</f>
        <v>90427.683300000004</v>
      </c>
      <c r="E10" s="399"/>
      <c r="F10" s="400">
        <v>74000</v>
      </c>
      <c r="G10" s="400">
        <f>65465.77+66185.18-((22913.02+23164.81)*0.93)</f>
        <v>88798.568099999975</v>
      </c>
      <c r="H10" s="399"/>
      <c r="I10" s="400">
        <v>77000</v>
      </c>
      <c r="J10" s="400">
        <f>63674.19+64729.56-((22285.97+22655.35)*0.93)</f>
        <v>86608.322400000005</v>
      </c>
      <c r="K10" s="399"/>
      <c r="L10" s="400">
        <v>81000</v>
      </c>
      <c r="M10" s="400">
        <f>62167.92+63198.33-((21758.77+22119.42)*0.93)</f>
        <v>84559.533299999996</v>
      </c>
      <c r="N10" s="399"/>
      <c r="O10" s="400">
        <v>85000</v>
      </c>
      <c r="P10" s="400">
        <f>60587.27+61591.48-((21205.54+21557.02)*0.93)</f>
        <v>82409.569199999998</v>
      </c>
      <c r="Q10" s="399"/>
      <c r="R10" s="398">
        <f>SUM(C10:Q10)/5</f>
        <v>164160.73525999999</v>
      </c>
      <c r="S10" s="398">
        <f>R10*0.2</f>
        <v>32832.147052</v>
      </c>
      <c r="T10" s="399"/>
      <c r="U10" s="1"/>
    </row>
    <row r="11" spans="1:22" ht="15.6" x14ac:dyDescent="0.3">
      <c r="B11" s="397" t="s">
        <v>379</v>
      </c>
      <c r="C11" s="401">
        <v>131000</v>
      </c>
      <c r="D11" s="398">
        <v>250374</v>
      </c>
      <c r="E11" s="399"/>
      <c r="F11" s="402">
        <f>137000</f>
        <v>137000</v>
      </c>
      <c r="G11" s="400">
        <v>246092</v>
      </c>
      <c r="H11" s="399"/>
      <c r="I11" s="402">
        <v>143000</v>
      </c>
      <c r="J11" s="400">
        <v>241624</v>
      </c>
      <c r="K11" s="399"/>
      <c r="L11" s="402">
        <v>150000</v>
      </c>
      <c r="M11" s="400">
        <v>236936</v>
      </c>
      <c r="N11" s="399"/>
      <c r="O11" s="402">
        <v>157000</v>
      </c>
      <c r="P11" s="400">
        <v>232030</v>
      </c>
      <c r="Q11" s="399"/>
      <c r="R11" s="398">
        <f>SUM(C11:Q11)/5</f>
        <v>385011.20000000001</v>
      </c>
      <c r="S11" s="398">
        <f>R11*0.2</f>
        <v>77002.240000000005</v>
      </c>
      <c r="T11" s="399"/>
      <c r="U11" s="1"/>
      <c r="V11" s="49">
        <f>SUM(R10:S11)</f>
        <v>659006.32231199997</v>
      </c>
    </row>
    <row r="12" spans="1:22" hidden="1" x14ac:dyDescent="0.3">
      <c r="B12" s="403" t="s">
        <v>380</v>
      </c>
      <c r="C12" s="404">
        <v>0</v>
      </c>
      <c r="D12" s="404">
        <v>0</v>
      </c>
      <c r="E12" s="405">
        <v>0</v>
      </c>
      <c r="F12" s="404">
        <v>0</v>
      </c>
      <c r="G12" s="404">
        <v>0</v>
      </c>
      <c r="H12" s="405">
        <v>0</v>
      </c>
      <c r="I12" s="404">
        <v>0</v>
      </c>
      <c r="J12" s="404">
        <v>0</v>
      </c>
      <c r="K12" s="405">
        <v>0</v>
      </c>
      <c r="L12" s="404">
        <v>0</v>
      </c>
      <c r="M12" s="404">
        <v>0</v>
      </c>
      <c r="N12" s="405">
        <v>0</v>
      </c>
      <c r="O12" s="404">
        <v>0</v>
      </c>
      <c r="P12" s="404">
        <v>0</v>
      </c>
      <c r="Q12" s="405">
        <v>0</v>
      </c>
      <c r="R12" s="398">
        <f t="shared" ref="R12" si="0">SUM(C12:Q12)/5</f>
        <v>0</v>
      </c>
      <c r="S12" s="398">
        <f>R12*0.2</f>
        <v>0</v>
      </c>
      <c r="T12" s="405"/>
      <c r="U12" s="1"/>
    </row>
    <row r="13" spans="1:22" x14ac:dyDescent="0.3">
      <c r="B13" s="406"/>
      <c r="C13" s="407"/>
      <c r="D13" s="404"/>
      <c r="E13" s="405"/>
      <c r="F13" s="404"/>
      <c r="G13" s="404"/>
      <c r="H13" s="405"/>
      <c r="I13" s="404"/>
      <c r="J13" s="404"/>
      <c r="K13" s="405"/>
      <c r="L13" s="404"/>
      <c r="M13" s="404"/>
      <c r="N13" s="405"/>
      <c r="O13" s="404"/>
      <c r="P13" s="404"/>
      <c r="Q13" s="405"/>
      <c r="R13" s="404"/>
      <c r="S13" s="404"/>
      <c r="T13" s="405"/>
      <c r="U13" s="1"/>
    </row>
    <row r="14" spans="1:22" x14ac:dyDescent="0.3">
      <c r="B14" s="408" t="s">
        <v>115</v>
      </c>
      <c r="C14" s="409">
        <f>SUM(C10:C13)</f>
        <v>202000</v>
      </c>
      <c r="D14" s="410">
        <f>SUM(D10:D13)</f>
        <v>340801.68330000003</v>
      </c>
      <c r="E14" s="411">
        <f t="shared" ref="E14:K14" si="1">SUM(E10:E13)</f>
        <v>0</v>
      </c>
      <c r="F14" s="410">
        <f>SUM(F10:F13)</f>
        <v>211000</v>
      </c>
      <c r="G14" s="410">
        <f>SUM(G10:G13)</f>
        <v>334890.56809999997</v>
      </c>
      <c r="H14" s="411">
        <f t="shared" si="1"/>
        <v>0</v>
      </c>
      <c r="I14" s="410">
        <f>SUM(I10:I13)</f>
        <v>220000</v>
      </c>
      <c r="J14" s="410">
        <f>SUM(J10:J13)</f>
        <v>328232.3224</v>
      </c>
      <c r="K14" s="411">
        <f t="shared" si="1"/>
        <v>0</v>
      </c>
      <c r="L14" s="410">
        <f>SUM(L10:L13)</f>
        <v>231000</v>
      </c>
      <c r="M14" s="410">
        <f>SUM(M10:M13)</f>
        <v>321495.53330000001</v>
      </c>
      <c r="N14" s="411">
        <f t="shared" ref="N14:Q14" si="2">SUM(N10:N13)</f>
        <v>0</v>
      </c>
      <c r="O14" s="410">
        <f>SUM(O10:O13)</f>
        <v>242000</v>
      </c>
      <c r="P14" s="410">
        <f>SUM(P10:P13)</f>
        <v>314439.56920000003</v>
      </c>
      <c r="Q14" s="411">
        <f t="shared" si="2"/>
        <v>0</v>
      </c>
      <c r="R14" s="410">
        <f>SUM(R10:R13)</f>
        <v>549171.93525999994</v>
      </c>
      <c r="S14" s="410">
        <f>SUM(S10:S13)</f>
        <v>109834.38705200001</v>
      </c>
      <c r="T14" s="411"/>
      <c r="U14" s="1"/>
    </row>
    <row r="15" spans="1:22" x14ac:dyDescent="0.3">
      <c r="B15" s="412"/>
      <c r="C15" s="413"/>
      <c r="D15" s="414"/>
      <c r="E15" s="415"/>
      <c r="F15" s="414"/>
      <c r="G15" s="414"/>
      <c r="H15" s="415"/>
      <c r="I15" s="414"/>
      <c r="J15" s="414"/>
      <c r="K15" s="415"/>
      <c r="L15" s="414"/>
      <c r="M15" s="414"/>
      <c r="N15" s="415"/>
      <c r="O15" s="414"/>
      <c r="P15" s="414"/>
      <c r="Q15" s="415"/>
      <c r="R15" s="414"/>
      <c r="S15" s="414"/>
      <c r="T15" s="415"/>
      <c r="U15" s="1"/>
    </row>
    <row r="16" spans="1:22" ht="15.6" hidden="1" x14ac:dyDescent="0.3">
      <c r="A16"/>
      <c r="B16"/>
      <c r="C16"/>
      <c r="D16" s="267"/>
      <c r="E16"/>
      <c r="F16"/>
      <c r="G16" s="267"/>
      <c r="H16"/>
      <c r="I16"/>
      <c r="J16" s="267"/>
      <c r="K16"/>
      <c r="L16"/>
      <c r="M16" s="267"/>
      <c r="N16"/>
      <c r="O16" s="9"/>
      <c r="P16" s="416"/>
      <c r="Q16" s="10"/>
      <c r="R16" s="10"/>
      <c r="S16" s="104"/>
      <c r="T16" s="105"/>
      <c r="U16" s="1"/>
    </row>
    <row r="17" spans="1:21" ht="15.6" hidden="1" x14ac:dyDescent="0.3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 s="67" t="s">
        <v>381</v>
      </c>
      <c r="P17"/>
      <c r="Q17"/>
      <c r="R17" s="80">
        <f>S29</f>
        <v>0</v>
      </c>
      <c r="S17" s="80">
        <f>R17*0.2</f>
        <v>0</v>
      </c>
      <c r="T17" s="138"/>
      <c r="U17" s="1"/>
    </row>
    <row r="18" spans="1:21" ht="15.6" hidden="1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417"/>
      <c r="P18"/>
      <c r="Q18"/>
      <c r="R18"/>
      <c r="S18" s="1"/>
      <c r="T18" s="138"/>
      <c r="U18" s="1"/>
    </row>
    <row r="19" spans="1:21" hidden="1" x14ac:dyDescent="0.3">
      <c r="O19" s="67" t="s">
        <v>382</v>
      </c>
      <c r="P19" s="80"/>
      <c r="Q19" s="80"/>
      <c r="R19" s="418">
        <f>R14+R17</f>
        <v>549171.93525999994</v>
      </c>
      <c r="S19" s="418">
        <f>S14+S17</f>
        <v>109834.38705200001</v>
      </c>
      <c r="T19" s="419"/>
    </row>
    <row r="20" spans="1:21" hidden="1" x14ac:dyDescent="0.3">
      <c r="O20" s="188"/>
      <c r="P20" s="76"/>
      <c r="Q20" s="76"/>
      <c r="R20" s="76"/>
      <c r="S20" s="76"/>
      <c r="T20" s="66"/>
    </row>
    <row r="21" spans="1:21" hidden="1" x14ac:dyDescent="0.3"/>
    <row r="22" spans="1:21" hidden="1" x14ac:dyDescent="0.3">
      <c r="O22" s="49" t="s">
        <v>383</v>
      </c>
    </row>
    <row r="23" spans="1:21" hidden="1" x14ac:dyDescent="0.3"/>
    <row r="24" spans="1:21" hidden="1" x14ac:dyDescent="0.3"/>
    <row r="25" spans="1:21" hidden="1" x14ac:dyDescent="0.3"/>
    <row r="26" spans="1:21" hidden="1" x14ac:dyDescent="0.3"/>
    <row r="27" spans="1:21" hidden="1" x14ac:dyDescent="0.3"/>
    <row r="28" spans="1:21" hidden="1" x14ac:dyDescent="0.3">
      <c r="Q28" s="68" t="s">
        <v>384</v>
      </c>
    </row>
    <row r="29" spans="1:21" hidden="1" x14ac:dyDescent="0.3">
      <c r="R29" s="49" t="s">
        <v>385</v>
      </c>
      <c r="S29" s="49">
        <f>-PMT(0.03,38,0)</f>
        <v>0</v>
      </c>
    </row>
    <row r="30" spans="1:21" hidden="1" x14ac:dyDescent="0.3">
      <c r="R30" s="49" t="s">
        <v>375</v>
      </c>
      <c r="S30" s="49">
        <f>0*0.03</f>
        <v>0</v>
      </c>
    </row>
    <row r="31" spans="1:21" hidden="1" x14ac:dyDescent="0.3">
      <c r="R31" s="49" t="s">
        <v>374</v>
      </c>
      <c r="S31" s="49">
        <f>S29-S30</f>
        <v>0</v>
      </c>
    </row>
    <row r="34" spans="2:6" x14ac:dyDescent="0.3">
      <c r="B34" s="560" t="s">
        <v>572</v>
      </c>
      <c r="C34" s="265"/>
      <c r="D34" s="265"/>
      <c r="E34" s="265"/>
      <c r="F34" s="265"/>
    </row>
    <row r="35" spans="2:6" x14ac:dyDescent="0.3">
      <c r="B35" s="560">
        <v>4.1000000000000002E-2</v>
      </c>
      <c r="C35" s="265" t="s">
        <v>558</v>
      </c>
      <c r="D35" s="265"/>
      <c r="E35" s="265">
        <f>(R14+S14)*B35</f>
        <v>27019.259214792</v>
      </c>
    </row>
    <row r="36" spans="2:6" x14ac:dyDescent="0.3">
      <c r="B36" s="560">
        <v>0.33100000000000002</v>
      </c>
      <c r="C36" s="265" t="s">
        <v>559</v>
      </c>
      <c r="D36" s="265"/>
      <c r="E36" s="265">
        <f>(R14+S14)*B36</f>
        <v>218131.09268527201</v>
      </c>
    </row>
    <row r="37" spans="2:6" ht="16.2" x14ac:dyDescent="0.45">
      <c r="B37" s="561">
        <v>0.628</v>
      </c>
      <c r="C37" s="265" t="s">
        <v>557</v>
      </c>
      <c r="D37" s="265"/>
      <c r="E37" s="266">
        <f>(R14+S14)*B37</f>
        <v>413855.970411936</v>
      </c>
    </row>
    <row r="38" spans="2:6" x14ac:dyDescent="0.3">
      <c r="B38" s="560">
        <f>SUM(B35:B37)</f>
        <v>1</v>
      </c>
      <c r="C38" s="265"/>
      <c r="D38" s="265"/>
      <c r="E38" s="265">
        <f>SUM(E35:E37)</f>
        <v>659006.32231199997</v>
      </c>
    </row>
  </sheetData>
  <mergeCells count="5">
    <mergeCell ref="B3:T3"/>
    <mergeCell ref="B4:T4"/>
    <mergeCell ref="B5:T5"/>
    <mergeCell ref="R8:S8"/>
    <mergeCell ref="B2:S2"/>
  </mergeCells>
  <printOptions horizontalCentered="1"/>
  <pageMargins left="0.5" right="0.5" top="1.25" bottom="0.75" header="0.3" footer="0.3"/>
  <pageSetup scale="74" orientation="landscape" r:id="rId1"/>
  <ignoredErrors>
    <ignoredError sqref="L8 O8 I8 F8 C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7"/>
  <sheetViews>
    <sheetView workbookViewId="0"/>
  </sheetViews>
  <sheetFormatPr defaultRowHeight="15" x14ac:dyDescent="0.25"/>
  <cols>
    <col min="2" max="2" width="2.6328125" customWidth="1"/>
    <col min="3" max="5" width="9.6328125" customWidth="1"/>
    <col min="6" max="6" width="9.1796875" customWidth="1"/>
    <col min="7" max="8" width="9.6328125" customWidth="1"/>
    <col min="9" max="9" width="2.81640625" customWidth="1"/>
    <col min="11" max="11" width="9.90625" bestFit="1" customWidth="1"/>
    <col min="12" max="12" width="9" bestFit="1" customWidth="1"/>
    <col min="14" max="14" width="10" customWidth="1"/>
  </cols>
  <sheetData>
    <row r="1" spans="1:22" ht="15.6" x14ac:dyDescent="0.3">
      <c r="A1" s="1"/>
      <c r="B1" s="103"/>
      <c r="C1" s="104"/>
      <c r="D1" s="104"/>
      <c r="E1" s="104"/>
      <c r="F1" s="104"/>
      <c r="G1" s="104"/>
      <c r="H1" s="104"/>
      <c r="I1" s="105"/>
      <c r="J1" s="1"/>
      <c r="K1" s="1"/>
      <c r="L1" s="1"/>
      <c r="M1" s="1"/>
    </row>
    <row r="2" spans="1:22" ht="18" x14ac:dyDescent="0.35">
      <c r="A2" s="1"/>
      <c r="B2" s="106"/>
      <c r="C2" s="620" t="s">
        <v>169</v>
      </c>
      <c r="D2" s="620"/>
      <c r="E2" s="620"/>
      <c r="F2" s="620"/>
      <c r="G2" s="620"/>
      <c r="H2" s="620"/>
      <c r="I2" s="138"/>
      <c r="J2" s="1"/>
      <c r="K2" s="1"/>
      <c r="L2" s="1"/>
      <c r="M2" s="1"/>
    </row>
    <row r="3" spans="1:22" ht="18" x14ac:dyDescent="0.35">
      <c r="A3" s="1"/>
      <c r="B3" s="106"/>
      <c r="C3" s="3" t="s">
        <v>53</v>
      </c>
      <c r="D3" s="148"/>
      <c r="E3" s="148"/>
      <c r="F3" s="148"/>
      <c r="G3" s="148"/>
      <c r="H3" s="148"/>
      <c r="I3" s="13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6" x14ac:dyDescent="0.3">
      <c r="A4" s="1"/>
      <c r="B4" s="106"/>
      <c r="C4" s="621" t="s">
        <v>331</v>
      </c>
      <c r="D4" s="621"/>
      <c r="E4" s="621"/>
      <c r="F4" s="621"/>
      <c r="G4" s="621"/>
      <c r="H4" s="621"/>
      <c r="I4" s="259"/>
      <c r="J4" s="8"/>
      <c r="K4" s="8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6" x14ac:dyDescent="0.3">
      <c r="A5" s="1"/>
      <c r="B5" s="117"/>
      <c r="C5" s="260"/>
      <c r="D5" s="260"/>
      <c r="E5" s="260"/>
      <c r="F5" s="260"/>
      <c r="G5" s="260"/>
      <c r="H5" s="260"/>
      <c r="I5" s="261"/>
      <c r="J5" s="8"/>
      <c r="K5" s="8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6" x14ac:dyDescent="0.3">
      <c r="A6" s="1"/>
      <c r="B6" s="106"/>
      <c r="C6" s="47"/>
      <c r="D6" s="47"/>
      <c r="E6" s="47"/>
      <c r="F6" s="47"/>
      <c r="G6" s="47"/>
      <c r="H6" s="47"/>
      <c r="I6" s="13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6" x14ac:dyDescent="0.3">
      <c r="A7" s="1"/>
      <c r="B7" s="106"/>
      <c r="C7" s="146" t="s">
        <v>54</v>
      </c>
      <c r="D7" s="146"/>
      <c r="E7" s="145"/>
      <c r="F7" s="145"/>
      <c r="G7" s="145"/>
      <c r="H7" s="145"/>
      <c r="I7" s="13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6.9" customHeight="1" x14ac:dyDescent="0.3">
      <c r="A8" s="1"/>
      <c r="B8" s="106"/>
      <c r="C8" s="147"/>
      <c r="D8" s="147"/>
      <c r="E8" s="147"/>
      <c r="F8" s="147"/>
      <c r="G8" s="147"/>
      <c r="H8" s="147"/>
      <c r="I8" s="13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6" x14ac:dyDescent="0.3">
      <c r="A9" s="1"/>
      <c r="B9" s="106"/>
      <c r="C9" s="7"/>
      <c r="D9" s="4" t="s">
        <v>55</v>
      </c>
      <c r="E9" s="4"/>
      <c r="F9" s="4"/>
      <c r="G9" s="129" t="s">
        <v>56</v>
      </c>
      <c r="H9" s="4"/>
      <c r="I9" s="138"/>
      <c r="J9" s="17"/>
      <c r="K9" s="17"/>
      <c r="L9" s="17"/>
      <c r="M9" s="17"/>
      <c r="N9" s="17" t="s">
        <v>568</v>
      </c>
      <c r="O9" s="17"/>
      <c r="P9" s="17"/>
      <c r="Q9" s="17"/>
      <c r="R9" s="17"/>
      <c r="S9" s="17"/>
      <c r="T9" s="1"/>
      <c r="U9" s="1"/>
      <c r="V9" s="1"/>
    </row>
    <row r="10" spans="1:22" ht="15.6" x14ac:dyDescent="0.3">
      <c r="A10" s="1"/>
      <c r="B10" s="106"/>
      <c r="C10" s="54" t="s">
        <v>57</v>
      </c>
      <c r="D10" s="130" t="s">
        <v>58</v>
      </c>
      <c r="E10" s="130" t="s">
        <v>59</v>
      </c>
      <c r="F10" s="130" t="s">
        <v>60</v>
      </c>
      <c r="G10" s="131" t="s">
        <v>59</v>
      </c>
      <c r="H10" s="130" t="s">
        <v>60</v>
      </c>
      <c r="I10" s="138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"/>
      <c r="U10" s="1"/>
      <c r="V10" s="1"/>
    </row>
    <row r="11" spans="1:22" ht="17.399999999999999" x14ac:dyDescent="0.45">
      <c r="A11" s="1"/>
      <c r="B11" s="106"/>
      <c r="C11" s="54" t="s">
        <v>61</v>
      </c>
      <c r="D11" s="54" t="s">
        <v>62</v>
      </c>
      <c r="E11" s="54" t="s">
        <v>63</v>
      </c>
      <c r="F11" s="54" t="s">
        <v>64</v>
      </c>
      <c r="G11" s="132" t="s">
        <v>63</v>
      </c>
      <c r="H11" s="54" t="s">
        <v>64</v>
      </c>
      <c r="I11" s="138"/>
      <c r="J11" s="17"/>
      <c r="K11" s="1"/>
      <c r="L11" s="17"/>
      <c r="M11" s="54" t="s">
        <v>61</v>
      </c>
      <c r="N11" s="95" t="s">
        <v>253</v>
      </c>
      <c r="O11" s="17"/>
      <c r="P11" s="17"/>
      <c r="Q11" s="17"/>
      <c r="R11" s="17"/>
      <c r="S11" s="17"/>
      <c r="T11" s="1"/>
      <c r="U11" s="1"/>
      <c r="V11" s="1"/>
    </row>
    <row r="12" spans="1:22" ht="15.6" x14ac:dyDescent="0.3">
      <c r="A12" s="1"/>
      <c r="B12" s="106"/>
      <c r="C12" s="107">
        <v>36</v>
      </c>
      <c r="D12" s="7">
        <v>14621</v>
      </c>
      <c r="E12" s="134">
        <f>D12/5280</f>
        <v>2.7691287878787878</v>
      </c>
      <c r="F12" s="135">
        <f>E12*C12</f>
        <v>99.688636363636363</v>
      </c>
      <c r="G12" s="136">
        <f t="shared" ref="G12:G13" si="0">N12/5280</f>
        <v>2.7691287878787878</v>
      </c>
      <c r="H12" s="43">
        <f>G12*C12</f>
        <v>99.688636363636363</v>
      </c>
      <c r="I12" s="138"/>
      <c r="J12" s="17"/>
      <c r="K12" s="17"/>
      <c r="L12" s="17"/>
      <c r="M12" s="107">
        <v>36</v>
      </c>
      <c r="N12" s="17">
        <v>14621</v>
      </c>
      <c r="O12" s="17"/>
      <c r="P12" s="17"/>
      <c r="Q12" s="17"/>
      <c r="R12" s="17"/>
      <c r="S12" s="17"/>
      <c r="T12" s="1"/>
      <c r="U12" s="1"/>
      <c r="V12" s="1"/>
    </row>
    <row r="13" spans="1:22" ht="15.6" x14ac:dyDescent="0.3">
      <c r="A13" s="1"/>
      <c r="B13" s="106"/>
      <c r="C13" s="107">
        <v>30</v>
      </c>
      <c r="D13" s="133">
        <v>2837</v>
      </c>
      <c r="E13" s="134">
        <f>D13/5280</f>
        <v>0.5373106060606061</v>
      </c>
      <c r="F13" s="135">
        <f>E13*C13</f>
        <v>16.119318181818183</v>
      </c>
      <c r="G13" s="136">
        <f t="shared" si="0"/>
        <v>0.51420454545454541</v>
      </c>
      <c r="H13" s="43">
        <f t="shared" ref="H13:H23" si="1">G13*C13</f>
        <v>15.426136363636363</v>
      </c>
      <c r="I13" s="138"/>
      <c r="J13" s="17"/>
      <c r="K13" s="133"/>
      <c r="L13" s="17"/>
      <c r="M13" s="107">
        <v>30</v>
      </c>
      <c r="N13" s="17">
        <v>2715</v>
      </c>
      <c r="O13" s="17"/>
      <c r="P13" s="17"/>
      <c r="Q13" s="17"/>
      <c r="R13" s="17"/>
      <c r="S13" s="17"/>
      <c r="T13" s="1"/>
      <c r="U13" s="1"/>
      <c r="V13" s="1"/>
    </row>
    <row r="14" spans="1:22" ht="15.6" x14ac:dyDescent="0.3">
      <c r="A14" s="1"/>
      <c r="B14" s="106"/>
      <c r="C14" s="107">
        <v>24</v>
      </c>
      <c r="D14" s="133">
        <v>96803</v>
      </c>
      <c r="E14" s="134">
        <f t="shared" ref="E14:E25" si="2">D14/5280</f>
        <v>18.333901515151513</v>
      </c>
      <c r="F14" s="135">
        <f>E14*C14</f>
        <v>440.01363636363635</v>
      </c>
      <c r="G14" s="136">
        <f>N14/5280</f>
        <v>18.11496212121212</v>
      </c>
      <c r="H14" s="43">
        <f t="shared" ref="H14:H20" si="3">G14*C14</f>
        <v>434.7590909090909</v>
      </c>
      <c r="I14" s="138"/>
      <c r="J14" s="17"/>
      <c r="K14" s="17"/>
      <c r="L14" s="17"/>
      <c r="M14" s="107">
        <v>24</v>
      </c>
      <c r="N14" s="17">
        <v>95647</v>
      </c>
      <c r="O14" s="17"/>
      <c r="P14" s="17"/>
      <c r="Q14" s="17"/>
      <c r="R14" s="17"/>
      <c r="S14" s="17"/>
      <c r="T14" s="1"/>
      <c r="U14" s="1"/>
      <c r="V14" s="1"/>
    </row>
    <row r="15" spans="1:22" ht="15.6" x14ac:dyDescent="0.3">
      <c r="A15" s="1"/>
      <c r="B15" s="106"/>
      <c r="C15" s="107">
        <v>18</v>
      </c>
      <c r="D15" s="133">
        <v>676</v>
      </c>
      <c r="E15" s="134">
        <f t="shared" si="2"/>
        <v>0.12803030303030302</v>
      </c>
      <c r="F15" s="135">
        <f>E15*C15</f>
        <v>2.3045454545454542</v>
      </c>
      <c r="G15" s="136">
        <f t="shared" ref="G15:G23" si="4">N15/5280</f>
        <v>0.12670454545454546</v>
      </c>
      <c r="H15" s="43">
        <f t="shared" si="3"/>
        <v>2.2806818181818183</v>
      </c>
      <c r="I15" s="138"/>
      <c r="J15" s="17"/>
      <c r="K15" s="17"/>
      <c r="L15" s="17"/>
      <c r="M15" s="107">
        <v>18</v>
      </c>
      <c r="N15" s="17">
        <v>669</v>
      </c>
      <c r="O15" s="17"/>
      <c r="P15" s="17"/>
      <c r="Q15" s="17"/>
      <c r="R15" s="17"/>
      <c r="S15" s="17"/>
      <c r="T15" s="1"/>
      <c r="U15" s="1"/>
      <c r="V15" s="1"/>
    </row>
    <row r="16" spans="1:22" ht="15.6" x14ac:dyDescent="0.3">
      <c r="A16" s="1"/>
      <c r="B16" s="106"/>
      <c r="C16" s="107">
        <v>16</v>
      </c>
      <c r="D16" s="133">
        <v>32897</v>
      </c>
      <c r="E16" s="134">
        <f t="shared" si="2"/>
        <v>6.2304924242424242</v>
      </c>
      <c r="F16" s="135">
        <f t="shared" ref="F16:F19" si="5">E16*C16</f>
        <v>99.687878787878788</v>
      </c>
      <c r="G16" s="136">
        <f t="shared" si="4"/>
        <v>2.9717803030303029</v>
      </c>
      <c r="H16" s="43">
        <f t="shared" si="3"/>
        <v>47.548484848484847</v>
      </c>
      <c r="I16" s="138"/>
      <c r="J16" s="17"/>
      <c r="K16" s="17"/>
      <c r="L16" s="17"/>
      <c r="M16" s="107">
        <v>16</v>
      </c>
      <c r="N16" s="17">
        <v>15691</v>
      </c>
      <c r="O16" s="17"/>
      <c r="P16" s="17"/>
      <c r="Q16" s="17"/>
      <c r="R16" s="17"/>
      <c r="S16" s="17"/>
      <c r="T16" s="1"/>
      <c r="U16" s="1"/>
      <c r="V16" s="1"/>
    </row>
    <row r="17" spans="1:22" ht="15.6" x14ac:dyDescent="0.3">
      <c r="A17" s="1"/>
      <c r="B17" s="106"/>
      <c r="C17" s="107">
        <v>14</v>
      </c>
      <c r="D17" s="133">
        <v>32337</v>
      </c>
      <c r="E17" s="134">
        <f t="shared" si="2"/>
        <v>6.1244318181818178</v>
      </c>
      <c r="F17" s="135">
        <f t="shared" si="5"/>
        <v>85.742045454545448</v>
      </c>
      <c r="G17" s="136">
        <f t="shared" si="4"/>
        <v>5.9954545454545451</v>
      </c>
      <c r="H17" s="43">
        <f t="shared" si="3"/>
        <v>83.936363636363637</v>
      </c>
      <c r="I17" s="138"/>
      <c r="J17" s="17"/>
      <c r="K17" s="17"/>
      <c r="L17" s="17"/>
      <c r="M17" s="107">
        <v>14</v>
      </c>
      <c r="N17" s="17">
        <v>31656</v>
      </c>
      <c r="O17" s="17"/>
      <c r="P17" s="17"/>
      <c r="Q17" s="17"/>
      <c r="R17" s="17"/>
      <c r="S17" s="17"/>
      <c r="T17" s="1"/>
      <c r="U17" s="1"/>
      <c r="V17" s="1"/>
    </row>
    <row r="18" spans="1:22" ht="15.6" x14ac:dyDescent="0.3">
      <c r="A18" s="1"/>
      <c r="B18" s="106"/>
      <c r="C18" s="107">
        <v>12</v>
      </c>
      <c r="D18" s="133">
        <v>132199</v>
      </c>
      <c r="E18" s="134">
        <f t="shared" si="2"/>
        <v>25.037689393939395</v>
      </c>
      <c r="F18" s="135">
        <f t="shared" si="5"/>
        <v>300.45227272727277</v>
      </c>
      <c r="G18" s="136">
        <f t="shared" si="4"/>
        <v>13.769128787878788</v>
      </c>
      <c r="H18" s="43">
        <f t="shared" si="3"/>
        <v>165.22954545454547</v>
      </c>
      <c r="I18" s="138"/>
      <c r="J18" s="17"/>
      <c r="K18" s="17"/>
      <c r="L18" s="17"/>
      <c r="M18" s="107">
        <v>12</v>
      </c>
      <c r="N18" s="17">
        <v>72701</v>
      </c>
      <c r="O18" s="17"/>
      <c r="P18" s="17"/>
      <c r="Q18" s="17"/>
      <c r="R18" s="17"/>
      <c r="S18" s="17"/>
      <c r="T18" s="1"/>
      <c r="U18" s="1"/>
      <c r="V18" s="1"/>
    </row>
    <row r="19" spans="1:22" ht="15.6" x14ac:dyDescent="0.3">
      <c r="A19" s="1"/>
      <c r="B19" s="106"/>
      <c r="C19" s="107">
        <v>10</v>
      </c>
      <c r="D19" s="133">
        <v>92545</v>
      </c>
      <c r="E19" s="134">
        <f t="shared" si="2"/>
        <v>17.527462121212121</v>
      </c>
      <c r="F19" s="135">
        <f t="shared" si="5"/>
        <v>175.27462121212122</v>
      </c>
      <c r="G19" s="136">
        <f t="shared" si="4"/>
        <v>3.937121212121212</v>
      </c>
      <c r="H19" s="43">
        <f t="shared" si="3"/>
        <v>39.371212121212118</v>
      </c>
      <c r="I19" s="138"/>
      <c r="J19" s="17"/>
      <c r="K19" s="17"/>
      <c r="L19" s="17"/>
      <c r="M19" s="107">
        <v>10</v>
      </c>
      <c r="N19" s="17">
        <v>20788</v>
      </c>
      <c r="O19" s="17"/>
      <c r="P19" s="17"/>
      <c r="Q19" s="17"/>
      <c r="R19" s="17"/>
      <c r="S19" s="17"/>
      <c r="T19" s="1"/>
      <c r="U19" s="1"/>
      <c r="V19" s="1"/>
    </row>
    <row r="20" spans="1:22" ht="15.6" x14ac:dyDescent="0.3">
      <c r="A20" s="1"/>
      <c r="B20" s="106"/>
      <c r="C20" s="262">
        <v>8</v>
      </c>
      <c r="D20" s="133">
        <v>207521</v>
      </c>
      <c r="E20" s="134">
        <f t="shared" si="2"/>
        <v>39.303219696969698</v>
      </c>
      <c r="F20" s="135">
        <f t="shared" ref="F20:F25" si="6">E20*C20</f>
        <v>314.42575757575759</v>
      </c>
      <c r="G20" s="136">
        <f>N20/5280</f>
        <v>2.9001893939393941</v>
      </c>
      <c r="H20" s="43">
        <f t="shared" si="3"/>
        <v>23.201515151515153</v>
      </c>
      <c r="I20" s="138"/>
      <c r="J20" s="17"/>
      <c r="K20" s="17"/>
      <c r="L20" s="17"/>
      <c r="M20" s="262">
        <v>8</v>
      </c>
      <c r="N20" s="340">
        <v>15313</v>
      </c>
      <c r="O20" s="17"/>
      <c r="P20" s="340"/>
      <c r="Q20" s="17"/>
      <c r="R20" s="17"/>
      <c r="S20" s="17"/>
      <c r="T20" s="1"/>
      <c r="U20" s="1"/>
      <c r="V20" s="1"/>
    </row>
    <row r="21" spans="1:22" ht="15.6" x14ac:dyDescent="0.3">
      <c r="A21" s="1"/>
      <c r="B21" s="106"/>
      <c r="C21" s="262">
        <v>6</v>
      </c>
      <c r="D21" s="133">
        <v>957221</v>
      </c>
      <c r="E21" s="134">
        <f t="shared" si="2"/>
        <v>181.29185606060605</v>
      </c>
      <c r="F21" s="135">
        <f t="shared" si="6"/>
        <v>1087.7511363636363</v>
      </c>
      <c r="G21" s="136">
        <f t="shared" si="4"/>
        <v>0</v>
      </c>
      <c r="H21" s="43">
        <f t="shared" si="1"/>
        <v>0</v>
      </c>
      <c r="I21" s="138"/>
      <c r="J21" s="17"/>
      <c r="K21" s="17"/>
      <c r="L21" s="17"/>
      <c r="M21" s="262">
        <v>6</v>
      </c>
      <c r="N21" s="17">
        <v>0</v>
      </c>
      <c r="O21" s="17"/>
      <c r="P21" s="17"/>
      <c r="Q21" s="17"/>
      <c r="R21" s="17"/>
      <c r="S21" s="17"/>
      <c r="T21" s="1"/>
      <c r="U21" s="1"/>
      <c r="V21" s="1"/>
    </row>
    <row r="22" spans="1:22" ht="15.6" x14ac:dyDescent="0.3">
      <c r="A22" s="1"/>
      <c r="B22" s="106"/>
      <c r="C22" s="262">
        <v>4</v>
      </c>
      <c r="D22" s="133">
        <v>68739</v>
      </c>
      <c r="E22" s="134">
        <f t="shared" si="2"/>
        <v>13.018750000000001</v>
      </c>
      <c r="F22" s="135">
        <f t="shared" si="6"/>
        <v>52.075000000000003</v>
      </c>
      <c r="G22" s="136">
        <f t="shared" si="4"/>
        <v>0</v>
      </c>
      <c r="H22" s="43">
        <f t="shared" si="1"/>
        <v>0</v>
      </c>
      <c r="I22" s="138"/>
      <c r="J22" s="17"/>
      <c r="K22" s="17"/>
      <c r="L22" s="17"/>
      <c r="M22" s="262">
        <v>4</v>
      </c>
      <c r="N22" s="17">
        <v>0</v>
      </c>
      <c r="O22" s="17"/>
      <c r="P22" s="17"/>
      <c r="Q22" s="17"/>
      <c r="R22" s="17"/>
      <c r="S22" s="17"/>
      <c r="T22" s="1"/>
      <c r="U22" s="1"/>
      <c r="V22" s="1"/>
    </row>
    <row r="23" spans="1:22" ht="15.6" x14ac:dyDescent="0.3">
      <c r="A23" s="1"/>
      <c r="B23" s="106"/>
      <c r="C23" s="262">
        <v>3</v>
      </c>
      <c r="D23" s="133">
        <v>266741</v>
      </c>
      <c r="E23" s="134">
        <f t="shared" si="2"/>
        <v>50.519128787878785</v>
      </c>
      <c r="F23" s="135">
        <f t="shared" si="6"/>
        <v>151.55738636363634</v>
      </c>
      <c r="G23" s="136">
        <f t="shared" si="4"/>
        <v>0</v>
      </c>
      <c r="H23" s="43">
        <f t="shared" si="1"/>
        <v>0</v>
      </c>
      <c r="I23" s="138"/>
      <c r="J23" s="17"/>
      <c r="K23" s="17"/>
      <c r="L23" s="17"/>
      <c r="M23" s="262">
        <v>3</v>
      </c>
      <c r="N23" s="17">
        <v>0</v>
      </c>
      <c r="O23" s="17"/>
      <c r="P23" s="17"/>
      <c r="Q23" s="17"/>
      <c r="R23" s="17"/>
      <c r="S23" s="17"/>
      <c r="T23" s="1"/>
      <c r="U23" s="1"/>
      <c r="V23" s="1"/>
    </row>
    <row r="24" spans="1:22" ht="15.6" x14ac:dyDescent="0.3">
      <c r="A24" s="1"/>
      <c r="B24" s="106"/>
      <c r="C24" s="107">
        <v>2</v>
      </c>
      <c r="D24" s="133">
        <v>31873</v>
      </c>
      <c r="E24" s="134">
        <f t="shared" si="2"/>
        <v>6.0365530303030299</v>
      </c>
      <c r="F24" s="135">
        <f t="shared" si="6"/>
        <v>12.07310606060606</v>
      </c>
      <c r="G24" s="136"/>
      <c r="H24" s="43"/>
      <c r="I24" s="138"/>
      <c r="J24" s="17"/>
      <c r="K24" s="17"/>
      <c r="L24" s="17"/>
      <c r="M24" s="17"/>
      <c r="N24" s="17">
        <f>SUM(N12:N23)</f>
        <v>269801</v>
      </c>
      <c r="O24" s="17"/>
      <c r="P24" s="17"/>
      <c r="Q24" s="17"/>
      <c r="R24" s="17"/>
      <c r="S24" s="17"/>
      <c r="T24" s="1"/>
      <c r="U24" s="1"/>
      <c r="V24" s="1"/>
    </row>
    <row r="25" spans="1:22" ht="15.6" x14ac:dyDescent="0.3">
      <c r="A25" s="1"/>
      <c r="B25" s="106"/>
      <c r="C25" s="262">
        <v>1</v>
      </c>
      <c r="D25" s="133">
        <v>673</v>
      </c>
      <c r="E25" s="134">
        <f t="shared" si="2"/>
        <v>0.12746212121212122</v>
      </c>
      <c r="F25" s="135">
        <f t="shared" si="6"/>
        <v>0.12746212121212122</v>
      </c>
      <c r="G25" s="136"/>
      <c r="H25" s="43"/>
      <c r="I25" s="13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"/>
      <c r="U25" s="1"/>
      <c r="V25" s="1"/>
    </row>
    <row r="26" spans="1:22" ht="6.9" customHeight="1" x14ac:dyDescent="0.3">
      <c r="A26" s="1"/>
      <c r="B26" s="106"/>
      <c r="C26" s="107"/>
      <c r="D26" s="133"/>
      <c r="E26" s="137"/>
      <c r="F26" s="134"/>
      <c r="G26" s="136"/>
      <c r="H26" s="43"/>
      <c r="I26" s="13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"/>
      <c r="U26" s="1"/>
      <c r="V26" s="1"/>
    </row>
    <row r="27" spans="1:22" ht="15.6" x14ac:dyDescent="0.3">
      <c r="A27" s="1"/>
      <c r="B27" s="106"/>
      <c r="C27" s="107" t="s">
        <v>14</v>
      </c>
      <c r="D27" s="133">
        <f>SUM(D12:D26)</f>
        <v>1937683</v>
      </c>
      <c r="E27" s="84">
        <f>SUM(E12:E26)</f>
        <v>366.98541666666671</v>
      </c>
      <c r="F27" s="135">
        <f>SUM(F12:F26)</f>
        <v>2837.2928030303028</v>
      </c>
      <c r="G27" s="99">
        <f>SUM(G12:G26)</f>
        <v>51.098674242424245</v>
      </c>
      <c r="H27" s="43">
        <f>SUM(H12:H26)</f>
        <v>911.44166666666661</v>
      </c>
      <c r="I27" s="138"/>
      <c r="J27" s="17"/>
      <c r="K27" s="31"/>
      <c r="L27" s="17"/>
      <c r="M27" s="17"/>
      <c r="N27" s="17"/>
      <c r="O27" s="17"/>
      <c r="P27" s="17"/>
      <c r="Q27" s="17"/>
      <c r="R27" s="17"/>
      <c r="S27" s="17"/>
      <c r="T27" s="1"/>
      <c r="U27" s="1"/>
      <c r="V27" s="1"/>
    </row>
    <row r="28" spans="1:22" ht="15.6" x14ac:dyDescent="0.3">
      <c r="A28" s="1"/>
      <c r="B28" s="106"/>
      <c r="C28" s="1"/>
      <c r="D28" s="1"/>
      <c r="E28" s="1"/>
      <c r="F28" s="138"/>
      <c r="G28" s="1"/>
      <c r="H28" s="1"/>
      <c r="I28" s="138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"/>
      <c r="U28" s="1"/>
      <c r="V28" s="1"/>
    </row>
    <row r="29" spans="1:22" ht="15.6" x14ac:dyDescent="0.3">
      <c r="A29" s="1"/>
      <c r="B29" s="106"/>
      <c r="C29" s="1"/>
      <c r="D29" s="1"/>
      <c r="E29" s="1"/>
      <c r="F29" s="1"/>
      <c r="G29" s="1"/>
      <c r="H29" s="1"/>
      <c r="I29" s="138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"/>
      <c r="U29" s="1"/>
      <c r="V29" s="1"/>
    </row>
    <row r="30" spans="1:22" ht="15.6" x14ac:dyDescent="0.3">
      <c r="A30" s="1"/>
      <c r="B30" s="106"/>
      <c r="C30" s="149"/>
      <c r="D30" s="126" t="s">
        <v>65</v>
      </c>
      <c r="E30" s="126"/>
      <c r="F30" s="126"/>
      <c r="G30" s="126"/>
      <c r="H30" s="78"/>
      <c r="I30" s="138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"/>
      <c r="U30" s="1"/>
      <c r="V30" s="1"/>
    </row>
    <row r="31" spans="1:22" ht="6.9" customHeight="1" x14ac:dyDescent="0.3">
      <c r="A31" s="1"/>
      <c r="B31" s="106"/>
      <c r="C31" s="1"/>
      <c r="D31" s="128"/>
      <c r="E31" s="128"/>
      <c r="F31" s="128"/>
      <c r="G31" s="128"/>
      <c r="H31" s="1"/>
      <c r="I31" s="138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"/>
      <c r="U31" s="1"/>
      <c r="V31" s="1"/>
    </row>
    <row r="32" spans="1:22" ht="15.6" x14ac:dyDescent="0.3">
      <c r="A32" s="1"/>
      <c r="B32" s="106"/>
      <c r="C32" s="1"/>
      <c r="D32" s="1"/>
      <c r="E32" s="1"/>
      <c r="F32" s="54" t="s">
        <v>15</v>
      </c>
      <c r="G32" s="54"/>
      <c r="H32" s="1"/>
      <c r="I32" s="138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"/>
      <c r="U32" s="1"/>
      <c r="V32" s="1"/>
    </row>
    <row r="33" spans="1:22" ht="15.6" x14ac:dyDescent="0.3">
      <c r="A33" s="1"/>
      <c r="B33" s="106"/>
      <c r="C33" s="1"/>
      <c r="D33" s="1"/>
      <c r="E33" s="1"/>
      <c r="F33" s="54" t="s">
        <v>66</v>
      </c>
      <c r="G33" s="54" t="s">
        <v>11</v>
      </c>
      <c r="H33" s="1"/>
      <c r="I33" s="138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"/>
      <c r="U33" s="1"/>
      <c r="V33" s="1"/>
    </row>
    <row r="34" spans="1:22" ht="6.9" customHeight="1" x14ac:dyDescent="0.3">
      <c r="A34" s="1"/>
      <c r="B34" s="106"/>
      <c r="C34" s="1"/>
      <c r="D34" s="1"/>
      <c r="E34" s="1"/>
      <c r="F34" s="1"/>
      <c r="G34" s="1"/>
      <c r="H34" s="1"/>
      <c r="I34" s="138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"/>
      <c r="U34" s="1"/>
      <c r="V34" s="1"/>
    </row>
    <row r="35" spans="1:22" ht="15.6" x14ac:dyDescent="0.3">
      <c r="A35" s="1"/>
      <c r="B35" s="106"/>
      <c r="C35" s="1"/>
      <c r="D35" s="139" t="s">
        <v>455</v>
      </c>
      <c r="E35" s="139"/>
      <c r="F35" s="59">
        <v>1471119</v>
      </c>
      <c r="G35" s="139"/>
      <c r="H35" s="1"/>
      <c r="I35" s="138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"/>
      <c r="U35" s="1"/>
      <c r="V35" s="1"/>
    </row>
    <row r="36" spans="1:22" ht="15.6" x14ac:dyDescent="0.3">
      <c r="A36" s="1"/>
      <c r="B36" s="106"/>
      <c r="C36" s="1"/>
      <c r="D36" s="139" t="s">
        <v>67</v>
      </c>
      <c r="E36" s="139"/>
      <c r="F36" s="59">
        <f>577628+178546+171000</f>
        <v>927174</v>
      </c>
      <c r="G36" s="139"/>
      <c r="H36" s="1"/>
      <c r="I36" s="138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"/>
      <c r="U36" s="1"/>
      <c r="V36" s="1"/>
    </row>
    <row r="37" spans="1:22" ht="15.6" x14ac:dyDescent="0.3">
      <c r="A37" s="1"/>
      <c r="B37" s="106"/>
      <c r="C37" s="1"/>
      <c r="D37" s="139" t="s">
        <v>68</v>
      </c>
      <c r="E37" s="139"/>
      <c r="F37" s="59">
        <v>366186</v>
      </c>
      <c r="G37" s="139"/>
      <c r="H37" s="1"/>
      <c r="I37" s="138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"/>
      <c r="U37" s="1"/>
      <c r="V37" s="1"/>
    </row>
    <row r="38" spans="1:22" ht="15.6" x14ac:dyDescent="0.3">
      <c r="A38" s="1"/>
      <c r="B38" s="106"/>
      <c r="C38" s="1"/>
      <c r="D38" s="139" t="s">
        <v>69</v>
      </c>
      <c r="E38" s="139"/>
      <c r="F38" s="59">
        <f>SUM(F36:F37)</f>
        <v>1293360</v>
      </c>
      <c r="G38" s="139"/>
      <c r="H38" s="1"/>
      <c r="I38" s="138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"/>
      <c r="U38" s="1"/>
      <c r="V38" s="1"/>
    </row>
    <row r="39" spans="1:22" ht="6.9" customHeight="1" x14ac:dyDescent="0.3">
      <c r="A39" s="1"/>
      <c r="B39" s="106"/>
      <c r="C39" s="1"/>
      <c r="D39" s="139"/>
      <c r="E39" s="139"/>
      <c r="F39" s="59"/>
      <c r="G39" s="140"/>
      <c r="H39" s="1"/>
      <c r="I39" s="138"/>
      <c r="J39" s="1"/>
      <c r="K39" s="1"/>
      <c r="L39" s="1"/>
      <c r="M39" s="1"/>
    </row>
    <row r="40" spans="1:22" ht="18" customHeight="1" x14ac:dyDescent="0.3">
      <c r="A40" s="1"/>
      <c r="B40" s="106"/>
      <c r="C40" s="1"/>
      <c r="D40" s="139" t="s">
        <v>456</v>
      </c>
      <c r="E40" s="139"/>
      <c r="F40" s="59">
        <v>4656</v>
      </c>
      <c r="G40" s="140">
        <f>F40/$F$35</f>
        <v>3.1649377106814608E-3</v>
      </c>
      <c r="H40" s="1"/>
      <c r="I40" s="138"/>
      <c r="J40" s="1"/>
      <c r="K40" s="1"/>
      <c r="L40" s="1"/>
      <c r="M40" s="1"/>
    </row>
    <row r="41" spans="1:22" ht="15.6" x14ac:dyDescent="0.3">
      <c r="A41" s="1"/>
      <c r="B41" s="106"/>
      <c r="C41" s="1"/>
      <c r="D41" s="139" t="s">
        <v>70</v>
      </c>
      <c r="E41" s="139"/>
      <c r="F41" s="59">
        <v>12422</v>
      </c>
      <c r="G41" s="140"/>
      <c r="H41" s="1"/>
      <c r="I41" s="138"/>
      <c r="J41" s="1"/>
      <c r="K41" s="1"/>
      <c r="L41" s="1"/>
      <c r="M41" s="1"/>
    </row>
    <row r="42" spans="1:22" ht="15.6" x14ac:dyDescent="0.3">
      <c r="A42" s="1"/>
      <c r="B42" s="106"/>
      <c r="C42" s="1"/>
      <c r="D42" s="139" t="s">
        <v>71</v>
      </c>
      <c r="E42" s="139"/>
      <c r="F42" s="59">
        <f>3849</f>
        <v>3849</v>
      </c>
      <c r="G42" s="140"/>
      <c r="H42" s="1"/>
      <c r="I42" s="138"/>
      <c r="J42" s="1"/>
      <c r="K42" s="142">
        <f>SUM(F40:F42)</f>
        <v>20927</v>
      </c>
      <c r="L42" s="143" t="s">
        <v>152</v>
      </c>
      <c r="M42" s="1"/>
    </row>
    <row r="43" spans="1:22" ht="15.6" x14ac:dyDescent="0.3">
      <c r="A43" s="1"/>
      <c r="B43" s="106"/>
      <c r="C43" s="1"/>
      <c r="D43" s="139" t="s">
        <v>457</v>
      </c>
      <c r="E43" s="139"/>
      <c r="F43" s="59">
        <f>F35-F38-K42</f>
        <v>156832</v>
      </c>
      <c r="G43" s="140">
        <f>F43/$F$35</f>
        <v>0.10660728329931161</v>
      </c>
      <c r="H43" s="1"/>
      <c r="I43" s="138"/>
      <c r="J43" s="1"/>
      <c r="K43" s="1"/>
      <c r="L43" s="1"/>
      <c r="M43" s="1"/>
    </row>
    <row r="44" spans="1:22" ht="15.6" x14ac:dyDescent="0.3">
      <c r="A44" s="1"/>
      <c r="B44" s="117"/>
      <c r="C44" s="78"/>
      <c r="D44" s="78"/>
      <c r="E44" s="141"/>
      <c r="F44" s="78"/>
      <c r="G44" s="78"/>
      <c r="H44" s="78"/>
      <c r="I44" s="144"/>
      <c r="J44" s="1"/>
      <c r="K44" s="1"/>
      <c r="L44" s="1"/>
      <c r="M44" s="1"/>
    </row>
    <row r="45" spans="1:22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22" x14ac:dyDescent="0.25">
      <c r="F46" s="12"/>
    </row>
    <row r="47" spans="1:22" x14ac:dyDescent="0.25">
      <c r="F47" s="12"/>
    </row>
  </sheetData>
  <mergeCells count="2">
    <mergeCell ref="C2:H2"/>
    <mergeCell ref="C4:H4"/>
  </mergeCells>
  <printOptions horizontalCentered="1"/>
  <pageMargins left="0.7" right="0.7" top="1.2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45"/>
  <sheetViews>
    <sheetView zoomScale="75" zoomScaleNormal="75" workbookViewId="0"/>
  </sheetViews>
  <sheetFormatPr defaultColWidth="8.90625" defaultRowHeight="15.6" x14ac:dyDescent="0.3"/>
  <cols>
    <col min="1" max="1" width="8.90625" style="47"/>
    <col min="2" max="2" width="2.81640625" style="47" customWidth="1"/>
    <col min="3" max="3" width="26.6328125" style="47" customWidth="1"/>
    <col min="4" max="4" width="3.6328125" style="47" customWidth="1"/>
    <col min="5" max="5" width="9.6328125" style="47" customWidth="1"/>
    <col min="6" max="6" width="3.6328125" style="47" customWidth="1"/>
    <col min="7" max="7" width="9.6328125" style="47" customWidth="1"/>
    <col min="8" max="8" width="3.6328125" style="47" customWidth="1"/>
    <col min="9" max="9" width="12.6328125" style="47" customWidth="1"/>
    <col min="10" max="10" width="2.81640625" style="47" customWidth="1"/>
    <col min="11" max="11" width="9.6328125" style="47" customWidth="1"/>
    <col min="12" max="16384" width="8.90625" style="47"/>
  </cols>
  <sheetData>
    <row r="1" spans="1:11" ht="15" customHeight="1" x14ac:dyDescent="0.4">
      <c r="A1" s="1"/>
      <c r="B1" s="103"/>
      <c r="C1" s="622"/>
      <c r="D1" s="622"/>
      <c r="E1" s="622"/>
      <c r="F1" s="622"/>
      <c r="G1" s="622"/>
      <c r="H1" s="622"/>
      <c r="I1" s="622"/>
      <c r="J1" s="150"/>
      <c r="K1" s="151"/>
    </row>
    <row r="2" spans="1:11" ht="18" x14ac:dyDescent="0.35">
      <c r="A2" s="1"/>
      <c r="B2" s="106"/>
      <c r="C2" s="620" t="s">
        <v>318</v>
      </c>
      <c r="D2" s="620"/>
      <c r="E2" s="620"/>
      <c r="F2" s="620"/>
      <c r="G2" s="620"/>
      <c r="H2" s="620"/>
      <c r="I2" s="620"/>
      <c r="J2" s="138"/>
      <c r="K2" s="1"/>
    </row>
    <row r="3" spans="1:11" ht="18" x14ac:dyDescent="0.35">
      <c r="A3" s="1"/>
      <c r="B3" s="106"/>
      <c r="C3" s="3" t="s">
        <v>72</v>
      </c>
      <c r="D3" s="127"/>
      <c r="E3" s="127"/>
      <c r="F3" s="127"/>
      <c r="G3" s="127"/>
      <c r="H3" s="127"/>
      <c r="I3" s="127"/>
      <c r="J3" s="138"/>
      <c r="K3" s="1"/>
    </row>
    <row r="4" spans="1:11" x14ac:dyDescent="0.3">
      <c r="A4" s="1"/>
      <c r="B4" s="106"/>
      <c r="C4" s="621" t="s">
        <v>331</v>
      </c>
      <c r="D4" s="621"/>
      <c r="E4" s="621"/>
      <c r="F4" s="621"/>
      <c r="G4" s="621"/>
      <c r="H4" s="621"/>
      <c r="I4" s="621"/>
      <c r="J4" s="138"/>
      <c r="K4" s="1"/>
    </row>
    <row r="5" spans="1:11" x14ac:dyDescent="0.3">
      <c r="A5" s="1"/>
      <c r="B5" s="117"/>
      <c r="C5" s="346"/>
      <c r="D5" s="347"/>
      <c r="E5" s="346"/>
      <c r="F5" s="347"/>
      <c r="G5" s="346"/>
      <c r="H5" s="346"/>
      <c r="I5" s="149"/>
      <c r="J5" s="144"/>
      <c r="K5" s="1"/>
    </row>
    <row r="6" spans="1:11" x14ac:dyDescent="0.3">
      <c r="A6" s="1"/>
      <c r="B6" s="106"/>
      <c r="C6" s="139"/>
      <c r="D6" s="152"/>
      <c r="E6" s="139"/>
      <c r="F6" s="152"/>
      <c r="G6" s="139"/>
      <c r="H6" s="139"/>
      <c r="J6" s="138"/>
      <c r="K6" s="1"/>
    </row>
    <row r="7" spans="1:11" x14ac:dyDescent="0.3">
      <c r="A7" s="1"/>
      <c r="B7" s="106"/>
      <c r="C7" s="139"/>
      <c r="E7" s="139"/>
      <c r="F7" s="152"/>
      <c r="G7" s="139"/>
      <c r="H7" s="139"/>
      <c r="I7" s="153" t="s">
        <v>73</v>
      </c>
      <c r="J7" s="138"/>
      <c r="K7" s="1"/>
    </row>
    <row r="8" spans="1:11" x14ac:dyDescent="0.3">
      <c r="A8" s="1"/>
      <c r="B8" s="106"/>
      <c r="C8" s="139" t="s">
        <v>74</v>
      </c>
      <c r="D8" s="152"/>
      <c r="E8" s="139"/>
      <c r="F8" s="152"/>
      <c r="G8" s="139"/>
      <c r="H8" s="139"/>
      <c r="I8" s="154">
        <f>Sys!G43</f>
        <v>0.10660728329931161</v>
      </c>
      <c r="J8" s="138"/>
      <c r="K8" s="1"/>
    </row>
    <row r="9" spans="1:11" x14ac:dyDescent="0.3">
      <c r="A9" s="1"/>
      <c r="B9" s="106"/>
      <c r="C9" s="139" t="s">
        <v>453</v>
      </c>
      <c r="D9" s="152"/>
      <c r="E9" s="139"/>
      <c r="F9" s="152"/>
      <c r="G9" s="139"/>
      <c r="H9" s="139"/>
      <c r="I9" s="154">
        <f>Sys!G40</f>
        <v>3.1649377106814608E-3</v>
      </c>
      <c r="J9" s="138"/>
      <c r="K9" s="1"/>
    </row>
    <row r="10" spans="1:11" x14ac:dyDescent="0.3">
      <c r="A10" s="1"/>
      <c r="B10" s="106"/>
      <c r="C10" s="139" t="s">
        <v>454</v>
      </c>
      <c r="D10" s="152"/>
      <c r="E10" s="139"/>
      <c r="F10" s="152"/>
      <c r="G10" s="139"/>
      <c r="H10" s="139"/>
      <c r="I10" s="154">
        <f>I8+I9</f>
        <v>0.10977222100999308</v>
      </c>
      <c r="J10" s="138"/>
      <c r="K10" s="1"/>
    </row>
    <row r="11" spans="1:11" x14ac:dyDescent="0.3">
      <c r="A11" s="1"/>
      <c r="B11" s="106"/>
      <c r="C11" s="139" t="s">
        <v>75</v>
      </c>
      <c r="D11" s="152"/>
      <c r="E11" s="139"/>
      <c r="F11" s="152"/>
      <c r="G11" s="139"/>
      <c r="H11" s="139"/>
      <c r="I11" s="155">
        <f>Sys!H27</f>
        <v>911.44166666666661</v>
      </c>
      <c r="J11" s="138"/>
      <c r="K11" s="1"/>
    </row>
    <row r="12" spans="1:11" x14ac:dyDescent="0.3">
      <c r="A12" s="1"/>
      <c r="B12" s="106"/>
      <c r="C12" s="139" t="s">
        <v>76</v>
      </c>
      <c r="D12" s="152"/>
      <c r="E12" s="139"/>
      <c r="F12" s="152"/>
      <c r="G12" s="139"/>
      <c r="H12" s="139"/>
      <c r="I12" s="155">
        <f>Sys!F27</f>
        <v>2837.2928030303028</v>
      </c>
      <c r="J12" s="138"/>
      <c r="K12" s="1"/>
    </row>
    <row r="13" spans="1:11" x14ac:dyDescent="0.3">
      <c r="A13" s="1"/>
      <c r="B13" s="106"/>
      <c r="C13" s="139" t="s">
        <v>77</v>
      </c>
      <c r="D13" s="152"/>
      <c r="E13" s="139"/>
      <c r="F13" s="152"/>
      <c r="G13" s="139"/>
      <c r="H13" s="139"/>
      <c r="I13" s="156">
        <f>Sys!F37</f>
        <v>366186</v>
      </c>
      <c r="J13" s="138"/>
      <c r="K13" s="1"/>
    </row>
    <row r="14" spans="1:11" x14ac:dyDescent="0.3">
      <c r="A14" s="1"/>
      <c r="B14" s="106"/>
      <c r="C14" s="139" t="s">
        <v>78</v>
      </c>
      <c r="D14" s="152"/>
      <c r="E14" s="139"/>
      <c r="F14" s="152"/>
      <c r="G14" s="139"/>
      <c r="H14" s="139"/>
      <c r="I14" s="156">
        <f>Sys!F38</f>
        <v>1293360</v>
      </c>
      <c r="J14" s="138"/>
      <c r="K14" s="1"/>
    </row>
    <row r="15" spans="1:11" x14ac:dyDescent="0.3">
      <c r="A15" s="1"/>
      <c r="B15" s="106"/>
      <c r="C15" s="139"/>
      <c r="D15" s="152"/>
      <c r="E15" s="139"/>
      <c r="F15" s="152"/>
      <c r="G15" s="139"/>
      <c r="H15" s="139"/>
      <c r="I15" s="154"/>
      <c r="J15" s="138"/>
      <c r="K15" s="1"/>
    </row>
    <row r="16" spans="1:11" x14ac:dyDescent="0.3">
      <c r="A16" s="1"/>
      <c r="B16" s="106"/>
      <c r="C16" s="139"/>
      <c r="D16" s="152"/>
      <c r="E16" s="139"/>
      <c r="F16" s="152">
        <v>1</v>
      </c>
      <c r="H16" s="139"/>
      <c r="I16" s="154"/>
      <c r="J16" s="138"/>
      <c r="K16" s="1"/>
    </row>
    <row r="17" spans="1:11" x14ac:dyDescent="0.3">
      <c r="A17" s="1"/>
      <c r="B17" s="106"/>
      <c r="C17" s="139" t="s">
        <v>458</v>
      </c>
      <c r="D17" s="152"/>
      <c r="E17" s="1" t="s">
        <v>254</v>
      </c>
      <c r="F17" s="1"/>
      <c r="G17" s="1"/>
      <c r="H17" s="152" t="s">
        <v>80</v>
      </c>
      <c r="I17" s="154">
        <f>1/(1-I10)</f>
        <v>1.1233080157693274</v>
      </c>
      <c r="J17" s="138"/>
      <c r="K17" s="1"/>
    </row>
    <row r="18" spans="1:11" x14ac:dyDescent="0.3">
      <c r="A18" s="1"/>
      <c r="B18" s="106"/>
      <c r="C18" s="139"/>
      <c r="D18" s="152"/>
      <c r="E18" s="139">
        <v>1</v>
      </c>
      <c r="F18" s="152" t="s">
        <v>81</v>
      </c>
      <c r="G18" s="158">
        <f>I10</f>
        <v>0.10977222100999308</v>
      </c>
      <c r="H18" s="152"/>
      <c r="I18" s="154"/>
      <c r="J18" s="138"/>
      <c r="K18" s="1"/>
    </row>
    <row r="19" spans="1:11" x14ac:dyDescent="0.3">
      <c r="A19" s="1"/>
      <c r="B19" s="106"/>
      <c r="C19" s="139"/>
      <c r="D19" s="152"/>
      <c r="E19" s="139"/>
      <c r="F19" s="152"/>
      <c r="G19" s="159"/>
      <c r="H19" s="152"/>
      <c r="I19" s="154"/>
      <c r="J19" s="138"/>
      <c r="K19" s="1"/>
    </row>
    <row r="20" spans="1:11" x14ac:dyDescent="0.3">
      <c r="A20" s="1"/>
      <c r="B20" s="106"/>
      <c r="C20" s="139"/>
      <c r="D20" s="152"/>
      <c r="E20" s="139"/>
      <c r="F20" s="1"/>
      <c r="G20" s="160">
        <f>I11</f>
        <v>911.44166666666661</v>
      </c>
      <c r="H20" s="152"/>
      <c r="I20" s="154"/>
      <c r="J20" s="138"/>
      <c r="K20" s="1"/>
    </row>
    <row r="21" spans="1:11" x14ac:dyDescent="0.3">
      <c r="A21" s="1"/>
      <c r="B21" s="106"/>
      <c r="C21" s="139" t="s">
        <v>82</v>
      </c>
      <c r="D21" s="152"/>
      <c r="E21" s="1"/>
      <c r="F21" s="171" t="s">
        <v>176</v>
      </c>
      <c r="G21" s="157"/>
      <c r="H21" s="152" t="s">
        <v>80</v>
      </c>
      <c r="I21" s="154">
        <f>G20/G22</f>
        <v>0.32123637916158077</v>
      </c>
      <c r="J21" s="138"/>
      <c r="K21" s="1"/>
    </row>
    <row r="22" spans="1:11" x14ac:dyDescent="0.3">
      <c r="A22" s="1"/>
      <c r="B22" s="106"/>
      <c r="C22" s="139"/>
      <c r="D22" s="152"/>
      <c r="E22" s="161"/>
      <c r="F22" s="152"/>
      <c r="G22" s="160">
        <f>I12</f>
        <v>2837.2928030303028</v>
      </c>
      <c r="H22" s="152"/>
      <c r="I22" s="154"/>
      <c r="J22" s="138"/>
      <c r="K22" s="1"/>
    </row>
    <row r="23" spans="1:11" x14ac:dyDescent="0.3">
      <c r="A23" s="1"/>
      <c r="B23" s="106"/>
      <c r="C23" s="139"/>
      <c r="D23" s="152"/>
      <c r="E23" s="161"/>
      <c r="F23" s="152"/>
      <c r="G23" s="139"/>
      <c r="H23" s="152"/>
      <c r="I23" s="154"/>
      <c r="J23" s="138"/>
      <c r="K23" s="1"/>
    </row>
    <row r="24" spans="1:11" x14ac:dyDescent="0.3">
      <c r="A24" s="1"/>
      <c r="B24" s="106"/>
      <c r="C24" s="139" t="s">
        <v>153</v>
      </c>
      <c r="D24" s="162"/>
      <c r="E24" s="163">
        <f>I8</f>
        <v>0.10660728329931161</v>
      </c>
      <c r="F24" s="152" t="s">
        <v>83</v>
      </c>
      <c r="G24" s="164">
        <f>I21</f>
        <v>0.32123637916158077</v>
      </c>
      <c r="H24" s="152" t="s">
        <v>80</v>
      </c>
      <c r="I24" s="154">
        <f>E24*G24</f>
        <v>3.4246137679323725E-2</v>
      </c>
      <c r="J24" s="138"/>
      <c r="K24" s="1"/>
    </row>
    <row r="25" spans="1:11" x14ac:dyDescent="0.3">
      <c r="A25" s="1"/>
      <c r="B25" s="106"/>
      <c r="C25" s="139"/>
      <c r="D25" s="162"/>
      <c r="E25" s="163"/>
      <c r="F25" s="152"/>
      <c r="G25" s="164"/>
      <c r="H25" s="152"/>
      <c r="I25" s="154"/>
      <c r="J25" s="138"/>
      <c r="K25" s="1"/>
    </row>
    <row r="26" spans="1:11" x14ac:dyDescent="0.3">
      <c r="A26" s="1"/>
      <c r="B26" s="106"/>
      <c r="C26" s="139"/>
      <c r="D26" s="162"/>
      <c r="E26" s="163"/>
      <c r="F26" s="152"/>
      <c r="G26" s="164"/>
      <c r="H26" s="152"/>
      <c r="I26" s="154"/>
      <c r="J26" s="138"/>
      <c r="K26" s="1"/>
    </row>
    <row r="27" spans="1:11" x14ac:dyDescent="0.3">
      <c r="A27" s="1"/>
      <c r="B27" s="106"/>
      <c r="C27" s="139" t="s">
        <v>459</v>
      </c>
      <c r="D27" s="162"/>
      <c r="E27" s="163">
        <f>I24</f>
        <v>3.4246137679323725E-2</v>
      </c>
      <c r="F27" s="152" t="s">
        <v>460</v>
      </c>
      <c r="G27" s="164">
        <f>I9</f>
        <v>3.1649377106814608E-3</v>
      </c>
      <c r="H27" s="152" t="s">
        <v>80</v>
      </c>
      <c r="I27" s="154">
        <f>E27+G27</f>
        <v>3.7411075390005183E-2</v>
      </c>
      <c r="J27" s="138"/>
      <c r="K27" s="1"/>
    </row>
    <row r="28" spans="1:11" x14ac:dyDescent="0.3">
      <c r="A28" s="1"/>
      <c r="B28" s="106"/>
      <c r="C28" s="139"/>
      <c r="D28" s="162"/>
      <c r="E28" s="163"/>
      <c r="F28" s="152"/>
      <c r="G28" s="164"/>
      <c r="H28" s="152"/>
      <c r="I28" s="154"/>
      <c r="J28" s="138"/>
      <c r="K28" s="1"/>
    </row>
    <row r="29" spans="1:11" x14ac:dyDescent="0.3">
      <c r="A29" s="1"/>
      <c r="B29" s="106"/>
      <c r="C29" s="139"/>
      <c r="D29" s="152"/>
      <c r="E29" s="139"/>
      <c r="F29" s="152">
        <v>1</v>
      </c>
      <c r="H29" s="152"/>
      <c r="I29" s="165"/>
      <c r="J29" s="138"/>
      <c r="K29" s="1"/>
    </row>
    <row r="30" spans="1:11" x14ac:dyDescent="0.3">
      <c r="A30" s="1"/>
      <c r="B30" s="106"/>
      <c r="C30" s="139" t="s">
        <v>461</v>
      </c>
      <c r="D30" s="152"/>
      <c r="E30" s="1" t="s">
        <v>79</v>
      </c>
      <c r="F30" s="1"/>
      <c r="G30" s="1"/>
      <c r="H30" s="152" t="s">
        <v>80</v>
      </c>
      <c r="I30" s="154">
        <f>1/(1-G31)</f>
        <v>1.0388650590439348</v>
      </c>
      <c r="J30" s="138"/>
      <c r="K30" s="1"/>
    </row>
    <row r="31" spans="1:11" x14ac:dyDescent="0.3">
      <c r="A31" s="1"/>
      <c r="B31" s="106"/>
      <c r="C31" s="139"/>
      <c r="D31" s="152"/>
      <c r="E31" s="139">
        <v>1</v>
      </c>
      <c r="F31" s="152" t="s">
        <v>81</v>
      </c>
      <c r="G31" s="158">
        <f>I27</f>
        <v>3.7411075390005183E-2</v>
      </c>
      <c r="H31" s="152"/>
      <c r="I31" s="154"/>
      <c r="J31" s="138"/>
      <c r="K31" s="1"/>
    </row>
    <row r="32" spans="1:11" x14ac:dyDescent="0.3">
      <c r="A32" s="1"/>
      <c r="B32" s="106"/>
      <c r="C32" s="139"/>
      <c r="D32" s="152"/>
      <c r="E32" s="139"/>
      <c r="F32" s="152"/>
      <c r="G32" s="158"/>
      <c r="H32" s="152"/>
      <c r="I32" s="154"/>
      <c r="J32" s="138"/>
      <c r="K32" s="1"/>
    </row>
    <row r="33" spans="1:11" x14ac:dyDescent="0.3">
      <c r="A33" s="1"/>
      <c r="B33" s="106"/>
      <c r="C33" s="139"/>
      <c r="D33" s="152"/>
      <c r="E33" s="166">
        <f>I30</f>
        <v>1.0388650590439348</v>
      </c>
      <c r="F33" s="152"/>
      <c r="G33" s="167">
        <f>$I$13</f>
        <v>366186</v>
      </c>
      <c r="H33" s="152"/>
      <c r="I33" s="154"/>
      <c r="J33" s="138"/>
      <c r="K33" s="1"/>
    </row>
    <row r="34" spans="1:11" x14ac:dyDescent="0.3">
      <c r="A34" s="1"/>
      <c r="B34" s="106"/>
      <c r="C34" s="168" t="s">
        <v>462</v>
      </c>
      <c r="D34" s="152"/>
      <c r="E34" s="152" t="s">
        <v>84</v>
      </c>
      <c r="F34" s="152" t="s">
        <v>83</v>
      </c>
      <c r="G34" s="152" t="s">
        <v>84</v>
      </c>
      <c r="H34" s="152" t="s">
        <v>80</v>
      </c>
      <c r="I34" s="169">
        <f>(E33/E35)*(+G33/G35)</f>
        <v>0.26184397943831389</v>
      </c>
      <c r="J34" s="138"/>
      <c r="K34" s="1"/>
    </row>
    <row r="35" spans="1:11" x14ac:dyDescent="0.3">
      <c r="A35" s="1"/>
      <c r="B35" s="106"/>
      <c r="C35" s="139"/>
      <c r="D35" s="152"/>
      <c r="E35" s="166">
        <f>I17</f>
        <v>1.1233080157693274</v>
      </c>
      <c r="F35" s="152"/>
      <c r="G35" s="167">
        <f>$I$14</f>
        <v>1293360</v>
      </c>
      <c r="H35" s="152"/>
      <c r="I35" s="169"/>
      <c r="J35" s="138"/>
      <c r="K35" s="1"/>
    </row>
    <row r="36" spans="1:11" x14ac:dyDescent="0.3">
      <c r="A36" s="1"/>
      <c r="B36" s="106"/>
      <c r="C36" s="139"/>
      <c r="D36" s="152"/>
      <c r="E36" s="166"/>
      <c r="F36" s="152"/>
      <c r="G36" s="167"/>
      <c r="H36" s="152"/>
      <c r="I36" s="169"/>
      <c r="J36" s="138"/>
      <c r="K36" s="1"/>
    </row>
    <row r="37" spans="1:11" x14ac:dyDescent="0.3">
      <c r="A37" s="1"/>
      <c r="B37" s="106"/>
      <c r="C37" s="139"/>
      <c r="D37" s="152"/>
      <c r="E37" s="167">
        <f>$I$13</f>
        <v>366186</v>
      </c>
      <c r="F37" s="152"/>
      <c r="G37" s="139"/>
      <c r="H37" s="152"/>
      <c r="I37" s="169"/>
      <c r="J37" s="138"/>
      <c r="K37" s="1"/>
    </row>
    <row r="38" spans="1:11" x14ac:dyDescent="0.3">
      <c r="A38" s="1"/>
      <c r="B38" s="106"/>
      <c r="C38" s="168" t="s">
        <v>236</v>
      </c>
      <c r="D38" s="152"/>
      <c r="E38" s="152" t="s">
        <v>84</v>
      </c>
      <c r="F38" s="152" t="s">
        <v>83</v>
      </c>
      <c r="G38" s="166">
        <f>I21</f>
        <v>0.32123637916158077</v>
      </c>
      <c r="H38" s="152" t="s">
        <v>80</v>
      </c>
      <c r="I38" s="169">
        <f>(+E37/E39)*G38</f>
        <v>9.0950906738775442E-2</v>
      </c>
      <c r="J38" s="138"/>
      <c r="K38" s="1"/>
    </row>
    <row r="39" spans="1:11" x14ac:dyDescent="0.3">
      <c r="A39" s="1"/>
      <c r="B39" s="106"/>
      <c r="C39" s="139"/>
      <c r="D39" s="152"/>
      <c r="E39" s="167">
        <f>$I$14</f>
        <v>1293360</v>
      </c>
      <c r="F39" s="152"/>
      <c r="G39" s="139"/>
      <c r="H39" s="152"/>
      <c r="I39" s="169"/>
      <c r="J39" s="138"/>
      <c r="K39" s="1"/>
    </row>
    <row r="40" spans="1:11" x14ac:dyDescent="0.3">
      <c r="A40" s="1"/>
      <c r="B40" s="106"/>
      <c r="C40" s="139"/>
      <c r="D40" s="152"/>
      <c r="E40" s="139"/>
      <c r="F40" s="152"/>
      <c r="G40" s="139"/>
      <c r="H40" s="152"/>
      <c r="I40" s="169"/>
      <c r="J40" s="138"/>
      <c r="K40" s="1"/>
    </row>
    <row r="41" spans="1:11" x14ac:dyDescent="0.3">
      <c r="A41" s="1"/>
      <c r="B41" s="106"/>
      <c r="C41" s="139"/>
      <c r="D41" s="152"/>
      <c r="E41" s="139"/>
      <c r="F41" s="152"/>
      <c r="G41" s="167">
        <f>$I$13</f>
        <v>366186</v>
      </c>
      <c r="H41" s="152"/>
      <c r="I41" s="169"/>
      <c r="J41" s="138"/>
      <c r="K41" s="1"/>
    </row>
    <row r="42" spans="1:11" x14ac:dyDescent="0.3">
      <c r="A42" s="1"/>
      <c r="B42" s="106"/>
      <c r="C42" s="168" t="s">
        <v>85</v>
      </c>
      <c r="D42" s="152"/>
      <c r="E42" s="139"/>
      <c r="F42" s="152"/>
      <c r="G42" s="152" t="s">
        <v>84</v>
      </c>
      <c r="H42" s="152" t="s">
        <v>80</v>
      </c>
      <c r="I42" s="169">
        <f>G41/G43</f>
        <v>0.28312766747077378</v>
      </c>
      <c r="J42" s="138"/>
      <c r="K42" s="1"/>
    </row>
    <row r="43" spans="1:11" x14ac:dyDescent="0.3">
      <c r="A43" s="1"/>
      <c r="B43" s="106"/>
      <c r="C43" s="1"/>
      <c r="D43" s="70"/>
      <c r="E43" s="1"/>
      <c r="F43" s="70"/>
      <c r="G43" s="167">
        <f>$I$14</f>
        <v>1293360</v>
      </c>
      <c r="H43" s="1"/>
      <c r="I43" s="170"/>
      <c r="J43" s="138"/>
      <c r="K43" s="1"/>
    </row>
    <row r="44" spans="1:11" x14ac:dyDescent="0.3">
      <c r="A44" s="1"/>
      <c r="B44" s="117"/>
      <c r="C44" s="78"/>
      <c r="D44" s="71"/>
      <c r="E44" s="78"/>
      <c r="F44" s="71"/>
      <c r="G44" s="78"/>
      <c r="H44" s="78"/>
      <c r="I44" s="78"/>
      <c r="J44" s="144"/>
      <c r="K44" s="1"/>
    </row>
    <row r="45" spans="1:11" x14ac:dyDescent="0.3">
      <c r="A45" s="1"/>
      <c r="B45" s="1"/>
      <c r="C45" s="1"/>
      <c r="D45" s="70"/>
      <c r="E45" s="1"/>
      <c r="F45" s="70"/>
      <c r="G45" s="1"/>
      <c r="H45" s="1"/>
      <c r="I45" s="1"/>
      <c r="J45" s="1"/>
      <c r="K45" s="1"/>
    </row>
  </sheetData>
  <mergeCells count="3">
    <mergeCell ref="C1:I1"/>
    <mergeCell ref="C2:I2"/>
    <mergeCell ref="C4:I4"/>
  </mergeCells>
  <printOptions horizontalCentered="1"/>
  <pageMargins left="0.75" right="0.5" top="1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19</vt:i4>
      </vt:variant>
    </vt:vector>
  </HeadingPairs>
  <TitlesOfParts>
    <vt:vector size="44" baseType="lpstr">
      <vt:lpstr>SAO</vt:lpstr>
      <vt:lpstr>Adj</vt:lpstr>
      <vt:lpstr>Adj_EE</vt:lpstr>
      <vt:lpstr>Adj_Ben</vt:lpstr>
      <vt:lpstr>Resale</vt:lpstr>
      <vt:lpstr>DeprAdj</vt:lpstr>
      <vt:lpstr>DSch</vt:lpstr>
      <vt:lpstr>Sys</vt:lpstr>
      <vt:lpstr>Fac</vt:lpstr>
      <vt:lpstr>Al_DepW</vt:lpstr>
      <vt:lpstr>mtrx</vt:lpstr>
      <vt:lpstr>Whol</vt:lpstr>
      <vt:lpstr>AlocOM_R</vt:lpstr>
      <vt:lpstr>AlocSum</vt:lpstr>
      <vt:lpstr>CalcRet</vt:lpstr>
      <vt:lpstr>ExBA</vt:lpstr>
      <vt:lpstr>PrBA</vt:lpstr>
      <vt:lpstr>BaData</vt:lpstr>
      <vt:lpstr>Rates</vt:lpstr>
      <vt:lpstr>Usage</vt:lpstr>
      <vt:lpstr>Use_Dtl</vt:lpstr>
      <vt:lpstr>avg bills</vt:lpstr>
      <vt:lpstr>Bills</vt:lpstr>
      <vt:lpstr>Ratios</vt:lpstr>
      <vt:lpstr>Top10</vt:lpstr>
      <vt:lpstr>Adj_EE!Print_Area</vt:lpstr>
      <vt:lpstr>Al_DepW!Print_Area</vt:lpstr>
      <vt:lpstr>AlocOM_R!Print_Area</vt:lpstr>
      <vt:lpstr>AlocSum!Print_Area</vt:lpstr>
      <vt:lpstr>'avg bills'!Print_Area</vt:lpstr>
      <vt:lpstr>Bills!Print_Area</vt:lpstr>
      <vt:lpstr>CalcRet!Print_Area</vt:lpstr>
      <vt:lpstr>DSch!Print_Area</vt:lpstr>
      <vt:lpstr>ExBA!Print_Area</vt:lpstr>
      <vt:lpstr>Fac!Print_Area</vt:lpstr>
      <vt:lpstr>mtrx!Print_Area</vt:lpstr>
      <vt:lpstr>PrBA!Print_Area</vt:lpstr>
      <vt:lpstr>Rates!Print_Area</vt:lpstr>
      <vt:lpstr>SAO!Print_Area</vt:lpstr>
      <vt:lpstr>Sys!Print_Area</vt:lpstr>
      <vt:lpstr>'Top10'!Print_Area</vt:lpstr>
      <vt:lpstr>Usage!Print_Area</vt:lpstr>
      <vt:lpstr>Whol!Print_Area</vt:lpstr>
      <vt:lpstr>Whol!Print_Titles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Lacey Cunningham</cp:lastModifiedBy>
  <cp:lastPrinted>2023-10-11T20:35:09Z</cp:lastPrinted>
  <dcterms:created xsi:type="dcterms:W3CDTF">2016-05-18T14:12:06Z</dcterms:created>
  <dcterms:modified xsi:type="dcterms:W3CDTF">2023-10-11T21:43:04Z</dcterms:modified>
</cp:coreProperties>
</file>

<file path=docProps/custom.xml><?xml version="1.0" encoding="utf-8"?>
<op:Properties xmlns:op="http://schemas.openxmlformats.org/officeDocument/2006/custom-properties">
  <op:property fmtid="{D5CDD505-2E9C-101B-9397-08002B2CF9AE}" pid="2" name="ndDocumentId">
    <vt:lpwstr xmlns:vt="http://schemas.openxmlformats.org/officeDocument/2006/docPropsVTypes">4857-4086-0043</vt:lpwstr>
  </op:property>
</op:Properties>
</file>